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22995" windowHeight="9780" tabRatio="869" firstSheet="44" activeTab="49"/>
  </bookViews>
  <sheets>
    <sheet name="LSF,Mosleh (Electrochem)" sheetId="1" r:id="rId1"/>
    <sheet name="LSF,Sogaard (Electroceram)" sheetId="4" r:id="rId2"/>
    <sheet name="LSF,Sogaard (Solid State Chem)" sheetId="5" r:id="rId3"/>
    <sheet name="LSF,Yang (Solid State Ionics)" sheetId="6" r:id="rId4"/>
    <sheet name="LSF,ten Elshof (Electrochem)" sheetId="7" r:id="rId5"/>
    <sheet name="LSF,Armstrong (Phys Chem)" sheetId="8" r:id="rId6"/>
    <sheet name="LSF,Ishigaki (Solid State Chem)" sheetId="9" r:id="rId7"/>
    <sheet name="LSF,Baumann (Electrochem)" sheetId="10" r:id="rId8"/>
    <sheet name="LSF,Tripkovic (Phys Chem)" sheetId="11" r:id="rId9"/>
    <sheet name="LSFC,Plonczak (Electrochem)" sheetId="12" r:id="rId10"/>
    <sheet name="LSFC,Bouwmeester (Solid State)" sheetId="13" r:id="rId11"/>
    <sheet name="LSFC,Cox-Galhotra (Solid State)" sheetId="14" r:id="rId12"/>
    <sheet name="LSFC,Dalslet (Electrochem)" sheetId="15" r:id="rId13"/>
    <sheet name="LSFC,Huang (Electrochem)" sheetId="16" r:id="rId14"/>
    <sheet name="LSFC,Lane (Electrochem)" sheetId="17" r:id="rId15"/>
    <sheet name="LSFC,Li (Electrochem)" sheetId="18" r:id="rId16"/>
    <sheet name="LSFC,Reid (Electrochem)" sheetId="19" r:id="rId17"/>
    <sheet name="LSFC,Wang (Solid State Ionics)" sheetId="20" r:id="rId18"/>
    <sheet name="LSFC,Armstrong (Phys Chem)" sheetId="21" r:id="rId19"/>
    <sheet name="LSFC,Chater (Solid State Ionics" sheetId="22" r:id="rId20"/>
    <sheet name="LSFC,Steele (Solid State Ionics" sheetId="23" r:id="rId21"/>
    <sheet name="LSFC,Baumann (Electrochem)" sheetId="25" r:id="rId22"/>
    <sheet name="LSFC,Simrick (Electrochem)" sheetId="26" r:id="rId23"/>
    <sheet name="LSC,Moreno (Electrochem)" sheetId="27" r:id="rId24"/>
    <sheet name="LSC,Berenov (Solid State Ionic)" sheetId="28" r:id="rId25"/>
    <sheet name="LSC,Egger (Solid State Ionics)" sheetId="29" r:id="rId26"/>
    <sheet name="LSC,Sogaard (Solid State Ionics" sheetId="30" r:id="rId27"/>
    <sheet name="LSC,Baumann (Electrochem)" sheetId="32" r:id="rId28"/>
    <sheet name="LSC,Januschewsky (Adv Funct)" sheetId="33" r:id="rId29"/>
    <sheet name="LSC,Siebenhofer (Mater Chem)" sheetId="36" r:id="rId30"/>
    <sheet name="LSC,Adler(Solid State Ionics)" sheetId="34" r:id="rId31"/>
    <sheet name="LSC,Hayd (Elechtrochem)" sheetId="37" r:id="rId32"/>
    <sheet name="LSC,Preis (J. Power Sources)" sheetId="62" r:id="rId33"/>
    <sheet name="SSC,Yeh (Solid State Ionics)" sheetId="38" r:id="rId34"/>
    <sheet name="SSC,Fullarton (Ionics)" sheetId="39" r:id="rId35"/>
    <sheet name="SSC,Baumann (Electrochem)" sheetId="41" r:id="rId36"/>
    <sheet name="SSC,Fu (Power Sources)" sheetId="42" r:id="rId37"/>
    <sheet name="BSCF,Burriel (Solid State)" sheetId="43" r:id="rId38"/>
    <sheet name="BSCF,Wang (Applied Phys)" sheetId="44" r:id="rId39"/>
    <sheet name="BSCF,Bucher (Electrochem)" sheetId="45" r:id="rId40"/>
    <sheet name="BSCF,Bucher (Solid State Ionics" sheetId="46" r:id="rId41"/>
    <sheet name="BSCF,Chen (Int J. Hydrogen)" sheetId="48" r:id="rId42"/>
    <sheet name="BSCF,Girdauskaite (Solid State)" sheetId="49" r:id="rId43"/>
    <sheet name="BSCF,Ried (Electrochem)" sheetId="47" r:id="rId44"/>
    <sheet name="BSCF,Moreno (Electrochem)" sheetId="50" r:id="rId45"/>
    <sheet name="BSCF,Baumann (Solid State Ionic" sheetId="51" r:id="rId46"/>
    <sheet name="BSCF,Baumann (Electrochem)" sheetId="52" r:id="rId47"/>
    <sheet name="BSCF,Wang (Electrochem)" sheetId="53" r:id="rId48"/>
    <sheet name="BSCF,Falkenstein (Solid State I" sheetId="63" r:id="rId49"/>
    <sheet name="BSCF,Lohne (J.Electrochem Soc)" sheetId="64" r:id="rId50"/>
    <sheet name="PCO,Nicollet (Nature)" sheetId="54" r:id="rId51"/>
    <sheet name="PCO,Nicollet (Solid State Ionic" sheetId="55" r:id="rId52"/>
    <sheet name="PCO,Chen (ACS Appl)" sheetId="56" r:id="rId53"/>
    <sheet name="PCO,Ma (ACS Appl)" sheetId="57" r:id="rId54"/>
    <sheet name="PCO,Chen (Electroceram)" sheetId="58" r:id="rId55"/>
    <sheet name="PCO,Simons (Am Ceram Soc)" sheetId="59" r:id="rId56"/>
    <sheet name="PCO,Zhao (Chem Mater)" sheetId="60" r:id="rId57"/>
    <sheet name="PCO,Chen (Appl Materis)" sheetId="61" r:id="rId58"/>
  </sheets>
  <calcPr calcId="145621"/>
</workbook>
</file>

<file path=xl/calcChain.xml><?xml version="1.0" encoding="utf-8"?>
<calcChain xmlns="http://schemas.openxmlformats.org/spreadsheetml/2006/main">
  <c r="D25" i="64" l="1"/>
  <c r="D26" i="64"/>
  <c r="D27" i="64"/>
  <c r="D28" i="64"/>
  <c r="D29" i="64"/>
  <c r="D24" i="64"/>
  <c r="C29" i="64"/>
  <c r="C28" i="64"/>
  <c r="C27" i="64"/>
  <c r="C26" i="64"/>
  <c r="C25" i="64"/>
  <c r="C24" i="64"/>
  <c r="D16" i="64"/>
  <c r="D17" i="64"/>
  <c r="D18" i="64"/>
  <c r="D19" i="64"/>
  <c r="D20" i="64"/>
  <c r="D15" i="64"/>
  <c r="C20" i="64"/>
  <c r="C19" i="64"/>
  <c r="C18" i="64"/>
  <c r="C17" i="64"/>
  <c r="C16" i="64"/>
  <c r="C15" i="64"/>
  <c r="H41" i="46"/>
  <c r="E41" i="46"/>
  <c r="C41" i="46"/>
  <c r="A41" i="46"/>
  <c r="D7" i="64"/>
  <c r="D8" i="64"/>
  <c r="D9" i="64"/>
  <c r="D10" i="64"/>
  <c r="D11" i="64"/>
  <c r="D6" i="64"/>
  <c r="C14" i="63"/>
  <c r="C10" i="63"/>
  <c r="D10" i="63" s="1"/>
  <c r="D14" i="63" s="1"/>
  <c r="A6" i="63"/>
  <c r="A29" i="64"/>
  <c r="A28" i="64"/>
  <c r="A27" i="64"/>
  <c r="A26" i="64"/>
  <c r="A25" i="64"/>
  <c r="A24" i="64"/>
  <c r="A20" i="64"/>
  <c r="A19" i="64"/>
  <c r="A18" i="64"/>
  <c r="A17" i="64"/>
  <c r="A16" i="64"/>
  <c r="A15" i="64"/>
  <c r="A11" i="64"/>
  <c r="A10" i="64"/>
  <c r="A9" i="64"/>
  <c r="A8" i="64"/>
  <c r="A7" i="64"/>
  <c r="A6" i="64"/>
  <c r="A14" i="63"/>
  <c r="A10" i="63"/>
  <c r="D17" i="62"/>
  <c r="D16" i="62"/>
  <c r="C17" i="62"/>
  <c r="C16" i="62"/>
  <c r="D12" i="62"/>
  <c r="D11" i="62"/>
  <c r="C12" i="62"/>
  <c r="C11" i="62"/>
  <c r="G29" i="30"/>
  <c r="G27" i="30"/>
  <c r="E29" i="30"/>
  <c r="E27" i="30"/>
  <c r="C29" i="30"/>
  <c r="C27" i="30"/>
  <c r="A29" i="30"/>
  <c r="A27" i="30"/>
  <c r="D7" i="62"/>
  <c r="D6" i="62"/>
  <c r="A6" i="62"/>
  <c r="A7" i="62"/>
  <c r="A17" i="62"/>
  <c r="A16" i="62"/>
  <c r="A12" i="62"/>
  <c r="A11" i="62"/>
  <c r="D6" i="59" l="1"/>
  <c r="D14" i="4" l="1"/>
  <c r="D15" i="4"/>
  <c r="D13" i="4"/>
  <c r="C15" i="4"/>
  <c r="C14" i="4"/>
  <c r="C13" i="4"/>
  <c r="C18" i="61" l="1"/>
  <c r="D18" i="61" s="1"/>
  <c r="C17" i="61"/>
  <c r="D17" i="61" s="1"/>
  <c r="C16" i="61"/>
  <c r="D16" i="61" s="1"/>
  <c r="C15" i="61"/>
  <c r="D15" i="61" s="1"/>
  <c r="C14" i="61"/>
  <c r="D14" i="61" s="1"/>
  <c r="A26" i="61"/>
  <c r="A25" i="61"/>
  <c r="A24" i="61"/>
  <c r="A23" i="61"/>
  <c r="A22" i="61"/>
  <c r="A18" i="61"/>
  <c r="A17" i="61"/>
  <c r="A16" i="61"/>
  <c r="A15" i="61"/>
  <c r="A14" i="61"/>
  <c r="A10" i="61"/>
  <c r="A9" i="61"/>
  <c r="A8" i="61"/>
  <c r="A7" i="61"/>
  <c r="A6" i="61"/>
  <c r="C11" i="60"/>
  <c r="D11" i="60" s="1"/>
  <c r="A15" i="60"/>
  <c r="A11" i="60"/>
  <c r="A6" i="60"/>
  <c r="A14" i="59" l="1"/>
  <c r="A10" i="59"/>
  <c r="A6" i="59"/>
  <c r="C54" i="58" l="1"/>
  <c r="C26" i="61" s="1"/>
  <c r="D26" i="61" s="1"/>
  <c r="C53" i="58"/>
  <c r="C27" i="56" s="1"/>
  <c r="C52" i="58"/>
  <c r="C25" i="61" s="1"/>
  <c r="D25" i="61" s="1"/>
  <c r="C51" i="58"/>
  <c r="C25" i="56" s="1"/>
  <c r="C50" i="58"/>
  <c r="C24" i="61" s="1"/>
  <c r="D24" i="61" s="1"/>
  <c r="C49" i="58"/>
  <c r="C47" i="58"/>
  <c r="C48" i="58"/>
  <c r="C23" i="61" s="1"/>
  <c r="D23" i="61" s="1"/>
  <c r="A43" i="58"/>
  <c r="C43" i="58" s="1"/>
  <c r="A44" i="58"/>
  <c r="C44" i="58" s="1"/>
  <c r="A45" i="58"/>
  <c r="C45" i="58" s="1"/>
  <c r="A46" i="58"/>
  <c r="C46" i="58" s="1"/>
  <c r="A47" i="58"/>
  <c r="A48" i="58"/>
  <c r="A49" i="58"/>
  <c r="A50" i="58"/>
  <c r="A51" i="58"/>
  <c r="A52" i="58"/>
  <c r="A53" i="58"/>
  <c r="A54" i="58"/>
  <c r="C12" i="58"/>
  <c r="D12" i="58" s="1"/>
  <c r="C11" i="58"/>
  <c r="D11" i="58" s="1"/>
  <c r="C7" i="58"/>
  <c r="D7" i="58" s="1"/>
  <c r="C8" i="58"/>
  <c r="D8" i="58" s="1"/>
  <c r="C9" i="58"/>
  <c r="D9" i="58" s="1"/>
  <c r="C10" i="58"/>
  <c r="D10" i="58" s="1"/>
  <c r="C6" i="58"/>
  <c r="D6" i="58" s="1"/>
  <c r="A7" i="58"/>
  <c r="A8" i="58"/>
  <c r="A9" i="58"/>
  <c r="A10" i="58"/>
  <c r="A11" i="58"/>
  <c r="A12" i="58"/>
  <c r="A32" i="58"/>
  <c r="A33" i="58"/>
  <c r="A34" i="58"/>
  <c r="A35" i="58"/>
  <c r="A36" i="58"/>
  <c r="A37" i="58"/>
  <c r="D24" i="58"/>
  <c r="D25" i="58"/>
  <c r="D26" i="58"/>
  <c r="D27" i="58"/>
  <c r="D23" i="58"/>
  <c r="A17" i="58"/>
  <c r="A18" i="58"/>
  <c r="A19" i="58"/>
  <c r="A20" i="58"/>
  <c r="A21" i="58"/>
  <c r="A22" i="58"/>
  <c r="A23" i="58"/>
  <c r="A24" i="58"/>
  <c r="A25" i="58"/>
  <c r="A26" i="58"/>
  <c r="A27" i="58"/>
  <c r="A42" i="58"/>
  <c r="C42" i="58" s="1"/>
  <c r="C14" i="59" s="1"/>
  <c r="D14" i="59" s="1"/>
  <c r="A31" i="58"/>
  <c r="A16" i="58"/>
  <c r="A6" i="58"/>
  <c r="C20" i="56"/>
  <c r="C19" i="56"/>
  <c r="C18" i="56"/>
  <c r="D18" i="56" s="1"/>
  <c r="C17" i="56"/>
  <c r="C16" i="56"/>
  <c r="C14" i="55"/>
  <c r="D14" i="55" s="1"/>
  <c r="C13" i="55"/>
  <c r="D13" i="55" s="1"/>
  <c r="C12" i="55"/>
  <c r="D12" i="55" s="1"/>
  <c r="C20" i="54"/>
  <c r="D20" i="54" s="1"/>
  <c r="C19" i="54"/>
  <c r="C27" i="54" s="1"/>
  <c r="C18" i="54"/>
  <c r="D18" i="54" s="1"/>
  <c r="C17" i="54"/>
  <c r="C25" i="54" s="1"/>
  <c r="C16" i="54"/>
  <c r="D16" i="54" s="1"/>
  <c r="D18" i="57"/>
  <c r="D17" i="57"/>
  <c r="D16" i="57"/>
  <c r="D15" i="57"/>
  <c r="D14" i="57"/>
  <c r="G32" i="57"/>
  <c r="G33" i="57"/>
  <c r="G34" i="57"/>
  <c r="G35" i="57"/>
  <c r="G31" i="57"/>
  <c r="A32" i="57"/>
  <c r="A33" i="57"/>
  <c r="A34" i="57"/>
  <c r="A35" i="57"/>
  <c r="A36" i="57"/>
  <c r="A37" i="57"/>
  <c r="A38" i="57"/>
  <c r="A39" i="57"/>
  <c r="A40" i="57"/>
  <c r="A41" i="57"/>
  <c r="A42" i="57"/>
  <c r="A31" i="57"/>
  <c r="D38" i="57"/>
  <c r="D37" i="57"/>
  <c r="D36" i="57"/>
  <c r="D35" i="57"/>
  <c r="A26" i="57"/>
  <c r="A25" i="57"/>
  <c r="A24" i="57"/>
  <c r="A23" i="57"/>
  <c r="A22" i="57"/>
  <c r="A18" i="57"/>
  <c r="A17" i="57"/>
  <c r="A16" i="57"/>
  <c r="A15" i="57"/>
  <c r="A14" i="57"/>
  <c r="I35" i="57"/>
  <c r="A10" i="57"/>
  <c r="A9" i="57"/>
  <c r="A8" i="57"/>
  <c r="A7" i="57"/>
  <c r="A6" i="57"/>
  <c r="A17" i="56"/>
  <c r="A18" i="56"/>
  <c r="A19" i="56"/>
  <c r="A20" i="56"/>
  <c r="E11" i="56"/>
  <c r="E9" i="56"/>
  <c r="C12" i="56"/>
  <c r="E12" i="56" s="1"/>
  <c r="C10" i="56"/>
  <c r="E10" i="56" s="1"/>
  <c r="C8" i="56"/>
  <c r="E8" i="56" s="1"/>
  <c r="C7" i="56"/>
  <c r="E7" i="56" s="1"/>
  <c r="C6" i="56"/>
  <c r="E6" i="56" s="1"/>
  <c r="A28" i="56"/>
  <c r="A27" i="56"/>
  <c r="A26" i="56"/>
  <c r="A25" i="56"/>
  <c r="A24" i="56"/>
  <c r="A16" i="56"/>
  <c r="A12" i="56"/>
  <c r="A11" i="56"/>
  <c r="A10" i="56"/>
  <c r="A9" i="56"/>
  <c r="A8" i="56"/>
  <c r="A7" i="56"/>
  <c r="A6" i="56"/>
  <c r="A20" i="55"/>
  <c r="A19" i="55"/>
  <c r="A18" i="55"/>
  <c r="A14" i="55"/>
  <c r="A13" i="55"/>
  <c r="A12" i="55"/>
  <c r="A8" i="55"/>
  <c r="A7" i="55"/>
  <c r="A6" i="55"/>
  <c r="D27" i="54" l="1"/>
  <c r="D28" i="54"/>
  <c r="C20" i="55"/>
  <c r="C24" i="56"/>
  <c r="D24" i="56" s="1"/>
  <c r="D24" i="54"/>
  <c r="C26" i="56"/>
  <c r="D26" i="56" s="1"/>
  <c r="D25" i="54"/>
  <c r="D26" i="54"/>
  <c r="C28" i="56"/>
  <c r="D16" i="56"/>
  <c r="D17" i="54"/>
  <c r="D19" i="56"/>
  <c r="D27" i="56" s="1"/>
  <c r="D20" i="56"/>
  <c r="D17" i="56"/>
  <c r="D25" i="56" s="1"/>
  <c r="C26" i="54"/>
  <c r="C15" i="60"/>
  <c r="D15" i="60" s="1"/>
  <c r="C22" i="61"/>
  <c r="D22" i="61" s="1"/>
  <c r="C18" i="55"/>
  <c r="D18" i="55" s="1"/>
  <c r="C19" i="55"/>
  <c r="D19" i="55" s="1"/>
  <c r="D20" i="55"/>
  <c r="C28" i="54"/>
  <c r="D19" i="54"/>
  <c r="C24" i="54"/>
  <c r="I33" i="57"/>
  <c r="I31" i="57"/>
  <c r="I32" i="57"/>
  <c r="I34" i="57"/>
  <c r="D28" i="56" l="1"/>
  <c r="A28" i="54"/>
  <c r="E28" i="54" s="1"/>
  <c r="A27" i="54"/>
  <c r="E27" i="54" s="1"/>
  <c r="A26" i="54"/>
  <c r="E26" i="54" s="1"/>
  <c r="A25" i="54"/>
  <c r="E25" i="54" s="1"/>
  <c r="A24" i="54"/>
  <c r="E24" i="54" s="1"/>
  <c r="A20" i="54"/>
  <c r="A19" i="54"/>
  <c r="A18" i="54"/>
  <c r="A17" i="54"/>
  <c r="A16" i="54"/>
  <c r="A12" i="54"/>
  <c r="A11" i="54"/>
  <c r="A10" i="54"/>
  <c r="A9" i="54"/>
  <c r="A8" i="54"/>
  <c r="A7" i="54"/>
  <c r="A6" i="54"/>
  <c r="G38" i="52"/>
  <c r="G39" i="52"/>
  <c r="G40" i="52"/>
  <c r="G41" i="52"/>
  <c r="G42" i="52"/>
  <c r="G43" i="52"/>
  <c r="G37" i="52"/>
  <c r="K50" i="51"/>
  <c r="K51" i="51"/>
  <c r="K52" i="51"/>
  <c r="K53" i="51"/>
  <c r="K54" i="51"/>
  <c r="K55" i="51"/>
  <c r="K56" i="51"/>
  <c r="K57" i="51"/>
  <c r="K58" i="51"/>
  <c r="K59" i="51"/>
  <c r="K49" i="51"/>
  <c r="I50" i="53"/>
  <c r="J50" i="53" s="1"/>
  <c r="I51" i="53"/>
  <c r="J51" i="53" s="1"/>
  <c r="I52" i="53"/>
  <c r="J52" i="53" s="1"/>
  <c r="C9" i="51" s="1"/>
  <c r="I53" i="53"/>
  <c r="J53" i="53" s="1"/>
  <c r="I54" i="53"/>
  <c r="J54" i="53" s="1"/>
  <c r="I55" i="53"/>
  <c r="J55" i="53" s="1"/>
  <c r="I56" i="53"/>
  <c r="J56" i="53" s="1"/>
  <c r="C13" i="51" s="1"/>
  <c r="I57" i="53"/>
  <c r="J57" i="53" s="1"/>
  <c r="C14" i="51" s="1"/>
  <c r="I58" i="53"/>
  <c r="J58" i="53" s="1"/>
  <c r="C15" i="51" s="1"/>
  <c r="I59" i="53"/>
  <c r="J59" i="53" s="1"/>
  <c r="C16" i="51" s="1"/>
  <c r="I49" i="53"/>
  <c r="J49" i="53" s="1"/>
  <c r="C6" i="51" s="1"/>
  <c r="G50" i="53"/>
  <c r="G51" i="53"/>
  <c r="G52" i="53"/>
  <c r="G53" i="53"/>
  <c r="G54" i="53"/>
  <c r="G55" i="53"/>
  <c r="G56" i="53"/>
  <c r="G57" i="53"/>
  <c r="G58" i="53"/>
  <c r="G59" i="53"/>
  <c r="G49" i="53"/>
  <c r="C61" i="49"/>
  <c r="F66" i="53"/>
  <c r="F67" i="53"/>
  <c r="F68" i="53"/>
  <c r="F69" i="53"/>
  <c r="F70" i="53"/>
  <c r="F71" i="53"/>
  <c r="F72" i="53"/>
  <c r="F73" i="53"/>
  <c r="F74" i="53"/>
  <c r="F75" i="53"/>
  <c r="F76" i="53"/>
  <c r="F77" i="53"/>
  <c r="F78" i="53"/>
  <c r="F79" i="53"/>
  <c r="F80" i="53"/>
  <c r="F81" i="53"/>
  <c r="F82" i="53"/>
  <c r="F83" i="53"/>
  <c r="F84" i="53"/>
  <c r="F85" i="53"/>
  <c r="F86" i="53"/>
  <c r="F87" i="53"/>
  <c r="F88" i="53"/>
  <c r="F89" i="53"/>
  <c r="F90" i="53"/>
  <c r="F91" i="53"/>
  <c r="F92" i="53"/>
  <c r="F93" i="53"/>
  <c r="F94" i="53"/>
  <c r="F95" i="53"/>
  <c r="F96" i="53"/>
  <c r="F97" i="53"/>
  <c r="F98" i="53"/>
  <c r="F99" i="53"/>
  <c r="F100" i="53"/>
  <c r="F101" i="53"/>
  <c r="F102" i="53"/>
  <c r="F103" i="53"/>
  <c r="F104" i="53"/>
  <c r="F105" i="53"/>
  <c r="F106" i="53"/>
  <c r="F107" i="53"/>
  <c r="F108" i="53"/>
  <c r="F109" i="53"/>
  <c r="F110" i="53"/>
  <c r="F111" i="53"/>
  <c r="F112" i="53"/>
  <c r="F113" i="53"/>
  <c r="F114" i="53"/>
  <c r="F115" i="53"/>
  <c r="F116" i="53"/>
  <c r="F117" i="53"/>
  <c r="F118" i="53"/>
  <c r="F119" i="53"/>
  <c r="F120" i="53"/>
  <c r="F121" i="53"/>
  <c r="F122" i="53"/>
  <c r="F123" i="53"/>
  <c r="F124" i="53"/>
  <c r="F125" i="53"/>
  <c r="F126" i="53"/>
  <c r="F127" i="53"/>
  <c r="F128" i="53"/>
  <c r="F129" i="53"/>
  <c r="F130" i="53"/>
  <c r="F131" i="53"/>
  <c r="F132" i="53"/>
  <c r="F133" i="53"/>
  <c r="F134" i="53"/>
  <c r="F135" i="53"/>
  <c r="F136" i="53"/>
  <c r="F137" i="53"/>
  <c r="F138" i="53"/>
  <c r="F139" i="53"/>
  <c r="F140" i="53"/>
  <c r="F141" i="53"/>
  <c r="F142" i="53"/>
  <c r="F143" i="53"/>
  <c r="F144" i="53"/>
  <c r="F145" i="53"/>
  <c r="F146" i="53"/>
  <c r="F147" i="53"/>
  <c r="F148" i="53"/>
  <c r="F149" i="53"/>
  <c r="F150" i="53"/>
  <c r="F151" i="53"/>
  <c r="F152" i="53"/>
  <c r="F153" i="53"/>
  <c r="F154" i="53"/>
  <c r="F155" i="53"/>
  <c r="F156" i="53"/>
  <c r="F157" i="53"/>
  <c r="F158" i="53"/>
  <c r="F159" i="53"/>
  <c r="F160" i="53"/>
  <c r="F161" i="53"/>
  <c r="F162" i="53"/>
  <c r="F163" i="53"/>
  <c r="F164" i="53"/>
  <c r="F165" i="53"/>
  <c r="F166" i="53"/>
  <c r="F167" i="53"/>
  <c r="F168" i="53"/>
  <c r="F169" i="53"/>
  <c r="F65" i="53"/>
  <c r="D66" i="53"/>
  <c r="D67" i="53"/>
  <c r="D68" i="53"/>
  <c r="D69" i="53"/>
  <c r="D70" i="53"/>
  <c r="D71" i="53"/>
  <c r="D72" i="53"/>
  <c r="D73" i="53"/>
  <c r="D74" i="53"/>
  <c r="D75" i="53"/>
  <c r="D76" i="53"/>
  <c r="D77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D103" i="53"/>
  <c r="D104" i="53"/>
  <c r="D105" i="53"/>
  <c r="D106" i="53"/>
  <c r="D107" i="53"/>
  <c r="D108" i="53"/>
  <c r="D109" i="53"/>
  <c r="D34" i="53" s="1"/>
  <c r="D110" i="53"/>
  <c r="D111" i="53"/>
  <c r="D112" i="53"/>
  <c r="D113" i="53"/>
  <c r="D114" i="53"/>
  <c r="D115" i="53"/>
  <c r="D116" i="53"/>
  <c r="D117" i="53"/>
  <c r="D118" i="53"/>
  <c r="D119" i="53"/>
  <c r="D120" i="53"/>
  <c r="D121" i="53"/>
  <c r="D122" i="53"/>
  <c r="D123" i="53"/>
  <c r="D124" i="53"/>
  <c r="D125" i="53"/>
  <c r="D126" i="53"/>
  <c r="D127" i="53"/>
  <c r="D128" i="53"/>
  <c r="D129" i="53"/>
  <c r="D130" i="53"/>
  <c r="D131" i="53"/>
  <c r="D132" i="53"/>
  <c r="D133" i="53"/>
  <c r="D134" i="53"/>
  <c r="D135" i="53"/>
  <c r="D136" i="53"/>
  <c r="D137" i="53"/>
  <c r="D138" i="53"/>
  <c r="D139" i="53"/>
  <c r="D140" i="53"/>
  <c r="D141" i="53"/>
  <c r="D42" i="53" s="1"/>
  <c r="D142" i="53"/>
  <c r="D143" i="53"/>
  <c r="D144" i="53"/>
  <c r="D145" i="53"/>
  <c r="D146" i="53"/>
  <c r="D147" i="53"/>
  <c r="D148" i="53"/>
  <c r="D149" i="53"/>
  <c r="D150" i="53"/>
  <c r="D151" i="53"/>
  <c r="D152" i="53"/>
  <c r="D153" i="53"/>
  <c r="D154" i="53"/>
  <c r="D155" i="53"/>
  <c r="D156" i="53"/>
  <c r="D157" i="53"/>
  <c r="D158" i="53"/>
  <c r="D159" i="53"/>
  <c r="D160" i="53"/>
  <c r="D161" i="53"/>
  <c r="D162" i="53"/>
  <c r="D163" i="53"/>
  <c r="D164" i="53"/>
  <c r="D165" i="53"/>
  <c r="D166" i="53"/>
  <c r="D167" i="53"/>
  <c r="D168" i="53"/>
  <c r="D169" i="53"/>
  <c r="D65" i="53"/>
  <c r="I66" i="53"/>
  <c r="I67" i="53"/>
  <c r="I68" i="53"/>
  <c r="I69" i="53"/>
  <c r="I70" i="53"/>
  <c r="I71" i="53"/>
  <c r="I72" i="53"/>
  <c r="I73" i="53"/>
  <c r="I74" i="53"/>
  <c r="I75" i="53"/>
  <c r="I76" i="53"/>
  <c r="I77" i="53"/>
  <c r="I78" i="53"/>
  <c r="I79" i="53"/>
  <c r="I80" i="53"/>
  <c r="I81" i="53"/>
  <c r="I82" i="53"/>
  <c r="I83" i="53"/>
  <c r="I84" i="53"/>
  <c r="I85" i="53"/>
  <c r="I86" i="53"/>
  <c r="I87" i="53"/>
  <c r="I88" i="53"/>
  <c r="I89" i="53"/>
  <c r="I90" i="53"/>
  <c r="I91" i="53"/>
  <c r="I92" i="53"/>
  <c r="I93" i="53"/>
  <c r="I94" i="53"/>
  <c r="I95" i="53"/>
  <c r="I96" i="53"/>
  <c r="I97" i="53"/>
  <c r="I98" i="53"/>
  <c r="I99" i="53"/>
  <c r="I100" i="53"/>
  <c r="I101" i="53"/>
  <c r="I102" i="53"/>
  <c r="I103" i="53"/>
  <c r="I104" i="53"/>
  <c r="I105" i="53"/>
  <c r="I106" i="53"/>
  <c r="I107" i="53"/>
  <c r="I108" i="53"/>
  <c r="I109" i="53"/>
  <c r="I110" i="53"/>
  <c r="I111" i="53"/>
  <c r="I112" i="53"/>
  <c r="I113" i="53"/>
  <c r="I114" i="53"/>
  <c r="I115" i="53"/>
  <c r="I116" i="53"/>
  <c r="I117" i="53"/>
  <c r="I118" i="53"/>
  <c r="I119" i="53"/>
  <c r="I120" i="53"/>
  <c r="I121" i="53"/>
  <c r="I122" i="53"/>
  <c r="I123" i="53"/>
  <c r="I124" i="53"/>
  <c r="I125" i="53"/>
  <c r="I126" i="53"/>
  <c r="I127" i="53"/>
  <c r="I128" i="53"/>
  <c r="I129" i="53"/>
  <c r="I130" i="53"/>
  <c r="I131" i="53"/>
  <c r="I132" i="53"/>
  <c r="I133" i="53"/>
  <c r="I134" i="53"/>
  <c r="I135" i="53"/>
  <c r="I136" i="53"/>
  <c r="I137" i="53"/>
  <c r="I138" i="53"/>
  <c r="I139" i="53"/>
  <c r="I140" i="53"/>
  <c r="I141" i="53"/>
  <c r="I142" i="53"/>
  <c r="I143" i="53"/>
  <c r="I144" i="53"/>
  <c r="I145" i="53"/>
  <c r="I146" i="53"/>
  <c r="I147" i="53"/>
  <c r="I148" i="53"/>
  <c r="I149" i="53"/>
  <c r="I150" i="53"/>
  <c r="I151" i="53"/>
  <c r="I152" i="53"/>
  <c r="I153" i="53"/>
  <c r="I154" i="53"/>
  <c r="I155" i="53"/>
  <c r="I156" i="53"/>
  <c r="I157" i="53"/>
  <c r="I158" i="53"/>
  <c r="I159" i="53"/>
  <c r="I160" i="53"/>
  <c r="I161" i="53"/>
  <c r="I162" i="53"/>
  <c r="I163" i="53"/>
  <c r="I164" i="53"/>
  <c r="I165" i="53"/>
  <c r="I166" i="53"/>
  <c r="I167" i="53"/>
  <c r="I168" i="53"/>
  <c r="I169" i="53"/>
  <c r="I65" i="53"/>
  <c r="A169" i="53"/>
  <c r="A168" i="53"/>
  <c r="A167" i="53"/>
  <c r="A166" i="53"/>
  <c r="A165" i="53"/>
  <c r="A164" i="53"/>
  <c r="A163" i="53"/>
  <c r="A162" i="53"/>
  <c r="A161" i="53"/>
  <c r="A160" i="53"/>
  <c r="A159" i="53"/>
  <c r="A158" i="53"/>
  <c r="A157" i="53"/>
  <c r="A156" i="53"/>
  <c r="A155" i="53"/>
  <c r="A154" i="53"/>
  <c r="A153" i="53"/>
  <c r="A152" i="53"/>
  <c r="A151" i="53"/>
  <c r="A150" i="53"/>
  <c r="A149" i="53"/>
  <c r="A148" i="53"/>
  <c r="A147" i="53"/>
  <c r="A146" i="53"/>
  <c r="A145" i="53"/>
  <c r="A144" i="53"/>
  <c r="A143" i="53"/>
  <c r="A142" i="53"/>
  <c r="A141" i="53"/>
  <c r="A140" i="53"/>
  <c r="A139" i="53"/>
  <c r="A138" i="53"/>
  <c r="A137" i="53"/>
  <c r="A136" i="53"/>
  <c r="A135" i="53"/>
  <c r="A134" i="53"/>
  <c r="A133" i="53"/>
  <c r="A132" i="53"/>
  <c r="A131" i="53"/>
  <c r="A130" i="53"/>
  <c r="A129" i="53"/>
  <c r="A128" i="53"/>
  <c r="A127" i="53"/>
  <c r="A126" i="53"/>
  <c r="A125" i="53"/>
  <c r="A124" i="53"/>
  <c r="A123" i="53"/>
  <c r="A122" i="53"/>
  <c r="A121" i="53"/>
  <c r="A120" i="53"/>
  <c r="A119" i="53"/>
  <c r="A118" i="53"/>
  <c r="A117" i="53"/>
  <c r="A116" i="53"/>
  <c r="A115" i="53"/>
  <c r="A114" i="53"/>
  <c r="A113" i="53"/>
  <c r="A112" i="53"/>
  <c r="A111" i="53"/>
  <c r="A110" i="53"/>
  <c r="A109" i="53"/>
  <c r="A108" i="53"/>
  <c r="A107" i="53"/>
  <c r="A106" i="53"/>
  <c r="A105" i="53"/>
  <c r="A104" i="53"/>
  <c r="A103" i="53"/>
  <c r="A102" i="53"/>
  <c r="A101" i="53"/>
  <c r="A100" i="53"/>
  <c r="A99" i="53"/>
  <c r="A98" i="53"/>
  <c r="A97" i="53"/>
  <c r="A96" i="53"/>
  <c r="A95" i="53"/>
  <c r="A94" i="53"/>
  <c r="A93" i="53"/>
  <c r="A92" i="53"/>
  <c r="A91" i="53"/>
  <c r="A90" i="53"/>
  <c r="A89" i="53"/>
  <c r="A88" i="53"/>
  <c r="A87" i="53"/>
  <c r="A86" i="53"/>
  <c r="A85" i="53"/>
  <c r="A84" i="53"/>
  <c r="A83" i="53"/>
  <c r="A82" i="53"/>
  <c r="A81" i="53"/>
  <c r="A80" i="53"/>
  <c r="A79" i="53"/>
  <c r="A78" i="53"/>
  <c r="A77" i="53"/>
  <c r="A76" i="53"/>
  <c r="A75" i="53"/>
  <c r="A74" i="53"/>
  <c r="A73" i="53"/>
  <c r="A72" i="53"/>
  <c r="A71" i="53"/>
  <c r="A70" i="53"/>
  <c r="A69" i="53"/>
  <c r="A68" i="53"/>
  <c r="A67" i="53"/>
  <c r="A66" i="53"/>
  <c r="A65" i="53"/>
  <c r="E61" i="53"/>
  <c r="E60" i="53"/>
  <c r="E59" i="53"/>
  <c r="C64" i="49" s="1"/>
  <c r="E55" i="53"/>
  <c r="C62" i="49" s="1"/>
  <c r="E58" i="53"/>
  <c r="E57" i="53"/>
  <c r="C63" i="49" s="1"/>
  <c r="E56" i="53"/>
  <c r="E54" i="53"/>
  <c r="E53" i="53"/>
  <c r="C60" i="49" s="1"/>
  <c r="E52" i="53"/>
  <c r="C59" i="49" s="1"/>
  <c r="E51" i="53"/>
  <c r="C58" i="49" s="1"/>
  <c r="E50" i="53"/>
  <c r="C57" i="49" s="1"/>
  <c r="E49" i="53"/>
  <c r="C56" i="49" s="1"/>
  <c r="A50" i="53"/>
  <c r="A51" i="53"/>
  <c r="A52" i="53"/>
  <c r="A53" i="53"/>
  <c r="A54" i="53"/>
  <c r="A55" i="53"/>
  <c r="A56" i="53"/>
  <c r="A57" i="53"/>
  <c r="A58" i="53"/>
  <c r="A59" i="53"/>
  <c r="A60" i="53"/>
  <c r="A61" i="53"/>
  <c r="C12" i="53"/>
  <c r="C13" i="53"/>
  <c r="C14" i="53"/>
  <c r="C15" i="53"/>
  <c r="D15" i="53" s="1"/>
  <c r="E15" i="53" s="1"/>
  <c r="C16" i="53"/>
  <c r="C11" i="53"/>
  <c r="C10" i="53"/>
  <c r="C9" i="53"/>
  <c r="C8" i="53"/>
  <c r="C7" i="53"/>
  <c r="C6" i="53"/>
  <c r="A49" i="53"/>
  <c r="A44" i="53"/>
  <c r="A43" i="53"/>
  <c r="A42" i="53"/>
  <c r="A41" i="53"/>
  <c r="A40" i="53"/>
  <c r="A39" i="53"/>
  <c r="A38" i="53"/>
  <c r="D38" i="53" s="1"/>
  <c r="A37" i="53"/>
  <c r="A36" i="53"/>
  <c r="A35" i="53"/>
  <c r="A34" i="53"/>
  <c r="A30" i="53"/>
  <c r="A29" i="53"/>
  <c r="A28" i="53"/>
  <c r="A27" i="53"/>
  <c r="A26" i="53"/>
  <c r="A25" i="53"/>
  <c r="A24" i="53"/>
  <c r="A23" i="53"/>
  <c r="A22" i="53"/>
  <c r="A21" i="53"/>
  <c r="A20" i="53"/>
  <c r="A16" i="53"/>
  <c r="A15" i="53"/>
  <c r="A14" i="53"/>
  <c r="A13" i="53"/>
  <c r="A12" i="53"/>
  <c r="A11" i="53"/>
  <c r="A10" i="53"/>
  <c r="A9" i="53"/>
  <c r="A8" i="53"/>
  <c r="A7" i="53"/>
  <c r="A6" i="53"/>
  <c r="C17" i="52"/>
  <c r="C18" i="52"/>
  <c r="C19" i="52"/>
  <c r="C20" i="52"/>
  <c r="C21" i="52"/>
  <c r="C22" i="52"/>
  <c r="C16" i="52"/>
  <c r="D26" i="52"/>
  <c r="D32" i="52"/>
  <c r="D31" i="52"/>
  <c r="D30" i="52"/>
  <c r="D29" i="52"/>
  <c r="D28" i="52"/>
  <c r="D27" i="52"/>
  <c r="A117" i="52"/>
  <c r="A118" i="52"/>
  <c r="A119" i="52"/>
  <c r="A120" i="52"/>
  <c r="A121" i="52"/>
  <c r="A122" i="52"/>
  <c r="A123" i="52"/>
  <c r="A124" i="52"/>
  <c r="A125" i="52"/>
  <c r="A126" i="52"/>
  <c r="A127" i="52"/>
  <c r="A128" i="52"/>
  <c r="A129" i="52"/>
  <c r="A130" i="52"/>
  <c r="A131" i="52"/>
  <c r="A132" i="52"/>
  <c r="A133" i="52"/>
  <c r="A134" i="52"/>
  <c r="A135" i="52"/>
  <c r="A136" i="52"/>
  <c r="A137" i="52"/>
  <c r="A138" i="52"/>
  <c r="A139" i="52"/>
  <c r="A140" i="52"/>
  <c r="A141" i="52"/>
  <c r="A142" i="52"/>
  <c r="A143" i="52"/>
  <c r="A144" i="52"/>
  <c r="A145" i="52"/>
  <c r="A146" i="52"/>
  <c r="A147" i="52"/>
  <c r="A148" i="52"/>
  <c r="A149" i="52"/>
  <c r="A150" i="52"/>
  <c r="A151" i="52"/>
  <c r="A152" i="52"/>
  <c r="A153" i="52"/>
  <c r="A154" i="52"/>
  <c r="A155" i="52"/>
  <c r="A156" i="52"/>
  <c r="A157" i="52"/>
  <c r="A158" i="52"/>
  <c r="A159" i="52"/>
  <c r="A160" i="52"/>
  <c r="A161" i="52"/>
  <c r="A162" i="52"/>
  <c r="A163" i="52"/>
  <c r="A116" i="52"/>
  <c r="A115" i="52"/>
  <c r="A114" i="52"/>
  <c r="A113" i="52"/>
  <c r="A112" i="52"/>
  <c r="A111" i="52"/>
  <c r="A110" i="52"/>
  <c r="A109" i="52"/>
  <c r="A108" i="52"/>
  <c r="A107" i="52"/>
  <c r="A106" i="52"/>
  <c r="A105" i="52"/>
  <c r="A104" i="52"/>
  <c r="A103" i="52"/>
  <c r="A102" i="52"/>
  <c r="A101" i="52"/>
  <c r="A100" i="52"/>
  <c r="A99" i="52"/>
  <c r="A98" i="52"/>
  <c r="A97" i="52"/>
  <c r="A96" i="52"/>
  <c r="A95" i="52"/>
  <c r="A94" i="52"/>
  <c r="A93" i="52"/>
  <c r="A92" i="52"/>
  <c r="A91" i="52"/>
  <c r="A90" i="52"/>
  <c r="A89" i="52"/>
  <c r="A88" i="52"/>
  <c r="A87" i="52"/>
  <c r="A86" i="52"/>
  <c r="A85" i="52"/>
  <c r="A84" i="52"/>
  <c r="A83" i="52"/>
  <c r="A82" i="52"/>
  <c r="A81" i="52"/>
  <c r="A80" i="52"/>
  <c r="A79" i="52"/>
  <c r="A78" i="52"/>
  <c r="A77" i="52"/>
  <c r="A76" i="52"/>
  <c r="A75" i="52"/>
  <c r="A74" i="52"/>
  <c r="A73" i="52"/>
  <c r="A72" i="52"/>
  <c r="A71" i="52"/>
  <c r="A70" i="52"/>
  <c r="A69" i="52"/>
  <c r="A68" i="52"/>
  <c r="A67" i="52"/>
  <c r="A66" i="52"/>
  <c r="A65" i="52"/>
  <c r="A64" i="52"/>
  <c r="A63" i="52"/>
  <c r="A62" i="52"/>
  <c r="A61" i="52"/>
  <c r="A60" i="52"/>
  <c r="A59" i="52"/>
  <c r="A58" i="52"/>
  <c r="A57" i="52"/>
  <c r="A56" i="52"/>
  <c r="A55" i="52"/>
  <c r="A54" i="52"/>
  <c r="A53" i="52"/>
  <c r="A52" i="52"/>
  <c r="A51" i="52"/>
  <c r="A50" i="52"/>
  <c r="A49" i="52"/>
  <c r="A48" i="52"/>
  <c r="A47" i="52"/>
  <c r="A46" i="52"/>
  <c r="A45" i="52"/>
  <c r="A44" i="52"/>
  <c r="E43" i="52"/>
  <c r="A43" i="52"/>
  <c r="E42" i="52"/>
  <c r="A42" i="52"/>
  <c r="E41" i="52"/>
  <c r="A41" i="52"/>
  <c r="E40" i="52"/>
  <c r="A40" i="52"/>
  <c r="E39" i="52"/>
  <c r="A39" i="52"/>
  <c r="E38" i="52"/>
  <c r="A38" i="52"/>
  <c r="E37" i="52"/>
  <c r="A37" i="52"/>
  <c r="A32" i="52"/>
  <c r="A31" i="52"/>
  <c r="A30" i="52"/>
  <c r="A29" i="52"/>
  <c r="A28" i="52"/>
  <c r="A27" i="52"/>
  <c r="A26" i="52"/>
  <c r="A22" i="52"/>
  <c r="A21" i="52"/>
  <c r="A20" i="52"/>
  <c r="A19" i="52"/>
  <c r="A18" i="52"/>
  <c r="A17" i="52"/>
  <c r="A16" i="52"/>
  <c r="A12" i="52"/>
  <c r="A11" i="52"/>
  <c r="A10" i="52"/>
  <c r="A9" i="52"/>
  <c r="A8" i="52"/>
  <c r="A7" i="52"/>
  <c r="A6" i="52"/>
  <c r="I50" i="51"/>
  <c r="I51" i="51"/>
  <c r="I52" i="51"/>
  <c r="I53" i="51"/>
  <c r="I54" i="51"/>
  <c r="I55" i="51"/>
  <c r="I56" i="51"/>
  <c r="I57" i="51"/>
  <c r="I58" i="51"/>
  <c r="I59" i="51"/>
  <c r="I49" i="51"/>
  <c r="A7" i="51"/>
  <c r="A8" i="51"/>
  <c r="A9" i="51"/>
  <c r="A10" i="51"/>
  <c r="A11" i="51"/>
  <c r="A12" i="51"/>
  <c r="A13" i="51"/>
  <c r="A14" i="51"/>
  <c r="A15" i="51"/>
  <c r="A16" i="51"/>
  <c r="C21" i="51"/>
  <c r="C22" i="51"/>
  <c r="C23" i="51"/>
  <c r="C24" i="51"/>
  <c r="C25" i="51"/>
  <c r="C26" i="51"/>
  <c r="C27" i="51"/>
  <c r="C28" i="51"/>
  <c r="C29" i="51"/>
  <c r="C30" i="51"/>
  <c r="C20" i="51"/>
  <c r="A21" i="51"/>
  <c r="A22" i="51"/>
  <c r="A23" i="51"/>
  <c r="A24" i="51"/>
  <c r="A25" i="51"/>
  <c r="A26" i="51"/>
  <c r="A27" i="51"/>
  <c r="A28" i="51"/>
  <c r="A29" i="51"/>
  <c r="A30" i="51"/>
  <c r="A35" i="51"/>
  <c r="A36" i="51"/>
  <c r="A37" i="51"/>
  <c r="A38" i="51"/>
  <c r="A39" i="51"/>
  <c r="A40" i="51"/>
  <c r="A41" i="51"/>
  <c r="A42" i="51"/>
  <c r="A43" i="51"/>
  <c r="A44" i="51"/>
  <c r="E54" i="51"/>
  <c r="G54" i="51" s="1"/>
  <c r="D39" i="51" s="1"/>
  <c r="E55" i="51"/>
  <c r="G55" i="51" s="1"/>
  <c r="D40" i="51" s="1"/>
  <c r="D50" i="51"/>
  <c r="E50" i="51" s="1"/>
  <c r="G50" i="51" s="1"/>
  <c r="D35" i="51" s="1"/>
  <c r="D51" i="51"/>
  <c r="E51" i="51" s="1"/>
  <c r="G51" i="51" s="1"/>
  <c r="D36" i="51" s="1"/>
  <c r="D52" i="51"/>
  <c r="E52" i="51" s="1"/>
  <c r="G52" i="51" s="1"/>
  <c r="D37" i="51" s="1"/>
  <c r="D53" i="51"/>
  <c r="E53" i="51" s="1"/>
  <c r="G53" i="51" s="1"/>
  <c r="D38" i="51" s="1"/>
  <c r="D54" i="51"/>
  <c r="D55" i="51"/>
  <c r="D56" i="51"/>
  <c r="E56" i="51" s="1"/>
  <c r="G56" i="51" s="1"/>
  <c r="D41" i="51" s="1"/>
  <c r="D57" i="51"/>
  <c r="E57" i="51" s="1"/>
  <c r="G57" i="51" s="1"/>
  <c r="D42" i="51" s="1"/>
  <c r="D58" i="51"/>
  <c r="E58" i="51" s="1"/>
  <c r="G58" i="51" s="1"/>
  <c r="D43" i="51" s="1"/>
  <c r="D59" i="51"/>
  <c r="E59" i="51" s="1"/>
  <c r="G59" i="51" s="1"/>
  <c r="D44" i="51" s="1"/>
  <c r="D49" i="51"/>
  <c r="E49" i="51" s="1"/>
  <c r="G49" i="51" s="1"/>
  <c r="D34" i="51" s="1"/>
  <c r="A34" i="51"/>
  <c r="A20" i="51"/>
  <c r="A6" i="51"/>
  <c r="D37" i="53" l="1"/>
  <c r="L53" i="51"/>
  <c r="L49" i="51"/>
  <c r="D35" i="53"/>
  <c r="D43" i="53"/>
  <c r="D14" i="53"/>
  <c r="E14" i="53" s="1"/>
  <c r="D41" i="53"/>
  <c r="D39" i="53"/>
  <c r="D44" i="53"/>
  <c r="D40" i="53"/>
  <c r="D8" i="53"/>
  <c r="E8" i="53" s="1"/>
  <c r="D12" i="53"/>
  <c r="E12" i="53" s="1"/>
  <c r="D36" i="53"/>
  <c r="D11" i="53"/>
  <c r="E11" i="53" s="1"/>
  <c r="D16" i="53"/>
  <c r="E16" i="53" s="1"/>
  <c r="D6" i="53"/>
  <c r="E6" i="53" s="1"/>
  <c r="D7" i="53"/>
  <c r="E7" i="53" s="1"/>
  <c r="D13" i="53"/>
  <c r="E13" i="53" s="1"/>
  <c r="D10" i="53"/>
  <c r="E10" i="53" s="1"/>
  <c r="D9" i="53"/>
  <c r="E9" i="53" s="1"/>
  <c r="D17" i="52"/>
  <c r="L58" i="51"/>
  <c r="L50" i="51"/>
  <c r="L59" i="51"/>
  <c r="L51" i="51"/>
  <c r="L57" i="51"/>
  <c r="D30" i="51"/>
  <c r="D16" i="51" s="1"/>
  <c r="D22" i="51"/>
  <c r="L56" i="51"/>
  <c r="D29" i="51"/>
  <c r="D15" i="51" s="1"/>
  <c r="D21" i="51"/>
  <c r="L55" i="51"/>
  <c r="D23" i="51"/>
  <c r="D9" i="51" s="1"/>
  <c r="D26" i="51"/>
  <c r="L52" i="51"/>
  <c r="D25" i="51"/>
  <c r="D20" i="51"/>
  <c r="D6" i="51" s="1"/>
  <c r="D28" i="51"/>
  <c r="D14" i="51" s="1"/>
  <c r="L54" i="51"/>
  <c r="D27" i="51"/>
  <c r="D13" i="51" s="1"/>
  <c r="D24" i="51"/>
  <c r="D22" i="52"/>
  <c r="C8" i="52"/>
  <c r="C8" i="51"/>
  <c r="D8" i="51" s="1"/>
  <c r="C12" i="52"/>
  <c r="C12" i="51"/>
  <c r="C11" i="52"/>
  <c r="C11" i="51"/>
  <c r="C10" i="52"/>
  <c r="C10" i="51"/>
  <c r="C7" i="52"/>
  <c r="C7" i="51"/>
  <c r="C6" i="52"/>
  <c r="C9" i="52"/>
  <c r="H38" i="52"/>
  <c r="H43" i="52"/>
  <c r="H40" i="52"/>
  <c r="D19" i="52"/>
  <c r="H39" i="52"/>
  <c r="D18" i="52"/>
  <c r="D8" i="52" s="1"/>
  <c r="H37" i="52"/>
  <c r="D16" i="52"/>
  <c r="H42" i="52"/>
  <c r="D20" i="52"/>
  <c r="D21" i="52"/>
  <c r="H41" i="52"/>
  <c r="D7" i="52" l="1"/>
  <c r="D7" i="51"/>
  <c r="D11" i="51"/>
  <c r="D10" i="51"/>
  <c r="D12" i="51"/>
  <c r="D6" i="52"/>
  <c r="D11" i="52"/>
  <c r="D12" i="52"/>
  <c r="D9" i="52"/>
  <c r="D10" i="52"/>
  <c r="D24" i="50"/>
  <c r="D23" i="50"/>
  <c r="D22" i="50"/>
  <c r="D21" i="50"/>
  <c r="A24" i="50"/>
  <c r="A23" i="50"/>
  <c r="A22" i="50"/>
  <c r="A21" i="50"/>
  <c r="A17" i="50"/>
  <c r="A16" i="50"/>
  <c r="A15" i="50"/>
  <c r="A14" i="50"/>
  <c r="A10" i="50"/>
  <c r="A9" i="50"/>
  <c r="A8" i="50"/>
  <c r="A7" i="50"/>
  <c r="A6" i="50"/>
  <c r="D17" i="47"/>
  <c r="D16" i="47"/>
  <c r="C17" i="47"/>
  <c r="E17" i="47" s="1"/>
  <c r="C16" i="47"/>
  <c r="C12" i="47"/>
  <c r="D12" i="47" s="1"/>
  <c r="C11" i="47"/>
  <c r="D11" i="47" s="1"/>
  <c r="D7" i="47"/>
  <c r="D6" i="47"/>
  <c r="I51" i="49"/>
  <c r="I50" i="49"/>
  <c r="I49" i="49"/>
  <c r="I47" i="49"/>
  <c r="I46" i="49"/>
  <c r="I45" i="49"/>
  <c r="I43" i="49"/>
  <c r="I42" i="49"/>
  <c r="I41" i="49"/>
  <c r="I39" i="49"/>
  <c r="I38" i="49"/>
  <c r="A27" i="49"/>
  <c r="A28" i="49"/>
  <c r="A29" i="49"/>
  <c r="A30" i="49"/>
  <c r="A31" i="49"/>
  <c r="A32" i="49"/>
  <c r="D57" i="49"/>
  <c r="D17" i="49" s="1"/>
  <c r="D27" i="49" s="1"/>
  <c r="D58" i="49"/>
  <c r="D18" i="49" s="1"/>
  <c r="D59" i="49"/>
  <c r="D19" i="49" s="1"/>
  <c r="D60" i="49"/>
  <c r="C14" i="50" s="1"/>
  <c r="D14" i="50" s="1"/>
  <c r="D61" i="49"/>
  <c r="D21" i="49" s="1"/>
  <c r="D31" i="49" s="1"/>
  <c r="D62" i="49"/>
  <c r="C22" i="50" s="1"/>
  <c r="D63" i="49"/>
  <c r="C16" i="50" s="1"/>
  <c r="D16" i="50" s="1"/>
  <c r="D64" i="49"/>
  <c r="C24" i="50" s="1"/>
  <c r="D56" i="49"/>
  <c r="D16" i="49" s="1"/>
  <c r="D26" i="49" s="1"/>
  <c r="A57" i="49"/>
  <c r="A58" i="49"/>
  <c r="A59" i="49"/>
  <c r="A60" i="49"/>
  <c r="A61" i="49"/>
  <c r="A62" i="49"/>
  <c r="A63" i="49"/>
  <c r="A64" i="49"/>
  <c r="A56" i="49"/>
  <c r="I52" i="49"/>
  <c r="I48" i="49"/>
  <c r="I44" i="49"/>
  <c r="I40" i="49"/>
  <c r="I37" i="49"/>
  <c r="F38" i="49"/>
  <c r="F39" i="49"/>
  <c r="F40" i="49"/>
  <c r="F41" i="49"/>
  <c r="F42" i="49"/>
  <c r="F43" i="49"/>
  <c r="F44" i="49"/>
  <c r="F45" i="49"/>
  <c r="F46" i="49"/>
  <c r="F47" i="49"/>
  <c r="F48" i="49"/>
  <c r="F49" i="49"/>
  <c r="F50" i="49"/>
  <c r="F51" i="49"/>
  <c r="F52" i="49"/>
  <c r="F37" i="49"/>
  <c r="D49" i="49"/>
  <c r="D50" i="49"/>
  <c r="D51" i="49"/>
  <c r="D52" i="49"/>
  <c r="D48" i="49"/>
  <c r="A49" i="49"/>
  <c r="A50" i="49"/>
  <c r="A51" i="49"/>
  <c r="A52" i="49"/>
  <c r="A48" i="49"/>
  <c r="C45" i="49"/>
  <c r="C44" i="49"/>
  <c r="A38" i="49"/>
  <c r="A39" i="49"/>
  <c r="A40" i="49"/>
  <c r="A41" i="49"/>
  <c r="A42" i="49"/>
  <c r="A43" i="49"/>
  <c r="A44" i="49"/>
  <c r="A45" i="49"/>
  <c r="A21" i="49"/>
  <c r="A22" i="49"/>
  <c r="A7" i="49"/>
  <c r="A8" i="49"/>
  <c r="A9" i="49"/>
  <c r="A10" i="49"/>
  <c r="A11" i="49"/>
  <c r="A12" i="49"/>
  <c r="A37" i="49"/>
  <c r="A26" i="49"/>
  <c r="A20" i="49"/>
  <c r="A19" i="49"/>
  <c r="A18" i="49"/>
  <c r="A17" i="49"/>
  <c r="A16" i="49"/>
  <c r="A6" i="49"/>
  <c r="H44" i="46"/>
  <c r="D31" i="46" s="1"/>
  <c r="H43" i="46"/>
  <c r="C23" i="48" s="1"/>
  <c r="C26" i="48"/>
  <c r="C25" i="48"/>
  <c r="C24" i="48"/>
  <c r="D24" i="48" s="1"/>
  <c r="C22" i="48"/>
  <c r="C18" i="48"/>
  <c r="D18" i="48" s="1"/>
  <c r="C17" i="48"/>
  <c r="D17" i="48" s="1"/>
  <c r="C16" i="48"/>
  <c r="D16" i="48" s="1"/>
  <c r="C15" i="48"/>
  <c r="D15" i="48" s="1"/>
  <c r="C14" i="48"/>
  <c r="D14" i="48" s="1"/>
  <c r="A35" i="48"/>
  <c r="A34" i="48"/>
  <c r="A33" i="48"/>
  <c r="A32" i="48"/>
  <c r="A31" i="48"/>
  <c r="A26" i="48"/>
  <c r="A25" i="48"/>
  <c r="A24" i="48"/>
  <c r="A23" i="48"/>
  <c r="A22" i="48"/>
  <c r="A18" i="48"/>
  <c r="A17" i="48"/>
  <c r="A16" i="48"/>
  <c r="A15" i="48"/>
  <c r="A14" i="48"/>
  <c r="A10" i="48"/>
  <c r="A9" i="48"/>
  <c r="A8" i="48"/>
  <c r="A7" i="48"/>
  <c r="A6" i="48"/>
  <c r="A17" i="47"/>
  <c r="A16" i="47"/>
  <c r="A12" i="47"/>
  <c r="A11" i="47"/>
  <c r="A7" i="47"/>
  <c r="A6" i="47"/>
  <c r="C11" i="45"/>
  <c r="D11" i="45" s="1"/>
  <c r="C15" i="45"/>
  <c r="C33" i="44"/>
  <c r="D33" i="44" s="1"/>
  <c r="D8" i="44" s="1"/>
  <c r="C32" i="44"/>
  <c r="C31" i="44"/>
  <c r="C68" i="46"/>
  <c r="C67" i="46"/>
  <c r="C58" i="46"/>
  <c r="C57" i="46"/>
  <c r="C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56" i="46"/>
  <c r="D15" i="44"/>
  <c r="D13" i="44"/>
  <c r="C22" i="44"/>
  <c r="D22" i="44" s="1"/>
  <c r="C38" i="43"/>
  <c r="C37" i="43"/>
  <c r="C36" i="43"/>
  <c r="C35" i="43"/>
  <c r="C34" i="43"/>
  <c r="C33" i="43"/>
  <c r="C32" i="43"/>
  <c r="C28" i="43"/>
  <c r="D28" i="43" s="1"/>
  <c r="C27" i="43"/>
  <c r="D27" i="43" s="1"/>
  <c r="C26" i="43"/>
  <c r="D26" i="43" s="1"/>
  <c r="C25" i="43"/>
  <c r="D25" i="43" s="1"/>
  <c r="C24" i="43"/>
  <c r="D24" i="43" s="1"/>
  <c r="C23" i="43"/>
  <c r="D23" i="43" s="1"/>
  <c r="C22" i="43"/>
  <c r="D22" i="43" s="1"/>
  <c r="D35" i="46"/>
  <c r="D34" i="46"/>
  <c r="D33" i="46"/>
  <c r="D32" i="46"/>
  <c r="D30" i="46"/>
  <c r="D29" i="46"/>
  <c r="A35" i="46"/>
  <c r="A34" i="46"/>
  <c r="H46" i="46"/>
  <c r="H48" i="46"/>
  <c r="H49" i="46"/>
  <c r="H50" i="46"/>
  <c r="H51" i="46"/>
  <c r="H52" i="46"/>
  <c r="H47" i="46"/>
  <c r="H45" i="46"/>
  <c r="H42" i="46"/>
  <c r="E57" i="46"/>
  <c r="E58" i="46"/>
  <c r="E59" i="46"/>
  <c r="E56" i="46"/>
  <c r="H40" i="46"/>
  <c r="E52" i="46"/>
  <c r="E51" i="46"/>
  <c r="E50" i="46"/>
  <c r="E49" i="46"/>
  <c r="E48" i="46"/>
  <c r="E47" i="46"/>
  <c r="E46" i="46"/>
  <c r="D25" i="46"/>
  <c r="D24" i="46"/>
  <c r="D23" i="46"/>
  <c r="D22" i="46"/>
  <c r="D21" i="46"/>
  <c r="D20" i="46"/>
  <c r="D19" i="46"/>
  <c r="A42" i="46"/>
  <c r="A43" i="46"/>
  <c r="A44" i="46"/>
  <c r="A45" i="46"/>
  <c r="A46" i="46"/>
  <c r="A47" i="46"/>
  <c r="A48" i="46"/>
  <c r="A49" i="46"/>
  <c r="A50" i="46"/>
  <c r="A51" i="46"/>
  <c r="A52" i="46"/>
  <c r="A40" i="46"/>
  <c r="A7" i="46"/>
  <c r="A8" i="46"/>
  <c r="A9" i="46"/>
  <c r="A10" i="46"/>
  <c r="A11" i="46"/>
  <c r="A12" i="46"/>
  <c r="A13" i="46"/>
  <c r="A14" i="46"/>
  <c r="A15" i="46"/>
  <c r="E45" i="46"/>
  <c r="E44" i="46"/>
  <c r="E43" i="46"/>
  <c r="E42" i="46"/>
  <c r="E40" i="46"/>
  <c r="A33" i="46"/>
  <c r="A32" i="46"/>
  <c r="A31" i="46"/>
  <c r="A30" i="46"/>
  <c r="A29" i="46"/>
  <c r="A25" i="46"/>
  <c r="A24" i="46"/>
  <c r="A23" i="46"/>
  <c r="A22" i="46"/>
  <c r="A21" i="46"/>
  <c r="A20" i="46"/>
  <c r="A19" i="46"/>
  <c r="A6" i="46"/>
  <c r="A15" i="45"/>
  <c r="A11" i="45"/>
  <c r="A6" i="45"/>
  <c r="D26" i="44"/>
  <c r="D25" i="44"/>
  <c r="D24" i="44"/>
  <c r="D23" i="44"/>
  <c r="J32" i="44"/>
  <c r="J33" i="44"/>
  <c r="J34" i="44"/>
  <c r="J35" i="44"/>
  <c r="J31" i="44"/>
  <c r="F32" i="44"/>
  <c r="F33" i="44"/>
  <c r="F34" i="44"/>
  <c r="F35" i="44"/>
  <c r="F31" i="44"/>
  <c r="A32" i="44"/>
  <c r="A33" i="44"/>
  <c r="A31" i="44"/>
  <c r="A26" i="44"/>
  <c r="A25" i="44"/>
  <c r="A24" i="44"/>
  <c r="A23" i="44"/>
  <c r="A22" i="44"/>
  <c r="A18" i="44"/>
  <c r="A17" i="44"/>
  <c r="A16" i="44"/>
  <c r="A15" i="44"/>
  <c r="A14" i="44"/>
  <c r="A13" i="44"/>
  <c r="A12" i="44"/>
  <c r="A8" i="44"/>
  <c r="A7" i="44"/>
  <c r="A6" i="44"/>
  <c r="A33" i="43"/>
  <c r="A34" i="43"/>
  <c r="A35" i="43"/>
  <c r="A36" i="43"/>
  <c r="A37" i="43"/>
  <c r="A38" i="43"/>
  <c r="A23" i="43"/>
  <c r="A24" i="43"/>
  <c r="A25" i="43"/>
  <c r="A26" i="43"/>
  <c r="A27" i="43"/>
  <c r="A28" i="43"/>
  <c r="D15" i="43"/>
  <c r="D13" i="43"/>
  <c r="D11" i="43"/>
  <c r="D9" i="43"/>
  <c r="D7" i="43"/>
  <c r="D6" i="43"/>
  <c r="D8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D36" i="43" l="1"/>
  <c r="D29" i="49"/>
  <c r="D28" i="49"/>
  <c r="D31" i="44"/>
  <c r="D6" i="44" s="1"/>
  <c r="D22" i="48"/>
  <c r="D25" i="48"/>
  <c r="C23" i="50"/>
  <c r="E23" i="50" s="1"/>
  <c r="E24" i="50"/>
  <c r="E22" i="50"/>
  <c r="D26" i="48"/>
  <c r="E16" i="47"/>
  <c r="D23" i="48"/>
  <c r="D35" i="43"/>
  <c r="C17" i="50"/>
  <c r="D17" i="50" s="1"/>
  <c r="D20" i="49"/>
  <c r="D30" i="49" s="1"/>
  <c r="C15" i="50"/>
  <c r="D15" i="50" s="1"/>
  <c r="D22" i="49"/>
  <c r="D32" i="49" s="1"/>
  <c r="C21" i="50"/>
  <c r="E21" i="50" s="1"/>
  <c r="D32" i="44"/>
  <c r="D7" i="44" s="1"/>
  <c r="D37" i="43"/>
  <c r="D38" i="43"/>
  <c r="D34" i="43"/>
  <c r="D33" i="43"/>
  <c r="D32" i="43"/>
  <c r="D15" i="45"/>
  <c r="A32" i="43" l="1"/>
  <c r="A22" i="43"/>
  <c r="A6" i="43"/>
  <c r="J38" i="39"/>
  <c r="K38" i="39" s="1"/>
  <c r="D9" i="39" s="1"/>
  <c r="J37" i="39"/>
  <c r="K37" i="39" s="1"/>
  <c r="D8" i="39" s="1"/>
  <c r="J36" i="39"/>
  <c r="J35" i="39"/>
  <c r="C26" i="42"/>
  <c r="C23" i="42"/>
  <c r="C22" i="42"/>
  <c r="A26" i="42"/>
  <c r="C10" i="42"/>
  <c r="C9" i="42"/>
  <c r="D9" i="42" s="1"/>
  <c r="D17" i="42" s="1"/>
  <c r="A10" i="42"/>
  <c r="C8" i="42"/>
  <c r="C7" i="42"/>
  <c r="C6" i="42"/>
  <c r="G35" i="42"/>
  <c r="H35" i="42" s="1"/>
  <c r="G34" i="42"/>
  <c r="H34" i="42" s="1"/>
  <c r="G33" i="42"/>
  <c r="H33" i="42" s="1"/>
  <c r="G32" i="42"/>
  <c r="H32" i="42" s="1"/>
  <c r="G31" i="42"/>
  <c r="H31" i="42" s="1"/>
  <c r="E32" i="42"/>
  <c r="E33" i="42"/>
  <c r="E34" i="42"/>
  <c r="E35" i="42"/>
  <c r="E31" i="42"/>
  <c r="A35" i="42"/>
  <c r="A36" i="42"/>
  <c r="A37" i="42"/>
  <c r="A32" i="42"/>
  <c r="A33" i="42"/>
  <c r="A34" i="42"/>
  <c r="A31" i="42"/>
  <c r="C31" i="42"/>
  <c r="C32" i="42"/>
  <c r="C37" i="42"/>
  <c r="A25" i="42"/>
  <c r="A24" i="42"/>
  <c r="A23" i="42"/>
  <c r="A22" i="42"/>
  <c r="A18" i="42"/>
  <c r="A17" i="42"/>
  <c r="A16" i="42"/>
  <c r="A15" i="42"/>
  <c r="A14" i="42"/>
  <c r="A9" i="42"/>
  <c r="A8" i="42"/>
  <c r="A7" i="42"/>
  <c r="A6" i="42"/>
  <c r="G43" i="41"/>
  <c r="G42" i="41"/>
  <c r="G41" i="41"/>
  <c r="G40" i="41"/>
  <c r="G39" i="41"/>
  <c r="G38" i="41"/>
  <c r="G37" i="41"/>
  <c r="C7" i="41"/>
  <c r="C8" i="41"/>
  <c r="C9" i="41"/>
  <c r="C10" i="41"/>
  <c r="C11" i="41"/>
  <c r="C12" i="41"/>
  <c r="C6" i="41"/>
  <c r="C19" i="41"/>
  <c r="C20" i="41"/>
  <c r="C21" i="41"/>
  <c r="C18" i="41"/>
  <c r="C17" i="41"/>
  <c r="C16" i="41"/>
  <c r="D32" i="41"/>
  <c r="D31" i="41"/>
  <c r="D30" i="41"/>
  <c r="D29" i="41"/>
  <c r="D28" i="41"/>
  <c r="D27" i="41"/>
  <c r="D26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A103" i="41"/>
  <c r="A104" i="41"/>
  <c r="A105" i="41"/>
  <c r="A106" i="41"/>
  <c r="A107" i="41"/>
  <c r="A108" i="41"/>
  <c r="A109" i="41"/>
  <c r="A110" i="41"/>
  <c r="A111" i="41"/>
  <c r="A112" i="41"/>
  <c r="A113" i="41"/>
  <c r="A114" i="41"/>
  <c r="A115" i="41"/>
  <c r="A116" i="41"/>
  <c r="A117" i="41"/>
  <c r="A118" i="41"/>
  <c r="A37" i="41"/>
  <c r="E43" i="41"/>
  <c r="E42" i="41"/>
  <c r="E41" i="41"/>
  <c r="E40" i="41"/>
  <c r="E39" i="41"/>
  <c r="E38" i="41"/>
  <c r="E37" i="41"/>
  <c r="A32" i="41"/>
  <c r="A31" i="41"/>
  <c r="A30" i="41"/>
  <c r="A29" i="41"/>
  <c r="A28" i="41"/>
  <c r="A27" i="41"/>
  <c r="A26" i="41"/>
  <c r="A22" i="41"/>
  <c r="A21" i="41"/>
  <c r="A20" i="41"/>
  <c r="A19" i="41"/>
  <c r="A18" i="41"/>
  <c r="A17" i="41"/>
  <c r="A16" i="41"/>
  <c r="A12" i="41"/>
  <c r="A11" i="41"/>
  <c r="A10" i="41"/>
  <c r="A9" i="41"/>
  <c r="A8" i="41"/>
  <c r="A7" i="41"/>
  <c r="A6" i="41"/>
  <c r="D28" i="39"/>
  <c r="C29" i="39"/>
  <c r="D29" i="39" s="1"/>
  <c r="C28" i="39"/>
  <c r="C27" i="39"/>
  <c r="D27" i="39" s="1"/>
  <c r="D23" i="39"/>
  <c r="D22" i="39"/>
  <c r="D20" i="39"/>
  <c r="D19" i="39"/>
  <c r="D18" i="39"/>
  <c r="D16" i="39"/>
  <c r="D15" i="39"/>
  <c r="D21" i="39"/>
  <c r="D17" i="39"/>
  <c r="D14" i="39"/>
  <c r="D13" i="39"/>
  <c r="A14" i="39"/>
  <c r="A15" i="39"/>
  <c r="A16" i="39"/>
  <c r="A17" i="39"/>
  <c r="A18" i="39"/>
  <c r="A19" i="39"/>
  <c r="A20" i="39"/>
  <c r="A21" i="39"/>
  <c r="A22" i="39"/>
  <c r="A23" i="39"/>
  <c r="H38" i="39"/>
  <c r="H37" i="39"/>
  <c r="H36" i="39"/>
  <c r="H35" i="39"/>
  <c r="D38" i="39"/>
  <c r="F38" i="39" s="1"/>
  <c r="A38" i="39"/>
  <c r="D37" i="39"/>
  <c r="F37" i="39" s="1"/>
  <c r="A37" i="39"/>
  <c r="D36" i="39"/>
  <c r="F36" i="39" s="1"/>
  <c r="K36" i="39" s="1"/>
  <c r="D7" i="39" s="1"/>
  <c r="A36" i="39"/>
  <c r="D35" i="39"/>
  <c r="F35" i="39" s="1"/>
  <c r="A35" i="39"/>
  <c r="A30" i="39"/>
  <c r="A29" i="39"/>
  <c r="A28" i="39"/>
  <c r="A27" i="39"/>
  <c r="A13" i="39"/>
  <c r="A9" i="39"/>
  <c r="A8" i="39"/>
  <c r="A7" i="39"/>
  <c r="A6" i="39"/>
  <c r="D20" i="38"/>
  <c r="D14" i="38"/>
  <c r="D12" i="38"/>
  <c r="D10" i="38"/>
  <c r="D8" i="38"/>
  <c r="D6" i="38"/>
  <c r="A7" i="38"/>
  <c r="A8" i="38"/>
  <c r="A9" i="38"/>
  <c r="A10" i="38"/>
  <c r="A11" i="38"/>
  <c r="A12" i="38"/>
  <c r="A13" i="38"/>
  <c r="A14" i="38"/>
  <c r="A15" i="38"/>
  <c r="K87" i="38"/>
  <c r="K85" i="38"/>
  <c r="K83" i="38"/>
  <c r="K81" i="38"/>
  <c r="K79" i="38"/>
  <c r="H79" i="38"/>
  <c r="H80" i="38"/>
  <c r="K80" i="38" s="1"/>
  <c r="H81" i="38"/>
  <c r="H82" i="38"/>
  <c r="K82" i="38" s="1"/>
  <c r="H83" i="38"/>
  <c r="H84" i="38"/>
  <c r="K84" i="38" s="1"/>
  <c r="H85" i="38"/>
  <c r="H86" i="38"/>
  <c r="K86" i="38" s="1"/>
  <c r="H87" i="38"/>
  <c r="H88" i="38"/>
  <c r="K88" i="38" s="1"/>
  <c r="H89" i="38"/>
  <c r="K89" i="38" s="1"/>
  <c r="H90" i="38"/>
  <c r="K90" i="38" s="1"/>
  <c r="H91" i="38"/>
  <c r="K91" i="38" s="1"/>
  <c r="H78" i="38"/>
  <c r="K78" i="38" s="1"/>
  <c r="J63" i="38"/>
  <c r="D23" i="38" s="1"/>
  <c r="K68" i="38"/>
  <c r="K74" i="38"/>
  <c r="K72" i="38"/>
  <c r="K70" i="38"/>
  <c r="K66" i="38"/>
  <c r="H67" i="38"/>
  <c r="H68" i="38"/>
  <c r="H69" i="38"/>
  <c r="H70" i="38"/>
  <c r="H71" i="38"/>
  <c r="H72" i="38"/>
  <c r="H73" i="38"/>
  <c r="H74" i="38"/>
  <c r="H75" i="38"/>
  <c r="H66" i="38"/>
  <c r="J43" i="38"/>
  <c r="J42" i="38"/>
  <c r="J41" i="38"/>
  <c r="J40" i="38"/>
  <c r="J39" i="38"/>
  <c r="J38" i="38"/>
  <c r="J37" i="38"/>
  <c r="J36" i="38"/>
  <c r="J58" i="38"/>
  <c r="J57" i="38"/>
  <c r="J56" i="38"/>
  <c r="J55" i="38"/>
  <c r="J54" i="38"/>
  <c r="J53" i="38"/>
  <c r="H54" i="38"/>
  <c r="H55" i="38"/>
  <c r="H56" i="38"/>
  <c r="H57" i="38"/>
  <c r="H58" i="38"/>
  <c r="H59" i="38"/>
  <c r="H60" i="38"/>
  <c r="H61" i="38"/>
  <c r="H62" i="38"/>
  <c r="H63" i="38"/>
  <c r="H53" i="38"/>
  <c r="H37" i="38"/>
  <c r="H38" i="38"/>
  <c r="H39" i="38"/>
  <c r="H40" i="38"/>
  <c r="H41" i="38"/>
  <c r="H42" i="38"/>
  <c r="H43" i="38"/>
  <c r="H44" i="38"/>
  <c r="H45" i="38"/>
  <c r="H46" i="38"/>
  <c r="J46" i="38" s="1"/>
  <c r="D29" i="38" s="1"/>
  <c r="H47" i="38"/>
  <c r="H48" i="38"/>
  <c r="J48" i="38" s="1"/>
  <c r="D31" i="38" s="1"/>
  <c r="H36" i="38"/>
  <c r="F81" i="38"/>
  <c r="J61" i="38" s="1"/>
  <c r="D21" i="38" s="1"/>
  <c r="F82" i="38"/>
  <c r="J62" i="38" s="1"/>
  <c r="D22" i="38" s="1"/>
  <c r="F83" i="38"/>
  <c r="F80" i="38"/>
  <c r="J60" i="38" s="1"/>
  <c r="F39" i="38"/>
  <c r="F42" i="38"/>
  <c r="F50" i="38"/>
  <c r="F58" i="38"/>
  <c r="F63" i="38"/>
  <c r="F66" i="38"/>
  <c r="F71" i="38"/>
  <c r="F79" i="38"/>
  <c r="D37" i="38"/>
  <c r="F37" i="38" s="1"/>
  <c r="D38" i="38"/>
  <c r="F38" i="38" s="1"/>
  <c r="D39" i="38"/>
  <c r="D40" i="38"/>
  <c r="F40" i="38" s="1"/>
  <c r="D41" i="38"/>
  <c r="F41" i="38" s="1"/>
  <c r="D42" i="38"/>
  <c r="D43" i="38"/>
  <c r="F43" i="38" s="1"/>
  <c r="D44" i="38"/>
  <c r="F44" i="38" s="1"/>
  <c r="D45" i="38"/>
  <c r="F45" i="38" s="1"/>
  <c r="D46" i="38"/>
  <c r="F46" i="38" s="1"/>
  <c r="D47" i="38"/>
  <c r="F47" i="38" s="1"/>
  <c r="D48" i="38"/>
  <c r="F48" i="38" s="1"/>
  <c r="D49" i="38"/>
  <c r="F49" i="38" s="1"/>
  <c r="D50" i="38"/>
  <c r="D51" i="38"/>
  <c r="F51" i="38" s="1"/>
  <c r="D52" i="38"/>
  <c r="F52" i="38" s="1"/>
  <c r="D53" i="38"/>
  <c r="F53" i="38" s="1"/>
  <c r="D54" i="38"/>
  <c r="F54" i="38" s="1"/>
  <c r="D55" i="38"/>
  <c r="F55" i="38" s="1"/>
  <c r="D56" i="38"/>
  <c r="F56" i="38" s="1"/>
  <c r="D57" i="38"/>
  <c r="F57" i="38" s="1"/>
  <c r="D58" i="38"/>
  <c r="D59" i="38"/>
  <c r="F59" i="38" s="1"/>
  <c r="D60" i="38"/>
  <c r="F60" i="38" s="1"/>
  <c r="D61" i="38"/>
  <c r="F61" i="38" s="1"/>
  <c r="D62" i="38"/>
  <c r="F62" i="38" s="1"/>
  <c r="D63" i="38"/>
  <c r="D64" i="38"/>
  <c r="F64" i="38" s="1"/>
  <c r="D65" i="38"/>
  <c r="F65" i="38" s="1"/>
  <c r="D66" i="38"/>
  <c r="D67" i="38"/>
  <c r="F67" i="38" s="1"/>
  <c r="D68" i="38"/>
  <c r="F68" i="38" s="1"/>
  <c r="D69" i="38"/>
  <c r="F69" i="38" s="1"/>
  <c r="D70" i="38"/>
  <c r="F70" i="38" s="1"/>
  <c r="D71" i="38"/>
  <c r="D72" i="38"/>
  <c r="F72" i="38" s="1"/>
  <c r="D73" i="38"/>
  <c r="F73" i="38" s="1"/>
  <c r="D74" i="38"/>
  <c r="F74" i="38" s="1"/>
  <c r="D75" i="38"/>
  <c r="F75" i="38" s="1"/>
  <c r="D76" i="38"/>
  <c r="F76" i="38" s="1"/>
  <c r="D77" i="38"/>
  <c r="F77" i="38" s="1"/>
  <c r="D78" i="38"/>
  <c r="F78" i="38" s="1"/>
  <c r="J59" i="38" s="1"/>
  <c r="D19" i="38" s="1"/>
  <c r="D79" i="38"/>
  <c r="D36" i="38"/>
  <c r="F36" i="38" s="1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31" i="38"/>
  <c r="A30" i="38"/>
  <c r="A29" i="38"/>
  <c r="A28" i="38"/>
  <c r="A27" i="38"/>
  <c r="A23" i="38"/>
  <c r="A22" i="38"/>
  <c r="A21" i="38"/>
  <c r="A20" i="38"/>
  <c r="A19" i="38"/>
  <c r="A6" i="38"/>
  <c r="D17" i="41" l="1"/>
  <c r="H37" i="41"/>
  <c r="K35" i="39"/>
  <c r="D6" i="39" s="1"/>
  <c r="H41" i="41"/>
  <c r="D6" i="42"/>
  <c r="D14" i="42" s="1"/>
  <c r="D22" i="42" s="1"/>
  <c r="D7" i="42"/>
  <c r="D15" i="42" s="1"/>
  <c r="D23" i="42" s="1"/>
  <c r="D8" i="42"/>
  <c r="D16" i="42" s="1"/>
  <c r="D10" i="42"/>
  <c r="D18" i="42" s="1"/>
  <c r="D26" i="42" s="1"/>
  <c r="D16" i="41"/>
  <c r="D6" i="41" s="1"/>
  <c r="D20" i="41"/>
  <c r="D10" i="41" s="1"/>
  <c r="H43" i="41"/>
  <c r="D21" i="41"/>
  <c r="D11" i="41" s="1"/>
  <c r="H40" i="41"/>
  <c r="D18" i="41"/>
  <c r="D8" i="41" s="1"/>
  <c r="D19" i="41"/>
  <c r="D9" i="41" s="1"/>
  <c r="H38" i="41"/>
  <c r="H42" i="41"/>
  <c r="H39" i="41"/>
  <c r="D7" i="41"/>
  <c r="J45" i="38"/>
  <c r="J44" i="38"/>
  <c r="J47" i="38"/>
  <c r="D30" i="38" s="1"/>
  <c r="D28" i="38" l="1"/>
  <c r="C25" i="42"/>
  <c r="D25" i="42" s="1"/>
  <c r="C30" i="39"/>
  <c r="D30" i="39" s="1"/>
  <c r="C22" i="41"/>
  <c r="D22" i="41" s="1"/>
  <c r="D12" i="41" s="1"/>
  <c r="D27" i="38"/>
  <c r="C24" i="42"/>
  <c r="D24" i="42" s="1"/>
  <c r="C45" i="37"/>
  <c r="C49" i="37"/>
  <c r="A44" i="37"/>
  <c r="C44" i="37" s="1"/>
  <c r="A45" i="37"/>
  <c r="A46" i="37"/>
  <c r="C46" i="37" s="1"/>
  <c r="A47" i="37"/>
  <c r="C47" i="37" s="1"/>
  <c r="A48" i="37"/>
  <c r="C48" i="37" s="1"/>
  <c r="A49" i="37"/>
  <c r="A50" i="37"/>
  <c r="C50" i="37" s="1"/>
  <c r="A51" i="37"/>
  <c r="C51" i="37" s="1"/>
  <c r="A43" i="37"/>
  <c r="C43" i="37" s="1"/>
  <c r="A10" i="37"/>
  <c r="A11" i="37"/>
  <c r="A12" i="37"/>
  <c r="A13" i="37"/>
  <c r="A14" i="37"/>
  <c r="A22" i="37"/>
  <c r="A23" i="37"/>
  <c r="A24" i="37"/>
  <c r="A25" i="37"/>
  <c r="A26" i="37"/>
  <c r="A31" i="37"/>
  <c r="A32" i="37"/>
  <c r="A33" i="37"/>
  <c r="A34" i="37"/>
  <c r="A35" i="37"/>
  <c r="A36" i="37"/>
  <c r="A37" i="37"/>
  <c r="A38" i="37"/>
  <c r="A30" i="37"/>
  <c r="A21" i="37"/>
  <c r="A20" i="37"/>
  <c r="A19" i="37"/>
  <c r="A18" i="37"/>
  <c r="A9" i="37"/>
  <c r="A8" i="37"/>
  <c r="A7" i="37"/>
  <c r="A6" i="37"/>
  <c r="C31" i="36"/>
  <c r="D31" i="36" s="1"/>
  <c r="C30" i="36"/>
  <c r="D30" i="36" s="1"/>
  <c r="C29" i="36"/>
  <c r="C28" i="36"/>
  <c r="D28" i="36" s="1"/>
  <c r="A29" i="36"/>
  <c r="A30" i="36"/>
  <c r="A31" i="36"/>
  <c r="A28" i="36"/>
  <c r="A23" i="36"/>
  <c r="A22" i="36"/>
  <c r="A21" i="36"/>
  <c r="A20" i="36"/>
  <c r="A16" i="36"/>
  <c r="A15" i="36"/>
  <c r="A14" i="36"/>
  <c r="A13" i="36"/>
  <c r="A9" i="36"/>
  <c r="A8" i="36"/>
  <c r="A7" i="36"/>
  <c r="A6" i="36"/>
  <c r="A23" i="34"/>
  <c r="A22" i="34"/>
  <c r="A21" i="34"/>
  <c r="A20" i="34"/>
  <c r="A16" i="34"/>
  <c r="A15" i="34"/>
  <c r="A14" i="34"/>
  <c r="A13" i="34"/>
  <c r="A11" i="33"/>
  <c r="A10" i="33"/>
  <c r="A9" i="33"/>
  <c r="A8" i="33"/>
  <c r="A7" i="33"/>
  <c r="D29" i="36" l="1"/>
  <c r="C52" i="33"/>
  <c r="A52" i="33"/>
  <c r="C50" i="33"/>
  <c r="A50" i="33"/>
  <c r="C54" i="33"/>
  <c r="D54" i="33" s="1"/>
  <c r="C20" i="33" s="1"/>
  <c r="D20" i="33" s="1"/>
  <c r="C53" i="33"/>
  <c r="D53" i="33" s="1"/>
  <c r="C19" i="33" s="1"/>
  <c r="D19" i="33" s="1"/>
  <c r="C51" i="33"/>
  <c r="C49" i="33"/>
  <c r="C48" i="33"/>
  <c r="C47" i="33"/>
  <c r="A48" i="33"/>
  <c r="A49" i="33"/>
  <c r="A51" i="33"/>
  <c r="A53" i="33"/>
  <c r="A54" i="33"/>
  <c r="A18" i="33"/>
  <c r="A19" i="33"/>
  <c r="A20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24" i="33"/>
  <c r="A47" i="33"/>
  <c r="A17" i="33"/>
  <c r="A16" i="33"/>
  <c r="A15" i="33"/>
  <c r="A6" i="33"/>
  <c r="G43" i="32"/>
  <c r="E43" i="32"/>
  <c r="G42" i="32"/>
  <c r="G41" i="32"/>
  <c r="G40" i="32"/>
  <c r="G39" i="32"/>
  <c r="G38" i="32"/>
  <c r="D32" i="32"/>
  <c r="D31" i="32"/>
  <c r="D30" i="32"/>
  <c r="D29" i="32"/>
  <c r="D28" i="32"/>
  <c r="D27" i="32"/>
  <c r="D26" i="32"/>
  <c r="A131" i="32"/>
  <c r="A130" i="32"/>
  <c r="A129" i="32"/>
  <c r="A128" i="32"/>
  <c r="A127" i="32"/>
  <c r="A126" i="32"/>
  <c r="A125" i="32"/>
  <c r="A124" i="32"/>
  <c r="A123" i="32"/>
  <c r="A122" i="32"/>
  <c r="A121" i="32"/>
  <c r="A120" i="32"/>
  <c r="A119" i="32"/>
  <c r="A118" i="32"/>
  <c r="A117" i="32"/>
  <c r="A116" i="32"/>
  <c r="A115" i="32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97" i="32"/>
  <c r="A96" i="32"/>
  <c r="A95" i="32"/>
  <c r="A94" i="32"/>
  <c r="A93" i="32"/>
  <c r="A92" i="32"/>
  <c r="A91" i="32"/>
  <c r="A90" i="32"/>
  <c r="A89" i="32"/>
  <c r="A88" i="32"/>
  <c r="A87" i="32"/>
  <c r="A86" i="32"/>
  <c r="A85" i="32"/>
  <c r="A84" i="32"/>
  <c r="A83" i="32"/>
  <c r="A82" i="32"/>
  <c r="A81" i="32"/>
  <c r="A80" i="32"/>
  <c r="A79" i="32"/>
  <c r="A78" i="32"/>
  <c r="A77" i="32"/>
  <c r="A76" i="32"/>
  <c r="A75" i="32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57" i="32"/>
  <c r="A56" i="32"/>
  <c r="A55" i="32"/>
  <c r="A54" i="32"/>
  <c r="A53" i="32"/>
  <c r="A52" i="32"/>
  <c r="A51" i="32"/>
  <c r="A50" i="32"/>
  <c r="A49" i="32"/>
  <c r="A48" i="32"/>
  <c r="A47" i="32"/>
  <c r="A46" i="32"/>
  <c r="A45" i="32"/>
  <c r="A44" i="32"/>
  <c r="A43" i="32"/>
  <c r="E42" i="32"/>
  <c r="A42" i="32"/>
  <c r="E41" i="32"/>
  <c r="A41" i="32"/>
  <c r="E40" i="32"/>
  <c r="A40" i="32"/>
  <c r="E39" i="32"/>
  <c r="A39" i="32"/>
  <c r="E38" i="32"/>
  <c r="A38" i="32"/>
  <c r="E37" i="32"/>
  <c r="A37" i="32"/>
  <c r="A32" i="32"/>
  <c r="A31" i="32"/>
  <c r="A30" i="32"/>
  <c r="A29" i="32"/>
  <c r="A28" i="32"/>
  <c r="A27" i="32"/>
  <c r="A26" i="32"/>
  <c r="A22" i="32"/>
  <c r="A21" i="32"/>
  <c r="A20" i="32"/>
  <c r="A19" i="32"/>
  <c r="A18" i="32"/>
  <c r="A17" i="32"/>
  <c r="A16" i="32"/>
  <c r="A12" i="32"/>
  <c r="A11" i="32"/>
  <c r="A10" i="32"/>
  <c r="A9" i="32"/>
  <c r="A8" i="32"/>
  <c r="A7" i="32"/>
  <c r="A6" i="32"/>
  <c r="E37" i="30"/>
  <c r="E36" i="30"/>
  <c r="E35" i="30"/>
  <c r="E34" i="30"/>
  <c r="A37" i="30"/>
  <c r="A36" i="30"/>
  <c r="A35" i="30"/>
  <c r="A34" i="30"/>
  <c r="D7" i="30"/>
  <c r="D13" i="30" s="1"/>
  <c r="D8" i="30"/>
  <c r="D14" i="30" s="1"/>
  <c r="D6" i="30"/>
  <c r="D12" i="30" s="1"/>
  <c r="E30" i="30"/>
  <c r="G30" i="30" s="1"/>
  <c r="A30" i="30"/>
  <c r="E28" i="30"/>
  <c r="G28" i="30" s="1"/>
  <c r="A28" i="30"/>
  <c r="E26" i="30"/>
  <c r="G26" i="30" s="1"/>
  <c r="A26" i="30"/>
  <c r="E25" i="30"/>
  <c r="G25" i="30" s="1"/>
  <c r="A25" i="30"/>
  <c r="A20" i="30"/>
  <c r="A19" i="30"/>
  <c r="A18" i="30"/>
  <c r="A14" i="30"/>
  <c r="A13" i="30"/>
  <c r="A12" i="30"/>
  <c r="A8" i="30"/>
  <c r="A7" i="30"/>
  <c r="A6" i="30"/>
  <c r="G58" i="29"/>
  <c r="C45" i="28" s="1"/>
  <c r="G57" i="29"/>
  <c r="G56" i="29"/>
  <c r="C43" i="28" s="1"/>
  <c r="G55" i="29"/>
  <c r="C42" i="28" s="1"/>
  <c r="C41" i="28"/>
  <c r="C40" i="28"/>
  <c r="C39" i="28"/>
  <c r="C9" i="28"/>
  <c r="C6" i="28"/>
  <c r="C63" i="29"/>
  <c r="C13" i="34" s="1"/>
  <c r="D13" i="34" s="1"/>
  <c r="C68" i="29"/>
  <c r="C70" i="29"/>
  <c r="A62" i="29"/>
  <c r="C62" i="29" s="1"/>
  <c r="C17" i="32" s="1"/>
  <c r="A63" i="29"/>
  <c r="A64" i="29"/>
  <c r="C64" i="29" s="1"/>
  <c r="C19" i="32" s="1"/>
  <c r="A65" i="29"/>
  <c r="C65" i="29" s="1"/>
  <c r="A66" i="29"/>
  <c r="C66" i="29" s="1"/>
  <c r="C21" i="32" s="1"/>
  <c r="A67" i="29"/>
  <c r="C67" i="29" s="1"/>
  <c r="C22" i="32" s="1"/>
  <c r="A68" i="29"/>
  <c r="A69" i="29"/>
  <c r="C69" i="29" s="1"/>
  <c r="A70" i="29"/>
  <c r="A71" i="29"/>
  <c r="A72" i="29"/>
  <c r="A73" i="29"/>
  <c r="A61" i="29"/>
  <c r="C61" i="29" s="1"/>
  <c r="K63" i="29"/>
  <c r="C12" i="28" s="1"/>
  <c r="K62" i="29"/>
  <c r="C13" i="37" s="1"/>
  <c r="D13" i="37" s="1"/>
  <c r="K61" i="29"/>
  <c r="C11" i="28" s="1"/>
  <c r="K60" i="29"/>
  <c r="K59" i="29"/>
  <c r="C11" i="37" s="1"/>
  <c r="D11" i="37" s="1"/>
  <c r="K58" i="29"/>
  <c r="K56" i="29"/>
  <c r="K55" i="29"/>
  <c r="K54" i="29"/>
  <c r="K53" i="29"/>
  <c r="C8" i="28" s="1"/>
  <c r="K52" i="29"/>
  <c r="C12" i="32" s="1"/>
  <c r="K51" i="29"/>
  <c r="C11" i="32" s="1"/>
  <c r="K50" i="29"/>
  <c r="C7" i="34" s="1"/>
  <c r="K49" i="29"/>
  <c r="C9" i="32" s="1"/>
  <c r="K45" i="29"/>
  <c r="C6" i="32" s="1"/>
  <c r="K47" i="29"/>
  <c r="C6" i="34" s="1"/>
  <c r="K46" i="29"/>
  <c r="C7" i="32" s="1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45" i="29"/>
  <c r="G45" i="29"/>
  <c r="A46" i="29"/>
  <c r="A47" i="29"/>
  <c r="A48" i="29"/>
  <c r="A49" i="29"/>
  <c r="A50" i="29"/>
  <c r="A51" i="29"/>
  <c r="A52" i="29"/>
  <c r="A53" i="29"/>
  <c r="A32" i="29"/>
  <c r="A33" i="29"/>
  <c r="A34" i="29"/>
  <c r="A35" i="29"/>
  <c r="A36" i="29"/>
  <c r="A37" i="29"/>
  <c r="A38" i="29"/>
  <c r="A39" i="29"/>
  <c r="A40" i="29"/>
  <c r="D18" i="29"/>
  <c r="G37" i="32" s="1"/>
  <c r="A27" i="29"/>
  <c r="A20" i="29"/>
  <c r="A21" i="29"/>
  <c r="A22" i="29"/>
  <c r="A23" i="29"/>
  <c r="A24" i="29"/>
  <c r="A25" i="29"/>
  <c r="A26" i="29"/>
  <c r="A13" i="29"/>
  <c r="A14" i="29"/>
  <c r="A7" i="29"/>
  <c r="A8" i="29"/>
  <c r="A9" i="29"/>
  <c r="A10" i="29"/>
  <c r="A11" i="29"/>
  <c r="A12" i="29"/>
  <c r="A45" i="29"/>
  <c r="A31" i="29"/>
  <c r="A18" i="29"/>
  <c r="F45" i="28"/>
  <c r="F44" i="28"/>
  <c r="F43" i="28"/>
  <c r="F42" i="28"/>
  <c r="F41" i="28"/>
  <c r="F40" i="28"/>
  <c r="F39" i="28"/>
  <c r="A45" i="28"/>
  <c r="A44" i="28"/>
  <c r="A43" i="28"/>
  <c r="A42" i="28"/>
  <c r="A41" i="28"/>
  <c r="A40" i="28"/>
  <c r="J40" i="28"/>
  <c r="J41" i="28"/>
  <c r="J42" i="28"/>
  <c r="J43" i="28"/>
  <c r="J44" i="28"/>
  <c r="J45" i="28"/>
  <c r="J39" i="28"/>
  <c r="A39" i="28"/>
  <c r="D50" i="33" l="1"/>
  <c r="D47" i="33"/>
  <c r="C15" i="33" s="1"/>
  <c r="D15" i="33" s="1"/>
  <c r="D6" i="33" s="1"/>
  <c r="D48" i="33"/>
  <c r="C16" i="33" s="1"/>
  <c r="D16" i="33" s="1"/>
  <c r="D52" i="33"/>
  <c r="D49" i="33"/>
  <c r="C17" i="33" s="1"/>
  <c r="D17" i="33" s="1"/>
  <c r="D51" i="33"/>
  <c r="C18" i="33" s="1"/>
  <c r="D18" i="33" s="1"/>
  <c r="H41" i="32"/>
  <c r="H37" i="32"/>
  <c r="D19" i="32"/>
  <c r="D17" i="32"/>
  <c r="D7" i="32" s="1"/>
  <c r="H43" i="32"/>
  <c r="D22" i="32"/>
  <c r="D12" i="32" s="1"/>
  <c r="D18" i="30"/>
  <c r="D19" i="30"/>
  <c r="D20" i="30"/>
  <c r="D6" i="34"/>
  <c r="C17" i="27"/>
  <c r="C22" i="27"/>
  <c r="C10" i="32"/>
  <c r="C14" i="34"/>
  <c r="D14" i="34" s="1"/>
  <c r="D7" i="34" s="1"/>
  <c r="C20" i="32"/>
  <c r="D20" i="32" s="1"/>
  <c r="C27" i="27"/>
  <c r="C71" i="29"/>
  <c r="C15" i="36" s="1"/>
  <c r="D15" i="36" s="1"/>
  <c r="C8" i="32"/>
  <c r="C7" i="37"/>
  <c r="D7" i="37" s="1"/>
  <c r="C6" i="33"/>
  <c r="C11" i="33"/>
  <c r="D11" i="33" s="1"/>
  <c r="C14" i="37"/>
  <c r="D14" i="37" s="1"/>
  <c r="C16" i="27"/>
  <c r="C9" i="34"/>
  <c r="C7" i="33"/>
  <c r="C8" i="37"/>
  <c r="D8" i="37" s="1"/>
  <c r="C7" i="36"/>
  <c r="C7" i="28"/>
  <c r="C8" i="33"/>
  <c r="C9" i="37"/>
  <c r="D9" i="37" s="1"/>
  <c r="C18" i="27"/>
  <c r="C10" i="37"/>
  <c r="D10" i="37" s="1"/>
  <c r="C8" i="36"/>
  <c r="C9" i="33"/>
  <c r="D9" i="33" s="1"/>
  <c r="C19" i="27"/>
  <c r="C6" i="36"/>
  <c r="C6" i="37"/>
  <c r="D6" i="37" s="1"/>
  <c r="C8" i="34"/>
  <c r="C20" i="27"/>
  <c r="C10" i="28"/>
  <c r="C10" i="33"/>
  <c r="D10" i="33" s="1"/>
  <c r="C12" i="37"/>
  <c r="D12" i="37" s="1"/>
  <c r="C9" i="36"/>
  <c r="C21" i="27"/>
  <c r="D44" i="28"/>
  <c r="C33" i="28" s="1"/>
  <c r="D45" i="28"/>
  <c r="C34" i="28" s="1"/>
  <c r="D21" i="32"/>
  <c r="D11" i="32" s="1"/>
  <c r="C16" i="32"/>
  <c r="D16" i="32" s="1"/>
  <c r="D6" i="32" s="1"/>
  <c r="C14" i="36"/>
  <c r="D14" i="36" s="1"/>
  <c r="C16" i="34"/>
  <c r="D16" i="34" s="1"/>
  <c r="C18" i="32"/>
  <c r="D18" i="32" s="1"/>
  <c r="C26" i="27"/>
  <c r="C28" i="27"/>
  <c r="C72" i="29"/>
  <c r="C13" i="36"/>
  <c r="D13" i="36" s="1"/>
  <c r="C15" i="34"/>
  <c r="D15" i="34" s="1"/>
  <c r="D8" i="34" s="1"/>
  <c r="C29" i="27"/>
  <c r="D9" i="32"/>
  <c r="H42" i="32"/>
  <c r="H39" i="32"/>
  <c r="H38" i="32"/>
  <c r="H40" i="32"/>
  <c r="D39" i="28"/>
  <c r="C28" i="28" s="1"/>
  <c r="D42" i="28"/>
  <c r="C31" i="28" s="1"/>
  <c r="D40" i="28"/>
  <c r="C29" i="28" s="1"/>
  <c r="D41" i="28"/>
  <c r="C30" i="28" s="1"/>
  <c r="D43" i="28"/>
  <c r="C32" i="28" s="1"/>
  <c r="D7" i="36" l="1"/>
  <c r="D8" i="36"/>
  <c r="D8" i="33"/>
  <c r="D7" i="33"/>
  <c r="D10" i="32"/>
  <c r="D8" i="32"/>
  <c r="C73" i="29"/>
  <c r="C32" i="27" s="1"/>
  <c r="D6" i="36"/>
  <c r="D9" i="34"/>
  <c r="C30" i="27"/>
  <c r="C16" i="36"/>
  <c r="D16" i="36" s="1"/>
  <c r="D9" i="36" s="1"/>
  <c r="C31" i="27"/>
  <c r="D12" i="28"/>
  <c r="D11" i="28"/>
  <c r="D10" i="28"/>
  <c r="D9" i="28"/>
  <c r="D8" i="28"/>
  <c r="D7" i="28"/>
  <c r="D6" i="28"/>
  <c r="A11" i="28"/>
  <c r="A12" i="28"/>
  <c r="A17" i="28"/>
  <c r="A18" i="28"/>
  <c r="A19" i="28"/>
  <c r="A20" i="28"/>
  <c r="A21" i="28"/>
  <c r="A22" i="28"/>
  <c r="A23" i="28"/>
  <c r="A24" i="28"/>
  <c r="A34" i="28"/>
  <c r="D34" i="28" s="1"/>
  <c r="A33" i="28"/>
  <c r="D33" i="28" s="1"/>
  <c r="A32" i="28"/>
  <c r="D32" i="28" s="1"/>
  <c r="A31" i="28"/>
  <c r="D31" i="28" s="1"/>
  <c r="A30" i="28"/>
  <c r="A29" i="28"/>
  <c r="A28" i="28"/>
  <c r="D28" i="28" s="1"/>
  <c r="A16" i="28"/>
  <c r="A10" i="28"/>
  <c r="A9" i="28"/>
  <c r="A8" i="28"/>
  <c r="A7" i="28"/>
  <c r="A6" i="28"/>
  <c r="A30" i="27"/>
  <c r="A31" i="27"/>
  <c r="A32" i="27"/>
  <c r="D20" i="27"/>
  <c r="D21" i="27"/>
  <c r="D22" i="27"/>
  <c r="D17" i="27"/>
  <c r="D18" i="27"/>
  <c r="D19" i="27"/>
  <c r="D16" i="27"/>
  <c r="A20" i="27"/>
  <c r="A21" i="27"/>
  <c r="A22" i="27"/>
  <c r="A17" i="27"/>
  <c r="A18" i="27"/>
  <c r="A19" i="27"/>
  <c r="A10" i="27"/>
  <c r="A11" i="27"/>
  <c r="A12" i="27"/>
  <c r="D30" i="27" l="1"/>
  <c r="D32" i="27"/>
  <c r="D31" i="27"/>
  <c r="D29" i="28"/>
  <c r="D30" i="28"/>
  <c r="A29" i="27" l="1"/>
  <c r="D29" i="27" s="1"/>
  <c r="A28" i="27"/>
  <c r="D28" i="27" s="1"/>
  <c r="A27" i="27"/>
  <c r="D27" i="27" s="1"/>
  <c r="A26" i="27"/>
  <c r="D26" i="27" s="1"/>
  <c r="A16" i="27"/>
  <c r="A9" i="27"/>
  <c r="A8" i="27"/>
  <c r="A7" i="27"/>
  <c r="A6" i="27"/>
  <c r="C9" i="26" l="1"/>
  <c r="D9" i="26" s="1"/>
  <c r="C8" i="26"/>
  <c r="D8" i="26" s="1"/>
  <c r="C7" i="26"/>
  <c r="D7" i="26" s="1"/>
  <c r="C6" i="26"/>
  <c r="D6" i="26" s="1"/>
  <c r="A31" i="26"/>
  <c r="C31" i="26" s="1"/>
  <c r="A30" i="26"/>
  <c r="C30" i="26" s="1"/>
  <c r="A29" i="26"/>
  <c r="C29" i="26" s="1"/>
  <c r="A28" i="26"/>
  <c r="C28" i="26" s="1"/>
  <c r="A23" i="26"/>
  <c r="A22" i="26"/>
  <c r="A21" i="26"/>
  <c r="A20" i="26"/>
  <c r="A16" i="26"/>
  <c r="A15" i="26"/>
  <c r="A14" i="26"/>
  <c r="A13" i="26"/>
  <c r="A9" i="26"/>
  <c r="A8" i="26"/>
  <c r="A7" i="26"/>
  <c r="A6" i="26"/>
  <c r="G43" i="25"/>
  <c r="G39" i="25"/>
  <c r="G40" i="25"/>
  <c r="G41" i="25"/>
  <c r="G42" i="25"/>
  <c r="G38" i="25"/>
  <c r="E43" i="25"/>
  <c r="A12" i="25"/>
  <c r="A11" i="25"/>
  <c r="C22" i="25"/>
  <c r="A22" i="25"/>
  <c r="A21" i="25"/>
  <c r="D32" i="25"/>
  <c r="D31" i="25"/>
  <c r="D30" i="25"/>
  <c r="D29" i="25"/>
  <c r="D28" i="25"/>
  <c r="D27" i="25"/>
  <c r="D26" i="25"/>
  <c r="A32" i="25"/>
  <c r="A31" i="25"/>
  <c r="A30" i="25"/>
  <c r="A29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E42" i="25"/>
  <c r="A42" i="25"/>
  <c r="E41" i="25"/>
  <c r="A41" i="25"/>
  <c r="E40" i="25"/>
  <c r="A40" i="25"/>
  <c r="E39" i="25"/>
  <c r="A39" i="25"/>
  <c r="E38" i="25"/>
  <c r="A38" i="25"/>
  <c r="A28" i="25"/>
  <c r="A27" i="25"/>
  <c r="A26" i="25"/>
  <c r="A20" i="25"/>
  <c r="A19" i="25"/>
  <c r="A18" i="25"/>
  <c r="A17" i="25"/>
  <c r="A16" i="25"/>
  <c r="A10" i="25"/>
  <c r="A9" i="25"/>
  <c r="A8" i="25"/>
  <c r="A7" i="25"/>
  <c r="A6" i="25"/>
  <c r="C24" i="23"/>
  <c r="D24" i="23" s="1"/>
  <c r="C29" i="23"/>
  <c r="D29" i="23" s="1"/>
  <c r="C28" i="23"/>
  <c r="D28" i="23" s="1"/>
  <c r="C27" i="23"/>
  <c r="D27" i="23" s="1"/>
  <c r="C26" i="23"/>
  <c r="D26" i="23" s="1"/>
  <c r="C25" i="23"/>
  <c r="D25" i="23" s="1"/>
  <c r="C11" i="23"/>
  <c r="D11" i="23" s="1"/>
  <c r="C10" i="23"/>
  <c r="D10" i="23" s="1"/>
  <c r="C9" i="23"/>
  <c r="D9" i="23" s="1"/>
  <c r="C8" i="23"/>
  <c r="D8" i="23" s="1"/>
  <c r="C7" i="23"/>
  <c r="D7" i="23" s="1"/>
  <c r="C6" i="23"/>
  <c r="D6" i="23" s="1"/>
  <c r="D16" i="23"/>
  <c r="D17" i="23"/>
  <c r="D18" i="23"/>
  <c r="D19" i="23"/>
  <c r="D20" i="23"/>
  <c r="D15" i="23"/>
  <c r="A25" i="23"/>
  <c r="A26" i="23"/>
  <c r="A27" i="23"/>
  <c r="A28" i="23"/>
  <c r="A29" i="23"/>
  <c r="A16" i="23"/>
  <c r="A17" i="23"/>
  <c r="A18" i="23"/>
  <c r="A19" i="23"/>
  <c r="A20" i="23"/>
  <c r="A7" i="23"/>
  <c r="A8" i="23"/>
  <c r="A9" i="23"/>
  <c r="A10" i="23"/>
  <c r="A11" i="23"/>
  <c r="A24" i="23"/>
  <c r="A15" i="23"/>
  <c r="A6" i="23"/>
  <c r="C15" i="22"/>
  <c r="A15" i="22"/>
  <c r="A11" i="22"/>
  <c r="A6" i="22"/>
  <c r="C23" i="21"/>
  <c r="C22" i="21"/>
  <c r="C21" i="21"/>
  <c r="D21" i="21" s="1"/>
  <c r="C20" i="21"/>
  <c r="C9" i="21"/>
  <c r="D9" i="21" s="1"/>
  <c r="C8" i="21"/>
  <c r="D8" i="21" s="1"/>
  <c r="C7" i="21"/>
  <c r="D7" i="21" s="1"/>
  <c r="C6" i="21"/>
  <c r="D6" i="21" s="1"/>
  <c r="A7" i="21"/>
  <c r="A8" i="21"/>
  <c r="A9" i="21"/>
  <c r="A21" i="21"/>
  <c r="A22" i="21"/>
  <c r="A23" i="21"/>
  <c r="A14" i="21"/>
  <c r="A15" i="21"/>
  <c r="A16" i="21"/>
  <c r="A20" i="21"/>
  <c r="A13" i="21"/>
  <c r="A6" i="21"/>
  <c r="D15" i="20"/>
  <c r="C15" i="20"/>
  <c r="C11" i="20"/>
  <c r="D6" i="20"/>
  <c r="A15" i="20"/>
  <c r="A11" i="20"/>
  <c r="A6" i="20"/>
  <c r="D6" i="19"/>
  <c r="C15" i="19"/>
  <c r="A15" i="19"/>
  <c r="A11" i="19"/>
  <c r="A6" i="19"/>
  <c r="A19" i="18"/>
  <c r="C15" i="18"/>
  <c r="D11" i="18"/>
  <c r="C19" i="18" s="1"/>
  <c r="A15" i="18"/>
  <c r="D15" i="18" s="1"/>
  <c r="A11" i="18"/>
  <c r="A6" i="18"/>
  <c r="D19" i="17"/>
  <c r="A19" i="17"/>
  <c r="C14" i="17"/>
  <c r="D10" i="17"/>
  <c r="D6" i="17"/>
  <c r="A14" i="17"/>
  <c r="A10" i="17"/>
  <c r="A6" i="17"/>
  <c r="C19" i="16"/>
  <c r="D7" i="16"/>
  <c r="D8" i="16"/>
  <c r="D6" i="16"/>
  <c r="A20" i="16"/>
  <c r="A19" i="16"/>
  <c r="A18" i="16"/>
  <c r="A14" i="16"/>
  <c r="A13" i="16"/>
  <c r="A12" i="16"/>
  <c r="A8" i="16"/>
  <c r="A7" i="16"/>
  <c r="A6" i="16"/>
  <c r="E30" i="15"/>
  <c r="E31" i="15"/>
  <c r="E32" i="15"/>
  <c r="E33" i="15"/>
  <c r="E34" i="15"/>
  <c r="E35" i="15"/>
  <c r="E36" i="15"/>
  <c r="E29" i="15"/>
  <c r="A30" i="15"/>
  <c r="A31" i="15"/>
  <c r="A32" i="15"/>
  <c r="A33" i="15"/>
  <c r="A34" i="15"/>
  <c r="A35" i="15"/>
  <c r="A36" i="15"/>
  <c r="A37" i="15"/>
  <c r="A38" i="15"/>
  <c r="A39" i="15"/>
  <c r="A29" i="15"/>
  <c r="D14" i="15"/>
  <c r="D15" i="15"/>
  <c r="D16" i="15"/>
  <c r="D13" i="15"/>
  <c r="D7" i="15"/>
  <c r="D8" i="15"/>
  <c r="D9" i="15"/>
  <c r="D6" i="15"/>
  <c r="D21" i="15"/>
  <c r="D22" i="15"/>
  <c r="D23" i="15"/>
  <c r="D20" i="15"/>
  <c r="C23" i="15"/>
  <c r="A21" i="15"/>
  <c r="A22" i="15"/>
  <c r="A23" i="15"/>
  <c r="A14" i="15"/>
  <c r="A15" i="15"/>
  <c r="A16" i="15"/>
  <c r="A7" i="15"/>
  <c r="A8" i="15"/>
  <c r="A9" i="15"/>
  <c r="A20" i="15"/>
  <c r="A13" i="15"/>
  <c r="A6" i="15"/>
  <c r="C11" i="14"/>
  <c r="D6" i="14"/>
  <c r="C15" i="14"/>
  <c r="A15" i="14"/>
  <c r="A11" i="14"/>
  <c r="A6" i="14"/>
  <c r="C20" i="13"/>
  <c r="C15" i="13"/>
  <c r="E8" i="13"/>
  <c r="D7" i="13"/>
  <c r="D8" i="13"/>
  <c r="D9" i="13"/>
  <c r="E9" i="13" s="1"/>
  <c r="D6" i="13"/>
  <c r="E6" i="13" s="1"/>
  <c r="A23" i="13"/>
  <c r="A22" i="13"/>
  <c r="A21" i="13"/>
  <c r="A20" i="13"/>
  <c r="A16" i="13"/>
  <c r="A15" i="13"/>
  <c r="A14" i="13"/>
  <c r="A13" i="13"/>
  <c r="A9" i="13"/>
  <c r="A8" i="13"/>
  <c r="A7" i="13"/>
  <c r="A6" i="13"/>
  <c r="G36" i="12"/>
  <c r="C18" i="16" s="1"/>
  <c r="G35" i="12"/>
  <c r="C46" i="12"/>
  <c r="C45" i="12"/>
  <c r="C12" i="25" s="1"/>
  <c r="C36" i="12"/>
  <c r="C12" i="16" s="1"/>
  <c r="C37" i="12"/>
  <c r="C11" i="19" s="1"/>
  <c r="C38" i="12"/>
  <c r="C13" i="16" s="1"/>
  <c r="C35" i="12"/>
  <c r="C40" i="12"/>
  <c r="C14" i="16" s="1"/>
  <c r="D14" i="16" s="1"/>
  <c r="C41" i="12"/>
  <c r="C8" i="25" s="1"/>
  <c r="C42" i="12"/>
  <c r="C9" i="25" s="1"/>
  <c r="C43" i="12"/>
  <c r="C10" i="25" s="1"/>
  <c r="C44" i="12"/>
  <c r="C11" i="25" s="1"/>
  <c r="C39" i="12"/>
  <c r="C6" i="25" s="1"/>
  <c r="A36" i="12"/>
  <c r="A37" i="12"/>
  <c r="A38" i="12"/>
  <c r="A39" i="12"/>
  <c r="A40" i="12"/>
  <c r="A41" i="12"/>
  <c r="A42" i="12"/>
  <c r="A43" i="12"/>
  <c r="A44" i="12"/>
  <c r="A45" i="12"/>
  <c r="A46" i="12"/>
  <c r="A35" i="12"/>
  <c r="E36" i="12"/>
  <c r="E37" i="12"/>
  <c r="E38" i="12"/>
  <c r="E39" i="12"/>
  <c r="E40" i="12"/>
  <c r="G40" i="12" s="1"/>
  <c r="C20" i="16" s="1"/>
  <c r="E41" i="12"/>
  <c r="G41" i="12" s="1"/>
  <c r="E42" i="12"/>
  <c r="E43" i="12"/>
  <c r="E44" i="12"/>
  <c r="G44" i="12" s="1"/>
  <c r="C21" i="25" s="1"/>
  <c r="E45" i="12"/>
  <c r="E35" i="12"/>
  <c r="E25" i="12"/>
  <c r="E26" i="12"/>
  <c r="E27" i="12"/>
  <c r="G42" i="12" s="1"/>
  <c r="C19" i="25" s="1"/>
  <c r="E28" i="12"/>
  <c r="E29" i="12"/>
  <c r="E30" i="12"/>
  <c r="E24" i="12"/>
  <c r="A30" i="12"/>
  <c r="A29" i="12"/>
  <c r="A28" i="12"/>
  <c r="A27" i="12"/>
  <c r="A26" i="12"/>
  <c r="A25" i="12"/>
  <c r="A24" i="12"/>
  <c r="A20" i="12"/>
  <c r="A19" i="12"/>
  <c r="A18" i="12"/>
  <c r="A17" i="12"/>
  <c r="A16" i="12"/>
  <c r="A15" i="12"/>
  <c r="A11" i="12"/>
  <c r="A10" i="12"/>
  <c r="A9" i="12"/>
  <c r="A8" i="12"/>
  <c r="A7" i="12"/>
  <c r="A6" i="12"/>
  <c r="D23" i="21" l="1"/>
  <c r="D22" i="21"/>
  <c r="D20" i="21"/>
  <c r="H39" i="25"/>
  <c r="D22" i="25"/>
  <c r="D12" i="25" s="1"/>
  <c r="D11" i="19"/>
  <c r="D14" i="17"/>
  <c r="D13" i="16"/>
  <c r="D12" i="16"/>
  <c r="E15" i="20"/>
  <c r="D15" i="13"/>
  <c r="C18" i="25"/>
  <c r="D18" i="25" s="1"/>
  <c r="D8" i="25" s="1"/>
  <c r="C22" i="13"/>
  <c r="G39" i="12"/>
  <c r="C16" i="25" s="1"/>
  <c r="D16" i="25" s="1"/>
  <c r="D6" i="25" s="1"/>
  <c r="G43" i="12"/>
  <c r="C20" i="25" s="1"/>
  <c r="D20" i="25" s="1"/>
  <c r="D10" i="25" s="1"/>
  <c r="C6" i="22"/>
  <c r="D6" i="22" s="1"/>
  <c r="D20" i="16"/>
  <c r="C16" i="13"/>
  <c r="C7" i="25"/>
  <c r="C13" i="13"/>
  <c r="D13" i="13" s="1"/>
  <c r="C14" i="13"/>
  <c r="D19" i="16"/>
  <c r="D18" i="16"/>
  <c r="D15" i="22"/>
  <c r="D16" i="13"/>
  <c r="C21" i="13"/>
  <c r="C17" i="25"/>
  <c r="D17" i="25" s="1"/>
  <c r="H40" i="25"/>
  <c r="D22" i="13"/>
  <c r="H41" i="25"/>
  <c r="H43" i="25"/>
  <c r="D19" i="25"/>
  <c r="D9" i="25" s="1"/>
  <c r="D21" i="25"/>
  <c r="D11" i="25" s="1"/>
  <c r="H42" i="25"/>
  <c r="H38" i="25"/>
  <c r="D11" i="20"/>
  <c r="D15" i="19"/>
  <c r="D15" i="14"/>
  <c r="D11" i="14"/>
  <c r="E7" i="13"/>
  <c r="C23" i="13" l="1"/>
  <c r="D20" i="13"/>
  <c r="D14" i="13"/>
  <c r="D7" i="25"/>
  <c r="D23" i="13"/>
  <c r="D21" i="13"/>
  <c r="E55" i="11"/>
  <c r="E54" i="11"/>
  <c r="E53" i="11"/>
  <c r="E52" i="11"/>
  <c r="E51" i="11"/>
  <c r="E50" i="11"/>
  <c r="E49" i="11"/>
  <c r="E48" i="11"/>
  <c r="E47" i="11"/>
  <c r="E46" i="11"/>
  <c r="A55" i="11"/>
  <c r="A54" i="11"/>
  <c r="A53" i="11"/>
  <c r="A52" i="11"/>
  <c r="A51" i="11"/>
  <c r="A50" i="11"/>
  <c r="A49" i="11"/>
  <c r="A48" i="11"/>
  <c r="A47" i="11"/>
  <c r="A46" i="11"/>
  <c r="A37" i="11"/>
  <c r="A38" i="11"/>
  <c r="A39" i="11"/>
  <c r="A40" i="11"/>
  <c r="A41" i="11"/>
  <c r="A33" i="11"/>
  <c r="A34" i="11"/>
  <c r="A35" i="11"/>
  <c r="A36" i="11"/>
  <c r="A24" i="11"/>
  <c r="A25" i="11"/>
  <c r="A26" i="11"/>
  <c r="A27" i="11"/>
  <c r="A28" i="11"/>
  <c r="A11" i="11"/>
  <c r="A12" i="11"/>
  <c r="A13" i="11"/>
  <c r="A14" i="11"/>
  <c r="A15" i="11"/>
  <c r="A32" i="11"/>
  <c r="A23" i="11"/>
  <c r="A22" i="11"/>
  <c r="A21" i="11"/>
  <c r="A20" i="11"/>
  <c r="A19" i="11"/>
  <c r="A10" i="11"/>
  <c r="A9" i="11"/>
  <c r="A8" i="11"/>
  <c r="A7" i="11"/>
  <c r="A6" i="11"/>
  <c r="D26" i="10"/>
  <c r="D25" i="10"/>
  <c r="D24" i="10"/>
  <c r="A26" i="10"/>
  <c r="A25" i="10"/>
  <c r="A24" i="10"/>
  <c r="A23" i="10"/>
  <c r="A22" i="10"/>
  <c r="E35" i="10"/>
  <c r="E34" i="10"/>
  <c r="E33" i="10"/>
  <c r="E32" i="10"/>
  <c r="E31" i="10"/>
  <c r="C8" i="10"/>
  <c r="C6" i="10"/>
  <c r="A10" i="10"/>
  <c r="A8" i="10"/>
  <c r="A9" i="10"/>
  <c r="D30" i="8"/>
  <c r="D28" i="8"/>
  <c r="A18" i="10"/>
  <c r="C35" i="10"/>
  <c r="D22" i="10" s="1"/>
  <c r="C36" i="10"/>
  <c r="D23" i="10" s="1"/>
  <c r="C32" i="10"/>
  <c r="C33" i="10"/>
  <c r="C34" i="10"/>
  <c r="C31" i="10"/>
  <c r="C103" i="10"/>
  <c r="C104" i="10"/>
  <c r="C105" i="10"/>
  <c r="C102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31" i="10"/>
  <c r="A17" i="10"/>
  <c r="A16" i="10"/>
  <c r="A15" i="10"/>
  <c r="A14" i="10"/>
  <c r="A7" i="10"/>
  <c r="A6" i="10"/>
  <c r="A15" i="9"/>
  <c r="A11" i="9"/>
  <c r="A6" i="9"/>
  <c r="C7" i="8"/>
  <c r="D7" i="8" s="1"/>
  <c r="A31" i="8"/>
  <c r="A30" i="8"/>
  <c r="A29" i="8"/>
  <c r="A28" i="8"/>
  <c r="A23" i="8"/>
  <c r="A22" i="8"/>
  <c r="A21" i="8"/>
  <c r="A20" i="8"/>
  <c r="A16" i="8"/>
  <c r="A15" i="8"/>
  <c r="A14" i="8"/>
  <c r="A13" i="8"/>
  <c r="A9" i="8"/>
  <c r="A8" i="8"/>
  <c r="A7" i="8"/>
  <c r="A6" i="8"/>
  <c r="D20" i="7"/>
  <c r="G35" i="10" s="1"/>
  <c r="D18" i="7"/>
  <c r="G33" i="10" s="1"/>
  <c r="D17" i="7"/>
  <c r="G32" i="10" s="1"/>
  <c r="D21" i="7"/>
  <c r="D19" i="7"/>
  <c r="G34" i="10" s="1"/>
  <c r="D16" i="7"/>
  <c r="D15" i="7"/>
  <c r="D14" i="7"/>
  <c r="A21" i="7"/>
  <c r="D7" i="7"/>
  <c r="D8" i="7"/>
  <c r="D9" i="7"/>
  <c r="D10" i="7"/>
  <c r="A38" i="7"/>
  <c r="A37" i="7"/>
  <c r="A36" i="7"/>
  <c r="A35" i="7"/>
  <c r="A34" i="7"/>
  <c r="A29" i="7"/>
  <c r="A28" i="7"/>
  <c r="A27" i="7"/>
  <c r="A26" i="7"/>
  <c r="A25" i="7"/>
  <c r="A20" i="7"/>
  <c r="A19" i="7"/>
  <c r="A18" i="7"/>
  <c r="A17" i="7"/>
  <c r="A16" i="7"/>
  <c r="A15" i="7"/>
  <c r="A14" i="7"/>
  <c r="A10" i="7"/>
  <c r="A9" i="7"/>
  <c r="A8" i="7"/>
  <c r="A7" i="7"/>
  <c r="D6" i="7"/>
  <c r="A6" i="7"/>
  <c r="C12" i="6"/>
  <c r="D12" i="6" s="1"/>
  <c r="A20" i="6"/>
  <c r="A19" i="6"/>
  <c r="A18" i="6"/>
  <c r="A14" i="6"/>
  <c r="A13" i="6"/>
  <c r="A12" i="6"/>
  <c r="A8" i="6"/>
  <c r="A7" i="6"/>
  <c r="A6" i="6"/>
  <c r="A27" i="5"/>
  <c r="A28" i="5"/>
  <c r="A29" i="5"/>
  <c r="A30" i="5"/>
  <c r="A31" i="5"/>
  <c r="A32" i="5"/>
  <c r="J43" i="5"/>
  <c r="C9" i="8" s="1"/>
  <c r="D9" i="8" s="1"/>
  <c r="J44" i="5"/>
  <c r="J45" i="5"/>
  <c r="J46" i="5"/>
  <c r="J47" i="5"/>
  <c r="J48" i="5"/>
  <c r="J49" i="5"/>
  <c r="J50" i="5"/>
  <c r="J51" i="5"/>
  <c r="C13" i="6" s="1"/>
  <c r="D13" i="6" s="1"/>
  <c r="J52" i="5"/>
  <c r="C14" i="6" s="1"/>
  <c r="D14" i="6" s="1"/>
  <c r="J53" i="5"/>
  <c r="J54" i="5"/>
  <c r="J55" i="5"/>
  <c r="J56" i="5"/>
  <c r="J57" i="5"/>
  <c r="J42" i="5"/>
  <c r="C8" i="8" s="1"/>
  <c r="D8" i="8" s="1"/>
  <c r="J40" i="5"/>
  <c r="C6" i="8" s="1"/>
  <c r="D6" i="8" s="1"/>
  <c r="J38" i="5"/>
  <c r="J41" i="5"/>
  <c r="J39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37" i="5"/>
  <c r="J37" i="5"/>
  <c r="C6" i="9" s="1"/>
  <c r="D6" i="9" s="1"/>
  <c r="D38" i="5"/>
  <c r="D40" i="5"/>
  <c r="D41" i="5"/>
  <c r="D29" i="8" s="1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31" i="8" s="1"/>
  <c r="D43" i="5"/>
  <c r="D61" i="5"/>
  <c r="C38" i="5"/>
  <c r="C40" i="5"/>
  <c r="C41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60" i="5"/>
  <c r="C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E42" i="5" s="1"/>
  <c r="A41" i="5"/>
  <c r="A40" i="5"/>
  <c r="A39" i="5"/>
  <c r="E39" i="5" s="1"/>
  <c r="A38" i="5"/>
  <c r="A37" i="5"/>
  <c r="E37" i="5" s="1"/>
  <c r="C15" i="9" s="1"/>
  <c r="A61" i="5"/>
  <c r="D9" i="5"/>
  <c r="D10" i="5"/>
  <c r="D11" i="5"/>
  <c r="D21" i="5" s="1"/>
  <c r="D12" i="5"/>
  <c r="D7" i="5"/>
  <c r="D8" i="5"/>
  <c r="A17" i="5"/>
  <c r="A18" i="5"/>
  <c r="A19" i="5"/>
  <c r="A20" i="5"/>
  <c r="A21" i="5"/>
  <c r="A22" i="5"/>
  <c r="A9" i="5"/>
  <c r="A10" i="5"/>
  <c r="A11" i="5"/>
  <c r="A12" i="5"/>
  <c r="A7" i="5"/>
  <c r="A8" i="5"/>
  <c r="A26" i="5"/>
  <c r="A16" i="5"/>
  <c r="D6" i="5"/>
  <c r="A6" i="5"/>
  <c r="D21" i="4"/>
  <c r="I40" i="1"/>
  <c r="H40" i="1"/>
  <c r="E40" i="1"/>
  <c r="C40" i="1"/>
  <c r="A40" i="1"/>
  <c r="C39" i="1"/>
  <c r="C38" i="1"/>
  <c r="A39" i="1"/>
  <c r="A38" i="1"/>
  <c r="H39" i="1"/>
  <c r="H38" i="1"/>
  <c r="E39" i="1"/>
  <c r="E38" i="1"/>
  <c r="D7" i="4"/>
  <c r="D8" i="4"/>
  <c r="D6" i="4"/>
  <c r="A7" i="4"/>
  <c r="A8" i="4"/>
  <c r="A6" i="4"/>
  <c r="A7" i="1"/>
  <c r="A8" i="1"/>
  <c r="A9" i="1"/>
  <c r="A10" i="1"/>
  <c r="A6" i="1"/>
  <c r="A21" i="4"/>
  <c r="A20" i="4"/>
  <c r="A19" i="4"/>
  <c r="A15" i="4"/>
  <c r="A14" i="4"/>
  <c r="A13" i="4"/>
  <c r="H36" i="1"/>
  <c r="I36" i="1" s="1"/>
  <c r="D18" i="1" s="1"/>
  <c r="E36" i="1"/>
  <c r="C36" i="1"/>
  <c r="C42" i="1"/>
  <c r="C43" i="1"/>
  <c r="C41" i="1"/>
  <c r="A36" i="1"/>
  <c r="H42" i="1"/>
  <c r="H43" i="1"/>
  <c r="H41" i="1"/>
  <c r="H32" i="1"/>
  <c r="I32" i="1" s="1"/>
  <c r="H33" i="1"/>
  <c r="I33" i="1" s="1"/>
  <c r="H34" i="1"/>
  <c r="I34" i="1" s="1"/>
  <c r="H35" i="1"/>
  <c r="I35" i="1" s="1"/>
  <c r="H37" i="1"/>
  <c r="I37" i="1" s="1"/>
  <c r="D19" i="4" s="1"/>
  <c r="H31" i="1"/>
  <c r="I31" i="1" s="1"/>
  <c r="D14" i="1" s="1"/>
  <c r="E32" i="1"/>
  <c r="E33" i="1"/>
  <c r="E34" i="1"/>
  <c r="E35" i="1"/>
  <c r="E37" i="1"/>
  <c r="E41" i="1"/>
  <c r="E42" i="1"/>
  <c r="E43" i="1"/>
  <c r="E31" i="1"/>
  <c r="A32" i="1"/>
  <c r="A33" i="1"/>
  <c r="A34" i="1"/>
  <c r="A35" i="1"/>
  <c r="A37" i="1"/>
  <c r="A41" i="1"/>
  <c r="A42" i="1"/>
  <c r="A43" i="1"/>
  <c r="A31" i="1"/>
  <c r="A26" i="1"/>
  <c r="A25" i="1"/>
  <c r="A24" i="1"/>
  <c r="A23" i="1"/>
  <c r="A22" i="1"/>
  <c r="A15" i="1"/>
  <c r="A16" i="1"/>
  <c r="A17" i="1"/>
  <c r="A18" i="1"/>
  <c r="A14" i="1"/>
  <c r="E29" i="8" l="1"/>
  <c r="D16" i="5"/>
  <c r="D22" i="5"/>
  <c r="E48" i="5"/>
  <c r="C19" i="4" s="1"/>
  <c r="E19" i="4" s="1"/>
  <c r="D19" i="5"/>
  <c r="E28" i="8"/>
  <c r="C34" i="7"/>
  <c r="C36" i="7"/>
  <c r="G31" i="10"/>
  <c r="H31" i="10" s="1"/>
  <c r="C35" i="7"/>
  <c r="C37" i="7"/>
  <c r="C38" i="7"/>
  <c r="H32" i="10"/>
  <c r="C29" i="7"/>
  <c r="E40" i="5"/>
  <c r="C26" i="7" s="1"/>
  <c r="D20" i="5"/>
  <c r="D17" i="5"/>
  <c r="E55" i="5"/>
  <c r="E61" i="5"/>
  <c r="E56" i="5"/>
  <c r="D18" i="5"/>
  <c r="E41" i="5"/>
  <c r="C20" i="8" s="1"/>
  <c r="D20" i="8" s="1"/>
  <c r="E47" i="5"/>
  <c r="C26" i="1" s="1"/>
  <c r="D26" i="1" s="1"/>
  <c r="C22" i="1"/>
  <c r="D22" i="1" s="1"/>
  <c r="C27" i="7"/>
  <c r="C21" i="8"/>
  <c r="C14" i="10"/>
  <c r="D14" i="10" s="1"/>
  <c r="D6" i="10" s="1"/>
  <c r="E49" i="5"/>
  <c r="C20" i="4" s="1"/>
  <c r="E60" i="5"/>
  <c r="E43" i="5"/>
  <c r="C15" i="10" s="1"/>
  <c r="E51" i="5"/>
  <c r="C21" i="4" s="1"/>
  <c r="E21" i="4" s="1"/>
  <c r="E59" i="5"/>
  <c r="D28" i="5" s="1"/>
  <c r="E38" i="5"/>
  <c r="C25" i="7" s="1"/>
  <c r="D25" i="7" s="1"/>
  <c r="E54" i="5"/>
  <c r="C20" i="6" s="1"/>
  <c r="D20" i="6" s="1"/>
  <c r="E58" i="5"/>
  <c r="D29" i="5" s="1"/>
  <c r="C18" i="10"/>
  <c r="D18" i="10" s="1"/>
  <c r="D10" i="10" s="1"/>
  <c r="E44" i="5"/>
  <c r="C16" i="10" s="1"/>
  <c r="D16" i="10" s="1"/>
  <c r="D8" i="10" s="1"/>
  <c r="E52" i="5"/>
  <c r="C18" i="6" s="1"/>
  <c r="D18" i="6" s="1"/>
  <c r="E57" i="5"/>
  <c r="D30" i="5" s="1"/>
  <c r="E46" i="5"/>
  <c r="C23" i="8" s="1"/>
  <c r="D23" i="8" s="1"/>
  <c r="E50" i="5"/>
  <c r="E45" i="5"/>
  <c r="C25" i="1" s="1"/>
  <c r="D25" i="1" s="1"/>
  <c r="E53" i="5"/>
  <c r="C19" i="6" s="1"/>
  <c r="D19" i="6" s="1"/>
  <c r="H35" i="10"/>
  <c r="C23" i="1"/>
  <c r="D23" i="1" s="1"/>
  <c r="H33" i="10"/>
  <c r="H34" i="10"/>
  <c r="D15" i="10"/>
  <c r="D7" i="10" s="1"/>
  <c r="E31" i="8"/>
  <c r="E30" i="8"/>
  <c r="D32" i="5"/>
  <c r="D15" i="9"/>
  <c r="D26" i="5"/>
  <c r="D27" i="5"/>
  <c r="D21" i="8"/>
  <c r="D31" i="5"/>
  <c r="D15" i="1"/>
  <c r="I41" i="1"/>
  <c r="I39" i="1"/>
  <c r="D20" i="4" s="1"/>
  <c r="D16" i="1"/>
  <c r="I38" i="1"/>
  <c r="I42" i="1"/>
  <c r="I43" i="1"/>
  <c r="D17" i="1"/>
  <c r="A6" i="29"/>
  <c r="A19" i="29"/>
  <c r="A8" i="34"/>
  <c r="A6" i="34"/>
  <c r="A7" i="34"/>
  <c r="A9" i="34"/>
  <c r="A38" i="38"/>
  <c r="A42" i="38"/>
  <c r="A37" i="38"/>
  <c r="A41" i="38"/>
  <c r="A44" i="38"/>
  <c r="A40" i="38"/>
  <c r="A39" i="38"/>
  <c r="A36" i="38"/>
  <c r="A43" i="38"/>
  <c r="A54" i="51"/>
  <c r="A57" i="51"/>
  <c r="A51" i="51"/>
  <c r="A58" i="51"/>
  <c r="A53" i="51"/>
  <c r="A55" i="51"/>
  <c r="A50" i="51"/>
  <c r="A49" i="51"/>
  <c r="A56" i="51"/>
  <c r="A52" i="51"/>
  <c r="A59" i="51"/>
  <c r="C22" i="8" l="1"/>
  <c r="D22" i="8" s="1"/>
  <c r="C24" i="1"/>
  <c r="D24" i="1" s="1"/>
  <c r="D29" i="7"/>
  <c r="D27" i="7"/>
  <c r="D26" i="7"/>
  <c r="E20" i="4"/>
  <c r="C17" i="10"/>
  <c r="D17" i="10" s="1"/>
  <c r="D9" i="10" s="1"/>
  <c r="C28" i="7"/>
  <c r="D28" i="7" s="1"/>
</calcChain>
</file>

<file path=xl/sharedStrings.xml><?xml version="1.0" encoding="utf-8"?>
<sst xmlns="http://schemas.openxmlformats.org/spreadsheetml/2006/main" count="2252" uniqueCount="199">
  <si>
    <t>Mosleh, J. Electrochem. Soc., “Kinetics and Mechanisms of Oxygen Surface Exchange on LSF Thin Films”, 156, (4), (2009), B441</t>
  </si>
  <si>
    <t>Avagodros Number</t>
  </si>
  <si>
    <r>
      <t>mol</t>
    </r>
    <r>
      <rPr>
        <vertAlign val="superscript"/>
        <sz val="10"/>
        <rFont val="Times New Roman"/>
        <family val="1"/>
      </rPr>
      <t>-1</t>
    </r>
  </si>
  <si>
    <t>Boltzmann Constant</t>
  </si>
  <si>
    <r>
      <t>J*K</t>
    </r>
    <r>
      <rPr>
        <vertAlign val="superscript"/>
        <sz val="11"/>
        <color theme="1"/>
        <rFont val="Calibri"/>
        <family val="2"/>
        <scheme val="minor"/>
      </rPr>
      <t>-1</t>
    </r>
  </si>
  <si>
    <t>C</t>
  </si>
  <si>
    <t>Faraday Constant</t>
  </si>
  <si>
    <r>
      <t>C*mol</t>
    </r>
    <r>
      <rPr>
        <vertAlign val="superscript"/>
        <sz val="11"/>
        <color theme="1"/>
        <rFont val="Calibri"/>
        <family val="2"/>
        <scheme val="minor"/>
      </rPr>
      <t>-1</t>
    </r>
  </si>
  <si>
    <t>Log(Kchem) (cm/s)</t>
  </si>
  <si>
    <t>Kchem (cm/s)</t>
  </si>
  <si>
    <t>Kchem</t>
  </si>
  <si>
    <t>A</t>
  </si>
  <si>
    <t>Study Reference</t>
  </si>
  <si>
    <t>Ko</t>
  </si>
  <si>
    <t>Temperature (°C)</t>
  </si>
  <si>
    <t>Ko (cm/s)</t>
  </si>
  <si>
    <t>Temperature (K)</t>
  </si>
  <si>
    <t>Primary Citation</t>
  </si>
  <si>
    <t>Additional Data Reference Citations</t>
  </si>
  <si>
    <t>Rs</t>
  </si>
  <si>
    <r>
      <t>Co (mol*cm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</t>
    </r>
  </si>
  <si>
    <r>
      <t>Co (mol*cm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
From Additional Reference (1)</t>
    </r>
  </si>
  <si>
    <t>Oxygen
Nonstoichiometry</t>
  </si>
  <si>
    <t>Log (Vacancy Thermodynamic
 Factor)</t>
  </si>
  <si>
    <t>Sogaard, J. Electroceram, “Oxygen Incorporation in Porous Thin Films of Strontium doped Lanthanum Ferrite”, 27, (2011), 134</t>
  </si>
  <si>
    <t>B</t>
  </si>
  <si>
    <t>Additional Reference
Data from Primary
Citation</t>
  </si>
  <si>
    <t>Oxygen Thermodynamic Factor
From Additional Reference (2)</t>
  </si>
  <si>
    <t>Sogaard, J. Solid State Chemistry, “Oxygen Nonstoichiometry and Transport Properties of Strontium Substituted Lanthanum Ferrite”, 180, (2007), 1489</t>
  </si>
  <si>
    <r>
      <t>Conductivity (S*cm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</si>
  <si>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Vacancy Thermodynamic
Factor</t>
  </si>
  <si>
    <r>
      <t>Do 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</si>
  <si>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Log(Thermodynamic Factor)</t>
  </si>
  <si>
    <t>Thermodynamic Factor</t>
  </si>
  <si>
    <r>
      <t>Rs (</t>
    </r>
    <r>
      <rPr>
        <sz val="11"/>
        <color theme="1"/>
        <rFont val="Calibri"/>
        <family val="2"/>
      </rPr>
      <t xml:space="preserve">Ω* </t>
    </r>
    <r>
      <rPr>
        <sz val="11"/>
        <color theme="1"/>
        <rFont val="Calibri"/>
        <family val="2"/>
        <scheme val="minor"/>
      </rPr>
      <t>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</si>
  <si>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Rs (Ω* cm2)</t>
  </si>
  <si>
    <t>Yang, Solid State Ionics, “In-situ Oxygen Surface Exchange Coefficient Measurements on Lanthanum Strontium Ferrite Thin Films via the Curvature Relaxation Method”, 249, (2013), 123</t>
  </si>
  <si>
    <t>Oxygen Thermodynamic Factor
From Additional Reference (1)</t>
  </si>
  <si>
    <t>Ten Elshof, J. Electrochem. Soc., “Oxygen Exchange and Diffusion Coefficients of Strontium-Doped Lanthanum Ferrites by Electrical Conductivity Relaxation”, 144, (3), (1997), 1060</t>
  </si>
  <si>
    <t>Log(Ko) (cm/s)</t>
  </si>
  <si>
    <t>Oxygen Thermodynamic Factor</t>
  </si>
  <si>
    <t>Oxygen Thermodynamic
Factor</t>
  </si>
  <si>
    <t>D</t>
  </si>
  <si>
    <t>E</t>
  </si>
  <si>
    <t>F</t>
  </si>
  <si>
    <t>Armstrong, Phys. Chem. Chem. Phys., “Effect of A and B-Site Cations on Surface Exchange Coefficient for ABO3 Perovskite Materials”, 15, (2013), 2298</t>
  </si>
  <si>
    <r>
      <t>Do 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
From Additional
Reference (1)</t>
    </r>
  </si>
  <si>
    <t>G</t>
  </si>
  <si>
    <t>Ishigaki, J. Solid State Chemistry, “Diffusion of Oxide Ion Vacancies in Perovskite-Type Oxides”, 73, (1988), 179</t>
  </si>
  <si>
    <t>H</t>
  </si>
  <si>
    <t>Baumann, J. Electrochem. Soc., “Quantitative Comparison of Mixed Conducting SOFC Cathode Materials by Means of Thin Film Model Electrodes”, 154, (9), (2007), B931</t>
  </si>
  <si>
    <t>Ko (cm/s)
From Additional Reference (2)</t>
  </si>
  <si>
    <t>Tripkovic, Phys. Chem. Chem. Phys., “Passivation and Activation of LSF Thin Film Electrodes”, 22, (2020), 15418</t>
  </si>
  <si>
    <t>I</t>
  </si>
  <si>
    <t>Plonczak, J, Electrochem. Soc., “Electrochemical Characterization of LSFC Thin Film Electrodes Prepared by Pulsed Laser Deposition”, 159, (5), (2012), B471</t>
  </si>
  <si>
    <r>
      <t>Resistance (</t>
    </r>
    <r>
      <rPr>
        <sz val="11"/>
        <color theme="1"/>
        <rFont val="Calibri"/>
        <family val="2"/>
      </rPr>
      <t>Ω)</t>
    </r>
  </si>
  <si>
    <r>
      <t>Area Multiplication
Factor 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</si>
  <si>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Bouwmeester, J. Solid State Electrochemistry, “Oxygen Transport in LSFC”  8, (2004), 599</t>
  </si>
  <si>
    <t>Log(Kchem)(m/s)</t>
  </si>
  <si>
    <t>Kchem (m/s)</t>
  </si>
  <si>
    <t>Cox-Galhotra, Solid State Ionics, “Unreliability of Simultaneously Determining Kchem and Dchem via Conductivity Relaxation for Surface-Modified LSFC”, 181, (2010), 1429</t>
  </si>
  <si>
    <t>J</t>
  </si>
  <si>
    <t>K</t>
  </si>
  <si>
    <t>L</t>
  </si>
  <si>
    <t>Log(Kchem)(cm/s)</t>
  </si>
  <si>
    <t>Dalslet, J. Electrochem. Soc., “Determination of Oxygen Transport Properties from Flux and Driving Force Measurements”, 154, (12), (2007), B1276</t>
  </si>
  <si>
    <t>Rs (Ω* m2)</t>
  </si>
  <si>
    <t>Ko (m/s)</t>
  </si>
  <si>
    <t>M</t>
  </si>
  <si>
    <t>Huang, J. Electrochem. Soc., “Enhancement of LSFC Surface Exchange through Ion Implantation”, 162, (9), (2015), F965</t>
  </si>
  <si>
    <t>N</t>
  </si>
  <si>
    <t>Ln (Kchem) (cm/s)</t>
  </si>
  <si>
    <t>Lane, Solid State Ionics, “Oxygen Transport in LSFC”, 121, (1999), 201</t>
  </si>
  <si>
    <t>Log (Kchem) (cm/s)</t>
  </si>
  <si>
    <t>Log (Ko) (cm/s)</t>
  </si>
  <si>
    <t>Log(Thermodynamic
Factor)</t>
  </si>
  <si>
    <t>Li, J. Electrochem. Soc., 160, “Surface Exchange and Bulk Diffusivity of LSCF as SOFC Cathode: Electrical Conductivity Relaxation and Isotope Exchange Characterizations”, (4), (2013), F343</t>
  </si>
  <si>
    <t>O</t>
  </si>
  <si>
    <t>P</t>
  </si>
  <si>
    <t>Ln(Ko) (cm/s)</t>
  </si>
  <si>
    <t>Reid, J. Electrochem. Soc., “Synthesis and Characterization of LSFC and BSCF”, 155, (10), (2008), B1029</t>
  </si>
  <si>
    <t>Q</t>
  </si>
  <si>
    <t>Wang, Solid State Ionics, “An Electrical Conductivity Relaxation Study of LSFC”, 156, (2003), 201</t>
  </si>
  <si>
    <t>R</t>
  </si>
  <si>
    <t>Chater, Solid State Ionics, “Development of a Novel SIMS Technique for Oxygen Self-Diffusion and Surface Exchange Coefficient Measurements in Oxides of High Diffusivity”, 53, (1992), 859</t>
  </si>
  <si>
    <t xml:space="preserve">S </t>
  </si>
  <si>
    <t>Steele, Solid State Ionics, “Properties of LSFC Double Layer Cathodes on Gadolinium-Doped Cerium Oxide (CGO) Electrolytes: II. Role of Oxygen Exchange and Diffusion”, 106, (1998), 255</t>
  </si>
  <si>
    <t>Ko (cm/s)
From Additional Reference (1)</t>
  </si>
  <si>
    <t>U</t>
  </si>
  <si>
    <t>T</t>
  </si>
  <si>
    <t>Simrick, Solid State Ionics, “An Investigation of the Oxygen Reduction Reaction Mechanism of LSFC using Patterned Thin Films”, 206, (2012), 7</t>
  </si>
  <si>
    <t>Moreno, J. Electrochem. Soc., “Chemical Strain and Oxidation-Reduction Kinetics of Epitaxial Thin Films of Mixed Ionic-Electronic Conducting Oxides Determined by X-Ray Diffraction”, 161, (11), (2014), F3046</t>
  </si>
  <si>
    <t>V</t>
  </si>
  <si>
    <t>Egger, Solid State Ionics, “Comparison of Oxygen Exchange Kinetics of the IT-SOFC Cathode Materials La0.5Sr0.5CoO3 and La0.6Sr0.4CoO3”, 225, (2012), 55</t>
  </si>
  <si>
    <t>Berenov, Solid State Ionics, “Oxygen Tracer Diffusion and Surface Exchange Kinetics in LSC”, 181, (2010), 819</t>
  </si>
  <si>
    <r>
      <t>Oxygen Ion
Conductivity (S*cm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</si>
  <si>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Co (mol*cm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
From Additional Reference Data</t>
    </r>
  </si>
  <si>
    <t>D* (cm^2/s)</t>
  </si>
  <si>
    <t>f (correlation
coefficient)</t>
  </si>
  <si>
    <t>Do (cm^2/s)</t>
  </si>
  <si>
    <r>
      <t>Oxygen Ion
Conductivity (S*cm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
From Additional
Reference (1)</t>
    </r>
  </si>
  <si>
    <t>W</t>
  </si>
  <si>
    <t>X</t>
  </si>
  <si>
    <t>Sogaard, Solid State Ionics, “Oxygen Nonstoichiometry and Transport Properties of Strontium Substituted Lanthanum Cobaltite”, 177, (2006), 3285</t>
  </si>
  <si>
    <t>Y</t>
  </si>
  <si>
    <t>Januschewsky, J. Adv. Funct. Mater., “Optimized LSC Thin-Film Electrodes with Extremely Fast Oxygen-Reduction Kinetics”, 19, (2009), 3151</t>
  </si>
  <si>
    <t>Z</t>
  </si>
  <si>
    <t>Siebenhofer, J. Mater. Chem. A., “Oxygen Exchange Kinetics and Nonstoichiometry of Pristine LSC Thin Films Unaltered by Degradation”, 8, (2020), 7968</t>
  </si>
  <si>
    <t>AA</t>
  </si>
  <si>
    <r>
      <t>Co (mol*cm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
From Additional
Reference (2)</t>
    </r>
  </si>
  <si>
    <t>Adler, Solid State Ionics, “Mechanism and Kinetics of Oxygen Reduction on Porous LSC Electrodes”, 111, (1998), 125</t>
  </si>
  <si>
    <r>
      <t>Co (mol*cm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
From Additional
Reference (1)</t>
    </r>
  </si>
  <si>
    <t>AB</t>
  </si>
  <si>
    <t>Hayd, J. Electrochem. Soc., “Hetero-Interfaces at Nanoscaled (La,Sr)CoO3 Thin-Film Cathodes Enhancing Oxygen Surface-Exchange Properties”, 160, (2013), F351</t>
  </si>
  <si>
    <t>AC</t>
  </si>
  <si>
    <t>Yeh, Solid State Ionics, “Oxygen Transport and Surface Exchange Properties of SSC”, 232, (2013), 138</t>
  </si>
  <si>
    <t>Log(D*) (cm^2/s)</t>
  </si>
  <si>
    <t>Correlation
Factor</t>
  </si>
  <si>
    <t>Log(Dchem) (cm^2/s)</t>
  </si>
  <si>
    <t>Dchem (cm^2/s)</t>
  </si>
  <si>
    <r>
      <t>Oxygen Ionic
Conductivity (S*K*cm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</si>
  <si>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Oxygen Ionic
Conductivity (S*cm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</si>
  <si>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AD</t>
  </si>
  <si>
    <t>Fullarton, Ionics, “Study of Oxygen Ion Transport in Acceptor Doped Samarium Cobalt Oxide”, 1, (1995), 51</t>
  </si>
  <si>
    <t>Dchem (cm^2/s)
From Additional Reference (2)</t>
  </si>
  <si>
    <t>Fu, J. Power Sources, “Chemical Bulk Diffusion Coefficient of SSC Cathode for Solid Oxide Fuel Cell”, 240, (2013), 168</t>
  </si>
  <si>
    <t>AE</t>
  </si>
  <si>
    <t>Do (cm^2/s)
From Additional
Reference (1)</t>
  </si>
  <si>
    <t>AF</t>
  </si>
  <si>
    <t>AG</t>
  </si>
  <si>
    <t>Burriel, Solid State Ionics, “BSCF Epitaxial Thin Films: Electrical Transport and Oxygen Surface Exchange”, 181, (2010), 602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</si>
  <si>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Bucher, Solid State Ionics, “Oxygen Nonstoichiometry and Exchange Kinetics of BSCF”, 179, (2008), 1032</t>
    </r>
  </si>
  <si>
    <t>Wang, Applied Physics Letters, “Oxygen Tracer Diffusion in Dense BSCF Films”, 94, (2009), 071908</t>
  </si>
  <si>
    <t>Girdauskaite, Solid State Ionics, “Oxygen Transport Properties of BSCF and CSMF Obtained from Permeation and Conductivity Relaxation Experiments”, 179, (2008), 385</t>
  </si>
  <si>
    <t>Dchem (cm^2/s)
From Additional
Reference (1)</t>
  </si>
  <si>
    <t>AH</t>
  </si>
  <si>
    <t>AI</t>
  </si>
  <si>
    <t>Bucher, J. Electrochem. Soc., “Stability of the SOFC Cathode Material (Ba,Sr)(Co,Fe)O3-d in CO2-Containing Atmospheres”, 155, (11), (2008), B1218</t>
  </si>
  <si>
    <t>AJ</t>
  </si>
  <si>
    <t>Bucher, Solid State Ionics, “Oxygen Nonstoichiometry and Exchange Kinetics of BSCF”, 179, (2008), 1032</t>
  </si>
  <si>
    <t>Dchem (cm/s)</t>
  </si>
  <si>
    <t>Chen, Int. J. Hydrogen Energy, “Surface Exchange and Bulk Diffusion Properties of BSCF Mixed Conductor”, 36, (2011), 6948</t>
  </si>
  <si>
    <t>AK</t>
  </si>
  <si>
    <t>Wang, J. Electrochem. Soc., 157, “Surface Kinetics and Mechanism of Oxygen Incorporation into BSCF SOFC Microelectrodes”, (12), (2010), B1802</t>
  </si>
  <si>
    <r>
      <t>Mean Molar
Volume (mol*cm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</t>
    </r>
  </si>
  <si>
    <t>3-delta</t>
  </si>
  <si>
    <t>Thermodynamic
Factor</t>
  </si>
  <si>
    <t>Do (cm^2/s)
From Additional Reference (1)</t>
  </si>
  <si>
    <t>AL</t>
  </si>
  <si>
    <t>Baumann, Solid State Ionics, “BSCF Thin Film Microelectrodes Investigated by Impedance Spectroscopy”, 177, (2006), 3187</t>
  </si>
  <si>
    <t>Temperature(°C)</t>
  </si>
  <si>
    <t>Electrode
Diameter (um)</t>
  </si>
  <si>
    <t>Electrode
Area (um^2)</t>
  </si>
  <si>
    <t>Electrode
Area (cm^2)</t>
  </si>
  <si>
    <t>Rs (Ohm)</t>
  </si>
  <si>
    <t>Area Normalized Rs (Ohm*cm^2)</t>
  </si>
  <si>
    <t>Co (mol/cm^3)</t>
  </si>
  <si>
    <t>Dchem (cm^2/s)
From Additional Reference (1)</t>
  </si>
  <si>
    <r>
      <t>Mean Molar
Volume (mol*cm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
From Additional Reference (1)</t>
    </r>
  </si>
  <si>
    <t>Nonstoichiometry</t>
  </si>
  <si>
    <t>Kchem (cm/s)
(from Burriel (1))</t>
  </si>
  <si>
    <t>Nicollet, Nature Catalysis, “Acidity of Surface-Infiltrated Binary Oxides as a Sensitive Descriptor of Oxygen Exchange Kinetics in Mixed Conducting Oxides”, 3, (2020), 913</t>
  </si>
  <si>
    <t>Ma, Phys. Chem. Chem. Phys., “Mechanical, Thermal, and Electrochemical Properties of Pr doped Ceria from Wafer Curvature Measurements”, 20, (2018), 27350.</t>
  </si>
  <si>
    <r>
      <t>Co (mol*cm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
From Additional Reference (2)</t>
    </r>
  </si>
  <si>
    <t>Chen, J. Electroceram., “Praseodymium-Cerium Oxide Thin Film Cathodes: Study of Oxygen Reduction Reaction Kinetics”, 28, (2012), 62</t>
  </si>
  <si>
    <t>AM</t>
  </si>
  <si>
    <t>AN</t>
  </si>
  <si>
    <t>AO</t>
  </si>
  <si>
    <t>Nicollet, Solid State Ionics, “Mixed Conductivity and Oxygen Surface Exchange Kinetics of Lanthanum-Praseodymium Doped Cerium Oxide”, 331, (2019), 96</t>
  </si>
  <si>
    <t>Chen, ACS Appl. Mater. Interfaces, “Emergence of Rapid Oxygen Surface Exchange Kinetics during in Situ Crystallization of Mixed Conducting Thin Film Oxides”, 11, (2019), 9102</t>
  </si>
  <si>
    <t>Y-axis Multiplication
Factor</t>
  </si>
  <si>
    <t>AQ</t>
  </si>
  <si>
    <t>AR</t>
  </si>
  <si>
    <t>Kchem (cm/s) *10^-7</t>
  </si>
  <si>
    <t>AS</t>
  </si>
  <si>
    <t>Simons, J.Am. Ceram. Soc., “A Piezomicrobalance System for High-Temperature Mass Relaxation Characterization of Metal Oxides: A Case Study of Pr-doped Ceria”, 100, (2017), 1161</t>
  </si>
  <si>
    <t>Zhao, Chem. Mater., “Improving the Si Impurity Tolerance of PCO SOFC Electrodes with Reactive Surface Additives”, 27, (2015), 3065</t>
  </si>
  <si>
    <t>Chen, Applied Materials &amp; Interfaces, ”Emergence of Rapid Oxygen Surface Exchange Kinetics during in Situ Crystallization of Mixed Conducting Thin Film Oxides”, 11,(2019), 9102-9116</t>
  </si>
  <si>
    <t>AV</t>
  </si>
  <si>
    <t>AT</t>
  </si>
  <si>
    <t>AU</t>
  </si>
  <si>
    <t>Kchem, Ko and Rs Value Colors Indicate the following:</t>
  </si>
  <si>
    <t>Values were taken directly from this current citation without calculations</t>
  </si>
  <si>
    <t>Values were calculated using parameters taken from other literature citations</t>
  </si>
  <si>
    <t>NOTE</t>
  </si>
  <si>
    <t>Yam, Green, Purple</t>
  </si>
  <si>
    <t xml:space="preserve">Dark Grey                         </t>
  </si>
  <si>
    <t xml:space="preserve">Light Grey                         </t>
  </si>
  <si>
    <t>Values were derived within the primary citation or was calculated here using other parameters within the primary citation</t>
  </si>
  <si>
    <r>
      <t>Co (mol*cm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
From Addition Reference (1)</t>
    </r>
  </si>
  <si>
    <t>AP</t>
  </si>
  <si>
    <t>Oxygen Thermodynamic Factor
Derived from Reference (2)</t>
  </si>
  <si>
    <t>Preis, J. Power Sources, “Oxygen Exchange Measurements on Perovskite as Cathode Materials for Solid Oxide Fuel Cells”, 106, (2002), 116-121</t>
  </si>
  <si>
    <t>Log Kchem (cm/s)</t>
  </si>
  <si>
    <t>AW</t>
  </si>
  <si>
    <t>Falkenstein, Solid State Ionics, “Chemical Relaxation Experiments on Mixed Conducting Oxides with Large Stoichiometry Deviations”, 280, (2015), 66-73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</si>
  <si>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Lohne, J. Electrochem. Soc., “The Significance of Gas-Phase Mass Transport in Assessment of kchem and Dchem”, 160, (11), (2013), F1282-F1292.</t>
    </r>
  </si>
  <si>
    <t>AX</t>
  </si>
  <si>
    <t>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</si>
</sst>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E+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6666"/>
        <bgColor indexed="64"/>
      </patternFill>
    </fill>
    <fill>
      <patternFill patternType="solid">
        <fgColor rgb="FF99CC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666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1" fontId="0" fillId="0" borderId="0" xfId="0" applyNumberFormat="1" applyFont="1"/>
    <xf numFmtId="0" fontId="0" fillId="0" borderId="0" xfId="0"/>
    <xf numFmtId="0" fontId="0" fillId="0" borderId="0" xfId="0"/>
    <xf numFmtId="11" fontId="0" fillId="0" borderId="0" xfId="0" applyNumberFormat="1"/>
    <xf numFmtId="1" fontId="0" fillId="0" borderId="0" xfId="0" applyNumberFormat="1"/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wrapText="1"/>
    </xf>
    <xf numFmtId="0" fontId="0" fillId="0" borderId="0" xfId="0"/>
    <xf numFmtId="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wrapText="1"/>
    </xf>
    <xf numFmtId="0" fontId="0" fillId="0" borderId="0" xfId="0"/>
    <xf numFmtId="1" fontId="0" fillId="0" borderId="0" xfId="0" applyNumberFormat="1"/>
    <xf numFmtId="11" fontId="0" fillId="0" borderId="0" xfId="0" applyNumberFormat="1" applyFill="1"/>
    <xf numFmtId="0" fontId="0" fillId="0" borderId="0" xfId="0"/>
    <xf numFmtId="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wrapText="1"/>
    </xf>
    <xf numFmtId="0" fontId="0" fillId="0" borderId="0" xfId="0"/>
    <xf numFmtId="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wrapText="1"/>
    </xf>
    <xf numFmtId="0" fontId="0" fillId="0" borderId="0" xfId="0"/>
    <xf numFmtId="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wrapText="1"/>
    </xf>
    <xf numFmtId="0" fontId="0" fillId="0" borderId="0" xfId="0"/>
    <xf numFmtId="1" fontId="0" fillId="0" borderId="0" xfId="0" applyNumberFormat="1"/>
    <xf numFmtId="11" fontId="0" fillId="0" borderId="0" xfId="0" applyNumberFormat="1" applyFill="1"/>
    <xf numFmtId="0" fontId="0" fillId="0" borderId="0" xfId="0"/>
    <xf numFmtId="1" fontId="0" fillId="0" borderId="0" xfId="0" applyNumberFormat="1" applyFill="1"/>
    <xf numFmtId="0" fontId="0" fillId="0" borderId="0" xfId="0"/>
    <xf numFmtId="11" fontId="0" fillId="0" borderId="0" xfId="0" applyNumberFormat="1"/>
    <xf numFmtId="0" fontId="0" fillId="0" borderId="0" xfId="0"/>
    <xf numFmtId="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1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11" fontId="0" fillId="0" borderId="0" xfId="0" applyNumberFormat="1" applyFill="1"/>
    <xf numFmtId="0" fontId="0" fillId="0" borderId="0" xfId="0"/>
    <xf numFmtId="11" fontId="0" fillId="0" borderId="0" xfId="0" applyNumberFormat="1"/>
    <xf numFmtId="11" fontId="0" fillId="0" borderId="0" xfId="0" applyNumberFormat="1" applyFill="1"/>
    <xf numFmtId="0" fontId="0" fillId="0" borderId="0" xfId="0" applyFill="1"/>
    <xf numFmtId="1" fontId="0" fillId="0" borderId="0" xfId="0" applyNumberFormat="1"/>
    <xf numFmtId="11" fontId="0" fillId="0" borderId="0" xfId="0" applyNumberFormat="1" applyFill="1"/>
    <xf numFmtId="1" fontId="0" fillId="0" borderId="0" xfId="0" applyNumberFormat="1" applyFill="1"/>
    <xf numFmtId="0" fontId="0" fillId="0" borderId="0" xfId="0" applyAlignment="1">
      <alignment wrapText="1"/>
    </xf>
    <xf numFmtId="11" fontId="0" fillId="0" borderId="0" xfId="0" applyNumberFormat="1" applyFill="1"/>
    <xf numFmtId="0" fontId="0" fillId="0" borderId="0" xfId="0"/>
    <xf numFmtId="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1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Fill="1"/>
    <xf numFmtId="11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1" fontId="0" fillId="0" borderId="0" xfId="0" applyNumberFormat="1" applyFont="1" applyFill="1"/>
    <xf numFmtId="1" fontId="0" fillId="0" borderId="0" xfId="0" applyNumberForma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8" fillId="0" borderId="0" xfId="0" applyFont="1" applyAlignment="1">
      <alignment horizontal="center" vertical="center"/>
    </xf>
    <xf numFmtId="0" fontId="0" fillId="0" borderId="1" xfId="0" applyFill="1" applyBorder="1"/>
    <xf numFmtId="11" fontId="0" fillId="0" borderId="1" xfId="0" applyNumberFormat="1" applyFill="1" applyBorder="1"/>
    <xf numFmtId="11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0" fillId="0" borderId="5" xfId="0" applyNumberFormat="1" applyBorder="1"/>
    <xf numFmtId="1" fontId="0" fillId="0" borderId="0" xfId="0" applyNumberFormat="1" applyBorder="1"/>
    <xf numFmtId="11" fontId="0" fillId="0" borderId="0" xfId="0" applyNumberFormat="1" applyBorder="1"/>
    <xf numFmtId="1" fontId="0" fillId="0" borderId="7" xfId="0" applyNumberFormat="1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11" fontId="0" fillId="0" borderId="0" xfId="0" applyNumberFormat="1" applyFill="1" applyBorder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0" fillId="0" borderId="0" xfId="0" applyNumberFormat="1" applyFill="1" applyBorder="1"/>
    <xf numFmtId="1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0" fillId="0" borderId="8" xfId="0" applyBorder="1"/>
    <xf numFmtId="11" fontId="0" fillId="2" borderId="6" xfId="0" applyNumberFormat="1" applyFill="1" applyBorder="1"/>
    <xf numFmtId="11" fontId="0" fillId="2" borderId="8" xfId="0" applyNumberFormat="1" applyFill="1" applyBorder="1"/>
    <xf numFmtId="11" fontId="0" fillId="3" borderId="6" xfId="0" applyNumberFormat="1" applyFill="1" applyBorder="1"/>
    <xf numFmtId="11" fontId="0" fillId="3" borderId="8" xfId="0" applyNumberFormat="1" applyFill="1" applyBorder="1"/>
    <xf numFmtId="11" fontId="0" fillId="4" borderId="6" xfId="0" applyNumberFormat="1" applyFill="1" applyBorder="1"/>
    <xf numFmtId="11" fontId="0" fillId="4" borderId="8" xfId="0" applyNumberFormat="1" applyFill="1" applyBorder="1"/>
    <xf numFmtId="11" fontId="0" fillId="5" borderId="6" xfId="0" applyNumberFormat="1" applyFill="1" applyBorder="1"/>
    <xf numFmtId="11" fontId="0" fillId="5" borderId="8" xfId="0" applyNumberFormat="1" applyFill="1" applyBorder="1"/>
    <xf numFmtId="0" fontId="0" fillId="5" borderId="5" xfId="0" applyFill="1" applyBorder="1"/>
    <xf numFmtId="0" fontId="0" fillId="4" borderId="7" xfId="0" applyFill="1" applyBorder="1"/>
    <xf numFmtId="0" fontId="0" fillId="2" borderId="6" xfId="0" applyFill="1" applyBorder="1"/>
    <xf numFmtId="0" fontId="0" fillId="2" borderId="8" xfId="0" applyFill="1" applyBorder="1"/>
    <xf numFmtId="0" fontId="0" fillId="3" borderId="6" xfId="0" applyFill="1" applyBorder="1"/>
    <xf numFmtId="0" fontId="0" fillId="3" borderId="8" xfId="0" applyFill="1" applyBorder="1"/>
    <xf numFmtId="11" fontId="0" fillId="6" borderId="6" xfId="0" applyNumberFormat="1" applyFill="1" applyBorder="1"/>
    <xf numFmtId="11" fontId="0" fillId="6" borderId="8" xfId="0" applyNumberFormat="1" applyFill="1" applyBorder="1"/>
    <xf numFmtId="0" fontId="9" fillId="0" borderId="9" xfId="0" applyFont="1" applyBorder="1" applyAlignment="1">
      <alignment horizontal="center" vertical="center"/>
    </xf>
    <xf numFmtId="11" fontId="0" fillId="6" borderId="6" xfId="0" applyNumberFormat="1" applyFill="1" applyBorder="1" applyAlignment="1">
      <alignment wrapText="1"/>
    </xf>
    <xf numFmtId="11" fontId="0" fillId="0" borderId="3" xfId="0" applyNumberFormat="1" applyFill="1" applyBorder="1"/>
    <xf numFmtId="1" fontId="0" fillId="0" borderId="5" xfId="0" applyNumberFormat="1" applyFill="1" applyBorder="1"/>
    <xf numFmtId="1" fontId="0" fillId="0" borderId="3" xfId="0" applyNumberFormat="1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66"/>
      <color rgb="FF99CC33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61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5762625"/>
          <a:ext cx="9525" cy="7277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5"/>
  <sheetViews>
    <sheetView workbookViewId="0">
      <selection activeCell="G19" sqref="G19"/>
    </sheetView>
  </sheetViews>
  <sheetFormatPr defaultRowHeight="15" x14ac:dyDescent="0.25"/>
  <cols>
    <col min="1" max="1" width="18.28515625" bestFit="1" customWidth="1"/>
    <col min="2" max="2" width="16.42578125" bestFit="1" customWidth="1"/>
    <col min="3" max="3" width="19" bestFit="1" customWidth="1"/>
    <col min="4" max="4" width="13.28515625" bestFit="1" customWidth="1"/>
    <col min="5" max="5" width="18" bestFit="1" customWidth="1"/>
    <col min="6" max="6" width="16.42578125" bestFit="1" customWidth="1"/>
    <col min="7" max="7" width="16.28515625" bestFit="1" customWidth="1"/>
    <col min="8" max="8" width="22.5703125" customWidth="1"/>
    <col min="9" max="9" width="15.42578125" bestFit="1" customWidth="1"/>
    <col min="19" max="19" width="11.42578125" customWidth="1"/>
  </cols>
  <sheetData>
    <row r="1" spans="1:19" x14ac:dyDescent="0.25">
      <c r="A1" s="4" t="s">
        <v>1</v>
      </c>
      <c r="B1" s="4"/>
      <c r="C1" s="7" t="s">
        <v>3</v>
      </c>
      <c r="D1" s="7"/>
      <c r="E1" s="9" t="s">
        <v>6</v>
      </c>
      <c r="F1" s="9"/>
      <c r="H1" t="s">
        <v>12</v>
      </c>
    </row>
    <row r="2" spans="1:19" ht="17.25" x14ac:dyDescent="0.25">
      <c r="A2" s="5">
        <v>6.0219999999999996E+23</v>
      </c>
      <c r="B2" s="6" t="s">
        <v>2</v>
      </c>
      <c r="C2" s="8">
        <v>1.3800000000000001E-23</v>
      </c>
      <c r="D2" s="8" t="s">
        <v>4</v>
      </c>
      <c r="E2" s="93">
        <v>96485.331999999995</v>
      </c>
      <c r="F2" s="9" t="s">
        <v>7</v>
      </c>
      <c r="H2" t="s">
        <v>11</v>
      </c>
    </row>
    <row r="3" spans="1:19" ht="15.75" thickBot="1" x14ac:dyDescent="0.3"/>
    <row r="4" spans="1:19" s="10" customFormat="1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8</v>
      </c>
      <c r="D5" s="137" t="s">
        <v>9</v>
      </c>
      <c r="H5" s="2" t="s">
        <v>0</v>
      </c>
    </row>
    <row r="6" spans="1:19" x14ac:dyDescent="0.25">
      <c r="A6" s="138">
        <f>B6+273.15</f>
        <v>1073.1500000000001</v>
      </c>
      <c r="B6" s="139">
        <v>800</v>
      </c>
      <c r="C6" s="140">
        <v>-5.47</v>
      </c>
      <c r="D6" s="153">
        <v>3.388441561392022E-6</v>
      </c>
    </row>
    <row r="7" spans="1:19" x14ac:dyDescent="0.25">
      <c r="A7" s="138">
        <f t="shared" ref="A7:A10" si="0">B7+273.15</f>
        <v>1048.2180293501049</v>
      </c>
      <c r="B7" s="139">
        <v>775.06802935010489</v>
      </c>
      <c r="C7" s="140">
        <v>-6.17</v>
      </c>
      <c r="D7" s="153">
        <v>6.7608297539198085E-7</v>
      </c>
      <c r="H7" t="s">
        <v>18</v>
      </c>
    </row>
    <row r="8" spans="1:19" ht="15.75" x14ac:dyDescent="0.25">
      <c r="A8" s="138">
        <f t="shared" si="0"/>
        <v>1023.6462278636503</v>
      </c>
      <c r="B8" s="139">
        <v>750.49622786365035</v>
      </c>
      <c r="C8" s="140">
        <v>-6.71</v>
      </c>
      <c r="D8" s="153">
        <v>1.9498445997580421E-7</v>
      </c>
      <c r="G8">
        <v>1</v>
      </c>
      <c r="H8" s="2" t="s">
        <v>28</v>
      </c>
    </row>
    <row r="9" spans="1:19" x14ac:dyDescent="0.25">
      <c r="A9" s="138">
        <f t="shared" si="0"/>
        <v>998.40255591054313</v>
      </c>
      <c r="B9" s="139">
        <v>725.25255591054315</v>
      </c>
      <c r="C9" s="140">
        <v>-7.27</v>
      </c>
      <c r="D9" s="153">
        <v>5.3703179637025192E-8</v>
      </c>
    </row>
    <row r="10" spans="1:19" ht="15.75" thickBot="1" x14ac:dyDescent="0.3">
      <c r="A10" s="141">
        <f t="shared" si="0"/>
        <v>947.73254987442544</v>
      </c>
      <c r="B10" s="131">
        <v>674.58254987442547</v>
      </c>
      <c r="C10" s="130">
        <v>-8.2899999999999991</v>
      </c>
      <c r="D10" s="154">
        <v>5.1286138399136542E-9</v>
      </c>
    </row>
    <row r="11" spans="1:19" ht="19.5" thickBot="1" x14ac:dyDescent="0.3">
      <c r="H11" s="169" t="s">
        <v>184</v>
      </c>
      <c r="I11" s="111"/>
      <c r="J11" s="111"/>
    </row>
    <row r="12" spans="1:19" ht="15.75" x14ac:dyDescent="0.25">
      <c r="A12" s="133" t="s">
        <v>13</v>
      </c>
      <c r="B12" s="134"/>
      <c r="C12" s="134"/>
      <c r="D12" s="135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6" t="s">
        <v>16</v>
      </c>
      <c r="B13" s="115" t="s">
        <v>14</v>
      </c>
      <c r="C13" s="115"/>
      <c r="D13" s="137" t="s">
        <v>15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>B14+273.15</f>
        <v>1073.1500000000001</v>
      </c>
      <c r="B14" s="139">
        <v>800</v>
      </c>
      <c r="C14" s="115"/>
      <c r="D14" s="159">
        <f>D6/I31</f>
        <v>3.3711848135040248E-8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ref="A15:A18" si="1">B15+273.15</f>
        <v>1048.2180293501049</v>
      </c>
      <c r="B15" s="139">
        <v>775.06802935010489</v>
      </c>
      <c r="C15" s="115"/>
      <c r="D15" s="159">
        <f>D7/I32</f>
        <v>5.8260734988681611E-9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1"/>
        <v>1023.6462278636503</v>
      </c>
      <c r="B16" s="139">
        <v>750.49622786365035</v>
      </c>
      <c r="C16" s="115"/>
      <c r="D16" s="159">
        <f>D8/I33</f>
        <v>1.497563524115624E-9</v>
      </c>
    </row>
    <row r="17" spans="1:9" x14ac:dyDescent="0.25">
      <c r="A17" s="138">
        <f t="shared" si="1"/>
        <v>998.40255591054313</v>
      </c>
      <c r="B17" s="139">
        <v>725.25255591054315</v>
      </c>
      <c r="C17" s="115"/>
      <c r="D17" s="159">
        <f>D9/I34</f>
        <v>3.5233748125943934E-10</v>
      </c>
    </row>
    <row r="18" spans="1:9" ht="15.75" thickBot="1" x14ac:dyDescent="0.3">
      <c r="A18" s="141">
        <f t="shared" si="1"/>
        <v>947.73254987442544</v>
      </c>
      <c r="B18" s="131">
        <v>674.58254987442547</v>
      </c>
      <c r="C18" s="126"/>
      <c r="D18" s="160">
        <f>D10/I36</f>
        <v>2.4084856102861678E-11</v>
      </c>
    </row>
    <row r="19" spans="1:9" ht="15.75" thickBot="1" x14ac:dyDescent="0.3"/>
    <row r="20" spans="1:9" ht="15.75" x14ac:dyDescent="0.25">
      <c r="A20" s="133" t="s">
        <v>19</v>
      </c>
      <c r="B20" s="134"/>
      <c r="C20" s="134"/>
      <c r="D20" s="135"/>
    </row>
    <row r="21" spans="1:9" ht="47.25" x14ac:dyDescent="0.25">
      <c r="A21" s="136" t="s">
        <v>16</v>
      </c>
      <c r="B21" s="115" t="s">
        <v>14</v>
      </c>
      <c r="C21" s="142" t="s">
        <v>21</v>
      </c>
      <c r="D21" s="143" t="s">
        <v>35</v>
      </c>
    </row>
    <row r="22" spans="1:9" x14ac:dyDescent="0.25">
      <c r="A22" s="138">
        <f>B22+273.15</f>
        <v>1073.1500000000001</v>
      </c>
      <c r="B22" s="139">
        <v>800</v>
      </c>
      <c r="C22" s="144">
        <f>'LSF,Sogaard (Solid State Chem)'!E42</f>
        <v>7.9831893510962024E-2</v>
      </c>
      <c r="D22" s="157">
        <f>($C$2*A22*$A$2*I31)/(4*$E$2^2*C22*D6)</f>
        <v>88.98948488326235</v>
      </c>
    </row>
    <row r="23" spans="1:9" x14ac:dyDescent="0.25">
      <c r="A23" s="138">
        <f t="shared" ref="A23:A26" si="2">B23+273.15</f>
        <v>1048.2180293501049</v>
      </c>
      <c r="B23" s="139">
        <v>775.06802935010489</v>
      </c>
      <c r="C23" s="144">
        <f>'LSF,Sogaard (Solid State Chem)'!E43</f>
        <v>8.1646415779241754E-2</v>
      </c>
      <c r="D23" s="157">
        <f>($C$2*A23*$A$2*I32)/(4*$E$2^2*C23*D7)</f>
        <v>491.78558753179897</v>
      </c>
    </row>
    <row r="24" spans="1:9" x14ac:dyDescent="0.25">
      <c r="A24" s="138">
        <f t="shared" si="2"/>
        <v>1023.6462278636503</v>
      </c>
      <c r="B24" s="139">
        <v>750.49622786365035</v>
      </c>
      <c r="C24" s="144">
        <f>'LSF,Sogaard (Solid State Chem)'!E44</f>
        <v>7.9526729965448933E-2</v>
      </c>
      <c r="D24" s="157">
        <f>($C$2*A24*$A$2*I33)/(4*$E$2^2*C24*D8)</f>
        <v>1918.1773867673191</v>
      </c>
    </row>
    <row r="25" spans="1:9" x14ac:dyDescent="0.25">
      <c r="A25" s="138">
        <f t="shared" si="2"/>
        <v>998.40255591054313</v>
      </c>
      <c r="B25" s="139">
        <v>725.25255591054315</v>
      </c>
      <c r="C25" s="144">
        <f>'LSF,Sogaard (Solid State Chem)'!E45</f>
        <v>7.7410147106395544E-2</v>
      </c>
      <c r="D25" s="157">
        <f>($C$2*A25*$A$2*I34)/(4*$E$2^2*C25*D9)</f>
        <v>8169.3255110250266</v>
      </c>
    </row>
    <row r="26" spans="1:9" ht="15.75" thickBot="1" x14ac:dyDescent="0.3">
      <c r="A26" s="141">
        <f t="shared" si="2"/>
        <v>947.73254987442544</v>
      </c>
      <c r="B26" s="131">
        <v>674.58254987442547</v>
      </c>
      <c r="C26" s="129">
        <f>'LSF,Sogaard (Solid State Chem)'!E47</f>
        <v>7.318648200962688E-2</v>
      </c>
      <c r="D26" s="158">
        <f>($C$2*A26*$A$2*I36)/(4*$E$2^2*C26*D10)</f>
        <v>119990.84847093339</v>
      </c>
    </row>
    <row r="28" spans="1:9" s="126" customFormat="1" ht="15.75" thickBot="1" x14ac:dyDescent="0.3"/>
    <row r="29" spans="1:9" ht="60" x14ac:dyDescent="0.25">
      <c r="A29" s="27" t="s">
        <v>26</v>
      </c>
    </row>
    <row r="30" spans="1:9" ht="45" x14ac:dyDescent="0.25">
      <c r="A30" s="12" t="s">
        <v>16</v>
      </c>
      <c r="B30" s="12" t="s">
        <v>14</v>
      </c>
      <c r="C30" s="3" t="s">
        <v>22</v>
      </c>
      <c r="E30" s="13" t="s">
        <v>16</v>
      </c>
      <c r="F30" s="13" t="s">
        <v>14</v>
      </c>
      <c r="G30" s="18" t="s">
        <v>23</v>
      </c>
      <c r="H30" s="18" t="s">
        <v>30</v>
      </c>
      <c r="I30" s="18" t="s">
        <v>41</v>
      </c>
    </row>
    <row r="31" spans="1:9" x14ac:dyDescent="0.25">
      <c r="A31" s="11">
        <f>B31+273.15</f>
        <v>1073.1500000000001</v>
      </c>
      <c r="B31">
        <v>800</v>
      </c>
      <c r="C31" s="14">
        <v>4.3154999999999999E-2</v>
      </c>
      <c r="E31" s="15">
        <f>F31+273.15</f>
        <v>1073.1500000000001</v>
      </c>
      <c r="F31">
        <v>800</v>
      </c>
      <c r="G31" s="17">
        <v>0.16642000000000001</v>
      </c>
      <c r="H31" s="17">
        <f>10^G31</f>
        <v>1.4669658369241305</v>
      </c>
      <c r="I31" s="17">
        <f>(H31*(3-C31))/(C31)</f>
        <v>100.51188970177107</v>
      </c>
    </row>
    <row r="32" spans="1:9" x14ac:dyDescent="0.25">
      <c r="A32" s="11">
        <f t="shared" ref="A32:A40" si="3">B32+273.15</f>
        <v>1048.1500000000001</v>
      </c>
      <c r="B32">
        <v>775</v>
      </c>
      <c r="C32" s="14">
        <v>3.5963299999999997E-2</v>
      </c>
      <c r="E32" s="15">
        <f t="shared" ref="E32:E40" si="4">F32+273.15</f>
        <v>1048.1500000000001</v>
      </c>
      <c r="F32">
        <v>775</v>
      </c>
      <c r="G32" s="17">
        <v>0.14860000000000001</v>
      </c>
      <c r="H32" s="17">
        <f t="shared" ref="H32:H37" si="5">10^G32</f>
        <v>1.4079913930392618</v>
      </c>
      <c r="I32" s="17">
        <f t="shared" ref="I32:I37" si="6">(H32*(3-C32))/(C32)</f>
        <v>116.04436084153836</v>
      </c>
    </row>
    <row r="33" spans="1:9" x14ac:dyDescent="0.25">
      <c r="A33" s="11">
        <f t="shared" si="3"/>
        <v>1023.15</v>
      </c>
      <c r="B33">
        <v>750</v>
      </c>
      <c r="C33" s="14">
        <v>2.9284399999999999E-2</v>
      </c>
      <c r="E33" s="15">
        <f t="shared" si="4"/>
        <v>1023.15</v>
      </c>
      <c r="F33">
        <v>750</v>
      </c>
      <c r="G33" s="17">
        <v>0.10839</v>
      </c>
      <c r="H33" s="17">
        <f t="shared" si="5"/>
        <v>1.2834826432192361</v>
      </c>
      <c r="I33" s="17">
        <f t="shared" si="6"/>
        <v>130.20112792273767</v>
      </c>
    </row>
    <row r="34" spans="1:9" x14ac:dyDescent="0.25">
      <c r="A34" s="11">
        <f t="shared" si="3"/>
        <v>998.15</v>
      </c>
      <c r="B34">
        <v>725</v>
      </c>
      <c r="C34" s="14">
        <v>2.3889000000000001E-2</v>
      </c>
      <c r="E34" s="15">
        <f t="shared" si="4"/>
        <v>998.15</v>
      </c>
      <c r="F34">
        <v>725</v>
      </c>
      <c r="G34" s="17">
        <v>8.7590000000000001E-2</v>
      </c>
      <c r="H34" s="17">
        <f t="shared" si="5"/>
        <v>1.2234606337803073</v>
      </c>
      <c r="I34" s="17">
        <f t="shared" si="6"/>
        <v>152.41971829128653</v>
      </c>
    </row>
    <row r="35" spans="1:9" x14ac:dyDescent="0.25">
      <c r="A35" s="11">
        <f t="shared" si="3"/>
        <v>973.15</v>
      </c>
      <c r="B35">
        <v>700</v>
      </c>
      <c r="C35" s="14">
        <v>1.8238000000000001E-2</v>
      </c>
      <c r="E35" s="15">
        <f t="shared" si="4"/>
        <v>973.15</v>
      </c>
      <c r="F35">
        <v>700</v>
      </c>
      <c r="G35" s="17">
        <v>6.7879999999999996E-2</v>
      </c>
      <c r="H35" s="17">
        <f t="shared" si="5"/>
        <v>1.1691762910361556</v>
      </c>
      <c r="I35" s="17">
        <f t="shared" si="6"/>
        <v>191.15064348681594</v>
      </c>
    </row>
    <row r="36" spans="1:9" s="19" customFormat="1" x14ac:dyDescent="0.25">
      <c r="A36" s="11">
        <f t="shared" si="3"/>
        <v>948.15</v>
      </c>
      <c r="B36" s="19">
        <v>675</v>
      </c>
      <c r="C36" s="21">
        <f>(5*10^-5)*EXP(0.0085*B36)</f>
        <v>1.5514386061033321E-2</v>
      </c>
      <c r="E36" s="20">
        <f t="shared" si="4"/>
        <v>948.15</v>
      </c>
      <c r="F36" s="19">
        <v>675</v>
      </c>
      <c r="G36" s="21"/>
      <c r="H36" s="21">
        <f>(0.307)*EXP(0.0019*F36)</f>
        <v>1.1069322701426172</v>
      </c>
      <c r="I36" s="21">
        <f t="shared" si="6"/>
        <v>212.93935982055922</v>
      </c>
    </row>
    <row r="37" spans="1:9" x14ac:dyDescent="0.25">
      <c r="A37" s="11">
        <f t="shared" si="3"/>
        <v>923.15</v>
      </c>
      <c r="B37">
        <v>650</v>
      </c>
      <c r="C37" s="14">
        <v>1.2330199999999999E-2</v>
      </c>
      <c r="E37" s="15">
        <f t="shared" si="4"/>
        <v>923.15</v>
      </c>
      <c r="F37">
        <v>650</v>
      </c>
      <c r="G37" s="17">
        <v>4.598E-2</v>
      </c>
      <c r="H37" s="17">
        <f t="shared" si="5"/>
        <v>1.1116805313223779</v>
      </c>
      <c r="I37" s="17">
        <f t="shared" si="6"/>
        <v>269.36581326173319</v>
      </c>
    </row>
    <row r="38" spans="1:9" x14ac:dyDescent="0.25">
      <c r="A38" s="11">
        <f t="shared" si="3"/>
        <v>898.15</v>
      </c>
      <c r="B38">
        <v>625</v>
      </c>
      <c r="C38" s="30">
        <f>(5*10^-5)*EXP(0.0085*B38)</f>
        <v>1.0142836841543245E-2</v>
      </c>
      <c r="E38" s="29">
        <f t="shared" si="4"/>
        <v>898.15</v>
      </c>
      <c r="F38">
        <v>625</v>
      </c>
      <c r="H38" s="30">
        <f>(0.307)*EXP(0.0019*F38)</f>
        <v>1.0066142467571728</v>
      </c>
      <c r="I38" s="30">
        <f>(H38*(3-C41))/(C41)</f>
        <v>695.5801169574105</v>
      </c>
    </row>
    <row r="39" spans="1:9" x14ac:dyDescent="0.25">
      <c r="A39" s="11">
        <f t="shared" si="3"/>
        <v>873.15</v>
      </c>
      <c r="B39">
        <v>600</v>
      </c>
      <c r="C39" s="30">
        <f>(5*10^-5)*EXP(0.0085*B39)</f>
        <v>8.2010953649950917E-3</v>
      </c>
      <c r="E39" s="29">
        <f t="shared" si="4"/>
        <v>873.15</v>
      </c>
      <c r="F39">
        <v>600</v>
      </c>
      <c r="H39" s="30">
        <f>(0.307)*EXP(0.0019*F39)</f>
        <v>0.95991788811214962</v>
      </c>
      <c r="I39" s="30">
        <f>(H39*(3-C42))/(C42)</f>
        <v>820.58967947974452</v>
      </c>
    </row>
    <row r="40" spans="1:9" x14ac:dyDescent="0.25">
      <c r="A40" s="11">
        <f t="shared" si="3"/>
        <v>823.15</v>
      </c>
      <c r="B40">
        <v>550</v>
      </c>
      <c r="C40" s="30">
        <f>(5*10^-5)*EXP(0.0085*B40)</f>
        <v>5.361628354602228E-3</v>
      </c>
      <c r="E40" s="29">
        <f t="shared" si="4"/>
        <v>823.15</v>
      </c>
      <c r="F40">
        <v>550</v>
      </c>
      <c r="H40" s="30">
        <f>(0.307)*EXP(0.0019*F40)</f>
        <v>0.87292334676109296</v>
      </c>
      <c r="I40" s="30">
        <f>(H40*(3-C43))/(C43)</f>
        <v>923.10881690053691</v>
      </c>
    </row>
    <row r="41" spans="1:9" x14ac:dyDescent="0.25">
      <c r="A41" s="11">
        <f>B41+273.15</f>
        <v>798.15</v>
      </c>
      <c r="B41">
        <v>525</v>
      </c>
      <c r="C41" s="14">
        <f>(5*10^-5)*EXP(0.0085*B41)</f>
        <v>4.3351999183952449E-3</v>
      </c>
      <c r="E41" s="15">
        <f>F41+273.15</f>
        <v>798.15</v>
      </c>
      <c r="F41">
        <v>525</v>
      </c>
      <c r="G41" s="17"/>
      <c r="H41" s="17">
        <f>(0.307)*EXP(0.0019*F41)</f>
        <v>0.83242884571336173</v>
      </c>
      <c r="I41" s="17">
        <f>(H41*(3-C41))/(C41)</f>
        <v>575.21633110732296</v>
      </c>
    </row>
    <row r="42" spans="1:9" x14ac:dyDescent="0.25">
      <c r="A42" s="11">
        <f>B42+273.15</f>
        <v>773.15</v>
      </c>
      <c r="B42">
        <v>500</v>
      </c>
      <c r="C42" s="21">
        <f t="shared" ref="C42:C43" si="7">(5*10^-5)*EXP(0.0085*B42)</f>
        <v>3.5052706173343928E-3</v>
      </c>
      <c r="E42" s="15">
        <f>F42+273.15</f>
        <v>773.15</v>
      </c>
      <c r="F42">
        <v>500</v>
      </c>
      <c r="G42" s="17"/>
      <c r="H42" s="17">
        <f t="shared" ref="H42:H43" si="8">(0.307)*EXP(0.0019*F42)</f>
        <v>0.79381286540996465</v>
      </c>
      <c r="I42" s="17">
        <f>(H42*(3-C42))/(C42)</f>
        <v>678.59413066543084</v>
      </c>
    </row>
    <row r="43" spans="1:9" x14ac:dyDescent="0.25">
      <c r="A43" s="11">
        <f>B43+273.15</f>
        <v>748.15</v>
      </c>
      <c r="B43">
        <v>475</v>
      </c>
      <c r="C43" s="21">
        <f t="shared" si="7"/>
        <v>2.8342227191441912E-3</v>
      </c>
      <c r="E43" s="15">
        <f>F43+273.15</f>
        <v>748.15</v>
      </c>
      <c r="F43">
        <v>475</v>
      </c>
      <c r="G43" s="17"/>
      <c r="H43" s="17">
        <f t="shared" si="8"/>
        <v>0.75698826216236237</v>
      </c>
      <c r="I43" s="17">
        <f>(H43*(3-C43))/(C43)</f>
        <v>800.50847727359383</v>
      </c>
    </row>
    <row r="44" spans="1:9" x14ac:dyDescent="0.25">
      <c r="G44" s="16"/>
    </row>
    <row r="45" spans="1:9" x14ac:dyDescent="0.25">
      <c r="G4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109"/>
  <sheetViews>
    <sheetView workbookViewId="0">
      <selection activeCell="H19" sqref="H19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61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54</v>
      </c>
    </row>
    <row r="6" spans="1:19" x14ac:dyDescent="0.25">
      <c r="A6" s="138">
        <f>B6+273.15</f>
        <v>1023.15</v>
      </c>
      <c r="B6" s="150">
        <v>750</v>
      </c>
      <c r="C6" s="140"/>
      <c r="D6" s="159">
        <v>1.1386E-4</v>
      </c>
    </row>
    <row r="7" spans="1:19" x14ac:dyDescent="0.25">
      <c r="A7" s="138">
        <f t="shared" ref="A7:A11" si="0">B7+273.15</f>
        <v>998.15</v>
      </c>
      <c r="B7" s="150">
        <v>725</v>
      </c>
      <c r="C7" s="140"/>
      <c r="D7" s="159">
        <v>4.0290000000000002E-5</v>
      </c>
    </row>
    <row r="8" spans="1:19" ht="15.75" x14ac:dyDescent="0.25">
      <c r="A8" s="138">
        <f t="shared" si="0"/>
        <v>973.15</v>
      </c>
      <c r="B8" s="150">
        <v>700</v>
      </c>
      <c r="C8" s="140"/>
      <c r="D8" s="159">
        <v>1.9599999999999999E-5</v>
      </c>
      <c r="J8" s="2"/>
    </row>
    <row r="9" spans="1:19" ht="15.75" x14ac:dyDescent="0.25">
      <c r="A9" s="138">
        <f t="shared" si="0"/>
        <v>948.15</v>
      </c>
      <c r="B9" s="150">
        <v>675</v>
      </c>
      <c r="C9" s="140"/>
      <c r="D9" s="159">
        <v>9.9499999999999996E-6</v>
      </c>
      <c r="J9" s="35"/>
    </row>
    <row r="10" spans="1:19" ht="16.5" thickBot="1" x14ac:dyDescent="0.3">
      <c r="A10" s="138">
        <f t="shared" si="0"/>
        <v>923.15</v>
      </c>
      <c r="B10" s="150">
        <v>650</v>
      </c>
      <c r="C10" s="140"/>
      <c r="D10" s="159">
        <v>3.9689999999999996E-6</v>
      </c>
      <c r="J10" s="2"/>
    </row>
    <row r="11" spans="1:19" ht="19.5" thickBot="1" x14ac:dyDescent="0.3">
      <c r="A11" s="141">
        <f t="shared" si="0"/>
        <v>898.15</v>
      </c>
      <c r="B11" s="128">
        <v>625</v>
      </c>
      <c r="C11" s="130"/>
      <c r="D11" s="160">
        <v>2.1789999999999998E-6</v>
      </c>
      <c r="H11" s="169" t="s">
        <v>184</v>
      </c>
    </row>
    <row r="12" spans="1:19" ht="15.75" thickBot="1" x14ac:dyDescent="0.3">
      <c r="A12" s="112"/>
      <c r="C12" s="113"/>
      <c r="D12" s="114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13</v>
      </c>
      <c r="B13" s="134"/>
      <c r="C13" s="134"/>
      <c r="D13" s="135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6" t="s">
        <v>16</v>
      </c>
      <c r="B14" s="115" t="s">
        <v>14</v>
      </c>
      <c r="C14" s="142"/>
      <c r="D14" s="137" t="s">
        <v>15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>B15+273.15</f>
        <v>1023.15</v>
      </c>
      <c r="B15" s="150">
        <v>750</v>
      </c>
      <c r="C15" s="140"/>
      <c r="D15" s="159">
        <v>4.7747999999999996E-7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ref="A16:A20" si="1">B16+273.15</f>
        <v>998.15</v>
      </c>
      <c r="B16" s="150">
        <v>725</v>
      </c>
      <c r="C16" s="140"/>
      <c r="D16" s="159">
        <v>1.6894999999999999E-7</v>
      </c>
    </row>
    <row r="17" spans="1:12" x14ac:dyDescent="0.25">
      <c r="A17" s="138">
        <f t="shared" si="1"/>
        <v>973.15</v>
      </c>
      <c r="B17" s="150">
        <v>700</v>
      </c>
      <c r="C17" s="140"/>
      <c r="D17" s="159">
        <v>7.3000000000000005E-8</v>
      </c>
    </row>
    <row r="18" spans="1:12" x14ac:dyDescent="0.25">
      <c r="A18" s="138">
        <f t="shared" si="1"/>
        <v>948.15</v>
      </c>
      <c r="B18" s="150">
        <v>675</v>
      </c>
      <c r="C18" s="140"/>
      <c r="D18" s="159">
        <v>3.2829000000000002E-8</v>
      </c>
    </row>
    <row r="19" spans="1:12" x14ac:dyDescent="0.25">
      <c r="A19" s="138">
        <f t="shared" si="1"/>
        <v>923.15</v>
      </c>
      <c r="B19" s="150">
        <v>650</v>
      </c>
      <c r="C19" s="140"/>
      <c r="D19" s="159">
        <v>1.2582E-8</v>
      </c>
    </row>
    <row r="20" spans="1:12" ht="15.75" thickBot="1" x14ac:dyDescent="0.3">
      <c r="A20" s="141">
        <f t="shared" si="1"/>
        <v>898.15</v>
      </c>
      <c r="B20" s="128">
        <v>625</v>
      </c>
      <c r="C20" s="130"/>
      <c r="D20" s="160">
        <v>5.4369800000000004E-9</v>
      </c>
    </row>
    <row r="21" spans="1:12" ht="15.75" thickBot="1" x14ac:dyDescent="0.3">
      <c r="A21" s="112"/>
      <c r="D21" s="114"/>
    </row>
    <row r="22" spans="1:12" ht="15.75" x14ac:dyDescent="0.25">
      <c r="A22" s="133" t="s">
        <v>19</v>
      </c>
      <c r="B22" s="134"/>
      <c r="C22" s="134"/>
      <c r="D22" s="134"/>
      <c r="E22" s="135"/>
      <c r="G22" s="119"/>
      <c r="H22" s="119"/>
    </row>
    <row r="23" spans="1:12" ht="32.25" x14ac:dyDescent="0.25">
      <c r="A23" s="136" t="s">
        <v>16</v>
      </c>
      <c r="B23" s="115" t="s">
        <v>14</v>
      </c>
      <c r="C23" s="142" t="s">
        <v>56</v>
      </c>
      <c r="D23" s="115" t="s">
        <v>55</v>
      </c>
      <c r="E23" s="143" t="s">
        <v>35</v>
      </c>
      <c r="G23" s="119"/>
      <c r="H23" s="114"/>
    </row>
    <row r="24" spans="1:12" x14ac:dyDescent="0.25">
      <c r="A24" s="138">
        <f>B24+273.15</f>
        <v>1023.15</v>
      </c>
      <c r="B24" s="150">
        <v>750</v>
      </c>
      <c r="C24" s="115">
        <v>0.39</v>
      </c>
      <c r="D24" s="115">
        <v>30</v>
      </c>
      <c r="E24" s="167">
        <f>C24*D24</f>
        <v>11.700000000000001</v>
      </c>
      <c r="G24" s="119"/>
      <c r="H24" s="114"/>
      <c r="K24" s="118"/>
      <c r="L24" s="118"/>
    </row>
    <row r="25" spans="1:12" x14ac:dyDescent="0.25">
      <c r="A25" s="138">
        <f t="shared" ref="A25:A30" si="2">B25+273.15</f>
        <v>998.15</v>
      </c>
      <c r="B25" s="150">
        <v>725</v>
      </c>
      <c r="C25" s="115">
        <v>0.39</v>
      </c>
      <c r="D25" s="115">
        <v>65</v>
      </c>
      <c r="E25" s="167">
        <f t="shared" ref="E25:E30" si="3">C25*D25</f>
        <v>25.35</v>
      </c>
      <c r="G25" s="119"/>
      <c r="H25" s="114"/>
      <c r="J25" s="113"/>
      <c r="K25" s="113"/>
      <c r="L25" s="113"/>
    </row>
    <row r="26" spans="1:12" x14ac:dyDescent="0.25">
      <c r="A26" s="138">
        <f t="shared" si="2"/>
        <v>973.15</v>
      </c>
      <c r="B26" s="150">
        <v>700</v>
      </c>
      <c r="C26" s="115">
        <v>0.39</v>
      </c>
      <c r="D26" s="115">
        <v>150</v>
      </c>
      <c r="E26" s="167">
        <f t="shared" si="3"/>
        <v>58.5</v>
      </c>
      <c r="G26" s="119"/>
      <c r="H26" s="114"/>
      <c r="J26" s="113"/>
      <c r="K26" s="113"/>
      <c r="L26" s="113"/>
    </row>
    <row r="27" spans="1:12" x14ac:dyDescent="0.25">
      <c r="A27" s="138">
        <f t="shared" si="2"/>
        <v>948.15</v>
      </c>
      <c r="B27" s="150">
        <v>675</v>
      </c>
      <c r="C27" s="115">
        <v>0.39</v>
      </c>
      <c r="D27" s="115">
        <v>180</v>
      </c>
      <c r="E27" s="167">
        <f t="shared" si="3"/>
        <v>70.2</v>
      </c>
      <c r="G27" s="119"/>
      <c r="H27" s="114"/>
      <c r="J27" s="113"/>
      <c r="K27" s="113"/>
      <c r="L27" s="113"/>
    </row>
    <row r="28" spans="1:12" x14ac:dyDescent="0.25">
      <c r="A28" s="138">
        <f t="shared" si="2"/>
        <v>923.15</v>
      </c>
      <c r="B28" s="150">
        <v>650</v>
      </c>
      <c r="C28" s="115">
        <v>0.39</v>
      </c>
      <c r="D28" s="115">
        <v>600</v>
      </c>
      <c r="E28" s="167">
        <f t="shared" si="3"/>
        <v>234</v>
      </c>
      <c r="G28" s="119"/>
      <c r="H28" s="114"/>
      <c r="J28" s="113"/>
      <c r="K28" s="113"/>
      <c r="L28" s="113"/>
    </row>
    <row r="29" spans="1:12" x14ac:dyDescent="0.25">
      <c r="A29" s="138">
        <f>B29+273.15</f>
        <v>898.15</v>
      </c>
      <c r="B29" s="150">
        <v>625</v>
      </c>
      <c r="C29" s="115">
        <v>0.39</v>
      </c>
      <c r="D29" s="115">
        <v>1500</v>
      </c>
      <c r="E29" s="167">
        <f t="shared" si="3"/>
        <v>585</v>
      </c>
      <c r="G29" s="119"/>
      <c r="H29" s="114"/>
      <c r="J29" s="113"/>
      <c r="K29" s="113"/>
      <c r="L29" s="113"/>
    </row>
    <row r="30" spans="1:12" ht="15.75" thickBot="1" x14ac:dyDescent="0.3">
      <c r="A30" s="141">
        <f t="shared" si="2"/>
        <v>873.15</v>
      </c>
      <c r="B30" s="128">
        <v>600</v>
      </c>
      <c r="C30" s="126">
        <v>0.39</v>
      </c>
      <c r="D30" s="126">
        <v>2700</v>
      </c>
      <c r="E30" s="168">
        <f t="shared" si="3"/>
        <v>1053</v>
      </c>
      <c r="G30" s="119"/>
      <c r="H30" s="114"/>
      <c r="J30" s="113"/>
      <c r="K30" s="113"/>
      <c r="L30" s="113"/>
    </row>
    <row r="31" spans="1:12" x14ac:dyDescent="0.25">
      <c r="D31" s="114"/>
      <c r="G31" s="119"/>
      <c r="H31" s="114"/>
      <c r="J31" s="113"/>
      <c r="K31" s="113"/>
      <c r="L31" s="113"/>
    </row>
    <row r="32" spans="1:12" s="126" customFormat="1" ht="15.75" thickBot="1" x14ac:dyDescent="0.3">
      <c r="G32" s="128"/>
      <c r="H32" s="129"/>
      <c r="J32" s="130"/>
      <c r="K32" s="130"/>
      <c r="L32" s="130"/>
    </row>
    <row r="33" spans="1:10" ht="60" x14ac:dyDescent="0.25">
      <c r="A33" s="118" t="s">
        <v>26</v>
      </c>
      <c r="G33" s="119"/>
      <c r="H33" s="114"/>
    </row>
    <row r="34" spans="1:10" ht="45" x14ac:dyDescent="0.25">
      <c r="A34" s="111" t="s">
        <v>16</v>
      </c>
      <c r="B34" s="111" t="s">
        <v>14</v>
      </c>
      <c r="C34" s="118" t="s">
        <v>40</v>
      </c>
      <c r="D34" s="118"/>
      <c r="E34" s="111" t="s">
        <v>16</v>
      </c>
      <c r="F34" s="111" t="s">
        <v>14</v>
      </c>
      <c r="G34" s="118" t="s">
        <v>20</v>
      </c>
      <c r="H34" s="118"/>
    </row>
    <row r="35" spans="1:10" x14ac:dyDescent="0.25">
      <c r="A35" s="112">
        <f>B35+273.15</f>
        <v>1123.1500000000001</v>
      </c>
      <c r="B35" s="111">
        <v>850</v>
      </c>
      <c r="C35" s="114">
        <f>(3*10^10)*(B35^-2.803)</f>
        <v>184.48455200481067</v>
      </c>
      <c r="D35" s="114"/>
      <c r="E35" s="112">
        <f>F35+273.15</f>
        <v>1123.1500000000001</v>
      </c>
      <c r="F35" s="111">
        <v>850</v>
      </c>
      <c r="G35" s="114">
        <f>(6*10^6)*EXP(-0.022*F35)</f>
        <v>4.5377904709590841E-2</v>
      </c>
      <c r="H35" s="113"/>
      <c r="I35" s="113"/>
    </row>
    <row r="36" spans="1:10" x14ac:dyDescent="0.25">
      <c r="A36" s="112">
        <f t="shared" ref="A36:A46" si="4">B36+273.15</f>
        <v>1098.1500000000001</v>
      </c>
      <c r="B36" s="111">
        <v>825</v>
      </c>
      <c r="C36" s="114">
        <f t="shared" ref="C36:C38" si="5">(3*10^10)*(B36^-2.803)</f>
        <v>200.58610114515849</v>
      </c>
      <c r="D36" s="114"/>
      <c r="E36" s="112">
        <f t="shared" ref="E36:E45" si="6">F36+273.15</f>
        <v>1098.1500000000001</v>
      </c>
      <c r="F36" s="111">
        <v>825</v>
      </c>
      <c r="G36" s="114">
        <f>(6*10^6)*EXP(-0.022*F36)</f>
        <v>7.8651390282397454E-2</v>
      </c>
      <c r="H36" s="113"/>
      <c r="I36" s="113"/>
      <c r="J36" s="118"/>
    </row>
    <row r="37" spans="1:10" x14ac:dyDescent="0.25">
      <c r="A37" s="112">
        <f t="shared" si="4"/>
        <v>1073.1500000000001</v>
      </c>
      <c r="B37" s="111">
        <v>800</v>
      </c>
      <c r="C37" s="114">
        <f t="shared" si="5"/>
        <v>218.65530628367247</v>
      </c>
      <c r="D37" s="114"/>
      <c r="E37" s="112">
        <f t="shared" si="6"/>
        <v>1073.1500000000001</v>
      </c>
      <c r="F37" s="111">
        <v>800</v>
      </c>
      <c r="G37" s="114">
        <v>0.06</v>
      </c>
      <c r="H37" s="113"/>
      <c r="I37" s="113"/>
      <c r="J37" s="113"/>
    </row>
    <row r="38" spans="1:10" x14ac:dyDescent="0.25">
      <c r="A38" s="112">
        <f t="shared" si="4"/>
        <v>1048.1500000000001</v>
      </c>
      <c r="B38" s="111">
        <v>775</v>
      </c>
      <c r="C38" s="114">
        <f t="shared" si="5"/>
        <v>239.00587837280011</v>
      </c>
      <c r="D38" s="114"/>
      <c r="E38" s="112">
        <f t="shared" si="6"/>
        <v>1048.1500000000001</v>
      </c>
      <c r="F38" s="111">
        <v>775</v>
      </c>
      <c r="G38" s="114">
        <v>0.05</v>
      </c>
      <c r="H38" s="113"/>
      <c r="I38" s="113"/>
      <c r="J38" s="113"/>
    </row>
    <row r="39" spans="1:10" x14ac:dyDescent="0.25">
      <c r="A39" s="112">
        <f t="shared" si="4"/>
        <v>1023.15</v>
      </c>
      <c r="B39" s="111">
        <v>750</v>
      </c>
      <c r="C39" s="114">
        <f t="shared" ref="C39:C44" si="7">D6/D15</f>
        <v>238.46024964396415</v>
      </c>
      <c r="D39" s="114"/>
      <c r="E39" s="112">
        <f t="shared" si="6"/>
        <v>1023.15</v>
      </c>
      <c r="F39" s="111">
        <v>750</v>
      </c>
      <c r="G39" s="114">
        <f t="shared" ref="G39:G44" si="8">($C$2*E39*$A$2)/(4*($E$2^2)*$D15*E24)</f>
        <v>4.0872906027811524E-2</v>
      </c>
      <c r="H39" s="113"/>
      <c r="I39" s="113"/>
      <c r="J39" s="113"/>
    </row>
    <row r="40" spans="1:10" x14ac:dyDescent="0.25">
      <c r="A40" s="112">
        <f t="shared" si="4"/>
        <v>998.15</v>
      </c>
      <c r="B40" s="111">
        <v>725</v>
      </c>
      <c r="C40" s="114">
        <f t="shared" si="7"/>
        <v>238.47292098253925</v>
      </c>
      <c r="D40" s="114"/>
      <c r="E40" s="112">
        <f t="shared" si="6"/>
        <v>998.15</v>
      </c>
      <c r="F40" s="111">
        <v>725</v>
      </c>
      <c r="G40" s="114">
        <f t="shared" si="8"/>
        <v>5.2011203895940487E-2</v>
      </c>
      <c r="H40" s="113"/>
      <c r="J40" s="113"/>
    </row>
    <row r="41" spans="1:10" x14ac:dyDescent="0.25">
      <c r="A41" s="112">
        <f t="shared" si="4"/>
        <v>973.15</v>
      </c>
      <c r="B41" s="111">
        <v>700</v>
      </c>
      <c r="C41" s="114">
        <f t="shared" si="7"/>
        <v>268.49315068493149</v>
      </c>
      <c r="D41" s="114"/>
      <c r="E41" s="112">
        <f t="shared" si="6"/>
        <v>973.15</v>
      </c>
      <c r="F41" s="111">
        <v>700</v>
      </c>
      <c r="G41" s="114">
        <f t="shared" si="8"/>
        <v>5.0855545357415995E-2</v>
      </c>
      <c r="H41" s="113"/>
      <c r="J41" s="113"/>
    </row>
    <row r="42" spans="1:10" x14ac:dyDescent="0.25">
      <c r="A42" s="112">
        <f t="shared" si="4"/>
        <v>948.15</v>
      </c>
      <c r="B42" s="111">
        <v>675</v>
      </c>
      <c r="C42" s="114">
        <f t="shared" si="7"/>
        <v>303.0856864357732</v>
      </c>
      <c r="D42" s="114"/>
      <c r="E42" s="112">
        <f t="shared" si="6"/>
        <v>948.15</v>
      </c>
      <c r="F42" s="111">
        <v>675</v>
      </c>
      <c r="G42" s="114">
        <f t="shared" si="8"/>
        <v>9.1816247312363722E-2</v>
      </c>
      <c r="H42" s="113"/>
      <c r="J42" s="113"/>
    </row>
    <row r="43" spans="1:10" x14ac:dyDescent="0.25">
      <c r="A43" s="112">
        <f t="shared" si="4"/>
        <v>923.15</v>
      </c>
      <c r="B43" s="111">
        <v>650</v>
      </c>
      <c r="C43" s="114">
        <f t="shared" si="7"/>
        <v>315.45064377682399</v>
      </c>
      <c r="D43" s="114"/>
      <c r="E43" s="112">
        <f t="shared" si="6"/>
        <v>923.15</v>
      </c>
      <c r="F43" s="111">
        <v>650</v>
      </c>
      <c r="G43" s="114">
        <f t="shared" si="8"/>
        <v>6.9975174617525948E-2</v>
      </c>
      <c r="H43" s="113"/>
      <c r="J43" s="113"/>
    </row>
    <row r="44" spans="1:10" x14ac:dyDescent="0.25">
      <c r="A44" s="112">
        <f t="shared" si="4"/>
        <v>898.15</v>
      </c>
      <c r="B44" s="111">
        <v>625</v>
      </c>
      <c r="C44" s="114">
        <f t="shared" si="7"/>
        <v>400.77395907286757</v>
      </c>
      <c r="D44" s="114"/>
      <c r="E44" s="112">
        <f t="shared" si="6"/>
        <v>898.15</v>
      </c>
      <c r="F44" s="111">
        <v>625</v>
      </c>
      <c r="G44" s="114">
        <f t="shared" si="8"/>
        <v>6.3019148068975517E-2</v>
      </c>
      <c r="H44" s="113"/>
      <c r="J44" s="113"/>
    </row>
    <row r="45" spans="1:10" x14ac:dyDescent="0.25">
      <c r="A45" s="112">
        <f t="shared" si="4"/>
        <v>873.15</v>
      </c>
      <c r="B45" s="111">
        <v>600</v>
      </c>
      <c r="C45" s="114">
        <f>(3*10^10)*(B45^-2.803)</f>
        <v>489.73743230110182</v>
      </c>
      <c r="D45" s="114"/>
      <c r="E45" s="112">
        <f t="shared" si="6"/>
        <v>873.15</v>
      </c>
      <c r="F45" s="111">
        <v>600</v>
      </c>
      <c r="G45" s="114">
        <v>0.05</v>
      </c>
      <c r="H45" s="114"/>
      <c r="J45" s="113"/>
    </row>
    <row r="46" spans="1:10" x14ac:dyDescent="0.25">
      <c r="A46" s="112">
        <f t="shared" si="4"/>
        <v>773.15</v>
      </c>
      <c r="B46" s="111">
        <v>500</v>
      </c>
      <c r="C46" s="114">
        <f>(3*10^10)*(B46^-2.803)</f>
        <v>816.41003181785993</v>
      </c>
      <c r="D46" s="114"/>
      <c r="E46" s="112"/>
      <c r="G46" s="113"/>
      <c r="H46" s="114"/>
      <c r="J46" s="113"/>
    </row>
    <row r="47" spans="1:10" x14ac:dyDescent="0.25">
      <c r="A47" s="112"/>
      <c r="B47" s="117"/>
      <c r="D47" s="114"/>
      <c r="E47" s="113"/>
      <c r="H47" s="114"/>
      <c r="J47" s="113"/>
    </row>
    <row r="48" spans="1:10" x14ac:dyDescent="0.25">
      <c r="A48" s="112"/>
      <c r="B48" s="117"/>
      <c r="C48" s="113"/>
      <c r="D48" s="114"/>
      <c r="E48" s="113"/>
      <c r="H48" s="114"/>
      <c r="J48" s="113"/>
    </row>
    <row r="49" spans="1:10" x14ac:dyDescent="0.25">
      <c r="A49" s="112"/>
      <c r="B49" s="117"/>
      <c r="C49" s="113"/>
      <c r="D49" s="114"/>
      <c r="E49" s="113"/>
      <c r="H49" s="114"/>
      <c r="J49" s="113"/>
    </row>
    <row r="50" spans="1:10" x14ac:dyDescent="0.25">
      <c r="A50" s="112"/>
      <c r="B50" s="117"/>
      <c r="C50" s="113"/>
      <c r="D50" s="114"/>
      <c r="E50" s="113"/>
      <c r="H50" s="114"/>
      <c r="J50" s="113"/>
    </row>
    <row r="51" spans="1:10" x14ac:dyDescent="0.25">
      <c r="A51" s="112"/>
      <c r="B51" s="117"/>
      <c r="C51" s="113"/>
      <c r="D51" s="114"/>
      <c r="E51" s="113"/>
      <c r="H51" s="114"/>
      <c r="J51" s="113"/>
    </row>
    <row r="52" spans="1:10" x14ac:dyDescent="0.25">
      <c r="A52" s="112"/>
      <c r="B52" s="117"/>
      <c r="C52" s="113"/>
      <c r="D52" s="114"/>
      <c r="E52" s="113"/>
      <c r="H52" s="114"/>
      <c r="J52" s="113"/>
    </row>
    <row r="53" spans="1:10" x14ac:dyDescent="0.25">
      <c r="A53" s="112"/>
      <c r="B53" s="117"/>
      <c r="C53" s="113"/>
      <c r="D53" s="114"/>
      <c r="E53" s="113"/>
      <c r="H53" s="114"/>
      <c r="J53" s="113"/>
    </row>
    <row r="54" spans="1:10" x14ac:dyDescent="0.25">
      <c r="A54" s="112"/>
      <c r="B54" s="117"/>
      <c r="C54" s="113"/>
      <c r="D54" s="114"/>
      <c r="E54" s="113"/>
      <c r="H54" s="114"/>
      <c r="J54" s="113"/>
    </row>
    <row r="55" spans="1:10" x14ac:dyDescent="0.25">
      <c r="A55" s="112"/>
      <c r="B55" s="117"/>
      <c r="C55" s="113"/>
      <c r="D55" s="114"/>
      <c r="E55" s="113"/>
      <c r="H55" s="114"/>
      <c r="J55" s="113"/>
    </row>
    <row r="56" spans="1:10" x14ac:dyDescent="0.25">
      <c r="A56" s="112"/>
      <c r="B56" s="117"/>
      <c r="C56" s="113"/>
      <c r="D56" s="114"/>
      <c r="E56" s="113"/>
      <c r="H56" s="114"/>
      <c r="J56" s="113"/>
    </row>
    <row r="57" spans="1:10" x14ac:dyDescent="0.25">
      <c r="A57" s="112"/>
      <c r="B57" s="117"/>
      <c r="C57" s="113"/>
      <c r="D57" s="114"/>
      <c r="E57" s="113"/>
      <c r="H57" s="114"/>
    </row>
    <row r="58" spans="1:10" x14ac:dyDescent="0.25">
      <c r="A58" s="112"/>
      <c r="B58" s="117"/>
      <c r="C58" s="113"/>
      <c r="D58" s="114"/>
      <c r="E58" s="113"/>
      <c r="H58" s="114"/>
    </row>
    <row r="59" spans="1:10" x14ac:dyDescent="0.25">
      <c r="A59" s="112"/>
      <c r="B59" s="117"/>
      <c r="C59" s="113"/>
      <c r="D59" s="114"/>
      <c r="E59" s="113"/>
      <c r="H59" s="114"/>
    </row>
    <row r="60" spans="1:10" x14ac:dyDescent="0.25">
      <c r="A60" s="112"/>
      <c r="B60" s="117"/>
      <c r="C60" s="113"/>
      <c r="D60" s="114"/>
      <c r="E60" s="113"/>
      <c r="H60" s="114"/>
    </row>
    <row r="61" spans="1:10" x14ac:dyDescent="0.25">
      <c r="A61" s="112"/>
      <c r="B61" s="117"/>
      <c r="C61" s="113"/>
      <c r="D61" s="114"/>
      <c r="H61" s="114"/>
    </row>
    <row r="62" spans="1:10" x14ac:dyDescent="0.25">
      <c r="A62" s="112"/>
      <c r="B62" s="117"/>
      <c r="C62" s="113"/>
      <c r="D62" s="114"/>
      <c r="H62" s="114"/>
    </row>
    <row r="63" spans="1:10" x14ac:dyDescent="0.25">
      <c r="A63" s="112"/>
      <c r="B63" s="117"/>
      <c r="C63" s="113"/>
      <c r="D63" s="114"/>
      <c r="H63" s="114"/>
    </row>
    <row r="64" spans="1:10" x14ac:dyDescent="0.25">
      <c r="A64" s="112"/>
      <c r="B64" s="117"/>
      <c r="C64" s="113"/>
      <c r="D64" s="114"/>
      <c r="H64" s="114"/>
    </row>
    <row r="65" spans="1:8" x14ac:dyDescent="0.25">
      <c r="A65" s="112"/>
      <c r="B65" s="117"/>
      <c r="C65" s="113"/>
      <c r="D65" s="114"/>
      <c r="H65" s="114"/>
    </row>
    <row r="66" spans="1:8" x14ac:dyDescent="0.25">
      <c r="A66" s="112"/>
      <c r="B66" s="117"/>
      <c r="C66" s="113"/>
      <c r="D66" s="114"/>
      <c r="H66" s="114"/>
    </row>
    <row r="67" spans="1:8" x14ac:dyDescent="0.25">
      <c r="A67" s="112"/>
      <c r="B67" s="117"/>
      <c r="C67" s="113"/>
      <c r="D67" s="114"/>
      <c r="H67" s="114"/>
    </row>
    <row r="68" spans="1:8" x14ac:dyDescent="0.25">
      <c r="A68" s="112"/>
      <c r="B68" s="117"/>
      <c r="D68" s="114"/>
      <c r="H68" s="114"/>
    </row>
    <row r="69" spans="1:8" x14ac:dyDescent="0.25">
      <c r="A69" s="112"/>
      <c r="B69" s="117"/>
      <c r="D69" s="114"/>
      <c r="H69" s="114"/>
    </row>
    <row r="70" spans="1:8" x14ac:dyDescent="0.25">
      <c r="A70" s="112"/>
      <c r="B70" s="117"/>
      <c r="D70" s="114"/>
      <c r="H70" s="114"/>
    </row>
    <row r="71" spans="1:8" x14ac:dyDescent="0.25">
      <c r="A71" s="112"/>
      <c r="B71" s="117"/>
      <c r="D71" s="114"/>
      <c r="H71" s="114"/>
    </row>
    <row r="72" spans="1:8" x14ac:dyDescent="0.25">
      <c r="A72" s="112"/>
      <c r="B72" s="117"/>
      <c r="D72" s="114"/>
      <c r="H72" s="114"/>
    </row>
    <row r="73" spans="1:8" x14ac:dyDescent="0.25">
      <c r="A73" s="112"/>
      <c r="B73" s="117"/>
      <c r="D73" s="114"/>
      <c r="H73" s="114"/>
    </row>
    <row r="74" spans="1:8" x14ac:dyDescent="0.25">
      <c r="A74" s="112"/>
      <c r="B74" s="117"/>
      <c r="D74" s="114"/>
      <c r="H74" s="114"/>
    </row>
    <row r="75" spans="1:8" x14ac:dyDescent="0.25">
      <c r="A75" s="112"/>
      <c r="B75" s="117"/>
      <c r="D75" s="114"/>
      <c r="H75" s="114"/>
    </row>
    <row r="76" spans="1:8" x14ac:dyDescent="0.25">
      <c r="A76" s="112"/>
      <c r="B76" s="117"/>
      <c r="D76" s="114"/>
      <c r="H76" s="114"/>
    </row>
    <row r="77" spans="1:8" x14ac:dyDescent="0.25">
      <c r="A77" s="112"/>
      <c r="B77" s="117"/>
      <c r="D77" s="114"/>
      <c r="H77" s="114"/>
    </row>
    <row r="78" spans="1:8" x14ac:dyDescent="0.25">
      <c r="A78" s="112"/>
      <c r="B78" s="117"/>
      <c r="D78" s="114"/>
      <c r="H78" s="114"/>
    </row>
    <row r="79" spans="1:8" x14ac:dyDescent="0.25">
      <c r="A79" s="112"/>
      <c r="B79" s="117"/>
      <c r="D79" s="114"/>
      <c r="H79" s="114"/>
    </row>
    <row r="80" spans="1:8" x14ac:dyDescent="0.25">
      <c r="A80" s="112"/>
      <c r="B80" s="117"/>
      <c r="D80" s="114"/>
      <c r="H80" s="114"/>
    </row>
    <row r="81" spans="1:8" x14ac:dyDescent="0.25">
      <c r="A81" s="112"/>
      <c r="B81" s="117"/>
      <c r="D81" s="114"/>
      <c r="H81" s="114"/>
    </row>
    <row r="82" spans="1:8" x14ac:dyDescent="0.25">
      <c r="A82" s="112"/>
      <c r="B82" s="117"/>
      <c r="D82" s="114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4"/>
    </row>
    <row r="88" spans="1:8" x14ac:dyDescent="0.25">
      <c r="A88" s="112"/>
      <c r="B88" s="117"/>
      <c r="D88" s="113"/>
      <c r="H88" s="114"/>
    </row>
    <row r="89" spans="1:8" x14ac:dyDescent="0.25">
      <c r="A89" s="112"/>
      <c r="B89" s="117"/>
      <c r="D89" s="113"/>
      <c r="H89" s="114"/>
    </row>
    <row r="90" spans="1:8" x14ac:dyDescent="0.25">
      <c r="A90" s="112"/>
      <c r="B90" s="117"/>
      <c r="D90" s="113"/>
      <c r="H90" s="114"/>
    </row>
    <row r="91" spans="1:8" x14ac:dyDescent="0.25">
      <c r="A91" s="112"/>
      <c r="B91" s="117"/>
      <c r="D91" s="113"/>
      <c r="H91" s="114"/>
    </row>
    <row r="92" spans="1:8" x14ac:dyDescent="0.25">
      <c r="A92" s="112"/>
      <c r="B92" s="117"/>
      <c r="D92" s="113"/>
      <c r="H92" s="114"/>
    </row>
    <row r="93" spans="1:8" x14ac:dyDescent="0.25">
      <c r="A93" s="112"/>
      <c r="B93" s="117"/>
      <c r="D93" s="113"/>
      <c r="H93" s="114"/>
    </row>
    <row r="94" spans="1:8" x14ac:dyDescent="0.25">
      <c r="A94" s="112"/>
      <c r="B94" s="117"/>
      <c r="D94" s="113"/>
      <c r="H94" s="114"/>
    </row>
    <row r="95" spans="1:8" x14ac:dyDescent="0.25">
      <c r="A95" s="112"/>
      <c r="B95" s="117"/>
      <c r="D95" s="113"/>
      <c r="H95" s="114"/>
    </row>
    <row r="96" spans="1:8" x14ac:dyDescent="0.25">
      <c r="A96" s="112"/>
      <c r="B96" s="117"/>
      <c r="D96" s="113"/>
      <c r="H96" s="114"/>
    </row>
    <row r="97" spans="1:8" x14ac:dyDescent="0.25">
      <c r="A97" s="112"/>
      <c r="B97" s="117"/>
      <c r="D97" s="113"/>
      <c r="H97" s="114"/>
    </row>
    <row r="98" spans="1:8" x14ac:dyDescent="0.25">
      <c r="A98" s="112"/>
      <c r="B98" s="117"/>
      <c r="D98" s="113"/>
      <c r="H98" s="114"/>
    </row>
    <row r="99" spans="1:8" x14ac:dyDescent="0.25">
      <c r="A99" s="112"/>
      <c r="B99" s="117"/>
      <c r="D99" s="113"/>
      <c r="H99" s="114"/>
    </row>
    <row r="100" spans="1:8" x14ac:dyDescent="0.25">
      <c r="A100" s="112"/>
      <c r="B100" s="117"/>
      <c r="D100" s="113"/>
      <c r="H100" s="114"/>
    </row>
    <row r="101" spans="1:8" x14ac:dyDescent="0.25">
      <c r="A101" s="112"/>
      <c r="B101" s="117"/>
      <c r="D101" s="113"/>
      <c r="H101" s="114"/>
    </row>
    <row r="102" spans="1:8" x14ac:dyDescent="0.25">
      <c r="A102" s="112"/>
      <c r="B102" s="117"/>
      <c r="D102" s="113"/>
      <c r="H102" s="119"/>
    </row>
    <row r="103" spans="1:8" x14ac:dyDescent="0.25">
      <c r="A103" s="112"/>
      <c r="B103" s="117"/>
      <c r="D103" s="113"/>
    </row>
    <row r="104" spans="1:8" x14ac:dyDescent="0.25">
      <c r="A104" s="112"/>
      <c r="B104" s="117"/>
      <c r="D104" s="113"/>
    </row>
    <row r="105" spans="1:8" x14ac:dyDescent="0.25">
      <c r="A105" s="112"/>
      <c r="B105" s="117"/>
      <c r="D105" s="114"/>
    </row>
    <row r="106" spans="1:8" x14ac:dyDescent="0.25">
      <c r="A106" s="112"/>
      <c r="B106" s="117"/>
      <c r="D106" s="114"/>
    </row>
    <row r="107" spans="1:8" x14ac:dyDescent="0.25">
      <c r="A107" s="112"/>
      <c r="B107" s="117"/>
      <c r="D107" s="114"/>
    </row>
    <row r="108" spans="1:8" x14ac:dyDescent="0.25">
      <c r="A108" s="112"/>
      <c r="B108" s="117"/>
      <c r="D108" s="114"/>
    </row>
    <row r="109" spans="1:8" x14ac:dyDescent="0.25">
      <c r="A109" s="112"/>
      <c r="B109" s="117"/>
      <c r="D109" s="11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102"/>
  <sheetViews>
    <sheetView workbookViewId="0">
      <selection activeCell="E13" sqref="E13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62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4"/>
      <c r="E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58</v>
      </c>
      <c r="D5" s="115" t="s">
        <v>59</v>
      </c>
      <c r="E5" s="137" t="s">
        <v>9</v>
      </c>
      <c r="H5" s="35" t="s">
        <v>57</v>
      </c>
    </row>
    <row r="6" spans="1:19" x14ac:dyDescent="0.25">
      <c r="A6" s="138">
        <f>B6+273.15</f>
        <v>1073.1500000000001</v>
      </c>
      <c r="B6" s="150">
        <v>800</v>
      </c>
      <c r="C6" s="140">
        <v>-5.69536</v>
      </c>
      <c r="D6" s="144">
        <f>10^C6</f>
        <v>2.0166939712175565E-6</v>
      </c>
      <c r="E6" s="153">
        <f>D6*100</f>
        <v>2.0166939712175564E-4</v>
      </c>
    </row>
    <row r="7" spans="1:19" x14ac:dyDescent="0.25">
      <c r="A7" s="138">
        <f t="shared" ref="A7:A9" si="0">B7+273.15</f>
        <v>1023.15</v>
      </c>
      <c r="B7" s="150">
        <v>750</v>
      </c>
      <c r="C7" s="140">
        <v>-6.2251599999999998</v>
      </c>
      <c r="D7" s="144">
        <f t="shared" ref="D7:D9" si="1">10^C7</f>
        <v>5.9544273390469382E-7</v>
      </c>
      <c r="E7" s="153">
        <f t="shared" ref="E7:E9" si="2">D7*100</f>
        <v>5.9544273390469379E-5</v>
      </c>
      <c r="H7" s="111" t="s">
        <v>18</v>
      </c>
    </row>
    <row r="8" spans="1:19" ht="15.75" x14ac:dyDescent="0.25">
      <c r="A8" s="138">
        <f t="shared" si="0"/>
        <v>973.15</v>
      </c>
      <c r="B8" s="150">
        <v>700</v>
      </c>
      <c r="C8" s="140">
        <v>-6.6136799999999996</v>
      </c>
      <c r="D8" s="144">
        <f t="shared" si="1"/>
        <v>2.4339967836174683E-7</v>
      </c>
      <c r="E8" s="153">
        <f t="shared" si="2"/>
        <v>2.4339967836174683E-5</v>
      </c>
      <c r="G8" s="111">
        <v>1</v>
      </c>
      <c r="H8" s="35" t="s">
        <v>54</v>
      </c>
    </row>
    <row r="9" spans="1:19" ht="16.5" thickBot="1" x14ac:dyDescent="0.3">
      <c r="A9" s="141">
        <f t="shared" si="0"/>
        <v>923.15</v>
      </c>
      <c r="B9" s="128">
        <v>650</v>
      </c>
      <c r="C9" s="130">
        <v>-7.258</v>
      </c>
      <c r="D9" s="129">
        <f t="shared" si="1"/>
        <v>5.5207743928075718E-8</v>
      </c>
      <c r="E9" s="154">
        <f t="shared" si="2"/>
        <v>5.5207743928075714E-6</v>
      </c>
      <c r="J9" s="35"/>
    </row>
    <row r="10" spans="1:19" ht="16.5" thickBot="1" x14ac:dyDescent="0.3">
      <c r="A10" s="112"/>
      <c r="C10" s="113"/>
      <c r="D10" s="114"/>
      <c r="J10" s="2"/>
    </row>
    <row r="11" spans="1:19" ht="19.5" thickBot="1" x14ac:dyDescent="0.3">
      <c r="A11" s="133" t="s">
        <v>13</v>
      </c>
      <c r="B11" s="134"/>
      <c r="C11" s="134"/>
      <c r="D11" s="135"/>
      <c r="H11" s="169" t="s">
        <v>184</v>
      </c>
    </row>
    <row r="12" spans="1:19" ht="75" x14ac:dyDescent="0.25">
      <c r="A12" s="136" t="s">
        <v>16</v>
      </c>
      <c r="B12" s="115" t="s">
        <v>14</v>
      </c>
      <c r="C12" s="142" t="s">
        <v>37</v>
      </c>
      <c r="D12" s="137" t="s">
        <v>15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1073.1500000000001</v>
      </c>
      <c r="B13" s="150">
        <v>800</v>
      </c>
      <c r="C13" s="140">
        <f>'LSFC,Plonczak (Electrochem)'!C37</f>
        <v>218.65530628367247</v>
      </c>
      <c r="D13" s="157">
        <f>E6/C13</f>
        <v>9.2231650148073628E-7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ref="A14:A16" si="3">B14+273.15</f>
        <v>1023.15</v>
      </c>
      <c r="B14" s="150">
        <v>750</v>
      </c>
      <c r="C14" s="140">
        <f>'LSFC,Plonczak (Electrochem)'!C39</f>
        <v>238.46024964396415</v>
      </c>
      <c r="D14" s="157">
        <f>E7/C14</f>
        <v>2.4970314121272897E-7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3"/>
        <v>973.15</v>
      </c>
      <c r="B15" s="150">
        <v>700</v>
      </c>
      <c r="C15" s="140">
        <f>'LSFC,Plonczak (Electrochem)'!C41</f>
        <v>268.49315068493149</v>
      </c>
      <c r="D15" s="157">
        <f>E8/C15</f>
        <v>9.0653961838813872E-8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A16" s="141">
        <f t="shared" si="3"/>
        <v>923.15</v>
      </c>
      <c r="B16" s="128">
        <v>650</v>
      </c>
      <c r="C16" s="130">
        <f>'LSFC,Plonczak (Electrochem)'!C43</f>
        <v>315.45064377682399</v>
      </c>
      <c r="D16" s="158">
        <f>E9/C16</f>
        <v>1.7501230388083867E-8</v>
      </c>
    </row>
    <row r="17" spans="1:12" ht="15.75" thickBot="1" x14ac:dyDescent="0.3">
      <c r="A17" s="112"/>
      <c r="D17" s="114"/>
    </row>
    <row r="18" spans="1:12" ht="15.75" x14ac:dyDescent="0.25">
      <c r="A18" s="133" t="s">
        <v>19</v>
      </c>
      <c r="B18" s="134"/>
      <c r="C18" s="134"/>
      <c r="D18" s="135"/>
      <c r="G18" s="119"/>
      <c r="H18" s="119"/>
    </row>
    <row r="19" spans="1:12" ht="47.25" x14ac:dyDescent="0.25">
      <c r="A19" s="136" t="s">
        <v>16</v>
      </c>
      <c r="B19" s="115" t="s">
        <v>14</v>
      </c>
      <c r="C19" s="142" t="s">
        <v>21</v>
      </c>
      <c r="D19" s="143" t="s">
        <v>35</v>
      </c>
      <c r="G19" s="119"/>
      <c r="H19" s="114"/>
    </row>
    <row r="20" spans="1:12" x14ac:dyDescent="0.25">
      <c r="A20" s="138">
        <f>B20+273.15</f>
        <v>1073.1500000000001</v>
      </c>
      <c r="B20" s="150">
        <v>800</v>
      </c>
      <c r="C20" s="140">
        <f>'LSFC,Plonczak (Electrochem)'!G37</f>
        <v>0.06</v>
      </c>
      <c r="D20" s="157">
        <f>($C$2*A20*$A$2*C13)/(4*($E$2^2)*C20*E6)</f>
        <v>4.3277927578437358</v>
      </c>
      <c r="G20" s="119"/>
      <c r="H20" s="114"/>
      <c r="K20" s="118"/>
      <c r="L20" s="118"/>
    </row>
    <row r="21" spans="1:12" x14ac:dyDescent="0.25">
      <c r="A21" s="138">
        <f t="shared" ref="A21:A23" si="4">B21+273.15</f>
        <v>1023.15</v>
      </c>
      <c r="B21" s="150">
        <v>750</v>
      </c>
      <c r="C21" s="140">
        <f>'LSFC,Plonczak (Electrochem)'!G39</f>
        <v>4.0872906027811524E-2</v>
      </c>
      <c r="D21" s="157">
        <f>($C$2*A21*$A$2*C14)/(4*($E$2^2)*C21*E7)</f>
        <v>22.372630047295619</v>
      </c>
      <c r="G21" s="119"/>
      <c r="H21" s="114"/>
      <c r="J21" s="113"/>
      <c r="K21" s="113"/>
      <c r="L21" s="113"/>
    </row>
    <row r="22" spans="1:12" x14ac:dyDescent="0.25">
      <c r="A22" s="138">
        <f t="shared" si="4"/>
        <v>973.15</v>
      </c>
      <c r="B22" s="150">
        <v>700</v>
      </c>
      <c r="C22" s="140">
        <f>'LSFC,Plonczak (Electrochem)'!G41</f>
        <v>5.0855545357415995E-2</v>
      </c>
      <c r="D22" s="157">
        <f>($C$2*A22*$A$2*C15)/(4*($E$2^2)*C22*E8)</f>
        <v>47.107703991945854</v>
      </c>
      <c r="G22" s="119"/>
      <c r="H22" s="114"/>
      <c r="J22" s="113"/>
      <c r="K22" s="113"/>
      <c r="L22" s="113"/>
    </row>
    <row r="23" spans="1:12" ht="15.75" thickBot="1" x14ac:dyDescent="0.3">
      <c r="A23" s="141">
        <f t="shared" si="4"/>
        <v>923.15</v>
      </c>
      <c r="B23" s="128">
        <v>650</v>
      </c>
      <c r="C23" s="130">
        <f>'LSFC,Plonczak (Electrochem)'!G43</f>
        <v>6.9975174617525948E-2</v>
      </c>
      <c r="D23" s="158">
        <f>($C$2*A23*$A$2*C16)/(4*($E$2^2)*C23*E9)</f>
        <v>168.22748656600857</v>
      </c>
      <c r="G23" s="119"/>
      <c r="H23" s="114"/>
      <c r="J23" s="113"/>
      <c r="K23" s="113"/>
      <c r="L23" s="113"/>
    </row>
    <row r="24" spans="1:12" x14ac:dyDescent="0.25">
      <c r="D24" s="114"/>
      <c r="G24" s="119"/>
      <c r="H24" s="114"/>
      <c r="J24" s="113"/>
      <c r="K24" s="113"/>
      <c r="L24" s="113"/>
    </row>
    <row r="25" spans="1:12" x14ac:dyDescent="0.25">
      <c r="G25" s="119"/>
      <c r="H25" s="114"/>
      <c r="J25" s="113"/>
      <c r="K25" s="113"/>
      <c r="L25" s="113"/>
    </row>
    <row r="26" spans="1:12" x14ac:dyDescent="0.25">
      <c r="A26" s="118"/>
      <c r="G26" s="119"/>
      <c r="H26" s="114"/>
    </row>
    <row r="27" spans="1:12" x14ac:dyDescent="0.25">
      <c r="C27" s="118"/>
      <c r="D27" s="118"/>
      <c r="G27" s="118"/>
      <c r="H27" s="118"/>
    </row>
    <row r="28" spans="1:12" x14ac:dyDescent="0.25">
      <c r="A28" s="112"/>
      <c r="C28" s="114"/>
      <c r="D28" s="114"/>
      <c r="E28" s="112"/>
      <c r="G28" s="114"/>
      <c r="H28" s="113"/>
      <c r="I28" s="113"/>
    </row>
    <row r="29" spans="1:12" x14ac:dyDescent="0.25">
      <c r="A29" s="112"/>
      <c r="C29" s="114"/>
      <c r="D29" s="114"/>
      <c r="E29" s="112"/>
      <c r="G29" s="114"/>
      <c r="H29" s="113"/>
      <c r="I29" s="113"/>
      <c r="J29" s="118"/>
    </row>
    <row r="30" spans="1:12" x14ac:dyDescent="0.25">
      <c r="A30" s="112"/>
      <c r="C30" s="114"/>
      <c r="D30" s="114"/>
      <c r="E30" s="112"/>
      <c r="G30" s="114"/>
      <c r="H30" s="113"/>
      <c r="I30" s="113"/>
      <c r="J30" s="113"/>
    </row>
    <row r="31" spans="1:12" x14ac:dyDescent="0.25">
      <c r="A31" s="112"/>
      <c r="C31" s="114"/>
      <c r="D31" s="114"/>
      <c r="E31" s="112"/>
      <c r="G31" s="114"/>
      <c r="H31" s="113"/>
      <c r="I31" s="113"/>
      <c r="J31" s="113"/>
    </row>
    <row r="32" spans="1:12" x14ac:dyDescent="0.25">
      <c r="A32" s="112"/>
      <c r="C32" s="114"/>
      <c r="D32" s="114"/>
      <c r="E32" s="112"/>
      <c r="G32" s="114"/>
      <c r="H32" s="113"/>
      <c r="I32" s="113"/>
      <c r="J32" s="113"/>
    </row>
    <row r="33" spans="1:10" x14ac:dyDescent="0.25">
      <c r="A33" s="112"/>
      <c r="C33" s="114"/>
      <c r="D33" s="114"/>
      <c r="E33" s="112"/>
      <c r="G33" s="114"/>
      <c r="H33" s="113"/>
      <c r="J33" s="113"/>
    </row>
    <row r="34" spans="1:10" x14ac:dyDescent="0.25">
      <c r="A34" s="112"/>
      <c r="C34" s="114"/>
      <c r="D34" s="114"/>
      <c r="E34" s="112"/>
      <c r="G34" s="114"/>
      <c r="H34" s="113"/>
      <c r="J34" s="113"/>
    </row>
    <row r="35" spans="1:10" x14ac:dyDescent="0.25">
      <c r="A35" s="112"/>
      <c r="C35" s="114"/>
      <c r="D35" s="114"/>
      <c r="E35" s="112"/>
      <c r="G35" s="114"/>
      <c r="H35" s="113"/>
      <c r="J35" s="113"/>
    </row>
    <row r="36" spans="1:10" x14ac:dyDescent="0.25">
      <c r="A36" s="112"/>
      <c r="C36" s="114"/>
      <c r="D36" s="114"/>
      <c r="E36" s="112"/>
      <c r="G36" s="114"/>
      <c r="H36" s="113"/>
      <c r="J36" s="113"/>
    </row>
    <row r="37" spans="1:10" x14ac:dyDescent="0.25">
      <c r="A37" s="112"/>
      <c r="C37" s="114"/>
      <c r="D37" s="114"/>
      <c r="E37" s="112"/>
      <c r="G37" s="114"/>
      <c r="H37" s="113"/>
      <c r="J37" s="113"/>
    </row>
    <row r="38" spans="1:10" x14ac:dyDescent="0.25">
      <c r="A38" s="112"/>
      <c r="C38" s="114"/>
      <c r="D38" s="114"/>
      <c r="E38" s="112"/>
      <c r="G38" s="114"/>
      <c r="H38" s="114"/>
      <c r="J38" s="113"/>
    </row>
    <row r="39" spans="1:10" x14ac:dyDescent="0.25">
      <c r="A39" s="112"/>
      <c r="C39" s="114"/>
      <c r="D39" s="114"/>
      <c r="E39" s="112"/>
      <c r="G39" s="113"/>
      <c r="H39" s="114"/>
      <c r="J39" s="113"/>
    </row>
    <row r="40" spans="1:10" x14ac:dyDescent="0.25">
      <c r="A40" s="112"/>
      <c r="B40" s="117"/>
      <c r="D40" s="114"/>
      <c r="E40" s="113"/>
      <c r="H40" s="114"/>
      <c r="J40" s="113"/>
    </row>
    <row r="41" spans="1:10" x14ac:dyDescent="0.25">
      <c r="A41" s="112"/>
      <c r="B41" s="117"/>
      <c r="C41" s="113"/>
      <c r="D41" s="114"/>
      <c r="E41" s="113"/>
      <c r="H41" s="114"/>
      <c r="J41" s="113"/>
    </row>
    <row r="42" spans="1:10" x14ac:dyDescent="0.25">
      <c r="A42" s="112"/>
      <c r="B42" s="117"/>
      <c r="C42" s="113"/>
      <c r="D42" s="114"/>
      <c r="E42" s="113"/>
      <c r="H42" s="114"/>
      <c r="J42" s="113"/>
    </row>
    <row r="43" spans="1:10" x14ac:dyDescent="0.25">
      <c r="A43" s="112"/>
      <c r="B43" s="117"/>
      <c r="C43" s="113"/>
      <c r="D43" s="114"/>
      <c r="E43" s="113"/>
      <c r="H43" s="114"/>
      <c r="J43" s="113"/>
    </row>
    <row r="44" spans="1:10" x14ac:dyDescent="0.25">
      <c r="A44" s="112"/>
      <c r="B44" s="117"/>
      <c r="C44" s="113"/>
      <c r="D44" s="114"/>
      <c r="E44" s="113"/>
      <c r="H44" s="114"/>
      <c r="J44" s="113"/>
    </row>
    <row r="45" spans="1:10" x14ac:dyDescent="0.25">
      <c r="A45" s="112"/>
      <c r="B45" s="117"/>
      <c r="C45" s="113"/>
      <c r="D45" s="114"/>
      <c r="E45" s="113"/>
      <c r="H45" s="114"/>
      <c r="J45" s="113"/>
    </row>
    <row r="46" spans="1:10" x14ac:dyDescent="0.25">
      <c r="A46" s="112"/>
      <c r="B46" s="117"/>
      <c r="C46" s="113"/>
      <c r="D46" s="114"/>
      <c r="E46" s="113"/>
      <c r="H46" s="114"/>
      <c r="J46" s="113"/>
    </row>
    <row r="47" spans="1:10" x14ac:dyDescent="0.25">
      <c r="A47" s="112"/>
      <c r="B47" s="117"/>
      <c r="C47" s="113"/>
      <c r="D47" s="114"/>
      <c r="E47" s="113"/>
      <c r="H47" s="114"/>
      <c r="J47" s="113"/>
    </row>
    <row r="48" spans="1:10" x14ac:dyDescent="0.25">
      <c r="A48" s="112"/>
      <c r="B48" s="117"/>
      <c r="C48" s="113"/>
      <c r="D48" s="114"/>
      <c r="E48" s="113"/>
      <c r="H48" s="114"/>
      <c r="J48" s="113"/>
    </row>
    <row r="49" spans="1:10" x14ac:dyDescent="0.25">
      <c r="A49" s="112"/>
      <c r="B49" s="117"/>
      <c r="C49" s="113"/>
      <c r="D49" s="114"/>
      <c r="E49" s="113"/>
      <c r="H49" s="114"/>
      <c r="J49" s="113"/>
    </row>
    <row r="50" spans="1:10" x14ac:dyDescent="0.25">
      <c r="A50" s="112"/>
      <c r="B50" s="117"/>
      <c r="C50" s="113"/>
      <c r="D50" s="114"/>
      <c r="E50" s="113"/>
      <c r="H50" s="114"/>
    </row>
    <row r="51" spans="1:10" x14ac:dyDescent="0.25">
      <c r="A51" s="112"/>
      <c r="B51" s="117"/>
      <c r="C51" s="113"/>
      <c r="D51" s="114"/>
      <c r="E51" s="113"/>
      <c r="H51" s="114"/>
    </row>
    <row r="52" spans="1:10" x14ac:dyDescent="0.25">
      <c r="A52" s="112"/>
      <c r="B52" s="117"/>
      <c r="C52" s="113"/>
      <c r="D52" s="114"/>
      <c r="E52" s="113"/>
      <c r="H52" s="114"/>
    </row>
    <row r="53" spans="1:10" x14ac:dyDescent="0.25">
      <c r="A53" s="112"/>
      <c r="B53" s="117"/>
      <c r="C53" s="113"/>
      <c r="D53" s="114"/>
      <c r="E53" s="113"/>
      <c r="H53" s="114"/>
    </row>
    <row r="54" spans="1:10" x14ac:dyDescent="0.25">
      <c r="A54" s="112"/>
      <c r="B54" s="117"/>
      <c r="C54" s="113"/>
      <c r="D54" s="114"/>
      <c r="H54" s="114"/>
    </row>
    <row r="55" spans="1:10" x14ac:dyDescent="0.25">
      <c r="A55" s="112"/>
      <c r="B55" s="117"/>
      <c r="C55" s="113"/>
      <c r="D55" s="114"/>
      <c r="H55" s="114"/>
    </row>
    <row r="56" spans="1:10" x14ac:dyDescent="0.25">
      <c r="A56" s="112"/>
      <c r="B56" s="117"/>
      <c r="C56" s="113"/>
      <c r="D56" s="114"/>
      <c r="H56" s="114"/>
    </row>
    <row r="57" spans="1:10" x14ac:dyDescent="0.25">
      <c r="A57" s="112"/>
      <c r="B57" s="117"/>
      <c r="C57" s="113"/>
      <c r="D57" s="114"/>
      <c r="H57" s="114"/>
    </row>
    <row r="58" spans="1:10" x14ac:dyDescent="0.25">
      <c r="A58" s="112"/>
      <c r="B58" s="117"/>
      <c r="C58" s="113"/>
      <c r="D58" s="114"/>
      <c r="H58" s="114"/>
    </row>
    <row r="59" spans="1:10" x14ac:dyDescent="0.25">
      <c r="A59" s="112"/>
      <c r="B59" s="117"/>
      <c r="C59" s="113"/>
      <c r="D59" s="114"/>
      <c r="H59" s="114"/>
    </row>
    <row r="60" spans="1:10" x14ac:dyDescent="0.25">
      <c r="A60" s="112"/>
      <c r="B60" s="117"/>
      <c r="C60" s="113"/>
      <c r="D60" s="114"/>
      <c r="H60" s="114"/>
    </row>
    <row r="61" spans="1:10" x14ac:dyDescent="0.25">
      <c r="A61" s="112"/>
      <c r="B61" s="117"/>
      <c r="D61" s="114"/>
      <c r="H61" s="114"/>
    </row>
    <row r="62" spans="1:10" x14ac:dyDescent="0.25">
      <c r="A62" s="112"/>
      <c r="B62" s="117"/>
      <c r="D62" s="114"/>
      <c r="H62" s="114"/>
    </row>
    <row r="63" spans="1:10" x14ac:dyDescent="0.25">
      <c r="A63" s="112"/>
      <c r="B63" s="117"/>
      <c r="D63" s="114"/>
      <c r="H63" s="114"/>
    </row>
    <row r="64" spans="1:10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4"/>
      <c r="H67" s="114"/>
    </row>
    <row r="68" spans="1:8" x14ac:dyDescent="0.25">
      <c r="A68" s="112"/>
      <c r="B68" s="117"/>
      <c r="D68" s="114"/>
      <c r="H68" s="114"/>
    </row>
    <row r="69" spans="1:8" x14ac:dyDescent="0.25">
      <c r="A69" s="112"/>
      <c r="B69" s="117"/>
      <c r="D69" s="114"/>
      <c r="H69" s="114"/>
    </row>
    <row r="70" spans="1:8" x14ac:dyDescent="0.25">
      <c r="A70" s="112"/>
      <c r="B70" s="117"/>
      <c r="D70" s="114"/>
      <c r="H70" s="114"/>
    </row>
    <row r="71" spans="1:8" x14ac:dyDescent="0.25">
      <c r="A71" s="112"/>
      <c r="B71" s="117"/>
      <c r="D71" s="114"/>
      <c r="H71" s="114"/>
    </row>
    <row r="72" spans="1:8" x14ac:dyDescent="0.25">
      <c r="A72" s="112"/>
      <c r="B72" s="117"/>
      <c r="D72" s="114"/>
      <c r="H72" s="114"/>
    </row>
    <row r="73" spans="1:8" x14ac:dyDescent="0.25">
      <c r="A73" s="112"/>
      <c r="B73" s="117"/>
      <c r="D73" s="114"/>
      <c r="H73" s="114"/>
    </row>
    <row r="74" spans="1:8" x14ac:dyDescent="0.25">
      <c r="A74" s="112"/>
      <c r="B74" s="117"/>
      <c r="D74" s="114"/>
      <c r="H74" s="114"/>
    </row>
    <row r="75" spans="1:8" x14ac:dyDescent="0.25">
      <c r="A75" s="112"/>
      <c r="B75" s="117"/>
      <c r="D75" s="114"/>
      <c r="H75" s="114"/>
    </row>
    <row r="76" spans="1:8" x14ac:dyDescent="0.25">
      <c r="A76" s="112"/>
      <c r="B76" s="117"/>
      <c r="D76" s="113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4"/>
    </row>
    <row r="88" spans="1:8" x14ac:dyDescent="0.25">
      <c r="A88" s="112"/>
      <c r="B88" s="117"/>
      <c r="D88" s="113"/>
      <c r="H88" s="114"/>
    </row>
    <row r="89" spans="1:8" x14ac:dyDescent="0.25">
      <c r="A89" s="112"/>
      <c r="B89" s="117"/>
      <c r="D89" s="113"/>
      <c r="H89" s="114"/>
    </row>
    <row r="90" spans="1:8" x14ac:dyDescent="0.25">
      <c r="A90" s="112"/>
      <c r="B90" s="117"/>
      <c r="D90" s="113"/>
      <c r="H90" s="114"/>
    </row>
    <row r="91" spans="1:8" x14ac:dyDescent="0.25">
      <c r="A91" s="112"/>
      <c r="B91" s="117"/>
      <c r="D91" s="113"/>
      <c r="H91" s="114"/>
    </row>
    <row r="92" spans="1:8" x14ac:dyDescent="0.25">
      <c r="A92" s="112"/>
      <c r="B92" s="117"/>
      <c r="D92" s="113"/>
      <c r="H92" s="114"/>
    </row>
    <row r="93" spans="1:8" x14ac:dyDescent="0.25">
      <c r="A93" s="112"/>
      <c r="B93" s="117"/>
      <c r="D93" s="113"/>
      <c r="H93" s="114"/>
    </row>
    <row r="94" spans="1:8" x14ac:dyDescent="0.25">
      <c r="A94" s="112"/>
      <c r="B94" s="117"/>
      <c r="D94" s="113"/>
      <c r="H94" s="114"/>
    </row>
    <row r="95" spans="1:8" x14ac:dyDescent="0.25">
      <c r="A95" s="112"/>
      <c r="B95" s="117"/>
      <c r="D95" s="113"/>
      <c r="H95" s="119"/>
    </row>
    <row r="96" spans="1:8" x14ac:dyDescent="0.25">
      <c r="A96" s="112"/>
      <c r="B96" s="117"/>
      <c r="D96" s="113"/>
    </row>
    <row r="97" spans="1:4" x14ac:dyDescent="0.25">
      <c r="A97" s="112"/>
      <c r="B97" s="117"/>
      <c r="D97" s="113"/>
    </row>
    <row r="98" spans="1:4" x14ac:dyDescent="0.25">
      <c r="A98" s="112"/>
      <c r="B98" s="117"/>
      <c r="D98" s="114"/>
    </row>
    <row r="99" spans="1:4" x14ac:dyDescent="0.25">
      <c r="A99" s="112"/>
      <c r="B99" s="117"/>
      <c r="D99" s="114"/>
    </row>
    <row r="100" spans="1:4" x14ac:dyDescent="0.25">
      <c r="A100" s="112"/>
      <c r="B100" s="117"/>
      <c r="D100" s="114"/>
    </row>
    <row r="101" spans="1:4" x14ac:dyDescent="0.25">
      <c r="A101" s="112"/>
      <c r="B101" s="117"/>
      <c r="D101" s="114"/>
    </row>
    <row r="102" spans="1:4" x14ac:dyDescent="0.25">
      <c r="A102" s="112"/>
      <c r="B102" s="117"/>
      <c r="D102" s="11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94"/>
  <sheetViews>
    <sheetView workbookViewId="0">
      <selection activeCell="F20" sqref="F20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63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64</v>
      </c>
      <c r="D5" s="137" t="s">
        <v>9</v>
      </c>
      <c r="H5" s="35" t="s">
        <v>60</v>
      </c>
    </row>
    <row r="6" spans="1:19" ht="15.75" thickBot="1" x14ac:dyDescent="0.3">
      <c r="A6" s="141">
        <f>B6+273.15</f>
        <v>1073.1500000000001</v>
      </c>
      <c r="B6" s="128">
        <v>800</v>
      </c>
      <c r="C6" s="130">
        <v>-2.2696000000000001</v>
      </c>
      <c r="D6" s="154">
        <f>10^C6</f>
        <v>5.3752664878674444E-3</v>
      </c>
    </row>
    <row r="7" spans="1:19" x14ac:dyDescent="0.25">
      <c r="A7" s="112"/>
      <c r="B7" s="119"/>
      <c r="C7" s="113"/>
      <c r="D7" s="114"/>
      <c r="E7" s="114"/>
      <c r="H7" s="111" t="s">
        <v>18</v>
      </c>
    </row>
    <row r="8" spans="1:19" ht="16.5" thickBot="1" x14ac:dyDescent="0.3">
      <c r="A8" s="112"/>
      <c r="B8" s="119"/>
      <c r="C8" s="113"/>
      <c r="D8" s="114"/>
      <c r="E8" s="114"/>
      <c r="G8" s="111">
        <v>1</v>
      </c>
      <c r="H8" s="35" t="s">
        <v>54</v>
      </c>
    </row>
    <row r="9" spans="1:19" ht="15.75" x14ac:dyDescent="0.25">
      <c r="A9" s="133" t="s">
        <v>13</v>
      </c>
      <c r="B9" s="134"/>
      <c r="C9" s="134"/>
      <c r="D9" s="135"/>
    </row>
    <row r="10" spans="1:19" ht="75.75" thickBot="1" x14ac:dyDescent="0.3">
      <c r="A10" s="136" t="s">
        <v>16</v>
      </c>
      <c r="B10" s="115" t="s">
        <v>14</v>
      </c>
      <c r="C10" s="142" t="s">
        <v>37</v>
      </c>
      <c r="D10" s="137" t="s">
        <v>15</v>
      </c>
    </row>
    <row r="11" spans="1:19" ht="19.5" thickBot="1" x14ac:dyDescent="0.3">
      <c r="A11" s="141">
        <f>B11+273.15</f>
        <v>1073.1500000000001</v>
      </c>
      <c r="B11" s="128">
        <v>800</v>
      </c>
      <c r="C11" s="130">
        <f>'LSFC,Plonczak (Electrochem)'!C37</f>
        <v>218.65530628367247</v>
      </c>
      <c r="D11" s="158">
        <f>D6/C11</f>
        <v>2.4583288552320071E-5</v>
      </c>
      <c r="H11" s="169" t="s">
        <v>184</v>
      </c>
    </row>
    <row r="12" spans="1:19" ht="15.75" thickBot="1" x14ac:dyDescent="0.3">
      <c r="A12" s="112"/>
      <c r="D12" s="114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19</v>
      </c>
      <c r="B13" s="134"/>
      <c r="C13" s="134"/>
      <c r="D13" s="135"/>
      <c r="G13" s="119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47.25" x14ac:dyDescent="0.25">
      <c r="A14" s="136" t="s">
        <v>16</v>
      </c>
      <c r="B14" s="115" t="s">
        <v>14</v>
      </c>
      <c r="C14" s="142" t="s">
        <v>21</v>
      </c>
      <c r="D14" s="143" t="s">
        <v>35</v>
      </c>
      <c r="G14" s="119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>B15+273.15</f>
        <v>1073.1500000000001</v>
      </c>
      <c r="B15" s="128">
        <v>800</v>
      </c>
      <c r="C15" s="130">
        <f>'LSFC,Plonczak (Electrochem)'!G37</f>
        <v>0.06</v>
      </c>
      <c r="D15" s="158">
        <f>($C$2*A15*$A$2*C11)/(4*($E$2^2)*C15*D6)</f>
        <v>0.16237024867738414</v>
      </c>
      <c r="G15" s="119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D16" s="114"/>
      <c r="G16" s="119"/>
      <c r="H16" s="114"/>
      <c r="J16" s="113"/>
      <c r="K16" s="113"/>
      <c r="L16" s="113"/>
    </row>
    <row r="17" spans="1:12" x14ac:dyDescent="0.25">
      <c r="G17" s="119"/>
      <c r="H17" s="114"/>
      <c r="J17" s="113"/>
      <c r="K17" s="113"/>
      <c r="L17" s="113"/>
    </row>
    <row r="18" spans="1:12" x14ac:dyDescent="0.25">
      <c r="A18" s="118"/>
      <c r="G18" s="119"/>
      <c r="H18" s="114"/>
    </row>
    <row r="19" spans="1:12" x14ac:dyDescent="0.25">
      <c r="C19" s="118"/>
      <c r="D19" s="118"/>
      <c r="G19" s="118"/>
      <c r="H19" s="118"/>
    </row>
    <row r="20" spans="1:12" x14ac:dyDescent="0.25">
      <c r="A20" s="112"/>
      <c r="C20" s="114"/>
      <c r="D20" s="114"/>
      <c r="E20" s="112"/>
      <c r="G20" s="114"/>
      <c r="H20" s="113"/>
      <c r="I20" s="113"/>
    </row>
    <row r="21" spans="1:12" x14ac:dyDescent="0.25">
      <c r="A21" s="112"/>
      <c r="C21" s="114"/>
      <c r="D21" s="114"/>
      <c r="E21" s="112"/>
      <c r="G21" s="114"/>
      <c r="H21" s="113"/>
      <c r="I21" s="113"/>
      <c r="J21" s="118"/>
    </row>
    <row r="22" spans="1:12" x14ac:dyDescent="0.25">
      <c r="A22" s="112"/>
      <c r="C22" s="114"/>
      <c r="D22" s="114"/>
      <c r="E22" s="112"/>
      <c r="G22" s="114"/>
      <c r="H22" s="113"/>
      <c r="I22" s="113"/>
      <c r="J22" s="113"/>
    </row>
    <row r="23" spans="1:12" x14ac:dyDescent="0.25">
      <c r="A23" s="112"/>
      <c r="C23" s="114"/>
      <c r="D23" s="114"/>
      <c r="E23" s="112"/>
      <c r="G23" s="114"/>
      <c r="H23" s="113"/>
      <c r="I23" s="113"/>
      <c r="J23" s="113"/>
    </row>
    <row r="24" spans="1:12" x14ac:dyDescent="0.25">
      <c r="A24" s="112"/>
      <c r="C24" s="114"/>
      <c r="D24" s="114"/>
      <c r="E24" s="112"/>
      <c r="G24" s="114"/>
      <c r="H24" s="113"/>
      <c r="I24" s="113"/>
      <c r="J24" s="113"/>
    </row>
    <row r="25" spans="1:12" x14ac:dyDescent="0.25">
      <c r="A25" s="112"/>
      <c r="C25" s="114"/>
      <c r="D25" s="114"/>
      <c r="E25" s="112"/>
      <c r="G25" s="114"/>
      <c r="H25" s="113"/>
      <c r="J25" s="113"/>
    </row>
    <row r="26" spans="1:12" x14ac:dyDescent="0.25">
      <c r="A26" s="112"/>
      <c r="C26" s="114"/>
      <c r="D26" s="114"/>
      <c r="E26" s="112"/>
      <c r="G26" s="114"/>
      <c r="H26" s="113"/>
      <c r="J26" s="113"/>
    </row>
    <row r="27" spans="1:12" x14ac:dyDescent="0.25">
      <c r="A27" s="112"/>
      <c r="C27" s="114"/>
      <c r="D27" s="114"/>
      <c r="E27" s="112"/>
      <c r="G27" s="114"/>
      <c r="H27" s="113"/>
      <c r="J27" s="113"/>
    </row>
    <row r="28" spans="1:12" x14ac:dyDescent="0.25">
      <c r="A28" s="112"/>
      <c r="C28" s="114"/>
      <c r="D28" s="114"/>
      <c r="E28" s="112"/>
      <c r="G28" s="114"/>
      <c r="H28" s="113"/>
      <c r="J28" s="113"/>
    </row>
    <row r="29" spans="1:12" x14ac:dyDescent="0.25">
      <c r="A29" s="112"/>
      <c r="C29" s="114"/>
      <c r="D29" s="114"/>
      <c r="E29" s="112"/>
      <c r="G29" s="114"/>
      <c r="H29" s="113"/>
      <c r="J29" s="113"/>
    </row>
    <row r="30" spans="1:12" x14ac:dyDescent="0.25">
      <c r="A30" s="112"/>
      <c r="C30" s="114"/>
      <c r="D30" s="114"/>
      <c r="E30" s="112"/>
      <c r="G30" s="114"/>
      <c r="H30" s="114"/>
      <c r="J30" s="113"/>
    </row>
    <row r="31" spans="1:12" x14ac:dyDescent="0.25">
      <c r="A31" s="112"/>
      <c r="C31" s="114"/>
      <c r="D31" s="114"/>
      <c r="E31" s="112"/>
      <c r="G31" s="113"/>
      <c r="H31" s="114"/>
      <c r="J31" s="113"/>
    </row>
    <row r="32" spans="1:12" x14ac:dyDescent="0.25">
      <c r="A32" s="112"/>
      <c r="B32" s="117"/>
      <c r="D32" s="114"/>
      <c r="E32" s="113"/>
      <c r="H32" s="114"/>
      <c r="J32" s="113"/>
    </row>
    <row r="33" spans="1:10" x14ac:dyDescent="0.25">
      <c r="A33" s="112"/>
      <c r="B33" s="117"/>
      <c r="C33" s="113"/>
      <c r="D33" s="114"/>
      <c r="E33" s="113"/>
      <c r="H33" s="114"/>
      <c r="J33" s="113"/>
    </row>
    <row r="34" spans="1:10" x14ac:dyDescent="0.25">
      <c r="A34" s="112"/>
      <c r="B34" s="117"/>
      <c r="C34" s="113"/>
      <c r="D34" s="114"/>
      <c r="E34" s="113"/>
      <c r="H34" s="114"/>
      <c r="J34" s="113"/>
    </row>
    <row r="35" spans="1:10" x14ac:dyDescent="0.25">
      <c r="A35" s="112"/>
      <c r="B35" s="117"/>
      <c r="C35" s="113"/>
      <c r="D35" s="114"/>
      <c r="E35" s="113"/>
      <c r="H35" s="114"/>
      <c r="J35" s="113"/>
    </row>
    <row r="36" spans="1:10" x14ac:dyDescent="0.25">
      <c r="A36" s="112"/>
      <c r="B36" s="117"/>
      <c r="C36" s="113"/>
      <c r="D36" s="114"/>
      <c r="E36" s="113"/>
      <c r="H36" s="114"/>
      <c r="J36" s="113"/>
    </row>
    <row r="37" spans="1:10" x14ac:dyDescent="0.25">
      <c r="A37" s="112"/>
      <c r="B37" s="117"/>
      <c r="C37" s="113"/>
      <c r="D37" s="114"/>
      <c r="E37" s="113"/>
      <c r="H37" s="114"/>
      <c r="J37" s="113"/>
    </row>
    <row r="38" spans="1:10" x14ac:dyDescent="0.25">
      <c r="A38" s="112"/>
      <c r="B38" s="117"/>
      <c r="C38" s="113"/>
      <c r="D38" s="114"/>
      <c r="E38" s="113"/>
      <c r="H38" s="114"/>
      <c r="J38" s="113"/>
    </row>
    <row r="39" spans="1:10" x14ac:dyDescent="0.25">
      <c r="A39" s="112"/>
      <c r="B39" s="117"/>
      <c r="C39" s="113"/>
      <c r="D39" s="114"/>
      <c r="E39" s="113"/>
      <c r="H39" s="114"/>
      <c r="J39" s="113"/>
    </row>
    <row r="40" spans="1:10" x14ac:dyDescent="0.25">
      <c r="A40" s="112"/>
      <c r="B40" s="117"/>
      <c r="C40" s="113"/>
      <c r="D40" s="114"/>
      <c r="E40" s="113"/>
      <c r="H40" s="114"/>
      <c r="J40" s="113"/>
    </row>
    <row r="41" spans="1:10" x14ac:dyDescent="0.25">
      <c r="A41" s="112"/>
      <c r="B41" s="117"/>
      <c r="C41" s="113"/>
      <c r="D41" s="114"/>
      <c r="E41" s="113"/>
      <c r="H41" s="114"/>
      <c r="J41" s="113"/>
    </row>
    <row r="42" spans="1:10" x14ac:dyDescent="0.25">
      <c r="A42" s="112"/>
      <c r="B42" s="117"/>
      <c r="C42" s="113"/>
      <c r="D42" s="114"/>
      <c r="E42" s="113"/>
      <c r="H42" s="114"/>
    </row>
    <row r="43" spans="1:10" x14ac:dyDescent="0.25">
      <c r="A43" s="112"/>
      <c r="B43" s="117"/>
      <c r="C43" s="113"/>
      <c r="D43" s="114"/>
      <c r="E43" s="113"/>
      <c r="H43" s="114"/>
    </row>
    <row r="44" spans="1:10" x14ac:dyDescent="0.25">
      <c r="A44" s="112"/>
      <c r="B44" s="117"/>
      <c r="C44" s="113"/>
      <c r="D44" s="114"/>
      <c r="E44" s="113"/>
      <c r="H44" s="114"/>
    </row>
    <row r="45" spans="1:10" x14ac:dyDescent="0.25">
      <c r="A45" s="112"/>
      <c r="B45" s="117"/>
      <c r="C45" s="113"/>
      <c r="D45" s="114"/>
      <c r="E45" s="113"/>
      <c r="H45" s="114"/>
    </row>
    <row r="46" spans="1:10" x14ac:dyDescent="0.25">
      <c r="A46" s="112"/>
      <c r="B46" s="117"/>
      <c r="C46" s="113"/>
      <c r="D46" s="114"/>
      <c r="H46" s="114"/>
    </row>
    <row r="47" spans="1:10" x14ac:dyDescent="0.25">
      <c r="A47" s="112"/>
      <c r="B47" s="117"/>
      <c r="C47" s="113"/>
      <c r="D47" s="114"/>
      <c r="H47" s="114"/>
    </row>
    <row r="48" spans="1:10" x14ac:dyDescent="0.25">
      <c r="A48" s="112"/>
      <c r="B48" s="117"/>
      <c r="C48" s="113"/>
      <c r="D48" s="114"/>
      <c r="H48" s="114"/>
    </row>
    <row r="49" spans="1:8" x14ac:dyDescent="0.25">
      <c r="A49" s="112"/>
      <c r="B49" s="117"/>
      <c r="C49" s="113"/>
      <c r="D49" s="114"/>
      <c r="H49" s="114"/>
    </row>
    <row r="50" spans="1:8" x14ac:dyDescent="0.25">
      <c r="A50" s="112"/>
      <c r="B50" s="117"/>
      <c r="C50" s="113"/>
      <c r="D50" s="114"/>
      <c r="H50" s="114"/>
    </row>
    <row r="51" spans="1:8" x14ac:dyDescent="0.25">
      <c r="A51" s="112"/>
      <c r="B51" s="117"/>
      <c r="C51" s="113"/>
      <c r="D51" s="114"/>
      <c r="H51" s="114"/>
    </row>
    <row r="52" spans="1:8" x14ac:dyDescent="0.25">
      <c r="A52" s="112"/>
      <c r="B52" s="117"/>
      <c r="C52" s="113"/>
      <c r="D52" s="114"/>
      <c r="H52" s="114"/>
    </row>
    <row r="53" spans="1:8" x14ac:dyDescent="0.25">
      <c r="A53" s="112"/>
      <c r="B53" s="117"/>
      <c r="D53" s="114"/>
      <c r="H53" s="114"/>
    </row>
    <row r="54" spans="1:8" x14ac:dyDescent="0.25">
      <c r="A54" s="112"/>
      <c r="B54" s="117"/>
      <c r="D54" s="114"/>
      <c r="H54" s="114"/>
    </row>
    <row r="55" spans="1:8" x14ac:dyDescent="0.25">
      <c r="A55" s="112"/>
      <c r="B55" s="117"/>
      <c r="D55" s="114"/>
      <c r="H55" s="114"/>
    </row>
    <row r="56" spans="1:8" x14ac:dyDescent="0.25">
      <c r="A56" s="112"/>
      <c r="B56" s="117"/>
      <c r="D56" s="114"/>
      <c r="H56" s="114"/>
    </row>
    <row r="57" spans="1:8" x14ac:dyDescent="0.25">
      <c r="A57" s="112"/>
      <c r="B57" s="117"/>
      <c r="D57" s="114"/>
      <c r="H57" s="114"/>
    </row>
    <row r="58" spans="1:8" x14ac:dyDescent="0.25">
      <c r="A58" s="112"/>
      <c r="B58" s="117"/>
      <c r="D58" s="114"/>
      <c r="H58" s="114"/>
    </row>
    <row r="59" spans="1:8" x14ac:dyDescent="0.25">
      <c r="A59" s="112"/>
      <c r="B59" s="117"/>
      <c r="D59" s="114"/>
      <c r="H59" s="114"/>
    </row>
    <row r="60" spans="1:8" x14ac:dyDescent="0.25">
      <c r="A60" s="112"/>
      <c r="B60" s="117"/>
      <c r="D60" s="114"/>
      <c r="H60" s="114"/>
    </row>
    <row r="61" spans="1:8" x14ac:dyDescent="0.25">
      <c r="A61" s="112"/>
      <c r="B61" s="117"/>
      <c r="D61" s="114"/>
      <c r="H61" s="114"/>
    </row>
    <row r="62" spans="1:8" x14ac:dyDescent="0.25">
      <c r="A62" s="112"/>
      <c r="B62" s="117"/>
      <c r="D62" s="114"/>
      <c r="H62" s="114"/>
    </row>
    <row r="63" spans="1:8" x14ac:dyDescent="0.25">
      <c r="A63" s="112"/>
      <c r="B63" s="117"/>
      <c r="D63" s="114"/>
      <c r="H63" s="114"/>
    </row>
    <row r="64" spans="1:8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4"/>
      <c r="H67" s="114"/>
    </row>
    <row r="68" spans="1:8" x14ac:dyDescent="0.25">
      <c r="A68" s="112"/>
      <c r="B68" s="117"/>
      <c r="D68" s="113"/>
      <c r="H68" s="114"/>
    </row>
    <row r="69" spans="1:8" x14ac:dyDescent="0.25">
      <c r="A69" s="112"/>
      <c r="B69" s="117"/>
      <c r="D69" s="113"/>
      <c r="H69" s="114"/>
    </row>
    <row r="70" spans="1:8" x14ac:dyDescent="0.25">
      <c r="A70" s="112"/>
      <c r="B70" s="117"/>
      <c r="D70" s="113"/>
      <c r="H70" s="114"/>
    </row>
    <row r="71" spans="1:8" x14ac:dyDescent="0.25">
      <c r="A71" s="112"/>
      <c r="B71" s="117"/>
      <c r="D71" s="113"/>
      <c r="H71" s="114"/>
    </row>
    <row r="72" spans="1:8" x14ac:dyDescent="0.25">
      <c r="A72" s="112"/>
      <c r="B72" s="117"/>
      <c r="D72" s="113"/>
      <c r="H72" s="114"/>
    </row>
    <row r="73" spans="1:8" x14ac:dyDescent="0.25">
      <c r="A73" s="112"/>
      <c r="B73" s="117"/>
      <c r="D73" s="113"/>
      <c r="H73" s="114"/>
    </row>
    <row r="74" spans="1:8" x14ac:dyDescent="0.25">
      <c r="A74" s="112"/>
      <c r="B74" s="117"/>
      <c r="D74" s="113"/>
      <c r="H74" s="114"/>
    </row>
    <row r="75" spans="1:8" x14ac:dyDescent="0.25">
      <c r="A75" s="112"/>
      <c r="B75" s="117"/>
      <c r="D75" s="113"/>
      <c r="H75" s="114"/>
    </row>
    <row r="76" spans="1:8" x14ac:dyDescent="0.25">
      <c r="A76" s="112"/>
      <c r="B76" s="117"/>
      <c r="D76" s="113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9"/>
    </row>
    <row r="88" spans="1:8" x14ac:dyDescent="0.25">
      <c r="A88" s="112"/>
      <c r="B88" s="117"/>
      <c r="D88" s="113"/>
    </row>
    <row r="89" spans="1:8" x14ac:dyDescent="0.25">
      <c r="A89" s="112"/>
      <c r="B89" s="117"/>
      <c r="D89" s="113"/>
    </row>
    <row r="90" spans="1:8" x14ac:dyDescent="0.25">
      <c r="A90" s="112"/>
      <c r="B90" s="117"/>
      <c r="D90" s="114"/>
    </row>
    <row r="91" spans="1:8" x14ac:dyDescent="0.25">
      <c r="A91" s="112"/>
      <c r="B91" s="117"/>
      <c r="D91" s="114"/>
    </row>
    <row r="92" spans="1:8" x14ac:dyDescent="0.25">
      <c r="A92" s="112"/>
      <c r="B92" s="117"/>
      <c r="D92" s="114"/>
    </row>
    <row r="93" spans="1:8" x14ac:dyDescent="0.25">
      <c r="A93" s="112"/>
      <c r="B93" s="117"/>
      <c r="D93" s="114"/>
    </row>
    <row r="94" spans="1:8" x14ac:dyDescent="0.25">
      <c r="A94" s="112"/>
      <c r="B94" s="117"/>
      <c r="D94" s="11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103"/>
  <sheetViews>
    <sheetView workbookViewId="0">
      <selection activeCell="G21" sqref="G21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68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59</v>
      </c>
      <c r="D5" s="137" t="s">
        <v>9</v>
      </c>
      <c r="H5" s="35" t="s">
        <v>65</v>
      </c>
    </row>
    <row r="6" spans="1:19" x14ac:dyDescent="0.25">
      <c r="A6" s="138">
        <f>B6+273.15</f>
        <v>1273.1500000000001</v>
      </c>
      <c r="B6" s="150">
        <v>1000</v>
      </c>
      <c r="C6" s="144">
        <v>1.44E-4</v>
      </c>
      <c r="D6" s="159">
        <f>C6*100</f>
        <v>1.44E-2</v>
      </c>
    </row>
    <row r="7" spans="1:19" x14ac:dyDescent="0.25">
      <c r="A7" s="138">
        <f t="shared" ref="A7:A9" si="0">B7+273.15</f>
        <v>1223.1500000000001</v>
      </c>
      <c r="B7" s="150">
        <v>950</v>
      </c>
      <c r="C7" s="144">
        <v>6.9200000000000002E-5</v>
      </c>
      <c r="D7" s="159">
        <f t="shared" ref="D7:D9" si="1">C7*100</f>
        <v>6.9199999999999999E-3</v>
      </c>
      <c r="E7" s="114"/>
    </row>
    <row r="8" spans="1:19" x14ac:dyDescent="0.25">
      <c r="A8" s="138">
        <f t="shared" si="0"/>
        <v>1173.1500000000001</v>
      </c>
      <c r="B8" s="150">
        <v>900</v>
      </c>
      <c r="C8" s="144">
        <v>3.3399999999999999E-5</v>
      </c>
      <c r="D8" s="159">
        <f t="shared" si="1"/>
        <v>3.3400000000000001E-3</v>
      </c>
      <c r="E8" s="114"/>
    </row>
    <row r="9" spans="1:19" ht="15.75" thickBot="1" x14ac:dyDescent="0.3">
      <c r="A9" s="141">
        <f t="shared" si="0"/>
        <v>1123.1500000000001</v>
      </c>
      <c r="B9" s="128">
        <v>850</v>
      </c>
      <c r="C9" s="129">
        <v>1.5699999999999999E-5</v>
      </c>
      <c r="D9" s="160">
        <f t="shared" si="1"/>
        <v>1.5699999999999998E-3</v>
      </c>
      <c r="E9" s="114"/>
    </row>
    <row r="10" spans="1:19" ht="15.75" thickBot="1" x14ac:dyDescent="0.3">
      <c r="A10" s="112"/>
      <c r="B10" s="119"/>
      <c r="C10" s="113"/>
      <c r="D10" s="114"/>
      <c r="E10" s="114"/>
    </row>
    <row r="11" spans="1:19" ht="19.5" thickBot="1" x14ac:dyDescent="0.3">
      <c r="A11" s="145" t="s">
        <v>13</v>
      </c>
      <c r="B11" s="134"/>
      <c r="C11" s="134"/>
      <c r="D11" s="135"/>
      <c r="H11" s="169" t="s">
        <v>184</v>
      </c>
    </row>
    <row r="12" spans="1:19" x14ac:dyDescent="0.25">
      <c r="A12" s="136" t="s">
        <v>16</v>
      </c>
      <c r="B12" s="115" t="s">
        <v>14</v>
      </c>
      <c r="C12" s="115" t="s">
        <v>67</v>
      </c>
      <c r="D12" s="137" t="s">
        <v>15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1273.1500000000001</v>
      </c>
      <c r="B13" s="150">
        <v>1000</v>
      </c>
      <c r="C13" s="144">
        <v>1.3200000000000001E-6</v>
      </c>
      <c r="D13" s="159">
        <f>C13*100</f>
        <v>1.3200000000000001E-4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ref="A14:A16" si="2">B14+273.15</f>
        <v>1223.1500000000001</v>
      </c>
      <c r="B14" s="150">
        <v>950</v>
      </c>
      <c r="C14" s="144">
        <v>6.3399999999999999E-7</v>
      </c>
      <c r="D14" s="159">
        <f t="shared" ref="D14:D16" si="3">C14*100</f>
        <v>6.3399999999999996E-5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2"/>
        <v>1173.1500000000001</v>
      </c>
      <c r="B15" s="150">
        <v>900</v>
      </c>
      <c r="C15" s="144">
        <v>2.9799999999999999E-7</v>
      </c>
      <c r="D15" s="159">
        <f t="shared" si="3"/>
        <v>2.9799999999999999E-5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A16" s="141">
        <f t="shared" si="2"/>
        <v>1123.1500000000001</v>
      </c>
      <c r="B16" s="128">
        <v>850</v>
      </c>
      <c r="C16" s="129">
        <v>1.31E-7</v>
      </c>
      <c r="D16" s="160">
        <f t="shared" si="3"/>
        <v>1.31E-5</v>
      </c>
    </row>
    <row r="17" spans="1:12" ht="15.75" thickBot="1" x14ac:dyDescent="0.3"/>
    <row r="18" spans="1:12" x14ac:dyDescent="0.25">
      <c r="A18" s="145" t="s">
        <v>19</v>
      </c>
      <c r="B18" s="134"/>
      <c r="C18" s="134"/>
      <c r="D18" s="135"/>
      <c r="G18" s="119"/>
      <c r="H18" s="119"/>
    </row>
    <row r="19" spans="1:12" x14ac:dyDescent="0.25">
      <c r="A19" s="136" t="s">
        <v>16</v>
      </c>
      <c r="B19" s="115" t="s">
        <v>14</v>
      </c>
      <c r="C19" s="142" t="s">
        <v>66</v>
      </c>
      <c r="D19" s="143" t="s">
        <v>35</v>
      </c>
      <c r="H19" s="114"/>
    </row>
    <row r="20" spans="1:12" x14ac:dyDescent="0.25">
      <c r="A20" s="138">
        <f>B20+273.15</f>
        <v>1273.1500000000001</v>
      </c>
      <c r="B20" s="150">
        <v>1000</v>
      </c>
      <c r="C20" s="144">
        <v>2.65E-6</v>
      </c>
      <c r="D20" s="167">
        <f>C20*10000</f>
        <v>2.6499999999999999E-2</v>
      </c>
      <c r="H20" s="114"/>
      <c r="K20" s="118"/>
      <c r="L20" s="118"/>
    </row>
    <row r="21" spans="1:12" x14ac:dyDescent="0.25">
      <c r="A21" s="138">
        <f t="shared" ref="A21:A23" si="4">B21+273.15</f>
        <v>1223.1500000000001</v>
      </c>
      <c r="B21" s="150">
        <v>950</v>
      </c>
      <c r="C21" s="144">
        <v>5.2800000000000003E-6</v>
      </c>
      <c r="D21" s="167">
        <f t="shared" ref="D21:D23" si="5">C21*10000</f>
        <v>5.28E-2</v>
      </c>
      <c r="H21" s="114"/>
      <c r="K21" s="118"/>
      <c r="L21" s="118"/>
    </row>
    <row r="22" spans="1:12" x14ac:dyDescent="0.25">
      <c r="A22" s="138">
        <f t="shared" si="4"/>
        <v>1173.1500000000001</v>
      </c>
      <c r="B22" s="150">
        <v>900</v>
      </c>
      <c r="C22" s="144">
        <v>1.08E-5</v>
      </c>
      <c r="D22" s="167">
        <f t="shared" si="5"/>
        <v>0.108</v>
      </c>
      <c r="H22" s="114"/>
      <c r="K22" s="118"/>
      <c r="L22" s="118"/>
    </row>
    <row r="23" spans="1:12" ht="15.75" thickBot="1" x14ac:dyDescent="0.3">
      <c r="A23" s="141">
        <f t="shared" si="4"/>
        <v>1123.1500000000001</v>
      </c>
      <c r="B23" s="128">
        <v>850</v>
      </c>
      <c r="C23" s="129">
        <f>0.0000232</f>
        <v>2.3200000000000001E-5</v>
      </c>
      <c r="D23" s="168">
        <f t="shared" si="5"/>
        <v>0.23200000000000001</v>
      </c>
      <c r="G23" s="119"/>
      <c r="H23" s="114"/>
      <c r="K23" s="118"/>
      <c r="L23" s="118"/>
    </row>
    <row r="24" spans="1:12" x14ac:dyDescent="0.25">
      <c r="A24" s="112"/>
      <c r="B24" s="119"/>
      <c r="C24" s="113"/>
      <c r="D24" s="114"/>
      <c r="G24" s="119"/>
      <c r="H24" s="114"/>
      <c r="K24" s="118"/>
      <c r="L24" s="118"/>
    </row>
    <row r="25" spans="1:12" x14ac:dyDescent="0.25">
      <c r="D25" s="114"/>
      <c r="G25" s="119"/>
      <c r="H25" s="114"/>
      <c r="J25" s="113"/>
      <c r="K25" s="113"/>
      <c r="L25" s="113"/>
    </row>
    <row r="26" spans="1:12" s="126" customFormat="1" ht="15.75" thickBot="1" x14ac:dyDescent="0.3">
      <c r="G26" s="128"/>
      <c r="H26" s="129"/>
      <c r="J26" s="130"/>
      <c r="K26" s="130"/>
      <c r="L26" s="130"/>
    </row>
    <row r="27" spans="1:12" ht="60" x14ac:dyDescent="0.25">
      <c r="A27" s="118" t="s">
        <v>26</v>
      </c>
      <c r="G27" s="119"/>
      <c r="H27" s="114"/>
    </row>
    <row r="28" spans="1:12" ht="45" x14ac:dyDescent="0.25">
      <c r="A28" s="111" t="s">
        <v>16</v>
      </c>
      <c r="B28" s="111" t="s">
        <v>14</v>
      </c>
      <c r="C28" s="118" t="s">
        <v>40</v>
      </c>
      <c r="D28" s="118"/>
      <c r="E28" s="111" t="s">
        <v>16</v>
      </c>
      <c r="F28" s="111" t="s">
        <v>14</v>
      </c>
      <c r="G28" s="118" t="s">
        <v>20</v>
      </c>
      <c r="H28" s="118"/>
    </row>
    <row r="29" spans="1:12" x14ac:dyDescent="0.25">
      <c r="A29" s="112">
        <f>B29+273.15</f>
        <v>1273.1500000000001</v>
      </c>
      <c r="B29" s="111">
        <v>1000</v>
      </c>
      <c r="C29" s="114">
        <v>109</v>
      </c>
      <c r="D29" s="114"/>
      <c r="E29" s="112">
        <f>F29+273.15</f>
        <v>1273.1500000000001</v>
      </c>
      <c r="F29" s="119">
        <v>1000</v>
      </c>
      <c r="G29" s="114">
        <v>8.1216796194923377E-2</v>
      </c>
      <c r="H29" s="113"/>
      <c r="I29" s="113"/>
    </row>
    <row r="30" spans="1:12" x14ac:dyDescent="0.25">
      <c r="A30" s="112">
        <f t="shared" ref="A30:A39" si="6">B30+273.15</f>
        <v>1223.1500000000001</v>
      </c>
      <c r="B30" s="111">
        <v>950</v>
      </c>
      <c r="C30" s="114">
        <v>109</v>
      </c>
      <c r="D30" s="114"/>
      <c r="E30" s="112">
        <f t="shared" ref="E30:E36" si="7">F30+273.15</f>
        <v>1223.1500000000001</v>
      </c>
      <c r="F30" s="119">
        <v>950</v>
      </c>
      <c r="G30" s="114">
        <v>8.1534334685923165E-2</v>
      </c>
      <c r="H30" s="113"/>
      <c r="I30" s="113"/>
      <c r="J30" s="118"/>
    </row>
    <row r="31" spans="1:12" x14ac:dyDescent="0.25">
      <c r="A31" s="112">
        <f t="shared" si="6"/>
        <v>1173.1500000000001</v>
      </c>
      <c r="B31" s="111">
        <v>900</v>
      </c>
      <c r="C31" s="114">
        <v>112</v>
      </c>
      <c r="D31" s="114"/>
      <c r="E31" s="112">
        <f t="shared" si="7"/>
        <v>1173.1500000000001</v>
      </c>
      <c r="F31" s="119">
        <v>900</v>
      </c>
      <c r="G31" s="114">
        <v>8.13383292958616E-2</v>
      </c>
      <c r="H31" s="113"/>
      <c r="I31" s="113"/>
      <c r="J31" s="113"/>
    </row>
    <row r="32" spans="1:12" x14ac:dyDescent="0.25">
      <c r="A32" s="112">
        <f t="shared" si="6"/>
        <v>1123.1500000000001</v>
      </c>
      <c r="B32" s="111">
        <v>850</v>
      </c>
      <c r="C32" s="114">
        <v>119</v>
      </c>
      <c r="D32" s="114"/>
      <c r="E32" s="112">
        <f t="shared" si="7"/>
        <v>1123.1500000000001</v>
      </c>
      <c r="F32" s="119">
        <v>850</v>
      </c>
      <c r="G32" s="114">
        <v>8.2462734260259435E-2</v>
      </c>
      <c r="H32" s="113"/>
      <c r="I32" s="113"/>
      <c r="J32" s="113"/>
    </row>
    <row r="33" spans="1:10" x14ac:dyDescent="0.25">
      <c r="A33" s="112">
        <f t="shared" si="6"/>
        <v>1073.1500000000001</v>
      </c>
      <c r="B33" s="111">
        <v>800</v>
      </c>
      <c r="C33" s="120">
        <v>129.20999999999992</v>
      </c>
      <c r="D33" s="114"/>
      <c r="E33" s="112">
        <f t="shared" si="7"/>
        <v>1073.1500000000001</v>
      </c>
      <c r="F33" s="119">
        <v>800</v>
      </c>
      <c r="G33" s="120">
        <v>4.8199999999999993E-2</v>
      </c>
      <c r="H33" s="113"/>
      <c r="I33" s="113"/>
      <c r="J33" s="113"/>
    </row>
    <row r="34" spans="1:10" x14ac:dyDescent="0.25">
      <c r="A34" s="112">
        <f t="shared" si="6"/>
        <v>973.15</v>
      </c>
      <c r="B34" s="111">
        <v>700</v>
      </c>
      <c r="C34" s="120">
        <v>160.28999999999996</v>
      </c>
      <c r="D34" s="114"/>
      <c r="E34" s="112">
        <f t="shared" si="7"/>
        <v>973.15</v>
      </c>
      <c r="F34" s="119">
        <v>700</v>
      </c>
      <c r="G34" s="120">
        <v>5.6199999999999986E-2</v>
      </c>
      <c r="H34" s="113"/>
      <c r="J34" s="113"/>
    </row>
    <row r="35" spans="1:10" x14ac:dyDescent="0.25">
      <c r="A35" s="112">
        <f t="shared" si="6"/>
        <v>873.15</v>
      </c>
      <c r="B35" s="111">
        <v>600</v>
      </c>
      <c r="C35" s="120">
        <v>205.37</v>
      </c>
      <c r="D35" s="114"/>
      <c r="E35" s="112">
        <f t="shared" si="7"/>
        <v>873.15</v>
      </c>
      <c r="F35" s="119">
        <v>600</v>
      </c>
      <c r="G35" s="120">
        <v>6.5799999999999997E-2</v>
      </c>
      <c r="H35" s="113"/>
      <c r="J35" s="113"/>
    </row>
    <row r="36" spans="1:10" x14ac:dyDescent="0.25">
      <c r="A36" s="112">
        <f t="shared" si="6"/>
        <v>773.15</v>
      </c>
      <c r="B36" s="111">
        <v>500</v>
      </c>
      <c r="C36" s="120">
        <v>264.45000000000005</v>
      </c>
      <c r="D36" s="114"/>
      <c r="E36" s="112">
        <f t="shared" si="7"/>
        <v>773.15</v>
      </c>
      <c r="F36" s="119">
        <v>500</v>
      </c>
      <c r="G36" s="120">
        <v>7.6999999999999999E-2</v>
      </c>
      <c r="H36" s="113"/>
      <c r="J36" s="113"/>
    </row>
    <row r="37" spans="1:10" x14ac:dyDescent="0.25">
      <c r="A37" s="112">
        <f t="shared" si="6"/>
        <v>723.15</v>
      </c>
      <c r="B37" s="111">
        <v>450</v>
      </c>
      <c r="C37" s="120">
        <v>299.24</v>
      </c>
      <c r="D37" s="114"/>
      <c r="E37" s="112"/>
      <c r="G37" s="114"/>
      <c r="H37" s="113"/>
      <c r="J37" s="113"/>
    </row>
    <row r="38" spans="1:10" x14ac:dyDescent="0.25">
      <c r="A38" s="112">
        <f t="shared" si="6"/>
        <v>698.15</v>
      </c>
      <c r="B38" s="111">
        <v>425</v>
      </c>
      <c r="C38" s="120">
        <v>317.94749999999999</v>
      </c>
      <c r="D38" s="114"/>
      <c r="E38" s="112"/>
      <c r="G38" s="114"/>
      <c r="H38" s="113"/>
      <c r="J38" s="113"/>
    </row>
    <row r="39" spans="1:10" x14ac:dyDescent="0.25">
      <c r="A39" s="112">
        <f t="shared" si="6"/>
        <v>673.15</v>
      </c>
      <c r="B39" s="111">
        <v>400</v>
      </c>
      <c r="C39" s="120">
        <v>337.53</v>
      </c>
      <c r="D39" s="114"/>
      <c r="E39" s="112"/>
      <c r="G39" s="114"/>
      <c r="H39" s="114"/>
      <c r="J39" s="113"/>
    </row>
    <row r="40" spans="1:10" x14ac:dyDescent="0.25">
      <c r="A40" s="112"/>
      <c r="C40" s="120"/>
      <c r="D40" s="114"/>
      <c r="E40" s="112"/>
      <c r="G40" s="113"/>
      <c r="H40" s="114"/>
      <c r="J40" s="113"/>
    </row>
    <row r="41" spans="1:10" x14ac:dyDescent="0.25">
      <c r="A41" s="112"/>
      <c r="C41" s="120"/>
      <c r="D41" s="114"/>
      <c r="E41" s="113"/>
      <c r="H41" s="114"/>
      <c r="J41" s="113"/>
    </row>
    <row r="42" spans="1:10" x14ac:dyDescent="0.25">
      <c r="A42" s="112"/>
      <c r="B42" s="117"/>
      <c r="C42" s="113"/>
      <c r="D42" s="114"/>
      <c r="E42" s="113"/>
      <c r="H42" s="114"/>
      <c r="J42" s="113"/>
    </row>
    <row r="43" spans="1:10" x14ac:dyDescent="0.25">
      <c r="A43" s="112"/>
      <c r="B43" s="117"/>
      <c r="C43" s="113"/>
      <c r="D43" s="114"/>
      <c r="E43" s="113"/>
      <c r="H43" s="114"/>
      <c r="J43" s="113"/>
    </row>
    <row r="44" spans="1:10" x14ac:dyDescent="0.25">
      <c r="A44" s="112"/>
      <c r="B44" s="117"/>
      <c r="C44" s="113"/>
      <c r="D44" s="114"/>
      <c r="E44" s="113"/>
      <c r="H44" s="114"/>
      <c r="J44" s="113"/>
    </row>
    <row r="45" spans="1:10" x14ac:dyDescent="0.25">
      <c r="A45" s="112"/>
      <c r="B45" s="117"/>
      <c r="C45" s="113"/>
      <c r="D45" s="114"/>
      <c r="E45" s="113"/>
      <c r="H45" s="114"/>
      <c r="J45" s="113"/>
    </row>
    <row r="46" spans="1:10" x14ac:dyDescent="0.25">
      <c r="A46" s="112"/>
      <c r="B46" s="117"/>
      <c r="C46" s="113"/>
      <c r="D46" s="114"/>
      <c r="E46" s="113"/>
      <c r="H46" s="114"/>
      <c r="J46" s="113"/>
    </row>
    <row r="47" spans="1:10" x14ac:dyDescent="0.25">
      <c r="A47" s="112"/>
      <c r="B47" s="117"/>
      <c r="C47" s="113"/>
      <c r="D47" s="114"/>
      <c r="E47" s="113"/>
      <c r="H47" s="114"/>
      <c r="J47" s="113"/>
    </row>
    <row r="48" spans="1:10" x14ac:dyDescent="0.25">
      <c r="A48" s="112"/>
      <c r="B48" s="117"/>
      <c r="C48" s="113"/>
      <c r="D48" s="114"/>
      <c r="E48" s="113"/>
      <c r="H48" s="114"/>
      <c r="J48" s="113"/>
    </row>
    <row r="49" spans="1:10" x14ac:dyDescent="0.25">
      <c r="A49" s="112"/>
      <c r="B49" s="117"/>
      <c r="C49" s="113"/>
      <c r="D49" s="114"/>
      <c r="E49" s="113"/>
      <c r="H49" s="114"/>
      <c r="J49" s="113"/>
    </row>
    <row r="50" spans="1:10" x14ac:dyDescent="0.25">
      <c r="A50" s="112"/>
      <c r="B50" s="117"/>
      <c r="C50" s="113"/>
      <c r="D50" s="114"/>
      <c r="E50" s="113"/>
      <c r="H50" s="114"/>
      <c r="J50" s="113"/>
    </row>
    <row r="51" spans="1:10" x14ac:dyDescent="0.25">
      <c r="A51" s="112"/>
      <c r="B51" s="117"/>
      <c r="C51" s="113"/>
      <c r="D51" s="114"/>
      <c r="E51" s="113"/>
      <c r="H51" s="114"/>
    </row>
    <row r="52" spans="1:10" x14ac:dyDescent="0.25">
      <c r="A52" s="112"/>
      <c r="B52" s="117"/>
      <c r="C52" s="113"/>
      <c r="D52" s="114"/>
      <c r="E52" s="113"/>
      <c r="H52" s="114"/>
    </row>
    <row r="53" spans="1:10" x14ac:dyDescent="0.25">
      <c r="A53" s="112"/>
      <c r="B53" s="117"/>
      <c r="C53" s="113"/>
      <c r="D53" s="114"/>
      <c r="E53" s="113"/>
      <c r="H53" s="114"/>
    </row>
    <row r="54" spans="1:10" x14ac:dyDescent="0.25">
      <c r="A54" s="112"/>
      <c r="B54" s="117"/>
      <c r="C54" s="113"/>
      <c r="D54" s="114"/>
      <c r="E54" s="113"/>
      <c r="H54" s="114"/>
    </row>
    <row r="55" spans="1:10" x14ac:dyDescent="0.25">
      <c r="A55" s="112"/>
      <c r="B55" s="117"/>
      <c r="C55" s="113"/>
      <c r="D55" s="114"/>
      <c r="H55" s="114"/>
    </row>
    <row r="56" spans="1:10" x14ac:dyDescent="0.25">
      <c r="A56" s="112"/>
      <c r="B56" s="117"/>
      <c r="C56" s="113"/>
      <c r="D56" s="114"/>
      <c r="H56" s="114"/>
    </row>
    <row r="57" spans="1:10" x14ac:dyDescent="0.25">
      <c r="A57" s="112"/>
      <c r="B57" s="117"/>
      <c r="C57" s="113"/>
      <c r="D57" s="114"/>
      <c r="H57" s="114"/>
    </row>
    <row r="58" spans="1:10" x14ac:dyDescent="0.25">
      <c r="A58" s="112"/>
      <c r="B58" s="117"/>
      <c r="C58" s="113"/>
      <c r="D58" s="114"/>
      <c r="H58" s="114"/>
    </row>
    <row r="59" spans="1:10" x14ac:dyDescent="0.25">
      <c r="A59" s="112"/>
      <c r="B59" s="117"/>
      <c r="C59" s="113"/>
      <c r="D59" s="114"/>
      <c r="H59" s="114"/>
    </row>
    <row r="60" spans="1:10" x14ac:dyDescent="0.25">
      <c r="A60" s="112"/>
      <c r="B60" s="117"/>
      <c r="C60" s="113"/>
      <c r="D60" s="114"/>
      <c r="H60" s="114"/>
    </row>
    <row r="61" spans="1:10" x14ac:dyDescent="0.25">
      <c r="A61" s="112"/>
      <c r="B61" s="117"/>
      <c r="C61" s="113"/>
      <c r="D61" s="114"/>
      <c r="H61" s="114"/>
    </row>
    <row r="62" spans="1:10" x14ac:dyDescent="0.25">
      <c r="A62" s="112"/>
      <c r="B62" s="117"/>
      <c r="D62" s="114"/>
      <c r="H62" s="114"/>
    </row>
    <row r="63" spans="1:10" x14ac:dyDescent="0.25">
      <c r="A63" s="112"/>
      <c r="B63" s="117"/>
      <c r="D63" s="114"/>
      <c r="H63" s="114"/>
    </row>
    <row r="64" spans="1:10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4"/>
      <c r="H67" s="114"/>
    </row>
    <row r="68" spans="1:8" x14ac:dyDescent="0.25">
      <c r="A68" s="112"/>
      <c r="B68" s="117"/>
      <c r="D68" s="114"/>
      <c r="H68" s="114"/>
    </row>
    <row r="69" spans="1:8" x14ac:dyDescent="0.25">
      <c r="A69" s="112"/>
      <c r="B69" s="117"/>
      <c r="D69" s="114"/>
      <c r="H69" s="114"/>
    </row>
    <row r="70" spans="1:8" x14ac:dyDescent="0.25">
      <c r="A70" s="112"/>
      <c r="B70" s="117"/>
      <c r="D70" s="114"/>
      <c r="H70" s="114"/>
    </row>
    <row r="71" spans="1:8" x14ac:dyDescent="0.25">
      <c r="A71" s="112"/>
      <c r="B71" s="117"/>
      <c r="D71" s="114"/>
      <c r="H71" s="114"/>
    </row>
    <row r="72" spans="1:8" x14ac:dyDescent="0.25">
      <c r="A72" s="112"/>
      <c r="B72" s="117"/>
      <c r="D72" s="114"/>
      <c r="H72" s="114"/>
    </row>
    <row r="73" spans="1:8" x14ac:dyDescent="0.25">
      <c r="A73" s="112"/>
      <c r="B73" s="117"/>
      <c r="D73" s="114"/>
      <c r="H73" s="114"/>
    </row>
    <row r="74" spans="1:8" x14ac:dyDescent="0.25">
      <c r="A74" s="112"/>
      <c r="B74" s="117"/>
      <c r="D74" s="114"/>
      <c r="H74" s="114"/>
    </row>
    <row r="75" spans="1:8" x14ac:dyDescent="0.25">
      <c r="A75" s="112"/>
      <c r="B75" s="117"/>
      <c r="D75" s="114"/>
      <c r="H75" s="114"/>
    </row>
    <row r="76" spans="1:8" x14ac:dyDescent="0.25">
      <c r="A76" s="112"/>
      <c r="B76" s="117"/>
      <c r="D76" s="114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4"/>
    </row>
    <row r="88" spans="1:8" x14ac:dyDescent="0.25">
      <c r="A88" s="112"/>
      <c r="B88" s="117"/>
      <c r="D88" s="113"/>
      <c r="H88" s="114"/>
    </row>
    <row r="89" spans="1:8" x14ac:dyDescent="0.25">
      <c r="A89" s="112"/>
      <c r="B89" s="117"/>
      <c r="D89" s="113"/>
      <c r="H89" s="114"/>
    </row>
    <row r="90" spans="1:8" x14ac:dyDescent="0.25">
      <c r="A90" s="112"/>
      <c r="B90" s="117"/>
      <c r="D90" s="113"/>
      <c r="H90" s="114"/>
    </row>
    <row r="91" spans="1:8" x14ac:dyDescent="0.25">
      <c r="A91" s="112"/>
      <c r="B91" s="117"/>
      <c r="D91" s="113"/>
      <c r="H91" s="114"/>
    </row>
    <row r="92" spans="1:8" x14ac:dyDescent="0.25">
      <c r="A92" s="112"/>
      <c r="B92" s="117"/>
      <c r="D92" s="113"/>
      <c r="H92" s="114"/>
    </row>
    <row r="93" spans="1:8" x14ac:dyDescent="0.25">
      <c r="A93" s="112"/>
      <c r="B93" s="117"/>
      <c r="D93" s="113"/>
      <c r="H93" s="114"/>
    </row>
    <row r="94" spans="1:8" x14ac:dyDescent="0.25">
      <c r="A94" s="112"/>
      <c r="B94" s="117"/>
      <c r="D94" s="113"/>
      <c r="H94" s="114"/>
    </row>
    <row r="95" spans="1:8" x14ac:dyDescent="0.25">
      <c r="A95" s="112"/>
      <c r="B95" s="117"/>
      <c r="D95" s="113"/>
      <c r="H95" s="114"/>
    </row>
    <row r="96" spans="1:8" x14ac:dyDescent="0.25">
      <c r="A96" s="112"/>
      <c r="B96" s="117"/>
      <c r="D96" s="113"/>
      <c r="H96" s="119"/>
    </row>
    <row r="97" spans="1:4" x14ac:dyDescent="0.25">
      <c r="A97" s="112"/>
      <c r="B97" s="117"/>
      <c r="D97" s="113"/>
    </row>
    <row r="98" spans="1:4" x14ac:dyDescent="0.25">
      <c r="A98" s="112"/>
      <c r="B98" s="117"/>
      <c r="D98" s="113"/>
    </row>
    <row r="99" spans="1:4" x14ac:dyDescent="0.25">
      <c r="A99" s="112"/>
      <c r="B99" s="117"/>
      <c r="D99" s="114"/>
    </row>
    <row r="100" spans="1:4" x14ac:dyDescent="0.25">
      <c r="A100" s="112"/>
      <c r="B100" s="117"/>
      <c r="D100" s="114"/>
    </row>
    <row r="101" spans="1:4" x14ac:dyDescent="0.25">
      <c r="A101" s="112"/>
      <c r="B101" s="117"/>
      <c r="D101" s="114"/>
    </row>
    <row r="102" spans="1:4" x14ac:dyDescent="0.25">
      <c r="A102" s="112"/>
      <c r="B102" s="117"/>
      <c r="D102" s="114"/>
    </row>
    <row r="103" spans="1:4" x14ac:dyDescent="0.25">
      <c r="A103" s="112"/>
      <c r="B103" s="117"/>
      <c r="D103" s="114"/>
    </row>
  </sheetData>
  <sortState ref="F32:H39">
    <sortCondition descending="1" ref="F32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100"/>
  <sheetViews>
    <sheetView workbookViewId="0">
      <selection activeCell="F13" sqref="F13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70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71</v>
      </c>
      <c r="D5" s="137" t="s">
        <v>9</v>
      </c>
      <c r="H5" s="35" t="s">
        <v>69</v>
      </c>
    </row>
    <row r="6" spans="1:19" x14ac:dyDescent="0.25">
      <c r="A6" s="138">
        <f>B6+273.15</f>
        <v>1102.1500000000001</v>
      </c>
      <c r="B6" s="150">
        <v>829</v>
      </c>
      <c r="C6" s="144">
        <v>-8.5034899999999993</v>
      </c>
      <c r="D6" s="153">
        <f>EXP(C6)</f>
        <v>2.0275950209507052E-4</v>
      </c>
    </row>
    <row r="7" spans="1:19" x14ac:dyDescent="0.25">
      <c r="A7" s="138">
        <f t="shared" ref="A7:A8" si="0">B7+273.15</f>
        <v>1045.1500000000001</v>
      </c>
      <c r="B7" s="150">
        <v>772</v>
      </c>
      <c r="C7" s="144">
        <v>-9.21678</v>
      </c>
      <c r="D7" s="153">
        <f t="shared" ref="D7:D8" si="1">EXP(C7)</f>
        <v>9.9358106194500154E-5</v>
      </c>
      <c r="E7" s="114"/>
      <c r="H7" s="111" t="s">
        <v>18</v>
      </c>
    </row>
    <row r="8" spans="1:19" ht="16.5" thickBot="1" x14ac:dyDescent="0.3">
      <c r="A8" s="141">
        <f t="shared" si="0"/>
        <v>998.15</v>
      </c>
      <c r="B8" s="128">
        <v>725</v>
      </c>
      <c r="C8" s="129">
        <v>-10.60139</v>
      </c>
      <c r="D8" s="154">
        <f t="shared" si="1"/>
        <v>2.4881400536938988E-5</v>
      </c>
      <c r="E8" s="114"/>
      <c r="G8" s="111">
        <v>1</v>
      </c>
      <c r="H8" s="35" t="s">
        <v>54</v>
      </c>
    </row>
    <row r="9" spans="1:19" ht="15.75" thickBot="1" x14ac:dyDescent="0.3">
      <c r="A9" s="112"/>
      <c r="B9" s="119"/>
      <c r="C9" s="113"/>
      <c r="D9" s="114"/>
      <c r="E9" s="114"/>
    </row>
    <row r="10" spans="1:19" ht="16.5" thickBot="1" x14ac:dyDescent="0.3">
      <c r="A10" s="133" t="s">
        <v>13</v>
      </c>
      <c r="B10" s="134"/>
      <c r="C10" s="134"/>
      <c r="D10" s="135"/>
    </row>
    <row r="11" spans="1:19" ht="75.75" thickBot="1" x14ac:dyDescent="0.3">
      <c r="A11" s="136" t="s">
        <v>16</v>
      </c>
      <c r="B11" s="115" t="s">
        <v>14</v>
      </c>
      <c r="C11" s="142" t="s">
        <v>37</v>
      </c>
      <c r="D11" s="137" t="s">
        <v>15</v>
      </c>
      <c r="H11" s="169" t="s">
        <v>184</v>
      </c>
    </row>
    <row r="12" spans="1:19" x14ac:dyDescent="0.25">
      <c r="A12" s="138">
        <f>B12+273.15</f>
        <v>1102.1500000000001</v>
      </c>
      <c r="B12" s="150">
        <v>829</v>
      </c>
      <c r="C12" s="144">
        <f>'LSFC,Plonczak (Electrochem)'!C36</f>
        <v>200.58610114515849</v>
      </c>
      <c r="D12" s="157">
        <f>D6/C12</f>
        <v>1.0108352519815877E-6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ref="A13:A14" si="2">B13+273.15</f>
        <v>1045.1500000000001</v>
      </c>
      <c r="B13" s="150">
        <v>772</v>
      </c>
      <c r="C13" s="144">
        <f>'LSFC,Plonczak (Electrochem)'!C38</f>
        <v>239.00587837280011</v>
      </c>
      <c r="D13" s="157">
        <f>D7/C13</f>
        <v>4.1571406892144262E-7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thickBot="1" x14ac:dyDescent="0.3">
      <c r="A14" s="141">
        <f t="shared" si="2"/>
        <v>998.15</v>
      </c>
      <c r="B14" s="128">
        <v>725</v>
      </c>
      <c r="C14" s="129">
        <f>'LSFC,Plonczak (Electrochem)'!C40</f>
        <v>238.47292098253925</v>
      </c>
      <c r="D14" s="158">
        <f>D8/C14</f>
        <v>1.0433637678619612E-7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x14ac:dyDescent="0.25">
      <c r="A16" s="133" t="s">
        <v>19</v>
      </c>
      <c r="B16" s="134"/>
      <c r="C16" s="134"/>
      <c r="D16" s="135"/>
      <c r="G16" s="119"/>
      <c r="H16" s="119"/>
    </row>
    <row r="17" spans="1:12" ht="47.25" x14ac:dyDescent="0.25">
      <c r="A17" s="136" t="s">
        <v>16</v>
      </c>
      <c r="B17" s="115" t="s">
        <v>14</v>
      </c>
      <c r="C17" s="142" t="s">
        <v>21</v>
      </c>
      <c r="D17" s="143" t="s">
        <v>35</v>
      </c>
      <c r="H17" s="114"/>
    </row>
    <row r="18" spans="1:12" x14ac:dyDescent="0.25">
      <c r="A18" s="138">
        <f>B18+273.15</f>
        <v>1102.1500000000001</v>
      </c>
      <c r="B18" s="150">
        <v>829</v>
      </c>
      <c r="C18" s="144">
        <f>'LSFC,Plonczak (Electrochem)'!G36</f>
        <v>7.8651390282397454E-2</v>
      </c>
      <c r="D18" s="157">
        <f>($C$2*$A18*$A$2*C12)/(4*($E$2^2)*$C18*$D6)</f>
        <v>3.0937924630885241</v>
      </c>
      <c r="H18" s="114"/>
      <c r="K18" s="118"/>
      <c r="L18" s="118"/>
    </row>
    <row r="19" spans="1:12" x14ac:dyDescent="0.25">
      <c r="A19" s="138">
        <f t="shared" ref="A19:A20" si="3">B19+273.15</f>
        <v>1045.1500000000001</v>
      </c>
      <c r="B19" s="150">
        <v>772</v>
      </c>
      <c r="C19" s="144">
        <f>'LSFC,Plonczak (Electrochem)'!G38</f>
        <v>0.05</v>
      </c>
      <c r="D19" s="157">
        <f>($C$2*$A19*$A$2*C13)/(4*($E$2^2)*$C19*$D7)</f>
        <v>11.221506185465721</v>
      </c>
      <c r="H19" s="114"/>
      <c r="K19" s="118"/>
      <c r="L19" s="118"/>
    </row>
    <row r="20" spans="1:12" ht="15.75" thickBot="1" x14ac:dyDescent="0.3">
      <c r="A20" s="141">
        <f t="shared" si="3"/>
        <v>998.15</v>
      </c>
      <c r="B20" s="128">
        <v>725</v>
      </c>
      <c r="C20" s="129">
        <f>'LSFC,Plonczak (Electrochem)'!G40</f>
        <v>5.2011203895940487E-2</v>
      </c>
      <c r="D20" s="158">
        <f>($C$2*$A20*$A$2*C14)/(4*($E$2^2)*$C20*$D8)</f>
        <v>41.048794599954256</v>
      </c>
      <c r="H20" s="114"/>
      <c r="K20" s="118"/>
      <c r="L20" s="118"/>
    </row>
    <row r="21" spans="1:12" x14ac:dyDescent="0.25">
      <c r="A21" s="112"/>
      <c r="B21" s="119"/>
      <c r="C21" s="113"/>
      <c r="D21" s="114"/>
      <c r="G21" s="119"/>
      <c r="H21" s="114"/>
      <c r="K21" s="118"/>
      <c r="L21" s="118"/>
    </row>
    <row r="22" spans="1:12" x14ac:dyDescent="0.25">
      <c r="D22" s="114"/>
      <c r="G22" s="119"/>
      <c r="H22" s="114"/>
      <c r="J22" s="113"/>
      <c r="K22" s="113"/>
      <c r="L22" s="113"/>
    </row>
    <row r="23" spans="1:12" x14ac:dyDescent="0.25">
      <c r="G23" s="119"/>
      <c r="H23" s="114"/>
      <c r="J23" s="113"/>
      <c r="K23" s="113"/>
      <c r="L23" s="113"/>
    </row>
    <row r="24" spans="1:12" x14ac:dyDescent="0.25">
      <c r="A24" s="118"/>
      <c r="G24" s="119"/>
      <c r="H24" s="114"/>
    </row>
    <row r="25" spans="1:12" x14ac:dyDescent="0.25">
      <c r="C25" s="118"/>
      <c r="D25" s="118"/>
      <c r="G25" s="118"/>
      <c r="H25" s="118"/>
    </row>
    <row r="26" spans="1:12" x14ac:dyDescent="0.25">
      <c r="A26" s="112"/>
      <c r="C26" s="114"/>
      <c r="D26" s="114"/>
      <c r="E26" s="112"/>
      <c r="F26" s="119"/>
      <c r="G26" s="114"/>
      <c r="H26" s="113"/>
      <c r="I26" s="113"/>
    </row>
    <row r="27" spans="1:12" x14ac:dyDescent="0.25">
      <c r="A27" s="112"/>
      <c r="C27" s="114"/>
      <c r="D27" s="114"/>
      <c r="E27" s="112"/>
      <c r="F27" s="119"/>
      <c r="G27" s="114"/>
      <c r="H27" s="113"/>
      <c r="I27" s="113"/>
      <c r="J27" s="118"/>
    </row>
    <row r="28" spans="1:12" x14ac:dyDescent="0.25">
      <c r="A28" s="112"/>
      <c r="C28" s="114"/>
      <c r="D28" s="114"/>
      <c r="E28" s="112"/>
      <c r="F28" s="119"/>
      <c r="G28" s="114"/>
      <c r="H28" s="113"/>
      <c r="I28" s="113"/>
      <c r="J28" s="113"/>
    </row>
    <row r="29" spans="1:12" x14ac:dyDescent="0.25">
      <c r="A29" s="112"/>
      <c r="C29" s="114"/>
      <c r="D29" s="114"/>
      <c r="E29" s="112"/>
      <c r="F29" s="119"/>
      <c r="G29" s="114"/>
      <c r="H29" s="113"/>
      <c r="I29" s="113"/>
      <c r="J29" s="113"/>
    </row>
    <row r="30" spans="1:12" x14ac:dyDescent="0.25">
      <c r="A30" s="112"/>
      <c r="C30" s="120"/>
      <c r="D30" s="114"/>
      <c r="E30" s="112"/>
      <c r="F30" s="119"/>
      <c r="G30" s="120"/>
      <c r="H30" s="113"/>
      <c r="I30" s="113"/>
      <c r="J30" s="113"/>
    </row>
    <row r="31" spans="1:12" x14ac:dyDescent="0.25">
      <c r="A31" s="112"/>
      <c r="C31" s="120"/>
      <c r="D31" s="114"/>
      <c r="E31" s="112"/>
      <c r="F31" s="119"/>
      <c r="G31" s="120"/>
      <c r="H31" s="113"/>
      <c r="J31" s="113"/>
    </row>
    <row r="32" spans="1:12" x14ac:dyDescent="0.25">
      <c r="A32" s="112"/>
      <c r="C32" s="120"/>
      <c r="D32" s="114"/>
      <c r="E32" s="112"/>
      <c r="F32" s="119"/>
      <c r="G32" s="120"/>
      <c r="H32" s="113"/>
      <c r="J32" s="113"/>
    </row>
    <row r="33" spans="1:10" x14ac:dyDescent="0.25">
      <c r="A33" s="112"/>
      <c r="C33" s="120"/>
      <c r="D33" s="114"/>
      <c r="E33" s="112"/>
      <c r="F33" s="119"/>
      <c r="G33" s="120"/>
      <c r="H33" s="113"/>
      <c r="J33" s="113"/>
    </row>
    <row r="34" spans="1:10" x14ac:dyDescent="0.25">
      <c r="A34" s="112"/>
      <c r="C34" s="120"/>
      <c r="D34" s="114"/>
      <c r="E34" s="112"/>
      <c r="G34" s="114"/>
      <c r="H34" s="113"/>
      <c r="J34" s="113"/>
    </row>
    <row r="35" spans="1:10" x14ac:dyDescent="0.25">
      <c r="A35" s="112"/>
      <c r="C35" s="120"/>
      <c r="D35" s="114"/>
      <c r="E35" s="112"/>
      <c r="G35" s="114"/>
      <c r="H35" s="113"/>
      <c r="J35" s="113"/>
    </row>
    <row r="36" spans="1:10" x14ac:dyDescent="0.25">
      <c r="A36" s="112"/>
      <c r="C36" s="120"/>
      <c r="D36" s="114"/>
      <c r="E36" s="112"/>
      <c r="G36" s="114"/>
      <c r="H36" s="114"/>
      <c r="J36" s="113"/>
    </row>
    <row r="37" spans="1:10" x14ac:dyDescent="0.25">
      <c r="A37" s="112"/>
      <c r="C37" s="120"/>
      <c r="D37" s="114"/>
      <c r="E37" s="112"/>
      <c r="G37" s="113"/>
      <c r="H37" s="114"/>
      <c r="J37" s="113"/>
    </row>
    <row r="38" spans="1:10" x14ac:dyDescent="0.25">
      <c r="A38" s="112"/>
      <c r="C38" s="120"/>
      <c r="D38" s="114"/>
      <c r="E38" s="113"/>
      <c r="H38" s="114"/>
      <c r="J38" s="113"/>
    </row>
    <row r="39" spans="1:10" x14ac:dyDescent="0.25">
      <c r="A39" s="112"/>
      <c r="B39" s="117"/>
      <c r="C39" s="113"/>
      <c r="D39" s="114"/>
      <c r="E39" s="113"/>
      <c r="H39" s="114"/>
      <c r="J39" s="113"/>
    </row>
    <row r="40" spans="1:10" x14ac:dyDescent="0.25">
      <c r="A40" s="112"/>
      <c r="B40" s="117"/>
      <c r="C40" s="113"/>
      <c r="D40" s="114"/>
      <c r="E40" s="113"/>
      <c r="H40" s="114"/>
      <c r="J40" s="113"/>
    </row>
    <row r="41" spans="1:10" x14ac:dyDescent="0.25">
      <c r="A41" s="112"/>
      <c r="B41" s="117"/>
      <c r="C41" s="113"/>
      <c r="D41" s="114"/>
      <c r="E41" s="113"/>
      <c r="H41" s="114"/>
      <c r="J41" s="113"/>
    </row>
    <row r="42" spans="1:10" x14ac:dyDescent="0.25">
      <c r="A42" s="112"/>
      <c r="B42" s="117"/>
      <c r="C42" s="113"/>
      <c r="D42" s="114"/>
      <c r="E42" s="113"/>
      <c r="H42" s="114"/>
      <c r="J42" s="113"/>
    </row>
    <row r="43" spans="1:10" x14ac:dyDescent="0.25">
      <c r="A43" s="112"/>
      <c r="B43" s="117"/>
      <c r="C43" s="113"/>
      <c r="D43" s="114"/>
      <c r="E43" s="113"/>
      <c r="H43" s="114"/>
      <c r="J43" s="113"/>
    </row>
    <row r="44" spans="1:10" x14ac:dyDescent="0.25">
      <c r="A44" s="112"/>
      <c r="B44" s="117"/>
      <c r="C44" s="113"/>
      <c r="D44" s="114"/>
      <c r="E44" s="113"/>
      <c r="H44" s="114"/>
      <c r="J44" s="113"/>
    </row>
    <row r="45" spans="1:10" x14ac:dyDescent="0.25">
      <c r="A45" s="112"/>
      <c r="B45" s="117"/>
      <c r="C45" s="113"/>
      <c r="D45" s="114"/>
      <c r="E45" s="113"/>
      <c r="H45" s="114"/>
      <c r="J45" s="113"/>
    </row>
    <row r="46" spans="1:10" x14ac:dyDescent="0.25">
      <c r="A46" s="112"/>
      <c r="B46" s="117"/>
      <c r="C46" s="113"/>
      <c r="D46" s="114"/>
      <c r="E46" s="113"/>
      <c r="H46" s="114"/>
      <c r="J46" s="113"/>
    </row>
    <row r="47" spans="1:10" x14ac:dyDescent="0.25">
      <c r="A47" s="112"/>
      <c r="B47" s="117"/>
      <c r="C47" s="113"/>
      <c r="D47" s="114"/>
      <c r="E47" s="113"/>
      <c r="H47" s="114"/>
      <c r="J47" s="113"/>
    </row>
    <row r="48" spans="1:10" x14ac:dyDescent="0.25">
      <c r="A48" s="112"/>
      <c r="B48" s="117"/>
      <c r="C48" s="113"/>
      <c r="D48" s="114"/>
      <c r="E48" s="113"/>
      <c r="H48" s="114"/>
    </row>
    <row r="49" spans="1:8" x14ac:dyDescent="0.25">
      <c r="A49" s="112"/>
      <c r="B49" s="117"/>
      <c r="C49" s="113"/>
      <c r="D49" s="114"/>
      <c r="E49" s="113"/>
      <c r="H49" s="114"/>
    </row>
    <row r="50" spans="1:8" x14ac:dyDescent="0.25">
      <c r="A50" s="112"/>
      <c r="B50" s="117"/>
      <c r="C50" s="113"/>
      <c r="D50" s="114"/>
      <c r="E50" s="113"/>
      <c r="H50" s="114"/>
    </row>
    <row r="51" spans="1:8" x14ac:dyDescent="0.25">
      <c r="A51" s="112"/>
      <c r="B51" s="117"/>
      <c r="C51" s="113"/>
      <c r="D51" s="114"/>
      <c r="E51" s="113"/>
      <c r="H51" s="114"/>
    </row>
    <row r="52" spans="1:8" x14ac:dyDescent="0.25">
      <c r="A52" s="112"/>
      <c r="B52" s="117"/>
      <c r="C52" s="113"/>
      <c r="D52" s="114"/>
      <c r="H52" s="114"/>
    </row>
    <row r="53" spans="1:8" x14ac:dyDescent="0.25">
      <c r="A53" s="112"/>
      <c r="B53" s="117"/>
      <c r="C53" s="113"/>
      <c r="D53" s="114"/>
      <c r="H53" s="114"/>
    </row>
    <row r="54" spans="1:8" x14ac:dyDescent="0.25">
      <c r="A54" s="112"/>
      <c r="B54" s="117"/>
      <c r="C54" s="113"/>
      <c r="D54" s="114"/>
      <c r="H54" s="114"/>
    </row>
    <row r="55" spans="1:8" x14ac:dyDescent="0.25">
      <c r="A55" s="112"/>
      <c r="B55" s="117"/>
      <c r="C55" s="113"/>
      <c r="D55" s="114"/>
      <c r="H55" s="114"/>
    </row>
    <row r="56" spans="1:8" x14ac:dyDescent="0.25">
      <c r="A56" s="112"/>
      <c r="B56" s="117"/>
      <c r="C56" s="113"/>
      <c r="D56" s="114"/>
      <c r="H56" s="114"/>
    </row>
    <row r="57" spans="1:8" x14ac:dyDescent="0.25">
      <c r="A57" s="112"/>
      <c r="B57" s="117"/>
      <c r="C57" s="113"/>
      <c r="D57" s="114"/>
      <c r="H57" s="114"/>
    </row>
    <row r="58" spans="1:8" x14ac:dyDescent="0.25">
      <c r="A58" s="112"/>
      <c r="B58" s="117"/>
      <c r="C58" s="113"/>
      <c r="D58" s="114"/>
      <c r="H58" s="114"/>
    </row>
    <row r="59" spans="1:8" x14ac:dyDescent="0.25">
      <c r="A59" s="112"/>
      <c r="B59" s="117"/>
      <c r="D59" s="114"/>
      <c r="H59" s="114"/>
    </row>
    <row r="60" spans="1:8" x14ac:dyDescent="0.25">
      <c r="A60" s="112"/>
      <c r="B60" s="117"/>
      <c r="D60" s="114"/>
      <c r="H60" s="114"/>
    </row>
    <row r="61" spans="1:8" x14ac:dyDescent="0.25">
      <c r="A61" s="112"/>
      <c r="B61" s="117"/>
      <c r="D61" s="114"/>
      <c r="H61" s="114"/>
    </row>
    <row r="62" spans="1:8" x14ac:dyDescent="0.25">
      <c r="A62" s="112"/>
      <c r="B62" s="117"/>
      <c r="D62" s="114"/>
      <c r="H62" s="114"/>
    </row>
    <row r="63" spans="1:8" x14ac:dyDescent="0.25">
      <c r="A63" s="112"/>
      <c r="B63" s="117"/>
      <c r="D63" s="114"/>
      <c r="H63" s="114"/>
    </row>
    <row r="64" spans="1:8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4"/>
      <c r="H67" s="114"/>
    </row>
    <row r="68" spans="1:8" x14ac:dyDescent="0.25">
      <c r="A68" s="112"/>
      <c r="B68" s="117"/>
      <c r="D68" s="114"/>
      <c r="H68" s="114"/>
    </row>
    <row r="69" spans="1:8" x14ac:dyDescent="0.25">
      <c r="A69" s="112"/>
      <c r="B69" s="117"/>
      <c r="D69" s="114"/>
      <c r="H69" s="114"/>
    </row>
    <row r="70" spans="1:8" x14ac:dyDescent="0.25">
      <c r="A70" s="112"/>
      <c r="B70" s="117"/>
      <c r="D70" s="114"/>
      <c r="H70" s="114"/>
    </row>
    <row r="71" spans="1:8" x14ac:dyDescent="0.25">
      <c r="A71" s="112"/>
      <c r="B71" s="117"/>
      <c r="D71" s="114"/>
      <c r="H71" s="114"/>
    </row>
    <row r="72" spans="1:8" x14ac:dyDescent="0.25">
      <c r="A72" s="112"/>
      <c r="B72" s="117"/>
      <c r="D72" s="114"/>
      <c r="H72" s="114"/>
    </row>
    <row r="73" spans="1:8" x14ac:dyDescent="0.25">
      <c r="A73" s="112"/>
      <c r="B73" s="117"/>
      <c r="D73" s="114"/>
      <c r="H73" s="114"/>
    </row>
    <row r="74" spans="1:8" x14ac:dyDescent="0.25">
      <c r="A74" s="112"/>
      <c r="B74" s="117"/>
      <c r="D74" s="113"/>
      <c r="H74" s="114"/>
    </row>
    <row r="75" spans="1:8" x14ac:dyDescent="0.25">
      <c r="A75" s="112"/>
      <c r="B75" s="117"/>
      <c r="D75" s="113"/>
      <c r="H75" s="114"/>
    </row>
    <row r="76" spans="1:8" x14ac:dyDescent="0.25">
      <c r="A76" s="112"/>
      <c r="B76" s="117"/>
      <c r="D76" s="113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4"/>
    </row>
    <row r="88" spans="1:8" x14ac:dyDescent="0.25">
      <c r="A88" s="112"/>
      <c r="B88" s="117"/>
      <c r="D88" s="113"/>
      <c r="H88" s="114"/>
    </row>
    <row r="89" spans="1:8" x14ac:dyDescent="0.25">
      <c r="A89" s="112"/>
      <c r="B89" s="117"/>
      <c r="D89" s="113"/>
      <c r="H89" s="114"/>
    </row>
    <row r="90" spans="1:8" x14ac:dyDescent="0.25">
      <c r="A90" s="112"/>
      <c r="B90" s="117"/>
      <c r="D90" s="113"/>
      <c r="H90" s="114"/>
    </row>
    <row r="91" spans="1:8" x14ac:dyDescent="0.25">
      <c r="A91" s="112"/>
      <c r="B91" s="117"/>
      <c r="D91" s="113"/>
      <c r="H91" s="114"/>
    </row>
    <row r="92" spans="1:8" x14ac:dyDescent="0.25">
      <c r="A92" s="112"/>
      <c r="B92" s="117"/>
      <c r="D92" s="113"/>
      <c r="H92" s="114"/>
    </row>
    <row r="93" spans="1:8" x14ac:dyDescent="0.25">
      <c r="A93" s="112"/>
      <c r="B93" s="117"/>
      <c r="D93" s="113"/>
      <c r="H93" s="119"/>
    </row>
    <row r="94" spans="1:8" x14ac:dyDescent="0.25">
      <c r="A94" s="112"/>
      <c r="B94" s="117"/>
      <c r="D94" s="113"/>
    </row>
    <row r="95" spans="1:8" x14ac:dyDescent="0.25">
      <c r="A95" s="112"/>
      <c r="B95" s="117"/>
      <c r="D95" s="113"/>
    </row>
    <row r="96" spans="1:8" x14ac:dyDescent="0.25">
      <c r="A96" s="112"/>
      <c r="B96" s="117"/>
      <c r="D96" s="114"/>
    </row>
    <row r="97" spans="1:4" x14ac:dyDescent="0.25">
      <c r="A97" s="112"/>
      <c r="B97" s="117"/>
      <c r="D97" s="114"/>
    </row>
    <row r="98" spans="1:4" x14ac:dyDescent="0.25">
      <c r="A98" s="112"/>
      <c r="B98" s="117"/>
      <c r="D98" s="114"/>
    </row>
    <row r="99" spans="1:4" x14ac:dyDescent="0.25">
      <c r="A99" s="112"/>
      <c r="B99" s="117"/>
      <c r="D99" s="114"/>
    </row>
    <row r="100" spans="1:4" x14ac:dyDescent="0.25">
      <c r="A100" s="112"/>
      <c r="B100" s="117"/>
      <c r="D100" s="11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93"/>
  <sheetViews>
    <sheetView workbookViewId="0">
      <selection activeCell="E11" sqref="E11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77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73</v>
      </c>
      <c r="D5" s="137" t="s">
        <v>9</v>
      </c>
      <c r="H5" s="35" t="s">
        <v>72</v>
      </c>
    </row>
    <row r="6" spans="1:19" ht="15.75" thickBot="1" x14ac:dyDescent="0.3">
      <c r="A6" s="141">
        <f>B6+273.15</f>
        <v>1073.1500000000001</v>
      </c>
      <c r="B6" s="128">
        <v>800</v>
      </c>
      <c r="C6" s="130">
        <v>-4.1971600000000002</v>
      </c>
      <c r="D6" s="154">
        <f>10^C6</f>
        <v>6.3509691039748622E-5</v>
      </c>
    </row>
    <row r="7" spans="1:19" ht="15.75" thickBot="1" x14ac:dyDescent="0.3">
      <c r="A7" s="112"/>
      <c r="B7" s="119"/>
      <c r="C7" s="114"/>
      <c r="D7" s="114"/>
      <c r="E7" s="114"/>
      <c r="H7" s="111" t="s">
        <v>18</v>
      </c>
    </row>
    <row r="8" spans="1:19" s="127" customFormat="1" ht="15.75" x14ac:dyDescent="0.25">
      <c r="A8" s="133" t="s">
        <v>13</v>
      </c>
      <c r="B8" s="146"/>
      <c r="C8" s="146"/>
      <c r="D8" s="147"/>
      <c r="G8" s="111">
        <v>1</v>
      </c>
      <c r="H8" s="35" t="s">
        <v>54</v>
      </c>
    </row>
    <row r="9" spans="1:19" x14ac:dyDescent="0.25">
      <c r="A9" s="136" t="s">
        <v>16</v>
      </c>
      <c r="B9" s="115" t="s">
        <v>14</v>
      </c>
      <c r="C9" s="115" t="s">
        <v>74</v>
      </c>
      <c r="D9" s="137" t="s">
        <v>15</v>
      </c>
    </row>
    <row r="10" spans="1:19" ht="15.75" thickBot="1" x14ac:dyDescent="0.3">
      <c r="A10" s="141">
        <f>B10+273.15</f>
        <v>1073.1500000000001</v>
      </c>
      <c r="B10" s="128">
        <v>800</v>
      </c>
      <c r="C10" s="130">
        <v>-6.7106899999999996</v>
      </c>
      <c r="D10" s="160">
        <f>10^C10</f>
        <v>1.9467491780417293E-7</v>
      </c>
    </row>
    <row r="11" spans="1:19" ht="19.5" thickBot="1" x14ac:dyDescent="0.3">
      <c r="A11" s="112"/>
      <c r="B11" s="119"/>
      <c r="C11" s="113"/>
      <c r="D11" s="114"/>
      <c r="H11" s="169" t="s">
        <v>184</v>
      </c>
    </row>
    <row r="12" spans="1:19" ht="15.75" x14ac:dyDescent="0.25">
      <c r="A12" s="133" t="s">
        <v>19</v>
      </c>
      <c r="B12" s="134"/>
      <c r="C12" s="134"/>
      <c r="D12" s="135"/>
      <c r="G12" s="119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47.25" x14ac:dyDescent="0.25">
      <c r="A13" s="136" t="s">
        <v>16</v>
      </c>
      <c r="B13" s="115" t="s">
        <v>14</v>
      </c>
      <c r="C13" s="142" t="s">
        <v>21</v>
      </c>
      <c r="D13" s="143" t="s">
        <v>35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thickBot="1" x14ac:dyDescent="0.3">
      <c r="A14" s="141">
        <f>B14+273.15</f>
        <v>1073.1500000000001</v>
      </c>
      <c r="B14" s="128">
        <v>800</v>
      </c>
      <c r="C14" s="129">
        <f>'LSFC,Plonczak (Electrochem)'!G37</f>
        <v>0.06</v>
      </c>
      <c r="D14" s="158">
        <f>($C$2*$A14*$A$2*D19)/(4*($E$2^2)*$C14*$D6)</f>
        <v>16.320874852100594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12"/>
      <c r="B15" s="119"/>
      <c r="C15" s="113"/>
      <c r="D15" s="114"/>
      <c r="G15" s="119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s="126" customFormat="1" ht="15.75" thickBot="1" x14ac:dyDescent="0.3">
      <c r="G16" s="128"/>
      <c r="H16" s="129"/>
      <c r="J16" s="130"/>
      <c r="K16" s="130"/>
      <c r="L16" s="130"/>
    </row>
    <row r="17" spans="1:10" ht="60" x14ac:dyDescent="0.25">
      <c r="A17" s="118" t="s">
        <v>26</v>
      </c>
      <c r="G17" s="119"/>
      <c r="H17" s="114"/>
    </row>
    <row r="18" spans="1:10" ht="45" x14ac:dyDescent="0.25">
      <c r="A18" s="111" t="s">
        <v>16</v>
      </c>
      <c r="B18" s="111" t="s">
        <v>14</v>
      </c>
      <c r="C18" s="118" t="s">
        <v>75</v>
      </c>
      <c r="D18" s="118" t="s">
        <v>40</v>
      </c>
      <c r="G18" s="118"/>
      <c r="H18" s="118"/>
    </row>
    <row r="19" spans="1:10" x14ac:dyDescent="0.25">
      <c r="A19" s="112">
        <f>B19+273.15</f>
        <v>1073.1500000000001</v>
      </c>
      <c r="B19" s="111">
        <v>800</v>
      </c>
      <c r="C19" s="113">
        <v>2.4144369999999999</v>
      </c>
      <c r="D19" s="114">
        <f>10^C19</f>
        <v>259.67910161443967</v>
      </c>
      <c r="E19" s="112"/>
      <c r="F19" s="119"/>
      <c r="G19" s="114"/>
      <c r="H19" s="113"/>
      <c r="I19" s="113"/>
    </row>
    <row r="20" spans="1:10" x14ac:dyDescent="0.25">
      <c r="A20" s="112"/>
      <c r="C20" s="114"/>
      <c r="D20" s="114"/>
      <c r="E20" s="112"/>
      <c r="F20" s="119"/>
      <c r="G20" s="114"/>
      <c r="H20" s="113"/>
      <c r="I20" s="113"/>
      <c r="J20" s="118"/>
    </row>
    <row r="21" spans="1:10" x14ac:dyDescent="0.25">
      <c r="A21" s="112"/>
      <c r="C21" s="114"/>
      <c r="D21" s="114"/>
      <c r="E21" s="112"/>
      <c r="F21" s="119"/>
      <c r="G21" s="114"/>
      <c r="H21" s="113"/>
      <c r="I21" s="113"/>
      <c r="J21" s="113"/>
    </row>
    <row r="22" spans="1:10" x14ac:dyDescent="0.25">
      <c r="A22" s="112"/>
      <c r="C22" s="114"/>
      <c r="D22" s="114"/>
      <c r="E22" s="112"/>
      <c r="F22" s="119"/>
      <c r="G22" s="114"/>
      <c r="H22" s="113"/>
      <c r="I22" s="113"/>
      <c r="J22" s="113"/>
    </row>
    <row r="23" spans="1:10" x14ac:dyDescent="0.25">
      <c r="A23" s="112"/>
      <c r="C23" s="120"/>
      <c r="D23" s="114"/>
      <c r="E23" s="112"/>
      <c r="F23" s="119"/>
      <c r="G23" s="120"/>
      <c r="H23" s="113"/>
      <c r="I23" s="113"/>
      <c r="J23" s="113"/>
    </row>
    <row r="24" spans="1:10" x14ac:dyDescent="0.25">
      <c r="A24" s="112"/>
      <c r="C24" s="120"/>
      <c r="D24" s="114"/>
      <c r="E24" s="112"/>
      <c r="F24" s="119"/>
      <c r="G24" s="120"/>
      <c r="H24" s="113"/>
      <c r="J24" s="113"/>
    </row>
    <row r="25" spans="1:10" x14ac:dyDescent="0.25">
      <c r="A25" s="112"/>
      <c r="C25" s="120"/>
      <c r="D25" s="114"/>
      <c r="E25" s="112"/>
      <c r="F25" s="119"/>
      <c r="G25" s="120"/>
      <c r="H25" s="113"/>
      <c r="J25" s="113"/>
    </row>
    <row r="26" spans="1:10" x14ac:dyDescent="0.25">
      <c r="A26" s="112"/>
      <c r="C26" s="120"/>
      <c r="D26" s="114"/>
      <c r="E26" s="112"/>
      <c r="F26" s="119"/>
      <c r="G26" s="120"/>
      <c r="H26" s="113"/>
      <c r="J26" s="113"/>
    </row>
    <row r="27" spans="1:10" x14ac:dyDescent="0.25">
      <c r="A27" s="112"/>
      <c r="C27" s="120"/>
      <c r="D27" s="114"/>
      <c r="E27" s="112"/>
      <c r="G27" s="114"/>
      <c r="H27" s="113"/>
      <c r="J27" s="113"/>
    </row>
    <row r="28" spans="1:10" x14ac:dyDescent="0.25">
      <c r="A28" s="112"/>
      <c r="C28" s="120"/>
      <c r="D28" s="114"/>
      <c r="E28" s="112"/>
      <c r="G28" s="114"/>
      <c r="H28" s="113"/>
      <c r="J28" s="113"/>
    </row>
    <row r="29" spans="1:10" x14ac:dyDescent="0.25">
      <c r="A29" s="112"/>
      <c r="C29" s="120"/>
      <c r="D29" s="114"/>
      <c r="E29" s="112"/>
      <c r="G29" s="114"/>
      <c r="H29" s="114"/>
      <c r="J29" s="113"/>
    </row>
    <row r="30" spans="1:10" x14ac:dyDescent="0.25">
      <c r="A30" s="112"/>
      <c r="C30" s="120"/>
      <c r="D30" s="114"/>
      <c r="E30" s="112"/>
      <c r="G30" s="113"/>
      <c r="H30" s="114"/>
      <c r="J30" s="113"/>
    </row>
    <row r="31" spans="1:10" x14ac:dyDescent="0.25">
      <c r="A31" s="112"/>
      <c r="C31" s="120"/>
      <c r="D31" s="114"/>
      <c r="E31" s="113"/>
      <c r="H31" s="114"/>
      <c r="J31" s="113"/>
    </row>
    <row r="32" spans="1:10" x14ac:dyDescent="0.25">
      <c r="A32" s="112"/>
      <c r="B32" s="117"/>
      <c r="C32" s="113"/>
      <c r="D32" s="114"/>
      <c r="E32" s="113"/>
      <c r="H32" s="114"/>
      <c r="J32" s="113"/>
    </row>
    <row r="33" spans="1:10" x14ac:dyDescent="0.25">
      <c r="A33" s="112"/>
      <c r="B33" s="117"/>
      <c r="C33" s="113"/>
      <c r="D33" s="114"/>
      <c r="E33" s="113"/>
      <c r="H33" s="114"/>
      <c r="J33" s="113"/>
    </row>
    <row r="34" spans="1:10" x14ac:dyDescent="0.25">
      <c r="A34" s="112"/>
      <c r="B34" s="117"/>
      <c r="C34" s="113"/>
      <c r="D34" s="114"/>
      <c r="E34" s="113"/>
      <c r="H34" s="114"/>
      <c r="J34" s="113"/>
    </row>
    <row r="35" spans="1:10" x14ac:dyDescent="0.25">
      <c r="A35" s="112"/>
      <c r="B35" s="117"/>
      <c r="C35" s="113"/>
      <c r="D35" s="114"/>
      <c r="E35" s="113"/>
      <c r="H35" s="114"/>
      <c r="J35" s="113"/>
    </row>
    <row r="36" spans="1:10" x14ac:dyDescent="0.25">
      <c r="A36" s="112"/>
      <c r="B36" s="117"/>
      <c r="C36" s="113"/>
      <c r="D36" s="114"/>
      <c r="E36" s="113"/>
      <c r="H36" s="114"/>
      <c r="J36" s="113"/>
    </row>
    <row r="37" spans="1:10" x14ac:dyDescent="0.25">
      <c r="A37" s="112"/>
      <c r="B37" s="117"/>
      <c r="C37" s="113"/>
      <c r="D37" s="114"/>
      <c r="E37" s="113"/>
      <c r="H37" s="114"/>
      <c r="J37" s="113"/>
    </row>
    <row r="38" spans="1:10" x14ac:dyDescent="0.25">
      <c r="A38" s="112"/>
      <c r="B38" s="117"/>
      <c r="C38" s="113"/>
      <c r="D38" s="114"/>
      <c r="E38" s="113"/>
      <c r="H38" s="114"/>
      <c r="J38" s="113"/>
    </row>
    <row r="39" spans="1:10" x14ac:dyDescent="0.25">
      <c r="A39" s="112"/>
      <c r="B39" s="117"/>
      <c r="C39" s="113"/>
      <c r="D39" s="114"/>
      <c r="E39" s="113"/>
      <c r="H39" s="114"/>
      <c r="J39" s="113"/>
    </row>
    <row r="40" spans="1:10" x14ac:dyDescent="0.25">
      <c r="A40" s="112"/>
      <c r="B40" s="117"/>
      <c r="C40" s="113"/>
      <c r="D40" s="114"/>
      <c r="E40" s="113"/>
      <c r="H40" s="114"/>
      <c r="J40" s="113"/>
    </row>
    <row r="41" spans="1:10" x14ac:dyDescent="0.25">
      <c r="A41" s="112"/>
      <c r="B41" s="117"/>
      <c r="C41" s="113"/>
      <c r="D41" s="114"/>
      <c r="E41" s="113"/>
      <c r="H41" s="114"/>
    </row>
    <row r="42" spans="1:10" x14ac:dyDescent="0.25">
      <c r="A42" s="112"/>
      <c r="B42" s="117"/>
      <c r="C42" s="113"/>
      <c r="D42" s="114"/>
      <c r="E42" s="113"/>
      <c r="H42" s="114"/>
    </row>
    <row r="43" spans="1:10" x14ac:dyDescent="0.25">
      <c r="A43" s="112"/>
      <c r="B43" s="117"/>
      <c r="C43" s="113"/>
      <c r="D43" s="114"/>
      <c r="E43" s="113"/>
      <c r="H43" s="114"/>
    </row>
    <row r="44" spans="1:10" x14ac:dyDescent="0.25">
      <c r="A44" s="112"/>
      <c r="B44" s="117"/>
      <c r="C44" s="113"/>
      <c r="D44" s="114"/>
      <c r="E44" s="113"/>
      <c r="H44" s="114"/>
    </row>
    <row r="45" spans="1:10" x14ac:dyDescent="0.25">
      <c r="A45" s="112"/>
      <c r="B45" s="117"/>
      <c r="C45" s="113"/>
      <c r="D45" s="114"/>
      <c r="H45" s="114"/>
    </row>
    <row r="46" spans="1:10" x14ac:dyDescent="0.25">
      <c r="A46" s="112"/>
      <c r="B46" s="117"/>
      <c r="C46" s="113"/>
      <c r="D46" s="114"/>
      <c r="H46" s="114"/>
    </row>
    <row r="47" spans="1:10" x14ac:dyDescent="0.25">
      <c r="A47" s="112"/>
      <c r="B47" s="117"/>
      <c r="C47" s="113"/>
      <c r="D47" s="114"/>
      <c r="H47" s="114"/>
    </row>
    <row r="48" spans="1:10" x14ac:dyDescent="0.25">
      <c r="A48" s="112"/>
      <c r="B48" s="117"/>
      <c r="C48" s="113"/>
      <c r="D48" s="114"/>
      <c r="H48" s="114"/>
    </row>
    <row r="49" spans="1:8" x14ac:dyDescent="0.25">
      <c r="A49" s="112"/>
      <c r="B49" s="117"/>
      <c r="C49" s="113"/>
      <c r="D49" s="114"/>
      <c r="H49" s="114"/>
    </row>
    <row r="50" spans="1:8" x14ac:dyDescent="0.25">
      <c r="A50" s="112"/>
      <c r="B50" s="117"/>
      <c r="C50" s="113"/>
      <c r="D50" s="114"/>
      <c r="H50" s="114"/>
    </row>
    <row r="51" spans="1:8" x14ac:dyDescent="0.25">
      <c r="A51" s="112"/>
      <c r="B51" s="117"/>
      <c r="C51" s="113"/>
      <c r="D51" s="114"/>
      <c r="H51" s="114"/>
    </row>
    <row r="52" spans="1:8" x14ac:dyDescent="0.25">
      <c r="A52" s="112"/>
      <c r="B52" s="117"/>
      <c r="D52" s="114"/>
      <c r="H52" s="114"/>
    </row>
    <row r="53" spans="1:8" x14ac:dyDescent="0.25">
      <c r="A53" s="112"/>
      <c r="B53" s="117"/>
      <c r="D53" s="114"/>
      <c r="H53" s="114"/>
    </row>
    <row r="54" spans="1:8" x14ac:dyDescent="0.25">
      <c r="A54" s="112"/>
      <c r="B54" s="117"/>
      <c r="D54" s="114"/>
      <c r="H54" s="114"/>
    </row>
    <row r="55" spans="1:8" x14ac:dyDescent="0.25">
      <c r="A55" s="112"/>
      <c r="B55" s="117"/>
      <c r="D55" s="114"/>
      <c r="H55" s="114"/>
    </row>
    <row r="56" spans="1:8" x14ac:dyDescent="0.25">
      <c r="A56" s="112"/>
      <c r="B56" s="117"/>
      <c r="D56" s="114"/>
      <c r="H56" s="114"/>
    </row>
    <row r="57" spans="1:8" x14ac:dyDescent="0.25">
      <c r="A57" s="112"/>
      <c r="B57" s="117"/>
      <c r="D57" s="114"/>
      <c r="H57" s="114"/>
    </row>
    <row r="58" spans="1:8" x14ac:dyDescent="0.25">
      <c r="A58" s="112"/>
      <c r="B58" s="117"/>
      <c r="D58" s="114"/>
      <c r="H58" s="114"/>
    </row>
    <row r="59" spans="1:8" x14ac:dyDescent="0.25">
      <c r="A59" s="112"/>
      <c r="B59" s="117"/>
      <c r="D59" s="114"/>
      <c r="H59" s="114"/>
    </row>
    <row r="60" spans="1:8" x14ac:dyDescent="0.25">
      <c r="A60" s="112"/>
      <c r="B60" s="117"/>
      <c r="D60" s="114"/>
      <c r="H60" s="114"/>
    </row>
    <row r="61" spans="1:8" x14ac:dyDescent="0.25">
      <c r="A61" s="112"/>
      <c r="B61" s="117"/>
      <c r="D61" s="114"/>
      <c r="H61" s="114"/>
    </row>
    <row r="62" spans="1:8" x14ac:dyDescent="0.25">
      <c r="A62" s="112"/>
      <c r="B62" s="117"/>
      <c r="D62" s="114"/>
      <c r="H62" s="114"/>
    </row>
    <row r="63" spans="1:8" x14ac:dyDescent="0.25">
      <c r="A63" s="112"/>
      <c r="B63" s="117"/>
      <c r="D63" s="114"/>
      <c r="H63" s="114"/>
    </row>
    <row r="64" spans="1:8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3"/>
      <c r="H67" s="114"/>
    </row>
    <row r="68" spans="1:8" x14ac:dyDescent="0.25">
      <c r="A68" s="112"/>
      <c r="B68" s="117"/>
      <c r="D68" s="113"/>
      <c r="H68" s="114"/>
    </row>
    <row r="69" spans="1:8" x14ac:dyDescent="0.25">
      <c r="A69" s="112"/>
      <c r="B69" s="117"/>
      <c r="D69" s="113"/>
      <c r="H69" s="114"/>
    </row>
    <row r="70" spans="1:8" x14ac:dyDescent="0.25">
      <c r="A70" s="112"/>
      <c r="B70" s="117"/>
      <c r="D70" s="113"/>
      <c r="H70" s="114"/>
    </row>
    <row r="71" spans="1:8" x14ac:dyDescent="0.25">
      <c r="A71" s="112"/>
      <c r="B71" s="117"/>
      <c r="D71" s="113"/>
      <c r="H71" s="114"/>
    </row>
    <row r="72" spans="1:8" x14ac:dyDescent="0.25">
      <c r="A72" s="112"/>
      <c r="B72" s="117"/>
      <c r="D72" s="113"/>
      <c r="H72" s="114"/>
    </row>
    <row r="73" spans="1:8" x14ac:dyDescent="0.25">
      <c r="A73" s="112"/>
      <c r="B73" s="117"/>
      <c r="D73" s="113"/>
      <c r="H73" s="114"/>
    </row>
    <row r="74" spans="1:8" x14ac:dyDescent="0.25">
      <c r="A74" s="112"/>
      <c r="B74" s="117"/>
      <c r="D74" s="113"/>
      <c r="H74" s="114"/>
    </row>
    <row r="75" spans="1:8" x14ac:dyDescent="0.25">
      <c r="A75" s="112"/>
      <c r="B75" s="117"/>
      <c r="D75" s="113"/>
      <c r="H75" s="114"/>
    </row>
    <row r="76" spans="1:8" x14ac:dyDescent="0.25">
      <c r="A76" s="112"/>
      <c r="B76" s="117"/>
      <c r="D76" s="113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9"/>
    </row>
    <row r="87" spans="1:8" x14ac:dyDescent="0.25">
      <c r="A87" s="112"/>
      <c r="B87" s="117"/>
      <c r="D87" s="113"/>
    </row>
    <row r="88" spans="1:8" x14ac:dyDescent="0.25">
      <c r="A88" s="112"/>
      <c r="B88" s="117"/>
      <c r="D88" s="113"/>
    </row>
    <row r="89" spans="1:8" x14ac:dyDescent="0.25">
      <c r="A89" s="112"/>
      <c r="B89" s="117"/>
      <c r="D89" s="114"/>
    </row>
    <row r="90" spans="1:8" x14ac:dyDescent="0.25">
      <c r="A90" s="112"/>
      <c r="B90" s="117"/>
      <c r="D90" s="114"/>
    </row>
    <row r="91" spans="1:8" x14ac:dyDescent="0.25">
      <c r="A91" s="112"/>
      <c r="B91" s="117"/>
      <c r="D91" s="114"/>
    </row>
    <row r="92" spans="1:8" x14ac:dyDescent="0.25">
      <c r="A92" s="112"/>
      <c r="B92" s="117"/>
      <c r="D92" s="114"/>
    </row>
    <row r="93" spans="1:8" x14ac:dyDescent="0.25">
      <c r="A93" s="112"/>
      <c r="B93" s="117"/>
      <c r="D93" s="114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93"/>
  <sheetViews>
    <sheetView workbookViewId="0">
      <selection activeCell="E12" sqref="E1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78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/>
      <c r="D5" s="137" t="s">
        <v>9</v>
      </c>
      <c r="H5" s="35" t="s">
        <v>76</v>
      </c>
    </row>
    <row r="6" spans="1:19" ht="15.75" thickBot="1" x14ac:dyDescent="0.3">
      <c r="A6" s="141">
        <f>B6+273.15</f>
        <v>1073.1500000000001</v>
      </c>
      <c r="B6" s="128">
        <v>800</v>
      </c>
      <c r="C6" s="129"/>
      <c r="D6" s="154">
        <v>1.2990000000000001E-4</v>
      </c>
    </row>
    <row r="7" spans="1:19" x14ac:dyDescent="0.25">
      <c r="A7" s="112"/>
      <c r="B7" s="119"/>
      <c r="C7" s="114"/>
      <c r="D7" s="114"/>
      <c r="E7" s="114"/>
      <c r="H7" s="111" t="s">
        <v>18</v>
      </c>
    </row>
    <row r="8" spans="1:19" ht="16.5" thickBot="1" x14ac:dyDescent="0.3">
      <c r="A8" s="112"/>
      <c r="B8" s="119"/>
      <c r="C8" s="114"/>
      <c r="D8" s="114"/>
      <c r="E8" s="114"/>
      <c r="G8" s="111">
        <v>1</v>
      </c>
      <c r="H8" s="35" t="s">
        <v>54</v>
      </c>
    </row>
    <row r="9" spans="1:19" ht="15.75" x14ac:dyDescent="0.25">
      <c r="A9" s="133" t="s">
        <v>13</v>
      </c>
      <c r="B9" s="134"/>
      <c r="C9" s="134"/>
      <c r="D9" s="135"/>
    </row>
    <row r="10" spans="1:19" ht="15.75" thickBot="1" x14ac:dyDescent="0.3">
      <c r="A10" s="136" t="s">
        <v>16</v>
      </c>
      <c r="B10" s="115" t="s">
        <v>14</v>
      </c>
      <c r="C10" s="115" t="s">
        <v>79</v>
      </c>
      <c r="D10" s="137" t="s">
        <v>15</v>
      </c>
    </row>
    <row r="11" spans="1:19" ht="19.5" thickBot="1" x14ac:dyDescent="0.3">
      <c r="A11" s="141">
        <f>B11+273.15</f>
        <v>1073.1500000000001</v>
      </c>
      <c r="B11" s="128">
        <v>800</v>
      </c>
      <c r="C11" s="130">
        <v>-12.767984999999999</v>
      </c>
      <c r="D11" s="160">
        <f>EXP(C11)</f>
        <v>2.8505887673054675E-6</v>
      </c>
      <c r="H11" s="169" t="s">
        <v>184</v>
      </c>
    </row>
    <row r="12" spans="1:19" ht="15.75" thickBot="1" x14ac:dyDescent="0.3"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19</v>
      </c>
      <c r="B13" s="134"/>
      <c r="C13" s="134"/>
      <c r="D13" s="135"/>
      <c r="G13" s="119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47.25" x14ac:dyDescent="0.25">
      <c r="A14" s="136" t="s">
        <v>16</v>
      </c>
      <c r="B14" s="115" t="s">
        <v>14</v>
      </c>
      <c r="C14" s="142" t="s">
        <v>21</v>
      </c>
      <c r="D14" s="143" t="s">
        <v>35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>B15+273.15</f>
        <v>1073.1500000000001</v>
      </c>
      <c r="B15" s="128">
        <v>800</v>
      </c>
      <c r="C15" s="129">
        <f>'LSFC,Plonczak (Electrochem)'!G37</f>
        <v>0.06</v>
      </c>
      <c r="D15" s="158">
        <f>($C$2*$A15*$A$2*C19)/(4*($E$2^2)*$C15*$D6)</f>
        <v>1.400270260421034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s="126" customFormat="1" ht="15.75" thickBot="1" x14ac:dyDescent="0.3">
      <c r="A16" s="131"/>
      <c r="B16" s="128"/>
      <c r="C16" s="130"/>
      <c r="D16" s="129"/>
      <c r="G16" s="128"/>
      <c r="H16" s="129"/>
      <c r="K16" s="132"/>
      <c r="L16" s="132"/>
    </row>
    <row r="17" spans="1:10" ht="60" x14ac:dyDescent="0.25">
      <c r="A17" s="118" t="s">
        <v>26</v>
      </c>
      <c r="G17" s="119"/>
      <c r="H17" s="114"/>
    </row>
    <row r="18" spans="1:10" ht="45" x14ac:dyDescent="0.25">
      <c r="A18" s="111" t="s">
        <v>16</v>
      </c>
      <c r="B18" s="111" t="s">
        <v>14</v>
      </c>
      <c r="C18" s="118" t="s">
        <v>40</v>
      </c>
      <c r="G18" s="118"/>
      <c r="H18" s="118"/>
    </row>
    <row r="19" spans="1:10" x14ac:dyDescent="0.25">
      <c r="A19" s="112">
        <f>B19+273.15</f>
        <v>1073.1500000000001</v>
      </c>
      <c r="B19" s="111">
        <v>800</v>
      </c>
      <c r="C19" s="114">
        <f>(D6/D11)</f>
        <v>45.56953338547973</v>
      </c>
      <c r="E19" s="112"/>
      <c r="F19" s="119"/>
      <c r="G19" s="114"/>
      <c r="H19" s="113"/>
      <c r="I19" s="113"/>
    </row>
    <row r="20" spans="1:10" x14ac:dyDescent="0.25">
      <c r="A20" s="112"/>
      <c r="C20" s="114"/>
      <c r="D20" s="114"/>
      <c r="E20" s="112"/>
      <c r="F20" s="119"/>
      <c r="G20" s="114"/>
      <c r="H20" s="113"/>
      <c r="I20" s="113"/>
      <c r="J20" s="118"/>
    </row>
    <row r="21" spans="1:10" x14ac:dyDescent="0.25">
      <c r="A21" s="112"/>
      <c r="C21" s="114"/>
      <c r="D21" s="114"/>
      <c r="E21" s="112"/>
      <c r="F21" s="119"/>
      <c r="G21" s="114"/>
      <c r="H21" s="113"/>
      <c r="I21" s="113"/>
      <c r="J21" s="113"/>
    </row>
    <row r="22" spans="1:10" x14ac:dyDescent="0.25">
      <c r="A22" s="112"/>
      <c r="C22" s="114"/>
      <c r="D22" s="114"/>
      <c r="E22" s="112"/>
      <c r="F22" s="119"/>
      <c r="G22" s="114"/>
      <c r="H22" s="113"/>
      <c r="I22" s="113"/>
      <c r="J22" s="113"/>
    </row>
    <row r="23" spans="1:10" x14ac:dyDescent="0.25">
      <c r="A23" s="112"/>
      <c r="C23" s="120"/>
      <c r="D23" s="114"/>
      <c r="E23" s="112"/>
      <c r="F23" s="119"/>
      <c r="G23" s="120"/>
      <c r="H23" s="113"/>
      <c r="I23" s="113"/>
      <c r="J23" s="113"/>
    </row>
    <row r="24" spans="1:10" x14ac:dyDescent="0.25">
      <c r="A24" s="112"/>
      <c r="C24" s="120"/>
      <c r="D24" s="114"/>
      <c r="E24" s="112"/>
      <c r="F24" s="119"/>
      <c r="G24" s="120"/>
      <c r="H24" s="113"/>
      <c r="J24" s="113"/>
    </row>
    <row r="25" spans="1:10" x14ac:dyDescent="0.25">
      <c r="A25" s="112"/>
      <c r="C25" s="120"/>
      <c r="D25" s="114"/>
      <c r="E25" s="112"/>
      <c r="F25" s="119"/>
      <c r="G25" s="120"/>
      <c r="H25" s="113"/>
      <c r="J25" s="113"/>
    </row>
    <row r="26" spans="1:10" x14ac:dyDescent="0.25">
      <c r="A26" s="112"/>
      <c r="C26" s="120"/>
      <c r="D26" s="114"/>
      <c r="E26" s="112"/>
      <c r="F26" s="119"/>
      <c r="G26" s="120"/>
      <c r="H26" s="113"/>
      <c r="J26" s="113"/>
    </row>
    <row r="27" spans="1:10" x14ac:dyDescent="0.25">
      <c r="A27" s="112"/>
      <c r="C27" s="120"/>
      <c r="D27" s="114"/>
      <c r="E27" s="112"/>
      <c r="G27" s="114"/>
      <c r="H27" s="113"/>
      <c r="J27" s="113"/>
    </row>
    <row r="28" spans="1:10" x14ac:dyDescent="0.25">
      <c r="A28" s="112"/>
      <c r="C28" s="120"/>
      <c r="D28" s="114"/>
      <c r="E28" s="112"/>
      <c r="G28" s="114"/>
      <c r="H28" s="113"/>
      <c r="J28" s="113"/>
    </row>
    <row r="29" spans="1:10" x14ac:dyDescent="0.25">
      <c r="A29" s="112"/>
      <c r="C29" s="120"/>
      <c r="D29" s="114"/>
      <c r="E29" s="112"/>
      <c r="G29" s="114"/>
      <c r="H29" s="114"/>
      <c r="J29" s="113"/>
    </row>
    <row r="30" spans="1:10" x14ac:dyDescent="0.25">
      <c r="A30" s="112"/>
      <c r="C30" s="120"/>
      <c r="D30" s="114"/>
      <c r="E30" s="112"/>
      <c r="G30" s="113"/>
      <c r="H30" s="114"/>
      <c r="J30" s="113"/>
    </row>
    <row r="31" spans="1:10" x14ac:dyDescent="0.25">
      <c r="A31" s="112"/>
      <c r="C31" s="120"/>
      <c r="D31" s="114"/>
      <c r="E31" s="113"/>
      <c r="H31" s="114"/>
      <c r="J31" s="113"/>
    </row>
    <row r="32" spans="1:10" x14ac:dyDescent="0.25">
      <c r="A32" s="112"/>
      <c r="B32" s="117"/>
      <c r="C32" s="113"/>
      <c r="D32" s="114"/>
      <c r="E32" s="113"/>
      <c r="H32" s="114"/>
      <c r="J32" s="113"/>
    </row>
    <row r="33" spans="1:10" x14ac:dyDescent="0.25">
      <c r="A33" s="112"/>
      <c r="B33" s="117"/>
      <c r="C33" s="113"/>
      <c r="D33" s="114"/>
      <c r="E33" s="113"/>
      <c r="H33" s="114"/>
      <c r="J33" s="113"/>
    </row>
    <row r="34" spans="1:10" x14ac:dyDescent="0.25">
      <c r="A34" s="112"/>
      <c r="B34" s="117"/>
      <c r="C34" s="113"/>
      <c r="D34" s="114"/>
      <c r="E34" s="113"/>
      <c r="H34" s="114"/>
      <c r="J34" s="113"/>
    </row>
    <row r="35" spans="1:10" x14ac:dyDescent="0.25">
      <c r="A35" s="112"/>
      <c r="B35" s="117"/>
      <c r="C35" s="113"/>
      <c r="D35" s="114"/>
      <c r="E35" s="113"/>
      <c r="H35" s="114"/>
      <c r="J35" s="113"/>
    </row>
    <row r="36" spans="1:10" x14ac:dyDescent="0.25">
      <c r="A36" s="112"/>
      <c r="B36" s="117"/>
      <c r="C36" s="113"/>
      <c r="D36" s="114"/>
      <c r="E36" s="113"/>
      <c r="H36" s="114"/>
      <c r="J36" s="113"/>
    </row>
    <row r="37" spans="1:10" x14ac:dyDescent="0.25">
      <c r="A37" s="112"/>
      <c r="B37" s="117"/>
      <c r="C37" s="113"/>
      <c r="D37" s="114"/>
      <c r="E37" s="113"/>
      <c r="H37" s="114"/>
      <c r="J37" s="113"/>
    </row>
    <row r="38" spans="1:10" x14ac:dyDescent="0.25">
      <c r="A38" s="112"/>
      <c r="B38" s="117"/>
      <c r="C38" s="113"/>
      <c r="D38" s="114"/>
      <c r="E38" s="113"/>
      <c r="H38" s="114"/>
      <c r="J38" s="113"/>
    </row>
    <row r="39" spans="1:10" x14ac:dyDescent="0.25">
      <c r="A39" s="112"/>
      <c r="B39" s="117"/>
      <c r="C39" s="113"/>
      <c r="D39" s="114"/>
      <c r="E39" s="113"/>
      <c r="H39" s="114"/>
      <c r="J39" s="113"/>
    </row>
    <row r="40" spans="1:10" x14ac:dyDescent="0.25">
      <c r="A40" s="112"/>
      <c r="B40" s="117"/>
      <c r="C40" s="113"/>
      <c r="D40" s="114"/>
      <c r="E40" s="113"/>
      <c r="H40" s="114"/>
      <c r="J40" s="113"/>
    </row>
    <row r="41" spans="1:10" x14ac:dyDescent="0.25">
      <c r="A41" s="112"/>
      <c r="B41" s="117"/>
      <c r="C41" s="113"/>
      <c r="D41" s="114"/>
      <c r="E41" s="113"/>
      <c r="H41" s="114"/>
    </row>
    <row r="42" spans="1:10" x14ac:dyDescent="0.25">
      <c r="A42" s="112"/>
      <c r="B42" s="117"/>
      <c r="C42" s="113"/>
      <c r="D42" s="114"/>
      <c r="E42" s="113"/>
      <c r="H42" s="114"/>
    </row>
    <row r="43" spans="1:10" x14ac:dyDescent="0.25">
      <c r="A43" s="112"/>
      <c r="B43" s="117"/>
      <c r="C43" s="113"/>
      <c r="D43" s="114"/>
      <c r="E43" s="113"/>
      <c r="H43" s="114"/>
    </row>
    <row r="44" spans="1:10" x14ac:dyDescent="0.25">
      <c r="A44" s="112"/>
      <c r="B44" s="117"/>
      <c r="C44" s="113"/>
      <c r="D44" s="114"/>
      <c r="E44" s="113"/>
      <c r="H44" s="114"/>
    </row>
    <row r="45" spans="1:10" x14ac:dyDescent="0.25">
      <c r="A45" s="112"/>
      <c r="B45" s="117"/>
      <c r="C45" s="113"/>
      <c r="D45" s="114"/>
      <c r="H45" s="114"/>
    </row>
    <row r="46" spans="1:10" x14ac:dyDescent="0.25">
      <c r="A46" s="112"/>
      <c r="B46" s="117"/>
      <c r="C46" s="113"/>
      <c r="D46" s="114"/>
      <c r="H46" s="114"/>
    </row>
    <row r="47" spans="1:10" x14ac:dyDescent="0.25">
      <c r="A47" s="112"/>
      <c r="B47" s="117"/>
      <c r="C47" s="113"/>
      <c r="D47" s="114"/>
      <c r="H47" s="114"/>
    </row>
    <row r="48" spans="1:10" x14ac:dyDescent="0.25">
      <c r="A48" s="112"/>
      <c r="B48" s="117"/>
      <c r="C48" s="113"/>
      <c r="D48" s="114"/>
      <c r="H48" s="114"/>
    </row>
    <row r="49" spans="1:8" x14ac:dyDescent="0.25">
      <c r="A49" s="112"/>
      <c r="B49" s="117"/>
      <c r="C49" s="113"/>
      <c r="D49" s="114"/>
      <c r="H49" s="114"/>
    </row>
    <row r="50" spans="1:8" x14ac:dyDescent="0.25">
      <c r="A50" s="112"/>
      <c r="B50" s="117"/>
      <c r="C50" s="113"/>
      <c r="D50" s="114"/>
      <c r="H50" s="114"/>
    </row>
    <row r="51" spans="1:8" x14ac:dyDescent="0.25">
      <c r="A51" s="112"/>
      <c r="B51" s="117"/>
      <c r="C51" s="113"/>
      <c r="D51" s="114"/>
      <c r="H51" s="114"/>
    </row>
    <row r="52" spans="1:8" x14ac:dyDescent="0.25">
      <c r="A52" s="112"/>
      <c r="B52" s="117"/>
      <c r="D52" s="114"/>
      <c r="H52" s="114"/>
    </row>
    <row r="53" spans="1:8" x14ac:dyDescent="0.25">
      <c r="A53" s="112"/>
      <c r="B53" s="117"/>
      <c r="D53" s="114"/>
      <c r="H53" s="114"/>
    </row>
    <row r="54" spans="1:8" x14ac:dyDescent="0.25">
      <c r="A54" s="112"/>
      <c r="B54" s="117"/>
      <c r="D54" s="114"/>
      <c r="H54" s="114"/>
    </row>
    <row r="55" spans="1:8" x14ac:dyDescent="0.25">
      <c r="A55" s="112"/>
      <c r="B55" s="117"/>
      <c r="D55" s="114"/>
      <c r="H55" s="114"/>
    </row>
    <row r="56" spans="1:8" x14ac:dyDescent="0.25">
      <c r="A56" s="112"/>
      <c r="B56" s="117"/>
      <c r="D56" s="114"/>
      <c r="H56" s="114"/>
    </row>
    <row r="57" spans="1:8" x14ac:dyDescent="0.25">
      <c r="A57" s="112"/>
      <c r="B57" s="117"/>
      <c r="D57" s="114"/>
      <c r="H57" s="114"/>
    </row>
    <row r="58" spans="1:8" x14ac:dyDescent="0.25">
      <c r="A58" s="112"/>
      <c r="B58" s="117"/>
      <c r="D58" s="114"/>
      <c r="H58" s="114"/>
    </row>
    <row r="59" spans="1:8" x14ac:dyDescent="0.25">
      <c r="A59" s="112"/>
      <c r="B59" s="117"/>
      <c r="D59" s="114"/>
      <c r="H59" s="114"/>
    </row>
    <row r="60" spans="1:8" x14ac:dyDescent="0.25">
      <c r="A60" s="112"/>
      <c r="B60" s="117"/>
      <c r="D60" s="114"/>
      <c r="H60" s="114"/>
    </row>
    <row r="61" spans="1:8" x14ac:dyDescent="0.25">
      <c r="A61" s="112"/>
      <c r="B61" s="117"/>
      <c r="D61" s="114"/>
      <c r="H61" s="114"/>
    </row>
    <row r="62" spans="1:8" x14ac:dyDescent="0.25">
      <c r="A62" s="112"/>
      <c r="B62" s="117"/>
      <c r="D62" s="114"/>
      <c r="H62" s="114"/>
    </row>
    <row r="63" spans="1:8" x14ac:dyDescent="0.25">
      <c r="A63" s="112"/>
      <c r="B63" s="117"/>
      <c r="D63" s="114"/>
      <c r="H63" s="114"/>
    </row>
    <row r="64" spans="1:8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3"/>
      <c r="H67" s="114"/>
    </row>
    <row r="68" spans="1:8" x14ac:dyDescent="0.25">
      <c r="A68" s="112"/>
      <c r="B68" s="117"/>
      <c r="D68" s="113"/>
      <c r="H68" s="114"/>
    </row>
    <row r="69" spans="1:8" x14ac:dyDescent="0.25">
      <c r="A69" s="112"/>
      <c r="B69" s="117"/>
      <c r="D69" s="113"/>
      <c r="H69" s="114"/>
    </row>
    <row r="70" spans="1:8" x14ac:dyDescent="0.25">
      <c r="A70" s="112"/>
      <c r="B70" s="117"/>
      <c r="D70" s="113"/>
      <c r="H70" s="114"/>
    </row>
    <row r="71" spans="1:8" x14ac:dyDescent="0.25">
      <c r="A71" s="112"/>
      <c r="B71" s="117"/>
      <c r="D71" s="113"/>
      <c r="H71" s="114"/>
    </row>
    <row r="72" spans="1:8" x14ac:dyDescent="0.25">
      <c r="A72" s="112"/>
      <c r="B72" s="117"/>
      <c r="D72" s="113"/>
      <c r="H72" s="114"/>
    </row>
    <row r="73" spans="1:8" x14ac:dyDescent="0.25">
      <c r="A73" s="112"/>
      <c r="B73" s="117"/>
      <c r="D73" s="113"/>
      <c r="H73" s="114"/>
    </row>
    <row r="74" spans="1:8" x14ac:dyDescent="0.25">
      <c r="A74" s="112"/>
      <c r="B74" s="117"/>
      <c r="D74" s="113"/>
      <c r="H74" s="114"/>
    </row>
    <row r="75" spans="1:8" x14ac:dyDescent="0.25">
      <c r="A75" s="112"/>
      <c r="B75" s="117"/>
      <c r="D75" s="113"/>
      <c r="H75" s="114"/>
    </row>
    <row r="76" spans="1:8" x14ac:dyDescent="0.25">
      <c r="A76" s="112"/>
      <c r="B76" s="117"/>
      <c r="D76" s="113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9"/>
    </row>
    <row r="87" spans="1:8" x14ac:dyDescent="0.25">
      <c r="A87" s="112"/>
      <c r="B87" s="117"/>
      <c r="D87" s="113"/>
    </row>
    <row r="88" spans="1:8" x14ac:dyDescent="0.25">
      <c r="A88" s="112"/>
      <c r="B88" s="117"/>
      <c r="D88" s="113"/>
    </row>
    <row r="89" spans="1:8" x14ac:dyDescent="0.25">
      <c r="A89" s="112"/>
      <c r="B89" s="117"/>
      <c r="D89" s="114"/>
    </row>
    <row r="90" spans="1:8" x14ac:dyDescent="0.25">
      <c r="A90" s="112"/>
      <c r="B90" s="117"/>
      <c r="D90" s="114"/>
    </row>
    <row r="91" spans="1:8" x14ac:dyDescent="0.25">
      <c r="A91" s="112"/>
      <c r="B91" s="117"/>
      <c r="D91" s="114"/>
    </row>
    <row r="92" spans="1:8" x14ac:dyDescent="0.25">
      <c r="A92" s="112"/>
      <c r="B92" s="117"/>
      <c r="D92" s="114"/>
    </row>
    <row r="93" spans="1:8" x14ac:dyDescent="0.25">
      <c r="A93" s="112"/>
      <c r="B93" s="117"/>
      <c r="D93" s="114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94"/>
  <sheetViews>
    <sheetView workbookViewId="0">
      <selection activeCell="F9" sqref="F9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81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8</v>
      </c>
      <c r="D5" s="137" t="s">
        <v>9</v>
      </c>
      <c r="H5" s="35" t="s">
        <v>80</v>
      </c>
    </row>
    <row r="6" spans="1:19" ht="15.75" thickBot="1" x14ac:dyDescent="0.3">
      <c r="A6" s="141">
        <f>B6+273.15</f>
        <v>1073.1500000000001</v>
      </c>
      <c r="B6" s="128">
        <v>800</v>
      </c>
      <c r="C6" s="130">
        <v>-2.57023</v>
      </c>
      <c r="D6" s="154">
        <f>10^C6</f>
        <v>2.6901097590873633E-3</v>
      </c>
    </row>
    <row r="7" spans="1:19" x14ac:dyDescent="0.25">
      <c r="A7" s="112"/>
      <c r="B7" s="119"/>
      <c r="C7" s="114"/>
      <c r="D7" s="114"/>
      <c r="E7" s="114"/>
      <c r="H7" s="111" t="s">
        <v>18</v>
      </c>
    </row>
    <row r="8" spans="1:19" ht="16.5" thickBot="1" x14ac:dyDescent="0.3">
      <c r="A8" s="112"/>
      <c r="B8" s="119"/>
      <c r="C8" s="114"/>
      <c r="D8" s="114"/>
      <c r="E8" s="114"/>
      <c r="G8" s="111">
        <v>1</v>
      </c>
      <c r="H8" s="35" t="s">
        <v>54</v>
      </c>
    </row>
    <row r="9" spans="1:19" ht="15.75" x14ac:dyDescent="0.25">
      <c r="A9" s="133" t="s">
        <v>13</v>
      </c>
      <c r="B9" s="134"/>
      <c r="C9" s="134"/>
      <c r="D9" s="135"/>
      <c r="J9" s="35"/>
    </row>
    <row r="10" spans="1:19" ht="75.75" thickBot="1" x14ac:dyDescent="0.3">
      <c r="A10" s="136" t="s">
        <v>16</v>
      </c>
      <c r="B10" s="115" t="s">
        <v>14</v>
      </c>
      <c r="C10" s="142" t="s">
        <v>37</v>
      </c>
      <c r="D10" s="137" t="s">
        <v>15</v>
      </c>
    </row>
    <row r="11" spans="1:19" ht="19.5" thickBot="1" x14ac:dyDescent="0.3">
      <c r="A11" s="141">
        <f>B11+273.15</f>
        <v>1073.1500000000001</v>
      </c>
      <c r="B11" s="128">
        <v>800</v>
      </c>
      <c r="C11" s="130">
        <f>'LSFC,Plonczak (Electrochem)'!C37</f>
        <v>218.65530628367247</v>
      </c>
      <c r="D11" s="158">
        <f>D6/C11</f>
        <v>1.2302970391202623E-5</v>
      </c>
      <c r="H11" s="169" t="s">
        <v>184</v>
      </c>
    </row>
    <row r="12" spans="1:19" ht="15.75" thickBot="1" x14ac:dyDescent="0.3"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19</v>
      </c>
      <c r="B13" s="134"/>
      <c r="C13" s="134"/>
      <c r="D13" s="135"/>
      <c r="G13" s="119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47.25" x14ac:dyDescent="0.25">
      <c r="A14" s="136" t="s">
        <v>16</v>
      </c>
      <c r="B14" s="115" t="s">
        <v>14</v>
      </c>
      <c r="C14" s="142" t="s">
        <v>21</v>
      </c>
      <c r="D14" s="143" t="s">
        <v>35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>B15+273.15</f>
        <v>1073.1500000000001</v>
      </c>
      <c r="B15" s="128">
        <v>800</v>
      </c>
      <c r="C15" s="129">
        <f>'LSFC,Plonczak (Electrochem)'!G37</f>
        <v>0.06</v>
      </c>
      <c r="D15" s="158">
        <f>($C$2*$A15*$A$2*C20)/(4*($E$2^2)*$C15*$D6)</f>
        <v>0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D16" s="114"/>
      <c r="G16" s="119"/>
      <c r="H16" s="114"/>
      <c r="J16" s="113"/>
      <c r="K16" s="113"/>
      <c r="L16" s="113"/>
    </row>
    <row r="17" spans="1:12" x14ac:dyDescent="0.25">
      <c r="G17" s="119"/>
      <c r="H17" s="114"/>
      <c r="J17" s="113"/>
      <c r="K17" s="113"/>
      <c r="L17" s="113"/>
    </row>
    <row r="18" spans="1:12" x14ac:dyDescent="0.25">
      <c r="A18" s="118"/>
      <c r="G18" s="119"/>
      <c r="H18" s="114"/>
    </row>
    <row r="19" spans="1:12" x14ac:dyDescent="0.25">
      <c r="C19" s="118"/>
      <c r="G19" s="118"/>
      <c r="H19" s="118"/>
    </row>
    <row r="20" spans="1:12" x14ac:dyDescent="0.25">
      <c r="A20" s="112"/>
      <c r="C20" s="114"/>
      <c r="E20" s="112"/>
      <c r="F20" s="119"/>
      <c r="G20" s="114"/>
      <c r="H20" s="113"/>
      <c r="I20" s="113"/>
    </row>
    <row r="21" spans="1:12" x14ac:dyDescent="0.25">
      <c r="A21" s="112"/>
      <c r="C21" s="114"/>
      <c r="D21" s="114"/>
      <c r="E21" s="112"/>
      <c r="F21" s="119"/>
      <c r="G21" s="114"/>
      <c r="H21" s="113"/>
      <c r="I21" s="113"/>
      <c r="J21" s="118"/>
    </row>
    <row r="22" spans="1:12" x14ac:dyDescent="0.25">
      <c r="A22" s="112"/>
      <c r="C22" s="114"/>
      <c r="D22" s="114"/>
      <c r="E22" s="112"/>
      <c r="F22" s="119"/>
      <c r="G22" s="114"/>
      <c r="H22" s="113"/>
      <c r="I22" s="113"/>
      <c r="J22" s="113"/>
    </row>
    <row r="23" spans="1:12" x14ac:dyDescent="0.25">
      <c r="A23" s="112"/>
      <c r="C23" s="114"/>
      <c r="D23" s="114"/>
      <c r="E23" s="112"/>
      <c r="F23" s="119"/>
      <c r="G23" s="114"/>
      <c r="H23" s="113"/>
      <c r="I23" s="113"/>
      <c r="J23" s="113"/>
    </row>
    <row r="24" spans="1:12" x14ac:dyDescent="0.25">
      <c r="A24" s="112"/>
      <c r="C24" s="120"/>
      <c r="D24" s="114"/>
      <c r="E24" s="112"/>
      <c r="F24" s="119"/>
      <c r="G24" s="120"/>
      <c r="H24" s="113"/>
      <c r="I24" s="113"/>
      <c r="J24" s="113"/>
    </row>
    <row r="25" spans="1:12" x14ac:dyDescent="0.25">
      <c r="A25" s="112"/>
      <c r="C25" s="120"/>
      <c r="D25" s="114"/>
      <c r="E25" s="112"/>
      <c r="F25" s="119"/>
      <c r="G25" s="120"/>
      <c r="H25" s="113"/>
      <c r="J25" s="113"/>
    </row>
    <row r="26" spans="1:12" x14ac:dyDescent="0.25">
      <c r="A26" s="112"/>
      <c r="C26" s="120"/>
      <c r="D26" s="114"/>
      <c r="E26" s="112"/>
      <c r="F26" s="119"/>
      <c r="G26" s="120"/>
      <c r="H26" s="113"/>
      <c r="J26" s="113"/>
    </row>
    <row r="27" spans="1:12" x14ac:dyDescent="0.25">
      <c r="A27" s="112"/>
      <c r="C27" s="120"/>
      <c r="D27" s="114"/>
      <c r="E27" s="112"/>
      <c r="F27" s="119"/>
      <c r="G27" s="120"/>
      <c r="H27" s="113"/>
      <c r="J27" s="113"/>
    </row>
    <row r="28" spans="1:12" x14ac:dyDescent="0.25">
      <c r="A28" s="112"/>
      <c r="C28" s="120"/>
      <c r="D28" s="114"/>
      <c r="E28" s="112"/>
      <c r="G28" s="114"/>
      <c r="H28" s="113"/>
      <c r="J28" s="113"/>
    </row>
    <row r="29" spans="1:12" x14ac:dyDescent="0.25">
      <c r="A29" s="112"/>
      <c r="C29" s="120"/>
      <c r="D29" s="114"/>
      <c r="E29" s="112"/>
      <c r="G29" s="114"/>
      <c r="H29" s="113"/>
      <c r="J29" s="113"/>
    </row>
    <row r="30" spans="1:12" x14ac:dyDescent="0.25">
      <c r="A30" s="112"/>
      <c r="C30" s="120"/>
      <c r="D30" s="114"/>
      <c r="E30" s="112"/>
      <c r="G30" s="114"/>
      <c r="H30" s="114"/>
      <c r="J30" s="113"/>
    </row>
    <row r="31" spans="1:12" x14ac:dyDescent="0.25">
      <c r="A31" s="112"/>
      <c r="C31" s="120"/>
      <c r="D31" s="114"/>
      <c r="E31" s="112"/>
      <c r="G31" s="113"/>
      <c r="H31" s="114"/>
      <c r="J31" s="113"/>
    </row>
    <row r="32" spans="1:12" x14ac:dyDescent="0.25">
      <c r="A32" s="112"/>
      <c r="C32" s="120"/>
      <c r="D32" s="114"/>
      <c r="E32" s="113"/>
      <c r="H32" s="114"/>
      <c r="J32" s="113"/>
    </row>
    <row r="33" spans="1:10" x14ac:dyDescent="0.25">
      <c r="A33" s="112"/>
      <c r="B33" s="117"/>
      <c r="C33" s="113"/>
      <c r="D33" s="114"/>
      <c r="E33" s="113"/>
      <c r="H33" s="114"/>
      <c r="J33" s="113"/>
    </row>
    <row r="34" spans="1:10" x14ac:dyDescent="0.25">
      <c r="A34" s="112"/>
      <c r="B34" s="117"/>
      <c r="C34" s="113"/>
      <c r="D34" s="114"/>
      <c r="E34" s="113"/>
      <c r="H34" s="114"/>
      <c r="J34" s="113"/>
    </row>
    <row r="35" spans="1:10" x14ac:dyDescent="0.25">
      <c r="A35" s="112"/>
      <c r="B35" s="117"/>
      <c r="C35" s="113"/>
      <c r="D35" s="114"/>
      <c r="E35" s="113"/>
      <c r="H35" s="114"/>
      <c r="J35" s="113"/>
    </row>
    <row r="36" spans="1:10" x14ac:dyDescent="0.25">
      <c r="A36" s="112"/>
      <c r="B36" s="117"/>
      <c r="C36" s="113"/>
      <c r="D36" s="114"/>
      <c r="E36" s="113"/>
      <c r="H36" s="114"/>
      <c r="J36" s="113"/>
    </row>
    <row r="37" spans="1:10" x14ac:dyDescent="0.25">
      <c r="A37" s="112"/>
      <c r="B37" s="117"/>
      <c r="C37" s="113"/>
      <c r="D37" s="114"/>
      <c r="E37" s="113"/>
      <c r="H37" s="114"/>
      <c r="J37" s="113"/>
    </row>
    <row r="38" spans="1:10" x14ac:dyDescent="0.25">
      <c r="A38" s="112"/>
      <c r="B38" s="117"/>
      <c r="C38" s="113"/>
      <c r="D38" s="114"/>
      <c r="E38" s="113"/>
      <c r="H38" s="114"/>
      <c r="J38" s="113"/>
    </row>
    <row r="39" spans="1:10" x14ac:dyDescent="0.25">
      <c r="A39" s="112"/>
      <c r="B39" s="117"/>
      <c r="C39" s="113"/>
      <c r="D39" s="114"/>
      <c r="E39" s="113"/>
      <c r="H39" s="114"/>
      <c r="J39" s="113"/>
    </row>
    <row r="40" spans="1:10" x14ac:dyDescent="0.25">
      <c r="A40" s="112"/>
      <c r="B40" s="117"/>
      <c r="C40" s="113"/>
      <c r="D40" s="114"/>
      <c r="E40" s="113"/>
      <c r="H40" s="114"/>
      <c r="J40" s="113"/>
    </row>
    <row r="41" spans="1:10" x14ac:dyDescent="0.25">
      <c r="A41" s="112"/>
      <c r="B41" s="117"/>
      <c r="C41" s="113"/>
      <c r="D41" s="114"/>
      <c r="E41" s="113"/>
      <c r="H41" s="114"/>
      <c r="J41" s="113"/>
    </row>
    <row r="42" spans="1:10" x14ac:dyDescent="0.25">
      <c r="A42" s="112"/>
      <c r="B42" s="117"/>
      <c r="C42" s="113"/>
      <c r="D42" s="114"/>
      <c r="E42" s="113"/>
      <c r="H42" s="114"/>
    </row>
    <row r="43" spans="1:10" x14ac:dyDescent="0.25">
      <c r="A43" s="112"/>
      <c r="B43" s="117"/>
      <c r="C43" s="113"/>
      <c r="D43" s="114"/>
      <c r="E43" s="113"/>
      <c r="H43" s="114"/>
    </row>
    <row r="44" spans="1:10" x14ac:dyDescent="0.25">
      <c r="A44" s="112"/>
      <c r="B44" s="117"/>
      <c r="C44" s="113"/>
      <c r="D44" s="114"/>
      <c r="E44" s="113"/>
      <c r="H44" s="114"/>
    </row>
    <row r="45" spans="1:10" x14ac:dyDescent="0.25">
      <c r="A45" s="112"/>
      <c r="B45" s="117"/>
      <c r="C45" s="113"/>
      <c r="D45" s="114"/>
      <c r="E45" s="113"/>
      <c r="H45" s="114"/>
    </row>
    <row r="46" spans="1:10" x14ac:dyDescent="0.25">
      <c r="A46" s="112"/>
      <c r="B46" s="117"/>
      <c r="C46" s="113"/>
      <c r="D46" s="114"/>
      <c r="H46" s="114"/>
    </row>
    <row r="47" spans="1:10" x14ac:dyDescent="0.25">
      <c r="A47" s="112"/>
      <c r="B47" s="117"/>
      <c r="C47" s="113"/>
      <c r="D47" s="114"/>
      <c r="H47" s="114"/>
    </row>
    <row r="48" spans="1:10" x14ac:dyDescent="0.25">
      <c r="A48" s="112"/>
      <c r="B48" s="117"/>
      <c r="C48" s="113"/>
      <c r="D48" s="114"/>
      <c r="H48" s="114"/>
    </row>
    <row r="49" spans="1:8" x14ac:dyDescent="0.25">
      <c r="A49" s="112"/>
      <c r="B49" s="117"/>
      <c r="C49" s="113"/>
      <c r="D49" s="114"/>
      <c r="H49" s="114"/>
    </row>
    <row r="50" spans="1:8" x14ac:dyDescent="0.25">
      <c r="A50" s="112"/>
      <c r="B50" s="117"/>
      <c r="C50" s="113"/>
      <c r="D50" s="114"/>
      <c r="H50" s="114"/>
    </row>
    <row r="51" spans="1:8" x14ac:dyDescent="0.25">
      <c r="A51" s="112"/>
      <c r="B51" s="117"/>
      <c r="C51" s="113"/>
      <c r="D51" s="114"/>
      <c r="H51" s="114"/>
    </row>
    <row r="52" spans="1:8" x14ac:dyDescent="0.25">
      <c r="A52" s="112"/>
      <c r="B52" s="117"/>
      <c r="C52" s="113"/>
      <c r="D52" s="114"/>
      <c r="H52" s="114"/>
    </row>
    <row r="53" spans="1:8" x14ac:dyDescent="0.25">
      <c r="A53" s="112"/>
      <c r="B53" s="117"/>
      <c r="D53" s="114"/>
      <c r="H53" s="114"/>
    </row>
    <row r="54" spans="1:8" x14ac:dyDescent="0.25">
      <c r="A54" s="112"/>
      <c r="B54" s="117"/>
      <c r="D54" s="114"/>
      <c r="H54" s="114"/>
    </row>
    <row r="55" spans="1:8" x14ac:dyDescent="0.25">
      <c r="A55" s="112"/>
      <c r="B55" s="117"/>
      <c r="D55" s="114"/>
      <c r="H55" s="114"/>
    </row>
    <row r="56" spans="1:8" x14ac:dyDescent="0.25">
      <c r="A56" s="112"/>
      <c r="B56" s="117"/>
      <c r="D56" s="114"/>
      <c r="H56" s="114"/>
    </row>
    <row r="57" spans="1:8" x14ac:dyDescent="0.25">
      <c r="A57" s="112"/>
      <c r="B57" s="117"/>
      <c r="D57" s="114"/>
      <c r="H57" s="114"/>
    </row>
    <row r="58" spans="1:8" x14ac:dyDescent="0.25">
      <c r="A58" s="112"/>
      <c r="B58" s="117"/>
      <c r="D58" s="114"/>
      <c r="H58" s="114"/>
    </row>
    <row r="59" spans="1:8" x14ac:dyDescent="0.25">
      <c r="A59" s="112"/>
      <c r="B59" s="117"/>
      <c r="D59" s="114"/>
      <c r="H59" s="114"/>
    </row>
    <row r="60" spans="1:8" x14ac:dyDescent="0.25">
      <c r="A60" s="112"/>
      <c r="B60" s="117"/>
      <c r="D60" s="114"/>
      <c r="H60" s="114"/>
    </row>
    <row r="61" spans="1:8" x14ac:dyDescent="0.25">
      <c r="A61" s="112"/>
      <c r="B61" s="117"/>
      <c r="D61" s="114"/>
      <c r="H61" s="114"/>
    </row>
    <row r="62" spans="1:8" x14ac:dyDescent="0.25">
      <c r="A62" s="112"/>
      <c r="B62" s="117"/>
      <c r="D62" s="114"/>
      <c r="H62" s="114"/>
    </row>
    <row r="63" spans="1:8" x14ac:dyDescent="0.25">
      <c r="A63" s="112"/>
      <c r="B63" s="117"/>
      <c r="D63" s="114"/>
      <c r="H63" s="114"/>
    </row>
    <row r="64" spans="1:8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4"/>
      <c r="H67" s="114"/>
    </row>
    <row r="68" spans="1:8" x14ac:dyDescent="0.25">
      <c r="A68" s="112"/>
      <c r="B68" s="117"/>
      <c r="D68" s="113"/>
      <c r="H68" s="114"/>
    </row>
    <row r="69" spans="1:8" x14ac:dyDescent="0.25">
      <c r="A69" s="112"/>
      <c r="B69" s="117"/>
      <c r="D69" s="113"/>
      <c r="H69" s="114"/>
    </row>
    <row r="70" spans="1:8" x14ac:dyDescent="0.25">
      <c r="A70" s="112"/>
      <c r="B70" s="117"/>
      <c r="D70" s="113"/>
      <c r="H70" s="114"/>
    </row>
    <row r="71" spans="1:8" x14ac:dyDescent="0.25">
      <c r="A71" s="112"/>
      <c r="B71" s="117"/>
      <c r="D71" s="113"/>
      <c r="H71" s="114"/>
    </row>
    <row r="72" spans="1:8" x14ac:dyDescent="0.25">
      <c r="A72" s="112"/>
      <c r="B72" s="117"/>
      <c r="D72" s="113"/>
      <c r="H72" s="114"/>
    </row>
    <row r="73" spans="1:8" x14ac:dyDescent="0.25">
      <c r="A73" s="112"/>
      <c r="B73" s="117"/>
      <c r="D73" s="113"/>
      <c r="H73" s="114"/>
    </row>
    <row r="74" spans="1:8" x14ac:dyDescent="0.25">
      <c r="A74" s="112"/>
      <c r="B74" s="117"/>
      <c r="D74" s="113"/>
      <c r="H74" s="114"/>
    </row>
    <row r="75" spans="1:8" x14ac:dyDescent="0.25">
      <c r="A75" s="112"/>
      <c r="B75" s="117"/>
      <c r="D75" s="113"/>
      <c r="H75" s="114"/>
    </row>
    <row r="76" spans="1:8" x14ac:dyDescent="0.25">
      <c r="A76" s="112"/>
      <c r="B76" s="117"/>
      <c r="D76" s="113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9"/>
    </row>
    <row r="88" spans="1:8" x14ac:dyDescent="0.25">
      <c r="A88" s="112"/>
      <c r="B88" s="117"/>
      <c r="D88" s="113"/>
    </row>
    <row r="89" spans="1:8" x14ac:dyDescent="0.25">
      <c r="A89" s="112"/>
      <c r="B89" s="117"/>
      <c r="D89" s="113"/>
    </row>
    <row r="90" spans="1:8" x14ac:dyDescent="0.25">
      <c r="A90" s="112"/>
      <c r="B90" s="117"/>
      <c r="D90" s="114"/>
    </row>
    <row r="91" spans="1:8" x14ac:dyDescent="0.25">
      <c r="A91" s="112"/>
      <c r="B91" s="117"/>
      <c r="D91" s="114"/>
    </row>
    <row r="92" spans="1:8" x14ac:dyDescent="0.25">
      <c r="A92" s="112"/>
      <c r="B92" s="117"/>
      <c r="D92" s="114"/>
    </row>
    <row r="93" spans="1:8" x14ac:dyDescent="0.25">
      <c r="A93" s="112"/>
      <c r="B93" s="117"/>
      <c r="D93" s="114"/>
    </row>
    <row r="94" spans="1:8" x14ac:dyDescent="0.25">
      <c r="A94" s="112"/>
      <c r="B94" s="117"/>
      <c r="D94" s="114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95"/>
  <sheetViews>
    <sheetView workbookViewId="0">
      <selection activeCell="E4" sqref="E4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83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/>
      <c r="D5" s="137" t="s">
        <v>9</v>
      </c>
      <c r="H5" s="35" t="s">
        <v>82</v>
      </c>
    </row>
    <row r="6" spans="1:19" ht="15.75" thickBot="1" x14ac:dyDescent="0.3">
      <c r="A6" s="141">
        <f>B6+273.15</f>
        <v>1173.1500000000001</v>
      </c>
      <c r="B6" s="128">
        <v>900</v>
      </c>
      <c r="C6" s="130"/>
      <c r="D6" s="154">
        <f>0.00106</f>
        <v>1.06E-3</v>
      </c>
    </row>
    <row r="7" spans="1:19" x14ac:dyDescent="0.25">
      <c r="A7" s="112"/>
      <c r="B7" s="119"/>
      <c r="C7" s="114"/>
      <c r="D7" s="114"/>
      <c r="E7" s="114"/>
      <c r="H7" s="111" t="s">
        <v>18</v>
      </c>
    </row>
    <row r="8" spans="1:19" ht="16.5" thickBot="1" x14ac:dyDescent="0.3">
      <c r="A8" s="112"/>
      <c r="B8" s="119"/>
      <c r="C8" s="114"/>
      <c r="D8" s="114"/>
      <c r="E8" s="114"/>
      <c r="G8" s="111">
        <v>1</v>
      </c>
      <c r="H8" s="35" t="s">
        <v>65</v>
      </c>
    </row>
    <row r="9" spans="1:19" ht="15.75" x14ac:dyDescent="0.25">
      <c r="A9" s="133" t="s">
        <v>13</v>
      </c>
      <c r="B9" s="134"/>
      <c r="C9" s="134"/>
      <c r="D9" s="135"/>
      <c r="J9" s="35"/>
    </row>
    <row r="10" spans="1:19" ht="75.75" thickBot="1" x14ac:dyDescent="0.3">
      <c r="A10" s="136" t="s">
        <v>16</v>
      </c>
      <c r="B10" s="115" t="s">
        <v>14</v>
      </c>
      <c r="C10" s="142" t="s">
        <v>37</v>
      </c>
      <c r="D10" s="137" t="s">
        <v>15</v>
      </c>
    </row>
    <row r="11" spans="1:19" ht="19.5" thickBot="1" x14ac:dyDescent="0.3">
      <c r="A11" s="141">
        <f>B11+273.15</f>
        <v>1173.1500000000001</v>
      </c>
      <c r="B11" s="128">
        <v>900</v>
      </c>
      <c r="C11" s="130">
        <f>'LSFC,Dalslet (Electrochem)'!C31</f>
        <v>112</v>
      </c>
      <c r="D11" s="158">
        <f>D6/C11</f>
        <v>9.4642857142857142E-6</v>
      </c>
      <c r="H11" s="169" t="s">
        <v>184</v>
      </c>
    </row>
    <row r="12" spans="1:19" ht="15.75" thickBot="1" x14ac:dyDescent="0.3"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19</v>
      </c>
      <c r="B13" s="134"/>
      <c r="C13" s="134"/>
      <c r="D13" s="134"/>
      <c r="E13" s="135"/>
      <c r="G13" s="119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75" x14ac:dyDescent="0.25">
      <c r="A14" s="136" t="s">
        <v>16</v>
      </c>
      <c r="B14" s="115" t="s">
        <v>14</v>
      </c>
      <c r="C14" s="142" t="s">
        <v>21</v>
      </c>
      <c r="D14" s="142" t="s">
        <v>37</v>
      </c>
      <c r="E14" s="143" t="s">
        <v>35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>B15+273.15</f>
        <v>1173.1500000000001</v>
      </c>
      <c r="B15" s="128">
        <v>900</v>
      </c>
      <c r="C15" s="129">
        <f>'LSFC,Dalslet (Electrochem)'!G31</f>
        <v>8.13383292958616E-2</v>
      </c>
      <c r="D15" s="130">
        <f>'LSFC,Dalslet (Electrochem)'!C31</f>
        <v>112</v>
      </c>
      <c r="E15" s="158">
        <f>($C$2*$A15*$A$2*D15)/(4*($E$2^2)*$C15*$D6)</f>
        <v>0.34010084408628094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12"/>
      <c r="B16" s="119"/>
      <c r="C16" s="113"/>
      <c r="D16" s="114"/>
      <c r="G16" s="119"/>
      <c r="H16" s="114"/>
      <c r="K16" s="118"/>
      <c r="L16" s="118"/>
    </row>
    <row r="17" spans="1:12" x14ac:dyDescent="0.25">
      <c r="D17" s="114"/>
      <c r="G17" s="119"/>
      <c r="H17" s="114"/>
      <c r="J17" s="113"/>
      <c r="K17" s="113"/>
      <c r="L17" s="113"/>
    </row>
    <row r="18" spans="1:12" x14ac:dyDescent="0.25">
      <c r="G18" s="119"/>
      <c r="H18" s="114"/>
      <c r="J18" s="113"/>
      <c r="K18" s="113"/>
      <c r="L18" s="113"/>
    </row>
    <row r="19" spans="1:12" x14ac:dyDescent="0.25">
      <c r="A19" s="118"/>
      <c r="G19" s="119"/>
      <c r="H19" s="114"/>
    </row>
    <row r="20" spans="1:12" x14ac:dyDescent="0.25">
      <c r="C20" s="118"/>
      <c r="G20" s="118"/>
      <c r="H20" s="118"/>
    </row>
    <row r="21" spans="1:12" x14ac:dyDescent="0.25">
      <c r="A21" s="112"/>
      <c r="C21" s="114"/>
      <c r="E21" s="112"/>
      <c r="F21" s="119"/>
      <c r="G21" s="114"/>
      <c r="H21" s="113"/>
      <c r="I21" s="113"/>
    </row>
    <row r="22" spans="1:12" x14ac:dyDescent="0.25">
      <c r="A22" s="112"/>
      <c r="C22" s="114"/>
      <c r="D22" s="114"/>
      <c r="E22" s="112"/>
      <c r="F22" s="119"/>
      <c r="G22" s="114"/>
      <c r="H22" s="113"/>
      <c r="I22" s="113"/>
      <c r="J22" s="118"/>
    </row>
    <row r="23" spans="1:12" x14ac:dyDescent="0.25">
      <c r="A23" s="112"/>
      <c r="C23" s="114"/>
      <c r="D23" s="114"/>
      <c r="E23" s="112"/>
      <c r="F23" s="119"/>
      <c r="G23" s="114"/>
      <c r="H23" s="113"/>
      <c r="I23" s="113"/>
      <c r="J23" s="113"/>
    </row>
    <row r="24" spans="1:12" x14ac:dyDescent="0.25">
      <c r="A24" s="112"/>
      <c r="C24" s="114"/>
      <c r="D24" s="114"/>
      <c r="E24" s="112"/>
      <c r="F24" s="119"/>
      <c r="G24" s="114"/>
      <c r="H24" s="113"/>
      <c r="I24" s="113"/>
      <c r="J24" s="113"/>
    </row>
    <row r="25" spans="1:12" x14ac:dyDescent="0.25">
      <c r="A25" s="112"/>
      <c r="C25" s="120"/>
      <c r="D25" s="114"/>
      <c r="E25" s="112"/>
      <c r="F25" s="119"/>
      <c r="G25" s="120"/>
      <c r="H25" s="113"/>
      <c r="I25" s="113"/>
      <c r="J25" s="113"/>
    </row>
    <row r="26" spans="1:12" x14ac:dyDescent="0.25">
      <c r="A26" s="112"/>
      <c r="C26" s="120"/>
      <c r="D26" s="114"/>
      <c r="E26" s="112"/>
      <c r="F26" s="119"/>
      <c r="G26" s="120"/>
      <c r="H26" s="113"/>
      <c r="J26" s="113"/>
    </row>
    <row r="27" spans="1:12" x14ac:dyDescent="0.25">
      <c r="A27" s="112"/>
      <c r="C27" s="120"/>
      <c r="D27" s="114"/>
      <c r="E27" s="112"/>
      <c r="F27" s="119"/>
      <c r="G27" s="120"/>
      <c r="H27" s="113"/>
      <c r="J27" s="113"/>
    </row>
    <row r="28" spans="1:12" x14ac:dyDescent="0.25">
      <c r="A28" s="112"/>
      <c r="C28" s="120"/>
      <c r="D28" s="114"/>
      <c r="E28" s="112"/>
      <c r="F28" s="119"/>
      <c r="G28" s="120"/>
      <c r="H28" s="113"/>
      <c r="J28" s="113"/>
    </row>
    <row r="29" spans="1:12" x14ac:dyDescent="0.25">
      <c r="A29" s="112"/>
      <c r="C29" s="120"/>
      <c r="D29" s="114"/>
      <c r="E29" s="112"/>
      <c r="G29" s="114"/>
      <c r="H29" s="113"/>
      <c r="J29" s="113"/>
    </row>
    <row r="30" spans="1:12" x14ac:dyDescent="0.25">
      <c r="A30" s="112"/>
      <c r="C30" s="120"/>
      <c r="D30" s="114"/>
      <c r="E30" s="112"/>
      <c r="G30" s="114"/>
      <c r="H30" s="113"/>
      <c r="J30" s="113"/>
    </row>
    <row r="31" spans="1:12" x14ac:dyDescent="0.25">
      <c r="A31" s="112"/>
      <c r="C31" s="120"/>
      <c r="D31" s="114"/>
      <c r="E31" s="112"/>
      <c r="G31" s="114"/>
      <c r="H31" s="114"/>
      <c r="J31" s="113"/>
    </row>
    <row r="32" spans="1:12" x14ac:dyDescent="0.25">
      <c r="A32" s="112"/>
      <c r="C32" s="120"/>
      <c r="D32" s="114"/>
      <c r="E32" s="112"/>
      <c r="G32" s="113"/>
      <c r="H32" s="114"/>
      <c r="J32" s="113"/>
    </row>
    <row r="33" spans="1:10" x14ac:dyDescent="0.25">
      <c r="A33" s="112"/>
      <c r="C33" s="120"/>
      <c r="D33" s="114"/>
      <c r="E33" s="113"/>
      <c r="H33" s="114"/>
      <c r="J33" s="113"/>
    </row>
    <row r="34" spans="1:10" x14ac:dyDescent="0.25">
      <c r="A34" s="112"/>
      <c r="B34" s="117"/>
      <c r="C34" s="113"/>
      <c r="D34" s="114"/>
      <c r="E34" s="113"/>
      <c r="H34" s="114"/>
      <c r="J34" s="113"/>
    </row>
    <row r="35" spans="1:10" x14ac:dyDescent="0.25">
      <c r="A35" s="112"/>
      <c r="B35" s="117"/>
      <c r="C35" s="113"/>
      <c r="D35" s="114"/>
      <c r="E35" s="113"/>
      <c r="H35" s="114"/>
      <c r="J35" s="113"/>
    </row>
    <row r="36" spans="1:10" x14ac:dyDescent="0.25">
      <c r="A36" s="112"/>
      <c r="B36" s="117"/>
      <c r="C36" s="113"/>
      <c r="D36" s="114"/>
      <c r="E36" s="113"/>
      <c r="H36" s="114"/>
      <c r="J36" s="113"/>
    </row>
    <row r="37" spans="1:10" x14ac:dyDescent="0.25">
      <c r="A37" s="112"/>
      <c r="B37" s="117"/>
      <c r="C37" s="113"/>
      <c r="D37" s="114"/>
      <c r="E37" s="113"/>
      <c r="H37" s="114"/>
      <c r="J37" s="113"/>
    </row>
    <row r="38" spans="1:10" x14ac:dyDescent="0.25">
      <c r="A38" s="112"/>
      <c r="B38" s="117"/>
      <c r="C38" s="113"/>
      <c r="D38" s="114"/>
      <c r="E38" s="113"/>
      <c r="H38" s="114"/>
      <c r="J38" s="113"/>
    </row>
    <row r="39" spans="1:10" x14ac:dyDescent="0.25">
      <c r="A39" s="112"/>
      <c r="B39" s="117"/>
      <c r="C39" s="113"/>
      <c r="D39" s="114"/>
      <c r="E39" s="113"/>
      <c r="H39" s="114"/>
      <c r="J39" s="113"/>
    </row>
    <row r="40" spans="1:10" x14ac:dyDescent="0.25">
      <c r="A40" s="112"/>
      <c r="B40" s="117"/>
      <c r="C40" s="113"/>
      <c r="D40" s="114"/>
      <c r="E40" s="113"/>
      <c r="H40" s="114"/>
      <c r="J40" s="113"/>
    </row>
    <row r="41" spans="1:10" x14ac:dyDescent="0.25">
      <c r="A41" s="112"/>
      <c r="B41" s="117"/>
      <c r="C41" s="113"/>
      <c r="D41" s="114"/>
      <c r="E41" s="113"/>
      <c r="H41" s="114"/>
      <c r="J41" s="113"/>
    </row>
    <row r="42" spans="1:10" x14ac:dyDescent="0.25">
      <c r="A42" s="112"/>
      <c r="B42" s="117"/>
      <c r="C42" s="113"/>
      <c r="D42" s="114"/>
      <c r="E42" s="113"/>
      <c r="H42" s="114"/>
      <c r="J42" s="113"/>
    </row>
    <row r="43" spans="1:10" x14ac:dyDescent="0.25">
      <c r="A43" s="112"/>
      <c r="B43" s="117"/>
      <c r="C43" s="113"/>
      <c r="D43" s="114"/>
      <c r="E43" s="113"/>
      <c r="H43" s="114"/>
    </row>
    <row r="44" spans="1:10" x14ac:dyDescent="0.25">
      <c r="A44" s="112"/>
      <c r="B44" s="117"/>
      <c r="C44" s="113"/>
      <c r="D44" s="114"/>
      <c r="E44" s="113"/>
      <c r="H44" s="114"/>
    </row>
    <row r="45" spans="1:10" x14ac:dyDescent="0.25">
      <c r="A45" s="112"/>
      <c r="B45" s="117"/>
      <c r="C45" s="113"/>
      <c r="D45" s="114"/>
      <c r="E45" s="113"/>
      <c r="H45" s="114"/>
    </row>
    <row r="46" spans="1:10" x14ac:dyDescent="0.25">
      <c r="A46" s="112"/>
      <c r="B46" s="117"/>
      <c r="C46" s="113"/>
      <c r="D46" s="114"/>
      <c r="E46" s="113"/>
      <c r="H46" s="114"/>
    </row>
    <row r="47" spans="1:10" x14ac:dyDescent="0.25">
      <c r="A47" s="112"/>
      <c r="B47" s="117"/>
      <c r="C47" s="113"/>
      <c r="D47" s="114"/>
      <c r="H47" s="114"/>
    </row>
    <row r="48" spans="1:10" x14ac:dyDescent="0.25">
      <c r="A48" s="112"/>
      <c r="B48" s="117"/>
      <c r="C48" s="113"/>
      <c r="D48" s="114"/>
      <c r="H48" s="114"/>
    </row>
    <row r="49" spans="1:8" x14ac:dyDescent="0.25">
      <c r="A49" s="112"/>
      <c r="B49" s="117"/>
      <c r="C49" s="113"/>
      <c r="D49" s="114"/>
      <c r="H49" s="114"/>
    </row>
    <row r="50" spans="1:8" x14ac:dyDescent="0.25">
      <c r="A50" s="112"/>
      <c r="B50" s="117"/>
      <c r="C50" s="113"/>
      <c r="D50" s="114"/>
      <c r="H50" s="114"/>
    </row>
    <row r="51" spans="1:8" x14ac:dyDescent="0.25">
      <c r="A51" s="112"/>
      <c r="B51" s="117"/>
      <c r="C51" s="113"/>
      <c r="D51" s="114"/>
      <c r="H51" s="114"/>
    </row>
    <row r="52" spans="1:8" x14ac:dyDescent="0.25">
      <c r="A52" s="112"/>
      <c r="B52" s="117"/>
      <c r="C52" s="113"/>
      <c r="D52" s="114"/>
      <c r="H52" s="114"/>
    </row>
    <row r="53" spans="1:8" x14ac:dyDescent="0.25">
      <c r="A53" s="112"/>
      <c r="B53" s="117"/>
      <c r="C53" s="113"/>
      <c r="D53" s="114"/>
      <c r="H53" s="114"/>
    </row>
    <row r="54" spans="1:8" x14ac:dyDescent="0.25">
      <c r="A54" s="112"/>
      <c r="B54" s="117"/>
      <c r="D54" s="114"/>
      <c r="H54" s="114"/>
    </row>
    <row r="55" spans="1:8" x14ac:dyDescent="0.25">
      <c r="A55" s="112"/>
      <c r="B55" s="117"/>
      <c r="D55" s="114"/>
      <c r="H55" s="114"/>
    </row>
    <row r="56" spans="1:8" x14ac:dyDescent="0.25">
      <c r="A56" s="112"/>
      <c r="B56" s="117"/>
      <c r="D56" s="114"/>
      <c r="H56" s="114"/>
    </row>
    <row r="57" spans="1:8" x14ac:dyDescent="0.25">
      <c r="A57" s="112"/>
      <c r="B57" s="117"/>
      <c r="D57" s="114"/>
      <c r="H57" s="114"/>
    </row>
    <row r="58" spans="1:8" x14ac:dyDescent="0.25">
      <c r="A58" s="112"/>
      <c r="B58" s="117"/>
      <c r="D58" s="114"/>
      <c r="H58" s="114"/>
    </row>
    <row r="59" spans="1:8" x14ac:dyDescent="0.25">
      <c r="A59" s="112"/>
      <c r="B59" s="117"/>
      <c r="D59" s="114"/>
      <c r="H59" s="114"/>
    </row>
    <row r="60" spans="1:8" x14ac:dyDescent="0.25">
      <c r="A60" s="112"/>
      <c r="B60" s="117"/>
      <c r="D60" s="114"/>
      <c r="H60" s="114"/>
    </row>
    <row r="61" spans="1:8" x14ac:dyDescent="0.25">
      <c r="A61" s="112"/>
      <c r="B61" s="117"/>
      <c r="D61" s="114"/>
      <c r="H61" s="114"/>
    </row>
    <row r="62" spans="1:8" x14ac:dyDescent="0.25">
      <c r="A62" s="112"/>
      <c r="B62" s="117"/>
      <c r="D62" s="114"/>
      <c r="H62" s="114"/>
    </row>
    <row r="63" spans="1:8" x14ac:dyDescent="0.25">
      <c r="A63" s="112"/>
      <c r="B63" s="117"/>
      <c r="D63" s="114"/>
      <c r="H63" s="114"/>
    </row>
    <row r="64" spans="1:8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4"/>
      <c r="H67" s="114"/>
    </row>
    <row r="68" spans="1:8" x14ac:dyDescent="0.25">
      <c r="A68" s="112"/>
      <c r="B68" s="117"/>
      <c r="D68" s="114"/>
      <c r="H68" s="114"/>
    </row>
    <row r="69" spans="1:8" x14ac:dyDescent="0.25">
      <c r="A69" s="112"/>
      <c r="B69" s="117"/>
      <c r="D69" s="113"/>
      <c r="H69" s="114"/>
    </row>
    <row r="70" spans="1:8" x14ac:dyDescent="0.25">
      <c r="A70" s="112"/>
      <c r="B70" s="117"/>
      <c r="D70" s="113"/>
      <c r="H70" s="114"/>
    </row>
    <row r="71" spans="1:8" x14ac:dyDescent="0.25">
      <c r="A71" s="112"/>
      <c r="B71" s="117"/>
      <c r="D71" s="113"/>
      <c r="H71" s="114"/>
    </row>
    <row r="72" spans="1:8" x14ac:dyDescent="0.25">
      <c r="A72" s="112"/>
      <c r="B72" s="117"/>
      <c r="D72" s="113"/>
      <c r="H72" s="114"/>
    </row>
    <row r="73" spans="1:8" x14ac:dyDescent="0.25">
      <c r="A73" s="112"/>
      <c r="B73" s="117"/>
      <c r="D73" s="113"/>
      <c r="H73" s="114"/>
    </row>
    <row r="74" spans="1:8" x14ac:dyDescent="0.25">
      <c r="A74" s="112"/>
      <c r="B74" s="117"/>
      <c r="D74" s="113"/>
      <c r="H74" s="114"/>
    </row>
    <row r="75" spans="1:8" x14ac:dyDescent="0.25">
      <c r="A75" s="112"/>
      <c r="B75" s="117"/>
      <c r="D75" s="113"/>
      <c r="H75" s="114"/>
    </row>
    <row r="76" spans="1:8" x14ac:dyDescent="0.25">
      <c r="A76" s="112"/>
      <c r="B76" s="117"/>
      <c r="D76" s="113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4"/>
    </row>
    <row r="88" spans="1:8" x14ac:dyDescent="0.25">
      <c r="A88" s="112"/>
      <c r="B88" s="117"/>
      <c r="D88" s="113"/>
      <c r="H88" s="119"/>
    </row>
    <row r="89" spans="1:8" x14ac:dyDescent="0.25">
      <c r="A89" s="112"/>
      <c r="B89" s="117"/>
      <c r="D89" s="113"/>
    </row>
    <row r="90" spans="1:8" x14ac:dyDescent="0.25">
      <c r="A90" s="112"/>
      <c r="B90" s="117"/>
      <c r="D90" s="113"/>
    </row>
    <row r="91" spans="1:8" x14ac:dyDescent="0.25">
      <c r="A91" s="112"/>
      <c r="B91" s="117"/>
      <c r="D91" s="114"/>
    </row>
    <row r="92" spans="1:8" x14ac:dyDescent="0.25">
      <c r="A92" s="112"/>
      <c r="B92" s="117"/>
      <c r="D92" s="114"/>
    </row>
    <row r="93" spans="1:8" x14ac:dyDescent="0.25">
      <c r="A93" s="112"/>
      <c r="B93" s="117"/>
      <c r="D93" s="114"/>
    </row>
    <row r="94" spans="1:8" x14ac:dyDescent="0.25">
      <c r="A94" s="112"/>
      <c r="B94" s="117"/>
      <c r="D94" s="114"/>
    </row>
    <row r="95" spans="1:8" x14ac:dyDescent="0.25">
      <c r="A95" s="112"/>
      <c r="B95" s="117"/>
      <c r="D95" s="114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103"/>
  <sheetViews>
    <sheetView workbookViewId="0">
      <selection activeCell="F8" sqref="F8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44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45</v>
      </c>
    </row>
    <row r="6" spans="1:19" x14ac:dyDescent="0.25">
      <c r="A6" s="138">
        <f>B6+273.15</f>
        <v>1073.1500000000001</v>
      </c>
      <c r="B6" s="150">
        <v>800</v>
      </c>
      <c r="C6" s="140">
        <f>'LSFC,Dalslet (Electrochem)'!C33</f>
        <v>129.20999999999992</v>
      </c>
      <c r="D6" s="157">
        <f>C6*D13</f>
        <v>3.5661959999999976E-6</v>
      </c>
    </row>
    <row r="7" spans="1:19" x14ac:dyDescent="0.25">
      <c r="A7" s="138">
        <f t="shared" ref="A7:A9" si="0">B7+273.15</f>
        <v>973.15</v>
      </c>
      <c r="B7" s="150">
        <v>700</v>
      </c>
      <c r="C7" s="144">
        <f>'LSFC,Dalslet (Electrochem)'!C34</f>
        <v>160.28999999999996</v>
      </c>
      <c r="D7" s="157">
        <f>C7*D14</f>
        <v>4.3919459999999994E-6</v>
      </c>
      <c r="E7" s="114"/>
      <c r="H7" s="111" t="s">
        <v>18</v>
      </c>
    </row>
    <row r="8" spans="1:19" ht="15.75" x14ac:dyDescent="0.25">
      <c r="A8" s="138">
        <f t="shared" si="0"/>
        <v>873.15</v>
      </c>
      <c r="B8" s="150">
        <v>600</v>
      </c>
      <c r="C8" s="144">
        <f>'LSFC,Dalslet (Electrochem)'!C35</f>
        <v>205.37</v>
      </c>
      <c r="D8" s="157">
        <f>C8*D15</f>
        <v>5.5039159999999995E-6</v>
      </c>
      <c r="E8" s="114"/>
      <c r="G8" s="111">
        <v>1</v>
      </c>
      <c r="H8" s="35" t="s">
        <v>65</v>
      </c>
    </row>
    <row r="9" spans="1:19" ht="16.5" thickBot="1" x14ac:dyDescent="0.3">
      <c r="A9" s="141">
        <f t="shared" si="0"/>
        <v>773.15</v>
      </c>
      <c r="B9" s="128">
        <v>500</v>
      </c>
      <c r="C9" s="129">
        <f>'LSFC,Dalslet (Electrochem)'!C36</f>
        <v>264.45000000000005</v>
      </c>
      <c r="D9" s="158">
        <f>C9*D16</f>
        <v>6.5054700000000011E-6</v>
      </c>
      <c r="E9" s="114"/>
      <c r="J9" s="35"/>
    </row>
    <row r="10" spans="1:19" ht="16.5" thickBot="1" x14ac:dyDescent="0.3">
      <c r="A10" s="112"/>
      <c r="B10" s="119"/>
      <c r="C10" s="114"/>
      <c r="D10" s="114"/>
      <c r="E10" s="114"/>
      <c r="J10" s="35"/>
    </row>
    <row r="11" spans="1:19" ht="19.5" thickBot="1" x14ac:dyDescent="0.3">
      <c r="A11" s="133" t="s">
        <v>13</v>
      </c>
      <c r="B11" s="134"/>
      <c r="C11" s="134"/>
      <c r="D11" s="135"/>
      <c r="H11" s="169" t="s">
        <v>184</v>
      </c>
    </row>
    <row r="12" spans="1:19" x14ac:dyDescent="0.25">
      <c r="A12" s="136" t="s">
        <v>16</v>
      </c>
      <c r="B12" s="115" t="s">
        <v>14</v>
      </c>
      <c r="C12" s="142"/>
      <c r="D12" s="137" t="s">
        <v>15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1073.1500000000001</v>
      </c>
      <c r="B13" s="150">
        <v>800</v>
      </c>
      <c r="C13" s="140"/>
      <c r="D13" s="165">
        <v>2.7599999999999999E-8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ref="A14:A16" si="1">B14+273.15</f>
        <v>973.15</v>
      </c>
      <c r="B14" s="150">
        <v>700</v>
      </c>
      <c r="C14" s="140"/>
      <c r="D14" s="165">
        <v>2.7400000000000001E-8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1"/>
        <v>873.15</v>
      </c>
      <c r="B15" s="150">
        <v>600</v>
      </c>
      <c r="C15" s="140"/>
      <c r="D15" s="165">
        <v>2.6799999999999998E-8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A16" s="141">
        <f t="shared" si="1"/>
        <v>773.15</v>
      </c>
      <c r="B16" s="128">
        <v>500</v>
      </c>
      <c r="C16" s="130"/>
      <c r="D16" s="166">
        <v>2.4599999999999999E-8</v>
      </c>
    </row>
    <row r="17" spans="1:12" ht="15.75" thickBot="1" x14ac:dyDescent="0.3">
      <c r="A17" s="112"/>
      <c r="D17" s="114"/>
    </row>
    <row r="18" spans="1:12" ht="15.75" x14ac:dyDescent="0.25">
      <c r="A18" s="133" t="s">
        <v>19</v>
      </c>
      <c r="B18" s="134"/>
      <c r="C18" s="134"/>
      <c r="D18" s="135"/>
      <c r="G18" s="119"/>
      <c r="H18" s="119"/>
    </row>
    <row r="19" spans="1:12" ht="47.25" x14ac:dyDescent="0.25">
      <c r="A19" s="136" t="s">
        <v>16</v>
      </c>
      <c r="B19" s="115" t="s">
        <v>14</v>
      </c>
      <c r="C19" s="142" t="s">
        <v>21</v>
      </c>
      <c r="D19" s="143" t="s">
        <v>35</v>
      </c>
      <c r="H19" s="114"/>
    </row>
    <row r="20" spans="1:12" x14ac:dyDescent="0.25">
      <c r="A20" s="138">
        <f>B20+273.15</f>
        <v>1073.1500000000001</v>
      </c>
      <c r="B20" s="150">
        <v>800</v>
      </c>
      <c r="C20" s="144">
        <f>'LSFC,Dalslet (Electrochem)'!G33</f>
        <v>4.8199999999999993E-2</v>
      </c>
      <c r="D20" s="157">
        <f>($C$2*$A20*$A$2)/(4*($E$2^2)*$C20*$D13)</f>
        <v>180.02862509237335</v>
      </c>
      <c r="H20" s="114"/>
      <c r="K20" s="118"/>
      <c r="L20" s="118"/>
    </row>
    <row r="21" spans="1:12" x14ac:dyDescent="0.25">
      <c r="A21" s="138">
        <f t="shared" ref="A21:A23" si="2">B21+273.15</f>
        <v>973.15</v>
      </c>
      <c r="B21" s="150">
        <v>700</v>
      </c>
      <c r="C21" s="144">
        <f>'LSFC,Dalslet (Electrochem)'!G34</f>
        <v>5.6199999999999986E-2</v>
      </c>
      <c r="D21" s="157">
        <f>($C$2*$A21*$A$2)/(4*($E$2^2)*$C21*$D14)</f>
        <v>141.03605894540161</v>
      </c>
      <c r="E21" s="114"/>
      <c r="H21" s="114"/>
      <c r="K21" s="118"/>
      <c r="L21" s="118"/>
    </row>
    <row r="22" spans="1:12" x14ac:dyDescent="0.25">
      <c r="A22" s="138">
        <f t="shared" si="2"/>
        <v>873.15</v>
      </c>
      <c r="B22" s="150">
        <v>600</v>
      </c>
      <c r="C22" s="140">
        <f>'LSFC,Dalslet (Electrochem)'!G35</f>
        <v>6.5799999999999997E-2</v>
      </c>
      <c r="D22" s="157">
        <f>($C$2*$A22*$A$2)/(4*($E$2^2)*$C22*$D15)</f>
        <v>110.50080091457833</v>
      </c>
      <c r="G22" s="119"/>
      <c r="H22" s="114"/>
      <c r="K22" s="118"/>
      <c r="L22" s="118"/>
    </row>
    <row r="23" spans="1:12" ht="15.75" thickBot="1" x14ac:dyDescent="0.3">
      <c r="A23" s="141">
        <f t="shared" si="2"/>
        <v>773.15</v>
      </c>
      <c r="B23" s="128">
        <v>500</v>
      </c>
      <c r="C23" s="130">
        <f>'LSFC,Dalslet (Electrochem)'!G36</f>
        <v>7.6999999999999999E-2</v>
      </c>
      <c r="D23" s="158">
        <f>($C$2*$A23*$A$2)/(4*($E$2^2)*$C23*$D16)</f>
        <v>91.090939858918276</v>
      </c>
      <c r="G23" s="119"/>
      <c r="H23" s="114"/>
      <c r="K23" s="118"/>
      <c r="L23" s="118"/>
    </row>
    <row r="24" spans="1:12" x14ac:dyDescent="0.25">
      <c r="A24" s="112"/>
      <c r="B24" s="119"/>
      <c r="C24" s="113"/>
      <c r="D24" s="114"/>
      <c r="G24" s="119"/>
      <c r="H24" s="114"/>
      <c r="K24" s="118"/>
      <c r="L24" s="118"/>
    </row>
    <row r="25" spans="1:12" x14ac:dyDescent="0.25">
      <c r="D25" s="114"/>
      <c r="G25" s="119"/>
      <c r="H25" s="114"/>
      <c r="J25" s="113"/>
      <c r="K25" s="113"/>
      <c r="L25" s="113"/>
    </row>
    <row r="26" spans="1:12" x14ac:dyDescent="0.25">
      <c r="G26" s="119"/>
      <c r="H26" s="114"/>
      <c r="J26" s="113"/>
      <c r="K26" s="113"/>
      <c r="L26" s="113"/>
    </row>
    <row r="27" spans="1:12" x14ac:dyDescent="0.25">
      <c r="A27" s="118"/>
      <c r="G27" s="119"/>
      <c r="H27" s="114"/>
    </row>
    <row r="28" spans="1:12" x14ac:dyDescent="0.25">
      <c r="C28" s="118"/>
      <c r="G28" s="118"/>
      <c r="H28" s="118"/>
    </row>
    <row r="29" spans="1:12" x14ac:dyDescent="0.25">
      <c r="A29" s="112"/>
      <c r="C29" s="114"/>
      <c r="E29" s="112"/>
      <c r="F29" s="119"/>
      <c r="G29" s="114"/>
      <c r="H29" s="113"/>
      <c r="I29" s="113"/>
    </row>
    <row r="30" spans="1:12" x14ac:dyDescent="0.25">
      <c r="A30" s="112"/>
      <c r="C30" s="114"/>
      <c r="D30" s="114"/>
      <c r="E30" s="112"/>
      <c r="F30" s="119"/>
      <c r="G30" s="114"/>
      <c r="H30" s="113"/>
      <c r="I30" s="113"/>
      <c r="J30" s="118"/>
    </row>
    <row r="31" spans="1:12" x14ac:dyDescent="0.25">
      <c r="A31" s="112"/>
      <c r="C31" s="114"/>
      <c r="D31" s="114"/>
      <c r="E31" s="112"/>
      <c r="F31" s="119"/>
      <c r="G31" s="114"/>
      <c r="H31" s="113"/>
      <c r="I31" s="113"/>
      <c r="J31" s="113"/>
    </row>
    <row r="32" spans="1:12" x14ac:dyDescent="0.25">
      <c r="A32" s="112"/>
      <c r="C32" s="114"/>
      <c r="D32" s="114"/>
      <c r="E32" s="112"/>
      <c r="F32" s="119"/>
      <c r="G32" s="114"/>
      <c r="H32" s="113"/>
      <c r="I32" s="113"/>
      <c r="J32" s="113"/>
    </row>
    <row r="33" spans="1:10" x14ac:dyDescent="0.25">
      <c r="A33" s="112"/>
      <c r="C33" s="120"/>
      <c r="D33" s="114"/>
      <c r="E33" s="112"/>
      <c r="F33" s="119"/>
      <c r="G33" s="120"/>
      <c r="H33" s="113"/>
      <c r="I33" s="113"/>
      <c r="J33" s="113"/>
    </row>
    <row r="34" spans="1:10" x14ac:dyDescent="0.25">
      <c r="A34" s="112"/>
      <c r="C34" s="120"/>
      <c r="D34" s="114"/>
      <c r="E34" s="112"/>
      <c r="F34" s="119"/>
      <c r="G34" s="120"/>
      <c r="H34" s="113"/>
      <c r="J34" s="113"/>
    </row>
    <row r="35" spans="1:10" x14ac:dyDescent="0.25">
      <c r="A35" s="112"/>
      <c r="C35" s="120"/>
      <c r="D35" s="114"/>
      <c r="E35" s="112"/>
      <c r="F35" s="119"/>
      <c r="G35" s="120"/>
      <c r="H35" s="113"/>
      <c r="J35" s="113"/>
    </row>
    <row r="36" spans="1:10" x14ac:dyDescent="0.25">
      <c r="A36" s="112"/>
      <c r="C36" s="120"/>
      <c r="D36" s="114"/>
      <c r="E36" s="112"/>
      <c r="F36" s="119"/>
      <c r="G36" s="120"/>
      <c r="H36" s="113"/>
      <c r="J36" s="113"/>
    </row>
    <row r="37" spans="1:10" x14ac:dyDescent="0.25">
      <c r="A37" s="112"/>
      <c r="C37" s="120"/>
      <c r="D37" s="114"/>
      <c r="E37" s="112"/>
      <c r="G37" s="114"/>
      <c r="H37" s="113"/>
      <c r="J37" s="113"/>
    </row>
    <row r="38" spans="1:10" x14ac:dyDescent="0.25">
      <c r="A38" s="112"/>
      <c r="C38" s="120"/>
      <c r="D38" s="114"/>
      <c r="E38" s="112"/>
      <c r="G38" s="114"/>
      <c r="H38" s="113"/>
      <c r="J38" s="113"/>
    </row>
    <row r="39" spans="1:10" x14ac:dyDescent="0.25">
      <c r="A39" s="112"/>
      <c r="C39" s="120"/>
      <c r="D39" s="114"/>
      <c r="E39" s="112"/>
      <c r="G39" s="114"/>
      <c r="H39" s="114"/>
      <c r="J39" s="113"/>
    </row>
    <row r="40" spans="1:10" x14ac:dyDescent="0.25">
      <c r="A40" s="112"/>
      <c r="C40" s="120"/>
      <c r="D40" s="114"/>
      <c r="E40" s="112"/>
      <c r="G40" s="113"/>
      <c r="H40" s="114"/>
      <c r="J40" s="113"/>
    </row>
    <row r="41" spans="1:10" x14ac:dyDescent="0.25">
      <c r="A41" s="112"/>
      <c r="C41" s="120"/>
      <c r="D41" s="114"/>
      <c r="E41" s="113"/>
      <c r="H41" s="114"/>
      <c r="J41" s="113"/>
    </row>
    <row r="42" spans="1:10" x14ac:dyDescent="0.25">
      <c r="A42" s="112"/>
      <c r="B42" s="117"/>
      <c r="C42" s="113"/>
      <c r="D42" s="114"/>
      <c r="E42" s="113"/>
      <c r="H42" s="114"/>
      <c r="J42" s="113"/>
    </row>
    <row r="43" spans="1:10" x14ac:dyDescent="0.25">
      <c r="A43" s="112"/>
      <c r="B43" s="117"/>
      <c r="C43" s="113"/>
      <c r="D43" s="114"/>
      <c r="E43" s="113"/>
      <c r="H43" s="114"/>
      <c r="J43" s="113"/>
    </row>
    <row r="44" spans="1:10" x14ac:dyDescent="0.25">
      <c r="A44" s="112"/>
      <c r="B44" s="117"/>
      <c r="C44" s="113"/>
      <c r="D44" s="114"/>
      <c r="E44" s="113"/>
      <c r="H44" s="114"/>
      <c r="J44" s="113"/>
    </row>
    <row r="45" spans="1:10" x14ac:dyDescent="0.25">
      <c r="A45" s="112"/>
      <c r="B45" s="117"/>
      <c r="C45" s="113"/>
      <c r="D45" s="114"/>
      <c r="E45" s="113"/>
      <c r="H45" s="114"/>
      <c r="J45" s="113"/>
    </row>
    <row r="46" spans="1:10" x14ac:dyDescent="0.25">
      <c r="A46" s="112"/>
      <c r="B46" s="117"/>
      <c r="C46" s="113"/>
      <c r="D46" s="114"/>
      <c r="E46" s="113"/>
      <c r="H46" s="114"/>
      <c r="J46" s="113"/>
    </row>
    <row r="47" spans="1:10" x14ac:dyDescent="0.25">
      <c r="A47" s="112"/>
      <c r="B47" s="117"/>
      <c r="C47" s="113"/>
      <c r="D47" s="114"/>
      <c r="E47" s="113"/>
      <c r="H47" s="114"/>
      <c r="J47" s="113"/>
    </row>
    <row r="48" spans="1:10" x14ac:dyDescent="0.25">
      <c r="A48" s="112"/>
      <c r="B48" s="117"/>
      <c r="C48" s="113"/>
      <c r="D48" s="114"/>
      <c r="E48" s="113"/>
      <c r="H48" s="114"/>
      <c r="J48" s="113"/>
    </row>
    <row r="49" spans="1:10" x14ac:dyDescent="0.25">
      <c r="A49" s="112"/>
      <c r="B49" s="117"/>
      <c r="C49" s="113"/>
      <c r="D49" s="114"/>
      <c r="E49" s="113"/>
      <c r="H49" s="114"/>
      <c r="J49" s="113"/>
    </row>
    <row r="50" spans="1:10" x14ac:dyDescent="0.25">
      <c r="A50" s="112"/>
      <c r="B50" s="117"/>
      <c r="C50" s="113"/>
      <c r="D50" s="114"/>
      <c r="E50" s="113"/>
      <c r="H50" s="114"/>
      <c r="J50" s="113"/>
    </row>
    <row r="51" spans="1:10" x14ac:dyDescent="0.25">
      <c r="A51" s="112"/>
      <c r="B51" s="117"/>
      <c r="C51" s="113"/>
      <c r="D51" s="114"/>
      <c r="E51" s="113"/>
      <c r="H51" s="114"/>
    </row>
    <row r="52" spans="1:10" x14ac:dyDescent="0.25">
      <c r="A52" s="112"/>
      <c r="B52" s="117"/>
      <c r="C52" s="113"/>
      <c r="D52" s="114"/>
      <c r="E52" s="113"/>
      <c r="H52" s="114"/>
    </row>
    <row r="53" spans="1:10" x14ac:dyDescent="0.25">
      <c r="A53" s="112"/>
      <c r="B53" s="117"/>
      <c r="C53" s="113"/>
      <c r="D53" s="114"/>
      <c r="E53" s="113"/>
      <c r="H53" s="114"/>
    </row>
    <row r="54" spans="1:10" x14ac:dyDescent="0.25">
      <c r="A54" s="112"/>
      <c r="B54" s="117"/>
      <c r="C54" s="113"/>
      <c r="D54" s="114"/>
      <c r="E54" s="113"/>
      <c r="H54" s="114"/>
    </row>
    <row r="55" spans="1:10" x14ac:dyDescent="0.25">
      <c r="A55" s="112"/>
      <c r="B55" s="117"/>
      <c r="C55" s="113"/>
      <c r="D55" s="114"/>
      <c r="H55" s="114"/>
    </row>
    <row r="56" spans="1:10" x14ac:dyDescent="0.25">
      <c r="A56" s="112"/>
      <c r="B56" s="117"/>
      <c r="C56" s="113"/>
      <c r="D56" s="114"/>
      <c r="H56" s="114"/>
    </row>
    <row r="57" spans="1:10" x14ac:dyDescent="0.25">
      <c r="A57" s="112"/>
      <c r="B57" s="117"/>
      <c r="C57" s="113"/>
      <c r="D57" s="114"/>
      <c r="H57" s="114"/>
    </row>
    <row r="58" spans="1:10" x14ac:dyDescent="0.25">
      <c r="A58" s="112"/>
      <c r="B58" s="117"/>
      <c r="C58" s="113"/>
      <c r="D58" s="114"/>
      <c r="H58" s="114"/>
    </row>
    <row r="59" spans="1:10" x14ac:dyDescent="0.25">
      <c r="A59" s="112"/>
      <c r="B59" s="117"/>
      <c r="C59" s="113"/>
      <c r="D59" s="114"/>
      <c r="H59" s="114"/>
    </row>
    <row r="60" spans="1:10" x14ac:dyDescent="0.25">
      <c r="A60" s="112"/>
      <c r="B60" s="117"/>
      <c r="C60" s="113"/>
      <c r="D60" s="114"/>
      <c r="H60" s="114"/>
    </row>
    <row r="61" spans="1:10" x14ac:dyDescent="0.25">
      <c r="A61" s="112"/>
      <c r="B61" s="117"/>
      <c r="C61" s="113"/>
      <c r="D61" s="114"/>
      <c r="H61" s="114"/>
    </row>
    <row r="62" spans="1:10" x14ac:dyDescent="0.25">
      <c r="A62" s="112"/>
      <c r="B62" s="117"/>
      <c r="D62" s="114"/>
      <c r="H62" s="114"/>
    </row>
    <row r="63" spans="1:10" x14ac:dyDescent="0.25">
      <c r="A63" s="112"/>
      <c r="B63" s="117"/>
      <c r="D63" s="114"/>
      <c r="H63" s="114"/>
    </row>
    <row r="64" spans="1:10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4"/>
      <c r="H67" s="114"/>
    </row>
    <row r="68" spans="1:8" x14ac:dyDescent="0.25">
      <c r="A68" s="112"/>
      <c r="B68" s="117"/>
      <c r="D68" s="114"/>
      <c r="H68" s="114"/>
    </row>
    <row r="69" spans="1:8" x14ac:dyDescent="0.25">
      <c r="A69" s="112"/>
      <c r="B69" s="117"/>
      <c r="D69" s="114"/>
      <c r="H69" s="114"/>
    </row>
    <row r="70" spans="1:8" x14ac:dyDescent="0.25">
      <c r="A70" s="112"/>
      <c r="B70" s="117"/>
      <c r="D70" s="114"/>
      <c r="H70" s="114"/>
    </row>
    <row r="71" spans="1:8" x14ac:dyDescent="0.25">
      <c r="A71" s="112"/>
      <c r="B71" s="117"/>
      <c r="D71" s="114"/>
      <c r="H71" s="114"/>
    </row>
    <row r="72" spans="1:8" x14ac:dyDescent="0.25">
      <c r="A72" s="112"/>
      <c r="B72" s="117"/>
      <c r="D72" s="114"/>
      <c r="H72" s="114"/>
    </row>
    <row r="73" spans="1:8" x14ac:dyDescent="0.25">
      <c r="A73" s="112"/>
      <c r="B73" s="117"/>
      <c r="D73" s="114"/>
      <c r="H73" s="114"/>
    </row>
    <row r="74" spans="1:8" x14ac:dyDescent="0.25">
      <c r="A74" s="112"/>
      <c r="B74" s="117"/>
      <c r="D74" s="114"/>
      <c r="H74" s="114"/>
    </row>
    <row r="75" spans="1:8" x14ac:dyDescent="0.25">
      <c r="A75" s="112"/>
      <c r="B75" s="117"/>
      <c r="D75" s="114"/>
      <c r="H75" s="114"/>
    </row>
    <row r="76" spans="1:8" x14ac:dyDescent="0.25">
      <c r="A76" s="112"/>
      <c r="B76" s="117"/>
      <c r="D76" s="114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4"/>
    </row>
    <row r="88" spans="1:8" x14ac:dyDescent="0.25">
      <c r="A88" s="112"/>
      <c r="B88" s="117"/>
      <c r="D88" s="113"/>
      <c r="H88" s="114"/>
    </row>
    <row r="89" spans="1:8" x14ac:dyDescent="0.25">
      <c r="A89" s="112"/>
      <c r="B89" s="117"/>
      <c r="D89" s="113"/>
      <c r="H89" s="114"/>
    </row>
    <row r="90" spans="1:8" x14ac:dyDescent="0.25">
      <c r="A90" s="112"/>
      <c r="B90" s="117"/>
      <c r="D90" s="113"/>
      <c r="H90" s="114"/>
    </row>
    <row r="91" spans="1:8" x14ac:dyDescent="0.25">
      <c r="A91" s="112"/>
      <c r="B91" s="117"/>
      <c r="D91" s="113"/>
      <c r="H91" s="114"/>
    </row>
    <row r="92" spans="1:8" x14ac:dyDescent="0.25">
      <c r="A92" s="112"/>
      <c r="B92" s="117"/>
      <c r="D92" s="113"/>
      <c r="H92" s="114"/>
    </row>
    <row r="93" spans="1:8" x14ac:dyDescent="0.25">
      <c r="A93" s="112"/>
      <c r="B93" s="117"/>
      <c r="D93" s="113"/>
      <c r="H93" s="114"/>
    </row>
    <row r="94" spans="1:8" x14ac:dyDescent="0.25">
      <c r="A94" s="112"/>
      <c r="B94" s="117"/>
      <c r="D94" s="113"/>
      <c r="H94" s="114"/>
    </row>
    <row r="95" spans="1:8" x14ac:dyDescent="0.25">
      <c r="A95" s="112"/>
      <c r="B95" s="117"/>
      <c r="D95" s="113"/>
      <c r="H95" s="114"/>
    </row>
    <row r="96" spans="1:8" x14ac:dyDescent="0.25">
      <c r="A96" s="112"/>
      <c r="B96" s="117"/>
      <c r="D96" s="113"/>
      <c r="H96" s="119"/>
    </row>
    <row r="97" spans="1:4" x14ac:dyDescent="0.25">
      <c r="A97" s="112"/>
      <c r="B97" s="117"/>
      <c r="D97" s="113"/>
    </row>
    <row r="98" spans="1:4" x14ac:dyDescent="0.25">
      <c r="A98" s="112"/>
      <c r="B98" s="117"/>
      <c r="D98" s="113"/>
    </row>
    <row r="99" spans="1:4" x14ac:dyDescent="0.25">
      <c r="A99" s="112"/>
      <c r="B99" s="117"/>
      <c r="D99" s="114"/>
    </row>
    <row r="100" spans="1:4" x14ac:dyDescent="0.25">
      <c r="A100" s="112"/>
      <c r="B100" s="117"/>
      <c r="D100" s="114"/>
    </row>
    <row r="101" spans="1:4" x14ac:dyDescent="0.25">
      <c r="A101" s="112"/>
      <c r="B101" s="117"/>
      <c r="D101" s="114"/>
    </row>
    <row r="102" spans="1:4" x14ac:dyDescent="0.25">
      <c r="A102" s="112"/>
      <c r="B102" s="117"/>
      <c r="D102" s="114"/>
    </row>
    <row r="103" spans="1:4" x14ac:dyDescent="0.25">
      <c r="A103" s="112"/>
      <c r="B103" s="117"/>
      <c r="D103" s="114"/>
    </row>
  </sheetData>
  <sortState ref="F14:G17">
    <sortCondition descending="1" ref="F1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7"/>
  <sheetViews>
    <sheetView topLeftCell="B1" workbookViewId="0">
      <selection activeCell="H17" sqref="H17:H18"/>
    </sheetView>
  </sheetViews>
  <sheetFormatPr defaultRowHeight="15" x14ac:dyDescent="0.25"/>
  <cols>
    <col min="1" max="1" width="18.28515625" style="19" bestFit="1" customWidth="1"/>
    <col min="2" max="2" width="16.42578125" style="19" bestFit="1" customWidth="1"/>
    <col min="3" max="3" width="19" style="19" bestFit="1" customWidth="1"/>
    <col min="4" max="4" width="16.5703125" style="19" customWidth="1"/>
    <col min="5" max="5" width="18" style="19" bestFit="1" customWidth="1"/>
    <col min="6" max="6" width="16.42578125" style="19" bestFit="1" customWidth="1"/>
    <col min="7" max="7" width="16.28515625" style="19" bestFit="1" customWidth="1"/>
    <col min="8" max="8" width="21.85546875" style="19" customWidth="1"/>
    <col min="9" max="9" width="15.42578125" style="19" bestFit="1" customWidth="1"/>
    <col min="10" max="16384" width="9.140625" style="19"/>
  </cols>
  <sheetData>
    <row r="1" spans="1:19" x14ac:dyDescent="0.25">
      <c r="A1" s="19" t="s">
        <v>1</v>
      </c>
      <c r="C1" s="19" t="s">
        <v>3</v>
      </c>
      <c r="E1" s="19" t="s">
        <v>6</v>
      </c>
      <c r="H1" s="19" t="s">
        <v>12</v>
      </c>
    </row>
    <row r="2" spans="1:19" ht="17.25" x14ac:dyDescent="0.25">
      <c r="A2" s="23">
        <v>6.0219999999999996E+23</v>
      </c>
      <c r="B2" s="24" t="s">
        <v>2</v>
      </c>
      <c r="C2" s="23">
        <v>1.3800000000000001E-23</v>
      </c>
      <c r="D2" s="23" t="s">
        <v>4</v>
      </c>
      <c r="E2" s="93">
        <v>96485.331999999995</v>
      </c>
      <c r="F2" s="19" t="s">
        <v>7</v>
      </c>
      <c r="H2" s="19" t="s">
        <v>25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8</v>
      </c>
      <c r="D5" s="137" t="s">
        <v>9</v>
      </c>
      <c r="H5" s="2" t="s">
        <v>24</v>
      </c>
    </row>
    <row r="6" spans="1:19" x14ac:dyDescent="0.25">
      <c r="A6" s="138">
        <f>B6+273.15</f>
        <v>923.15</v>
      </c>
      <c r="B6" s="115">
        <v>650</v>
      </c>
      <c r="C6" s="140">
        <v>-5.7648999999999999</v>
      </c>
      <c r="D6" s="153">
        <f>10^C6</f>
        <v>1.7183039957262968E-6</v>
      </c>
    </row>
    <row r="7" spans="1:19" x14ac:dyDescent="0.25">
      <c r="A7" s="138">
        <f t="shared" ref="A7:A8" si="0">B7+273.15</f>
        <v>873.15</v>
      </c>
      <c r="B7" s="115">
        <v>600</v>
      </c>
      <c r="C7" s="140">
        <v>-6.2454999999999998</v>
      </c>
      <c r="D7" s="153">
        <f t="shared" ref="D7:D8" si="1">10^C7</f>
        <v>5.6819839155990477E-7</v>
      </c>
      <c r="H7" s="19" t="s">
        <v>18</v>
      </c>
    </row>
    <row r="8" spans="1:19" ht="16.5" thickBot="1" x14ac:dyDescent="0.3">
      <c r="A8" s="141">
        <f t="shared" si="0"/>
        <v>823.15</v>
      </c>
      <c r="B8" s="126">
        <v>550</v>
      </c>
      <c r="C8" s="130">
        <v>-7.4356999999999998</v>
      </c>
      <c r="D8" s="154">
        <f t="shared" si="1"/>
        <v>3.6669078820369654E-8</v>
      </c>
      <c r="G8" s="19">
        <v>1</v>
      </c>
      <c r="H8" s="2" t="s">
        <v>28</v>
      </c>
    </row>
    <row r="9" spans="1:19" ht="15.75" x14ac:dyDescent="0.25">
      <c r="A9" s="26"/>
      <c r="B9" s="20"/>
      <c r="D9" s="22"/>
      <c r="G9" s="19">
        <v>2</v>
      </c>
      <c r="H9" s="2" t="s">
        <v>0</v>
      </c>
    </row>
    <row r="10" spans="1:19" ht="15.75" thickBot="1" x14ac:dyDescent="0.3">
      <c r="A10" s="26"/>
      <c r="B10" s="20"/>
      <c r="D10" s="22"/>
    </row>
    <row r="11" spans="1:19" ht="19.5" thickBot="1" x14ac:dyDescent="0.3">
      <c r="A11" s="133" t="s">
        <v>13</v>
      </c>
      <c r="B11" s="134"/>
      <c r="C11" s="134"/>
      <c r="D11" s="135"/>
      <c r="H11" s="169" t="s">
        <v>184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ht="75" x14ac:dyDescent="0.25">
      <c r="A12" s="136" t="s">
        <v>16</v>
      </c>
      <c r="B12" s="115" t="s">
        <v>14</v>
      </c>
      <c r="C12" s="142" t="s">
        <v>27</v>
      </c>
      <c r="D12" s="137" t="s">
        <v>15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923.15</v>
      </c>
      <c r="B13" s="115">
        <v>650</v>
      </c>
      <c r="C13" s="140">
        <f>'LSF,Mosleh (Electrochem)'!I37</f>
        <v>269.36581326173319</v>
      </c>
      <c r="D13" s="157">
        <f>D6/C13</f>
        <v>6.379072291763624E-9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ref="A14:A15" si="2">B14+273.15</f>
        <v>873.15</v>
      </c>
      <c r="B14" s="115">
        <v>600</v>
      </c>
      <c r="C14" s="140">
        <f>'LSF,Mosleh (Electrochem)'!I39</f>
        <v>820.58967947974452</v>
      </c>
      <c r="D14" s="157">
        <f t="shared" ref="D14:D15" si="3">D7/C14</f>
        <v>6.9242692879118796E-10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 t="shared" si="2"/>
        <v>823.15</v>
      </c>
      <c r="B15" s="126">
        <v>550</v>
      </c>
      <c r="C15" s="130">
        <f>'LSF,Mosleh (Electrochem)'!I40</f>
        <v>923.10881690053691</v>
      </c>
      <c r="D15" s="158">
        <f t="shared" si="3"/>
        <v>3.9723462877855572E-11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A16" s="20"/>
      <c r="B16" s="20"/>
      <c r="D16" s="22"/>
    </row>
    <row r="17" spans="1:9" x14ac:dyDescent="0.25">
      <c r="A17" s="145" t="s">
        <v>19</v>
      </c>
      <c r="B17" s="134"/>
      <c r="C17" s="134"/>
      <c r="D17" s="134"/>
      <c r="E17" s="135"/>
    </row>
    <row r="18" spans="1:9" ht="75" x14ac:dyDescent="0.25">
      <c r="A18" s="136" t="s">
        <v>16</v>
      </c>
      <c r="B18" s="115" t="s">
        <v>14</v>
      </c>
      <c r="C18" s="142" t="s">
        <v>21</v>
      </c>
      <c r="D18" s="142" t="s">
        <v>27</v>
      </c>
      <c r="E18" s="143" t="s">
        <v>34</v>
      </c>
    </row>
    <row r="19" spans="1:9" x14ac:dyDescent="0.25">
      <c r="A19" s="138">
        <f>B19+273.15</f>
        <v>923.15</v>
      </c>
      <c r="B19" s="115">
        <v>650</v>
      </c>
      <c r="C19" s="140">
        <f>'LSF,Sogaard (Solid State Chem)'!E48</f>
        <v>7.1079494213270783E-2</v>
      </c>
      <c r="D19" s="140">
        <f>'LSF,Mosleh (Electrochem)'!I37</f>
        <v>269.36581326173319</v>
      </c>
      <c r="E19" s="157">
        <f>($C$2*A19*$A$2*D19)/(4*$E$2^2*C19*D6)</f>
        <v>454.36793613760693</v>
      </c>
    </row>
    <row r="20" spans="1:9" x14ac:dyDescent="0.25">
      <c r="A20" s="138">
        <f t="shared" ref="A20:A21" si="4">B20+273.15</f>
        <v>873.15</v>
      </c>
      <c r="B20" s="115">
        <v>600</v>
      </c>
      <c r="C20" s="140">
        <f>'LSF,Sogaard (Solid State Chem)'!E49</f>
        <v>6.6875434096637251E-2</v>
      </c>
      <c r="D20" s="140">
        <f>'LSF,Mosleh (Electrochem)'!I39</f>
        <v>820.58967947974452</v>
      </c>
      <c r="E20" s="157">
        <f>($C$2*A20*$A$2*D20)/(4*$E$2^2*C20*D7)</f>
        <v>4208.0951379681464</v>
      </c>
    </row>
    <row r="21" spans="1:9" ht="15.75" thickBot="1" x14ac:dyDescent="0.3">
      <c r="A21" s="141">
        <f t="shared" si="4"/>
        <v>823.15</v>
      </c>
      <c r="B21" s="126">
        <v>550</v>
      </c>
      <c r="C21" s="130">
        <f>'LSF,Sogaard (Solid State Chem)'!E51</f>
        <v>6.2684864764695966E-2</v>
      </c>
      <c r="D21" s="130">
        <f>'LSF,Mosleh (Electrochem)'!I40</f>
        <v>923.10881690053691</v>
      </c>
      <c r="E21" s="158">
        <f>($C$2*A21*$A$2*D21)/(4*$E$2^2*C21*D8)</f>
        <v>73774.528650752793</v>
      </c>
    </row>
    <row r="22" spans="1:9" x14ac:dyDescent="0.25">
      <c r="A22" s="20"/>
      <c r="B22" s="20"/>
      <c r="C22" s="22"/>
      <c r="D22" s="21"/>
    </row>
    <row r="23" spans="1:9" x14ac:dyDescent="0.25">
      <c r="A23" s="20"/>
      <c r="B23" s="20"/>
      <c r="C23" s="22"/>
      <c r="D23" s="21"/>
    </row>
    <row r="26" spans="1:9" x14ac:dyDescent="0.25">
      <c r="A26" s="27"/>
    </row>
    <row r="27" spans="1:9" x14ac:dyDescent="0.25">
      <c r="C27" s="25"/>
      <c r="G27" s="25"/>
      <c r="H27" s="25"/>
      <c r="I27" s="25"/>
    </row>
    <row r="28" spans="1:9" x14ac:dyDescent="0.25">
      <c r="A28" s="11"/>
      <c r="C28" s="21"/>
      <c r="E28" s="20"/>
      <c r="G28" s="21"/>
      <c r="H28" s="21"/>
      <c r="I28" s="21"/>
    </row>
    <row r="29" spans="1:9" x14ac:dyDescent="0.25">
      <c r="A29" s="11"/>
      <c r="C29" s="21"/>
      <c r="E29" s="20"/>
      <c r="G29" s="21"/>
      <c r="H29" s="21"/>
      <c r="I29" s="21"/>
    </row>
    <row r="30" spans="1:9" x14ac:dyDescent="0.25">
      <c r="A30" s="11"/>
      <c r="C30" s="21"/>
      <c r="E30" s="20"/>
      <c r="G30" s="21"/>
      <c r="H30" s="21"/>
      <c r="I30" s="21"/>
    </row>
    <row r="31" spans="1:9" x14ac:dyDescent="0.25">
      <c r="A31" s="11"/>
      <c r="C31" s="21"/>
      <c r="E31" s="20"/>
      <c r="G31" s="21"/>
      <c r="H31" s="21"/>
      <c r="I31" s="21"/>
    </row>
    <row r="32" spans="1:9" x14ac:dyDescent="0.25">
      <c r="A32" s="11"/>
      <c r="C32" s="21"/>
      <c r="E32" s="20"/>
      <c r="G32" s="21"/>
      <c r="H32" s="21"/>
      <c r="I32" s="21"/>
    </row>
    <row r="33" spans="1:9" x14ac:dyDescent="0.25">
      <c r="A33" s="11"/>
      <c r="C33" s="21"/>
      <c r="E33" s="20"/>
      <c r="G33" s="21"/>
      <c r="H33" s="21"/>
      <c r="I33" s="21"/>
    </row>
    <row r="34" spans="1:9" x14ac:dyDescent="0.25">
      <c r="A34" s="11"/>
      <c r="C34" s="21"/>
      <c r="E34" s="20"/>
      <c r="G34" s="21"/>
      <c r="H34" s="21"/>
      <c r="I34" s="21"/>
    </row>
    <row r="35" spans="1:9" x14ac:dyDescent="0.25">
      <c r="A35" s="11"/>
      <c r="C35" s="21"/>
      <c r="E35" s="20"/>
      <c r="G35" s="21"/>
      <c r="H35" s="21"/>
      <c r="I35" s="21"/>
    </row>
    <row r="36" spans="1:9" x14ac:dyDescent="0.25">
      <c r="A36" s="11"/>
      <c r="C36" s="21"/>
      <c r="E36" s="20"/>
      <c r="G36" s="21"/>
      <c r="H36" s="21"/>
      <c r="I36" s="21"/>
    </row>
    <row r="37" spans="1:9" x14ac:dyDescent="0.25">
      <c r="A37" s="11"/>
      <c r="C37" s="21"/>
      <c r="E37" s="20"/>
      <c r="G37" s="21"/>
      <c r="H37" s="21"/>
      <c r="I37" s="21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95"/>
  <sheetViews>
    <sheetView workbookViewId="0">
      <selection activeCell="E11" sqref="E11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85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84</v>
      </c>
    </row>
    <row r="6" spans="1:19" ht="15.75" thickBot="1" x14ac:dyDescent="0.3">
      <c r="A6" s="141">
        <f>B6+273.15</f>
        <v>1073.1500000000001</v>
      </c>
      <c r="B6" s="128">
        <v>800</v>
      </c>
      <c r="C6" s="130">
        <f>'LSFC,Plonczak (Electrochem)'!C37</f>
        <v>218.65530628367247</v>
      </c>
      <c r="D6" s="158">
        <f>C6*D11</f>
        <v>4.154450819389777E-3</v>
      </c>
    </row>
    <row r="7" spans="1:19" x14ac:dyDescent="0.25">
      <c r="A7" s="112"/>
      <c r="B7" s="119"/>
      <c r="C7" s="114"/>
      <c r="D7" s="114"/>
      <c r="E7" s="114"/>
      <c r="H7" s="111" t="s">
        <v>18</v>
      </c>
    </row>
    <row r="8" spans="1:19" ht="16.5" thickBot="1" x14ac:dyDescent="0.3">
      <c r="A8" s="112"/>
      <c r="B8" s="119"/>
      <c r="C8" s="114"/>
      <c r="D8" s="114"/>
      <c r="E8" s="114"/>
      <c r="G8" s="111">
        <v>1</v>
      </c>
      <c r="H8" s="35" t="s">
        <v>54</v>
      </c>
    </row>
    <row r="9" spans="1:19" ht="15.75" x14ac:dyDescent="0.25">
      <c r="A9" s="133" t="s">
        <v>13</v>
      </c>
      <c r="B9" s="134"/>
      <c r="C9" s="134"/>
      <c r="D9" s="135"/>
      <c r="J9" s="35"/>
    </row>
    <row r="10" spans="1:19" ht="15.75" thickBot="1" x14ac:dyDescent="0.3">
      <c r="A10" s="136" t="s">
        <v>16</v>
      </c>
      <c r="B10" s="115" t="s">
        <v>14</v>
      </c>
      <c r="C10" s="142"/>
      <c r="D10" s="137" t="s">
        <v>15</v>
      </c>
    </row>
    <row r="11" spans="1:19" ht="19.5" thickBot="1" x14ac:dyDescent="0.3">
      <c r="A11" s="141">
        <f>B11+273.15</f>
        <v>1073.1500000000001</v>
      </c>
      <c r="B11" s="128">
        <v>800</v>
      </c>
      <c r="C11" s="130"/>
      <c r="D11" s="156">
        <v>1.9000000000000001E-5</v>
      </c>
      <c r="H11" s="169" t="s">
        <v>184</v>
      </c>
    </row>
    <row r="12" spans="1:19" ht="15.75" thickBot="1" x14ac:dyDescent="0.3">
      <c r="A12" s="112"/>
      <c r="D12" s="114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45" t="s">
        <v>19</v>
      </c>
      <c r="B13" s="134"/>
      <c r="C13" s="134"/>
      <c r="D13" s="135"/>
      <c r="G13" s="119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47.25" x14ac:dyDescent="0.25">
      <c r="A14" s="136" t="s">
        <v>16</v>
      </c>
      <c r="B14" s="115" t="s">
        <v>14</v>
      </c>
      <c r="C14" s="142" t="s">
        <v>21</v>
      </c>
      <c r="D14" s="143" t="s">
        <v>35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>B15+273.15</f>
        <v>1073.1500000000001</v>
      </c>
      <c r="B15" s="128">
        <v>800</v>
      </c>
      <c r="C15" s="129">
        <f>'LSFC,Plonczak (Electrochem)'!G37</f>
        <v>0.06</v>
      </c>
      <c r="D15" s="158">
        <f>($C$2*$A15*$A$2)/(4*($E$2^2)*$C15*$D11)</f>
        <v>0.21008393029200531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12"/>
      <c r="B16" s="119"/>
      <c r="C16" s="113"/>
      <c r="D16" s="114"/>
      <c r="G16" s="119"/>
      <c r="H16" s="114"/>
      <c r="K16" s="118"/>
      <c r="L16" s="118"/>
    </row>
    <row r="17" spans="1:12" x14ac:dyDescent="0.25">
      <c r="D17" s="114"/>
      <c r="G17" s="119"/>
      <c r="H17" s="114"/>
      <c r="J17" s="113"/>
      <c r="K17" s="113"/>
      <c r="L17" s="113"/>
    </row>
    <row r="18" spans="1:12" x14ac:dyDescent="0.25">
      <c r="G18" s="119"/>
      <c r="H18" s="114"/>
      <c r="J18" s="113"/>
      <c r="K18" s="113"/>
      <c r="L18" s="113"/>
    </row>
    <row r="19" spans="1:12" x14ac:dyDescent="0.25">
      <c r="A19" s="118"/>
      <c r="G19" s="119"/>
      <c r="H19" s="114"/>
    </row>
    <row r="20" spans="1:12" x14ac:dyDescent="0.25">
      <c r="C20" s="118"/>
      <c r="G20" s="118"/>
      <c r="H20" s="118"/>
    </row>
    <row r="21" spans="1:12" x14ac:dyDescent="0.25">
      <c r="A21" s="112"/>
      <c r="C21" s="114"/>
      <c r="E21" s="112"/>
      <c r="F21" s="119"/>
      <c r="G21" s="114"/>
      <c r="H21" s="113"/>
      <c r="I21" s="113"/>
    </row>
    <row r="22" spans="1:12" x14ac:dyDescent="0.25">
      <c r="A22" s="112"/>
      <c r="C22" s="114"/>
      <c r="D22" s="114"/>
      <c r="E22" s="112"/>
      <c r="F22" s="119"/>
      <c r="G22" s="114"/>
      <c r="H22" s="113"/>
      <c r="I22" s="113"/>
      <c r="J22" s="118"/>
    </row>
    <row r="23" spans="1:12" x14ac:dyDescent="0.25">
      <c r="A23" s="112"/>
      <c r="C23" s="114"/>
      <c r="D23" s="114"/>
      <c r="E23" s="112"/>
      <c r="F23" s="119"/>
      <c r="G23" s="114"/>
      <c r="H23" s="113"/>
      <c r="I23" s="113"/>
      <c r="J23" s="113"/>
    </row>
    <row r="24" spans="1:12" x14ac:dyDescent="0.25">
      <c r="A24" s="112"/>
      <c r="C24" s="114"/>
      <c r="D24" s="114"/>
      <c r="E24" s="112"/>
      <c r="F24" s="119"/>
      <c r="G24" s="114"/>
      <c r="H24" s="113"/>
      <c r="I24" s="113"/>
      <c r="J24" s="113"/>
    </row>
    <row r="25" spans="1:12" x14ac:dyDescent="0.25">
      <c r="A25" s="112"/>
      <c r="C25" s="120"/>
      <c r="D25" s="114"/>
      <c r="E25" s="112"/>
      <c r="F25" s="119"/>
      <c r="G25" s="120"/>
      <c r="H25" s="113"/>
      <c r="I25" s="113"/>
      <c r="J25" s="113"/>
    </row>
    <row r="26" spans="1:12" x14ac:dyDescent="0.25">
      <c r="A26" s="112"/>
      <c r="C26" s="120"/>
      <c r="D26" s="114"/>
      <c r="E26" s="112"/>
      <c r="F26" s="119"/>
      <c r="G26" s="120"/>
      <c r="H26" s="113"/>
      <c r="J26" s="113"/>
    </row>
    <row r="27" spans="1:12" x14ac:dyDescent="0.25">
      <c r="A27" s="112"/>
      <c r="C27" s="120"/>
      <c r="D27" s="114"/>
      <c r="E27" s="112"/>
      <c r="F27" s="119"/>
      <c r="G27" s="120"/>
      <c r="H27" s="113"/>
      <c r="J27" s="113"/>
    </row>
    <row r="28" spans="1:12" x14ac:dyDescent="0.25">
      <c r="A28" s="112"/>
      <c r="C28" s="120"/>
      <c r="D28" s="114"/>
      <c r="E28" s="112"/>
      <c r="F28" s="119"/>
      <c r="G28" s="120"/>
      <c r="H28" s="113"/>
      <c r="J28" s="113"/>
    </row>
    <row r="29" spans="1:12" x14ac:dyDescent="0.25">
      <c r="A29" s="112"/>
      <c r="C29" s="120"/>
      <c r="D29" s="114"/>
      <c r="E29" s="112"/>
      <c r="G29" s="114"/>
      <c r="H29" s="113"/>
      <c r="J29" s="113"/>
    </row>
    <row r="30" spans="1:12" x14ac:dyDescent="0.25">
      <c r="A30" s="112"/>
      <c r="C30" s="120"/>
      <c r="D30" s="114"/>
      <c r="E30" s="112"/>
      <c r="G30" s="114"/>
      <c r="H30" s="113"/>
      <c r="J30" s="113"/>
    </row>
    <row r="31" spans="1:12" x14ac:dyDescent="0.25">
      <c r="A31" s="112"/>
      <c r="C31" s="120"/>
      <c r="D31" s="114"/>
      <c r="E31" s="112"/>
      <c r="G31" s="114"/>
      <c r="H31" s="114"/>
      <c r="J31" s="113"/>
    </row>
    <row r="32" spans="1:12" x14ac:dyDescent="0.25">
      <c r="A32" s="112"/>
      <c r="C32" s="120"/>
      <c r="D32" s="114"/>
      <c r="E32" s="112"/>
      <c r="G32" s="113"/>
      <c r="H32" s="114"/>
      <c r="J32" s="113"/>
    </row>
    <row r="33" spans="1:10" x14ac:dyDescent="0.25">
      <c r="A33" s="112"/>
      <c r="C33" s="120"/>
      <c r="D33" s="114"/>
      <c r="E33" s="113"/>
      <c r="H33" s="114"/>
      <c r="J33" s="113"/>
    </row>
    <row r="34" spans="1:10" x14ac:dyDescent="0.25">
      <c r="A34" s="112"/>
      <c r="B34" s="117"/>
      <c r="C34" s="113"/>
      <c r="D34" s="114"/>
      <c r="E34" s="113"/>
      <c r="H34" s="114"/>
      <c r="J34" s="113"/>
    </row>
    <row r="35" spans="1:10" x14ac:dyDescent="0.25">
      <c r="A35" s="112"/>
      <c r="B35" s="117"/>
      <c r="C35" s="113"/>
      <c r="D35" s="114"/>
      <c r="E35" s="113"/>
      <c r="H35" s="114"/>
      <c r="J35" s="113"/>
    </row>
    <row r="36" spans="1:10" x14ac:dyDescent="0.25">
      <c r="A36" s="112"/>
      <c r="B36" s="117"/>
      <c r="C36" s="113"/>
      <c r="D36" s="114"/>
      <c r="E36" s="113"/>
      <c r="H36" s="114"/>
      <c r="J36" s="113"/>
    </row>
    <row r="37" spans="1:10" x14ac:dyDescent="0.25">
      <c r="A37" s="112"/>
      <c r="B37" s="117"/>
      <c r="C37" s="113"/>
      <c r="D37" s="114"/>
      <c r="E37" s="113"/>
      <c r="H37" s="114"/>
      <c r="J37" s="113"/>
    </row>
    <row r="38" spans="1:10" x14ac:dyDescent="0.25">
      <c r="A38" s="112"/>
      <c r="B38" s="117"/>
      <c r="C38" s="113"/>
      <c r="D38" s="114"/>
      <c r="E38" s="113"/>
      <c r="H38" s="114"/>
      <c r="J38" s="113"/>
    </row>
    <row r="39" spans="1:10" x14ac:dyDescent="0.25">
      <c r="A39" s="112"/>
      <c r="B39" s="117"/>
      <c r="C39" s="113"/>
      <c r="D39" s="114"/>
      <c r="E39" s="113"/>
      <c r="H39" s="114"/>
      <c r="J39" s="113"/>
    </row>
    <row r="40" spans="1:10" x14ac:dyDescent="0.25">
      <c r="A40" s="112"/>
      <c r="B40" s="117"/>
      <c r="C40" s="113"/>
      <c r="D40" s="114"/>
      <c r="E40" s="113"/>
      <c r="H40" s="114"/>
      <c r="J40" s="113"/>
    </row>
    <row r="41" spans="1:10" x14ac:dyDescent="0.25">
      <c r="A41" s="112"/>
      <c r="B41" s="117"/>
      <c r="C41" s="113"/>
      <c r="D41" s="114"/>
      <c r="E41" s="113"/>
      <c r="H41" s="114"/>
      <c r="J41" s="113"/>
    </row>
    <row r="42" spans="1:10" x14ac:dyDescent="0.25">
      <c r="A42" s="112"/>
      <c r="B42" s="117"/>
      <c r="C42" s="113"/>
      <c r="D42" s="114"/>
      <c r="E42" s="113"/>
      <c r="H42" s="114"/>
      <c r="J42" s="113"/>
    </row>
    <row r="43" spans="1:10" x14ac:dyDescent="0.25">
      <c r="A43" s="112"/>
      <c r="B43" s="117"/>
      <c r="C43" s="113"/>
      <c r="D43" s="114"/>
      <c r="E43" s="113"/>
      <c r="H43" s="114"/>
    </row>
    <row r="44" spans="1:10" x14ac:dyDescent="0.25">
      <c r="A44" s="112"/>
      <c r="B44" s="117"/>
      <c r="C44" s="113"/>
      <c r="D44" s="114"/>
      <c r="E44" s="113"/>
      <c r="H44" s="114"/>
    </row>
    <row r="45" spans="1:10" x14ac:dyDescent="0.25">
      <c r="A45" s="112"/>
      <c r="B45" s="117"/>
      <c r="C45" s="113"/>
      <c r="D45" s="114"/>
      <c r="E45" s="113"/>
      <c r="H45" s="114"/>
    </row>
    <row r="46" spans="1:10" x14ac:dyDescent="0.25">
      <c r="A46" s="112"/>
      <c r="B46" s="117"/>
      <c r="C46" s="113"/>
      <c r="D46" s="114"/>
      <c r="E46" s="113"/>
      <c r="H46" s="114"/>
    </row>
    <row r="47" spans="1:10" x14ac:dyDescent="0.25">
      <c r="A47" s="112"/>
      <c r="B47" s="117"/>
      <c r="C47" s="113"/>
      <c r="D47" s="114"/>
      <c r="H47" s="114"/>
    </row>
    <row r="48" spans="1:10" x14ac:dyDescent="0.25">
      <c r="A48" s="112"/>
      <c r="B48" s="117"/>
      <c r="C48" s="113"/>
      <c r="D48" s="114"/>
      <c r="H48" s="114"/>
    </row>
    <row r="49" spans="1:8" x14ac:dyDescent="0.25">
      <c r="A49" s="112"/>
      <c r="B49" s="117"/>
      <c r="C49" s="113"/>
      <c r="D49" s="114"/>
      <c r="H49" s="114"/>
    </row>
    <row r="50" spans="1:8" x14ac:dyDescent="0.25">
      <c r="A50" s="112"/>
      <c r="B50" s="117"/>
      <c r="C50" s="113"/>
      <c r="D50" s="114"/>
      <c r="H50" s="114"/>
    </row>
    <row r="51" spans="1:8" x14ac:dyDescent="0.25">
      <c r="A51" s="112"/>
      <c r="B51" s="117"/>
      <c r="C51" s="113"/>
      <c r="D51" s="114"/>
      <c r="H51" s="114"/>
    </row>
    <row r="52" spans="1:8" x14ac:dyDescent="0.25">
      <c r="A52" s="112"/>
      <c r="B52" s="117"/>
      <c r="C52" s="113"/>
      <c r="D52" s="114"/>
      <c r="H52" s="114"/>
    </row>
    <row r="53" spans="1:8" x14ac:dyDescent="0.25">
      <c r="A53" s="112"/>
      <c r="B53" s="117"/>
      <c r="C53" s="113"/>
      <c r="D53" s="114"/>
      <c r="H53" s="114"/>
    </row>
    <row r="54" spans="1:8" x14ac:dyDescent="0.25">
      <c r="A54" s="112"/>
      <c r="B54" s="117"/>
      <c r="D54" s="114"/>
      <c r="H54" s="114"/>
    </row>
    <row r="55" spans="1:8" x14ac:dyDescent="0.25">
      <c r="A55" s="112"/>
      <c r="B55" s="117"/>
      <c r="D55" s="114"/>
      <c r="H55" s="114"/>
    </row>
    <row r="56" spans="1:8" x14ac:dyDescent="0.25">
      <c r="A56" s="112"/>
      <c r="B56" s="117"/>
      <c r="D56" s="114"/>
      <c r="H56" s="114"/>
    </row>
    <row r="57" spans="1:8" x14ac:dyDescent="0.25">
      <c r="A57" s="112"/>
      <c r="B57" s="117"/>
      <c r="D57" s="114"/>
      <c r="H57" s="114"/>
    </row>
    <row r="58" spans="1:8" x14ac:dyDescent="0.25">
      <c r="A58" s="112"/>
      <c r="B58" s="117"/>
      <c r="D58" s="114"/>
      <c r="H58" s="114"/>
    </row>
    <row r="59" spans="1:8" x14ac:dyDescent="0.25">
      <c r="A59" s="112"/>
      <c r="B59" s="117"/>
      <c r="D59" s="114"/>
      <c r="H59" s="114"/>
    </row>
    <row r="60" spans="1:8" x14ac:dyDescent="0.25">
      <c r="A60" s="112"/>
      <c r="B60" s="117"/>
      <c r="D60" s="114"/>
      <c r="H60" s="114"/>
    </row>
    <row r="61" spans="1:8" x14ac:dyDescent="0.25">
      <c r="A61" s="112"/>
      <c r="B61" s="117"/>
      <c r="D61" s="114"/>
      <c r="H61" s="114"/>
    </row>
    <row r="62" spans="1:8" x14ac:dyDescent="0.25">
      <c r="A62" s="112"/>
      <c r="B62" s="117"/>
      <c r="D62" s="114"/>
      <c r="H62" s="114"/>
    </row>
    <row r="63" spans="1:8" x14ac:dyDescent="0.25">
      <c r="A63" s="112"/>
      <c r="B63" s="117"/>
      <c r="D63" s="114"/>
      <c r="H63" s="114"/>
    </row>
    <row r="64" spans="1:8" x14ac:dyDescent="0.25">
      <c r="A64" s="112"/>
      <c r="B64" s="117"/>
      <c r="D64" s="114"/>
      <c r="H64" s="114"/>
    </row>
    <row r="65" spans="1:8" x14ac:dyDescent="0.25">
      <c r="A65" s="112"/>
      <c r="B65" s="117"/>
      <c r="D65" s="114"/>
      <c r="H65" s="114"/>
    </row>
    <row r="66" spans="1:8" x14ac:dyDescent="0.25">
      <c r="A66" s="112"/>
      <c r="B66" s="117"/>
      <c r="D66" s="114"/>
      <c r="H66" s="114"/>
    </row>
    <row r="67" spans="1:8" x14ac:dyDescent="0.25">
      <c r="A67" s="112"/>
      <c r="B67" s="117"/>
      <c r="D67" s="114"/>
      <c r="H67" s="114"/>
    </row>
    <row r="68" spans="1:8" x14ac:dyDescent="0.25">
      <c r="A68" s="112"/>
      <c r="B68" s="117"/>
      <c r="D68" s="114"/>
      <c r="H68" s="114"/>
    </row>
    <row r="69" spans="1:8" x14ac:dyDescent="0.25">
      <c r="A69" s="112"/>
      <c r="B69" s="117"/>
      <c r="D69" s="113"/>
      <c r="H69" s="114"/>
    </row>
    <row r="70" spans="1:8" x14ac:dyDescent="0.25">
      <c r="A70" s="112"/>
      <c r="B70" s="117"/>
      <c r="D70" s="113"/>
      <c r="H70" s="114"/>
    </row>
    <row r="71" spans="1:8" x14ac:dyDescent="0.25">
      <c r="A71" s="112"/>
      <c r="B71" s="117"/>
      <c r="D71" s="113"/>
      <c r="H71" s="114"/>
    </row>
    <row r="72" spans="1:8" x14ac:dyDescent="0.25">
      <c r="A72" s="112"/>
      <c r="B72" s="117"/>
      <c r="D72" s="113"/>
      <c r="H72" s="114"/>
    </row>
    <row r="73" spans="1:8" x14ac:dyDescent="0.25">
      <c r="A73" s="112"/>
      <c r="B73" s="117"/>
      <c r="D73" s="113"/>
      <c r="H73" s="114"/>
    </row>
    <row r="74" spans="1:8" x14ac:dyDescent="0.25">
      <c r="A74" s="112"/>
      <c r="B74" s="117"/>
      <c r="D74" s="113"/>
      <c r="H74" s="114"/>
    </row>
    <row r="75" spans="1:8" x14ac:dyDescent="0.25">
      <c r="A75" s="112"/>
      <c r="B75" s="117"/>
      <c r="D75" s="113"/>
      <c r="H75" s="114"/>
    </row>
    <row r="76" spans="1:8" x14ac:dyDescent="0.25">
      <c r="A76" s="112"/>
      <c r="B76" s="117"/>
      <c r="D76" s="113"/>
      <c r="H76" s="114"/>
    </row>
    <row r="77" spans="1:8" x14ac:dyDescent="0.25">
      <c r="A77" s="112"/>
      <c r="B77" s="117"/>
      <c r="D77" s="113"/>
      <c r="H77" s="114"/>
    </row>
    <row r="78" spans="1:8" x14ac:dyDescent="0.25">
      <c r="A78" s="112"/>
      <c r="B78" s="117"/>
      <c r="D78" s="113"/>
      <c r="H78" s="114"/>
    </row>
    <row r="79" spans="1:8" x14ac:dyDescent="0.25">
      <c r="A79" s="112"/>
      <c r="B79" s="117"/>
      <c r="D79" s="113"/>
      <c r="H79" s="114"/>
    </row>
    <row r="80" spans="1:8" x14ac:dyDescent="0.25">
      <c r="A80" s="112"/>
      <c r="B80" s="117"/>
      <c r="D80" s="113"/>
      <c r="H80" s="114"/>
    </row>
    <row r="81" spans="1:8" x14ac:dyDescent="0.25">
      <c r="A81" s="112"/>
      <c r="B81" s="117"/>
      <c r="D81" s="113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4"/>
    </row>
    <row r="88" spans="1:8" x14ac:dyDescent="0.25">
      <c r="A88" s="112"/>
      <c r="B88" s="117"/>
      <c r="D88" s="113"/>
      <c r="H88" s="119"/>
    </row>
    <row r="89" spans="1:8" x14ac:dyDescent="0.25">
      <c r="A89" s="112"/>
      <c r="B89" s="117"/>
      <c r="D89" s="113"/>
    </row>
    <row r="90" spans="1:8" x14ac:dyDescent="0.25">
      <c r="A90" s="112"/>
      <c r="B90" s="117"/>
      <c r="D90" s="113"/>
    </row>
    <row r="91" spans="1:8" x14ac:dyDescent="0.25">
      <c r="A91" s="112"/>
      <c r="B91" s="117"/>
      <c r="D91" s="114"/>
    </row>
    <row r="92" spans="1:8" x14ac:dyDescent="0.25">
      <c r="A92" s="112"/>
      <c r="B92" s="117"/>
      <c r="D92" s="114"/>
    </row>
    <row r="93" spans="1:8" x14ac:dyDescent="0.25">
      <c r="A93" s="112"/>
      <c r="B93" s="117"/>
      <c r="D93" s="114"/>
    </row>
    <row r="94" spans="1:8" x14ac:dyDescent="0.25">
      <c r="A94" s="112"/>
      <c r="B94" s="117"/>
      <c r="D94" s="114"/>
    </row>
    <row r="95" spans="1:8" x14ac:dyDescent="0.25">
      <c r="A95" s="112"/>
      <c r="B95" s="117"/>
      <c r="D95" s="114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108"/>
  <sheetViews>
    <sheetView workbookViewId="0">
      <selection activeCell="F10" sqref="F10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89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86</v>
      </c>
    </row>
    <row r="6" spans="1:19" x14ac:dyDescent="0.25">
      <c r="A6" s="138">
        <f>B6+273.15</f>
        <v>1273.1500000000001</v>
      </c>
      <c r="B6" s="150">
        <v>1000</v>
      </c>
      <c r="C6" s="140">
        <f>'LSFC,Dalslet (Electrochem)'!C29</f>
        <v>109</v>
      </c>
      <c r="D6" s="157">
        <f>D15*C6</f>
        <v>3.5069251606382038E-3</v>
      </c>
    </row>
    <row r="7" spans="1:19" x14ac:dyDescent="0.25">
      <c r="A7" s="138">
        <f t="shared" ref="A7:A11" si="0">B7+273.15</f>
        <v>1173.1500000000001</v>
      </c>
      <c r="B7" s="150">
        <v>900</v>
      </c>
      <c r="C7" s="144">
        <f>'LSFC,Dalslet (Electrochem)'!C31</f>
        <v>112</v>
      </c>
      <c r="D7" s="157">
        <f t="shared" ref="D7:D11" si="1">D16*C7</f>
        <v>1.5751358737108843E-3</v>
      </c>
      <c r="E7" s="114"/>
      <c r="H7" s="111" t="s">
        <v>18</v>
      </c>
    </row>
    <row r="8" spans="1:19" ht="15.75" x14ac:dyDescent="0.25">
      <c r="A8" s="138">
        <f t="shared" si="0"/>
        <v>1073.1500000000001</v>
      </c>
      <c r="B8" s="150">
        <v>800</v>
      </c>
      <c r="C8" s="144">
        <f>'LSFC,Dalslet (Electrochem)'!C33</f>
        <v>129.20999999999992</v>
      </c>
      <c r="D8" s="157">
        <f t="shared" si="1"/>
        <v>6.6087013518125598E-4</v>
      </c>
      <c r="E8" s="114"/>
      <c r="G8" s="111">
        <v>1</v>
      </c>
      <c r="H8" s="35" t="s">
        <v>65</v>
      </c>
    </row>
    <row r="9" spans="1:19" x14ac:dyDescent="0.25">
      <c r="A9" s="138">
        <f t="shared" si="0"/>
        <v>973.15</v>
      </c>
      <c r="B9" s="150">
        <v>700</v>
      </c>
      <c r="C9" s="144">
        <f>'LSFC,Dalslet (Electrochem)'!C34</f>
        <v>160.28999999999996</v>
      </c>
      <c r="D9" s="157">
        <f t="shared" si="1"/>
        <v>2.4808838325766967E-4</v>
      </c>
      <c r="E9" s="114"/>
    </row>
    <row r="10" spans="1:19" ht="15.75" thickBot="1" x14ac:dyDescent="0.3">
      <c r="A10" s="138">
        <f t="shared" si="0"/>
        <v>873.15</v>
      </c>
      <c r="B10" s="150">
        <v>600</v>
      </c>
      <c r="C10" s="144">
        <f>'LSFC,Dalslet (Electrochem)'!C35</f>
        <v>205.37</v>
      </c>
      <c r="D10" s="157">
        <f t="shared" si="1"/>
        <v>7.3036003894512395E-5</v>
      </c>
      <c r="E10" s="114"/>
    </row>
    <row r="11" spans="1:19" ht="19.5" thickBot="1" x14ac:dyDescent="0.3">
      <c r="A11" s="141">
        <f t="shared" si="0"/>
        <v>773.15</v>
      </c>
      <c r="B11" s="128">
        <v>500</v>
      </c>
      <c r="C11" s="129">
        <f>'LSFC,Dalslet (Electrochem)'!C36</f>
        <v>264.45000000000005</v>
      </c>
      <c r="D11" s="158">
        <f t="shared" si="1"/>
        <v>1.3631497597362763E-5</v>
      </c>
      <c r="E11" s="114"/>
      <c r="H11" s="169" t="s">
        <v>184</v>
      </c>
    </row>
    <row r="12" spans="1:19" ht="15.75" thickBot="1" x14ac:dyDescent="0.3">
      <c r="A12" s="112"/>
      <c r="B12" s="119"/>
      <c r="C12" s="114"/>
      <c r="D12" s="114"/>
      <c r="E12" s="114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13</v>
      </c>
      <c r="B13" s="134"/>
      <c r="C13" s="134"/>
      <c r="D13" s="135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6" t="s">
        <v>16</v>
      </c>
      <c r="B14" s="115" t="s">
        <v>14</v>
      </c>
      <c r="C14" s="115" t="s">
        <v>39</v>
      </c>
      <c r="D14" s="137" t="s">
        <v>15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>B15+273.15</f>
        <v>1273.1500000000001</v>
      </c>
      <c r="B15" s="150">
        <v>1000</v>
      </c>
      <c r="C15" s="140">
        <v>-4.4924999999999997</v>
      </c>
      <c r="D15" s="159">
        <f>10^C15</f>
        <v>3.2173625326956E-5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ref="A16:A20" si="2">B16+273.15</f>
        <v>1173.1500000000001</v>
      </c>
      <c r="B16" s="150">
        <v>900</v>
      </c>
      <c r="C16" s="140">
        <v>-4.8518999999999997</v>
      </c>
      <c r="D16" s="159">
        <f t="shared" ref="D16:D20" si="3">10^C16</f>
        <v>1.4063713158132895E-5</v>
      </c>
    </row>
    <row r="17" spans="1:12" x14ac:dyDescent="0.25">
      <c r="A17" s="138">
        <f t="shared" si="2"/>
        <v>1073.1500000000001</v>
      </c>
      <c r="B17" s="150">
        <v>800</v>
      </c>
      <c r="C17" s="140">
        <v>-5.2911799999999998</v>
      </c>
      <c r="D17" s="159">
        <f t="shared" si="3"/>
        <v>5.1146980510893613E-6</v>
      </c>
    </row>
    <row r="18" spans="1:12" x14ac:dyDescent="0.25">
      <c r="A18" s="138">
        <f t="shared" si="2"/>
        <v>973.15</v>
      </c>
      <c r="B18" s="150">
        <v>700</v>
      </c>
      <c r="C18" s="140">
        <v>-5.8102999999999998</v>
      </c>
      <c r="D18" s="159">
        <f t="shared" si="3"/>
        <v>1.5477471037349164E-6</v>
      </c>
    </row>
    <row r="19" spans="1:12" x14ac:dyDescent="0.25">
      <c r="A19" s="138">
        <f t="shared" si="2"/>
        <v>873.15</v>
      </c>
      <c r="B19" s="150">
        <v>600</v>
      </c>
      <c r="C19" s="140">
        <v>-6.4489999999999998</v>
      </c>
      <c r="D19" s="159">
        <f t="shared" si="3"/>
        <v>3.5563131856898473E-7</v>
      </c>
    </row>
    <row r="20" spans="1:12" ht="15.75" thickBot="1" x14ac:dyDescent="0.3">
      <c r="A20" s="141">
        <f t="shared" si="2"/>
        <v>773.15</v>
      </c>
      <c r="B20" s="128">
        <v>500</v>
      </c>
      <c r="C20" s="130">
        <v>-7.2877999999999998</v>
      </c>
      <c r="D20" s="160">
        <f t="shared" si="3"/>
        <v>5.1546597078323918E-8</v>
      </c>
    </row>
    <row r="21" spans="1:12" ht="15.75" thickBot="1" x14ac:dyDescent="0.3"/>
    <row r="22" spans="1:12" ht="15.75" x14ac:dyDescent="0.25">
      <c r="A22" s="133" t="s">
        <v>19</v>
      </c>
      <c r="B22" s="134"/>
      <c r="C22" s="134"/>
      <c r="D22" s="135"/>
      <c r="G22" s="119"/>
      <c r="H22" s="119"/>
    </row>
    <row r="23" spans="1:12" ht="47.25" x14ac:dyDescent="0.25">
      <c r="A23" s="136" t="s">
        <v>16</v>
      </c>
      <c r="B23" s="115" t="s">
        <v>14</v>
      </c>
      <c r="C23" s="142" t="s">
        <v>21</v>
      </c>
      <c r="D23" s="143" t="s">
        <v>35</v>
      </c>
      <c r="H23" s="114"/>
    </row>
    <row r="24" spans="1:12" x14ac:dyDescent="0.25">
      <c r="A24" s="138">
        <f>B24+273.15</f>
        <v>1273.1500000000001</v>
      </c>
      <c r="B24" s="150">
        <v>1000</v>
      </c>
      <c r="C24" s="144">
        <f>'LSFC,Dalslet (Electrochem)'!G29</f>
        <v>8.1216796194923377E-2</v>
      </c>
      <c r="D24" s="157">
        <f t="shared" ref="D24:D29" si="4">($C$2*$A24*$A$2)/(4*($E$2^2)*$C24*$D15)</f>
        <v>0.10873540486689334</v>
      </c>
      <c r="H24" s="114"/>
      <c r="K24" s="118"/>
      <c r="L24" s="118"/>
    </row>
    <row r="25" spans="1:12" x14ac:dyDescent="0.25">
      <c r="A25" s="138">
        <f t="shared" ref="A25:A29" si="5">B25+273.15</f>
        <v>1173.1500000000001</v>
      </c>
      <c r="B25" s="150">
        <v>900</v>
      </c>
      <c r="C25" s="140">
        <f>'LSFC,Dalslet (Electrochem)'!G31</f>
        <v>8.13383292958616E-2</v>
      </c>
      <c r="D25" s="157">
        <f t="shared" si="4"/>
        <v>0.22887352180109682</v>
      </c>
      <c r="G25" s="119"/>
      <c r="H25" s="114"/>
      <c r="K25" s="118"/>
      <c r="L25" s="118"/>
    </row>
    <row r="26" spans="1:12" x14ac:dyDescent="0.25">
      <c r="A26" s="138">
        <f t="shared" si="5"/>
        <v>1073.1500000000001</v>
      </c>
      <c r="B26" s="150">
        <v>800</v>
      </c>
      <c r="C26" s="140">
        <f>'LSFC,Dalslet (Electrochem)'!G33</f>
        <v>4.8199999999999993E-2</v>
      </c>
      <c r="D26" s="157">
        <f t="shared" si="4"/>
        <v>0.97147280307020645</v>
      </c>
      <c r="G26" s="119"/>
      <c r="H26" s="114"/>
      <c r="K26" s="118"/>
      <c r="L26" s="118"/>
    </row>
    <row r="27" spans="1:12" x14ac:dyDescent="0.25">
      <c r="A27" s="138">
        <f t="shared" si="5"/>
        <v>973.15</v>
      </c>
      <c r="B27" s="150">
        <v>700</v>
      </c>
      <c r="C27" s="140">
        <f>'LSFC,Dalslet (Electrochem)'!G34</f>
        <v>5.6199999999999986E-2</v>
      </c>
      <c r="D27" s="157">
        <f t="shared" si="4"/>
        <v>2.4967825853324035</v>
      </c>
      <c r="G27" s="119"/>
      <c r="H27" s="114"/>
      <c r="K27" s="118"/>
      <c r="L27" s="118"/>
    </row>
    <row r="28" spans="1:12" x14ac:dyDescent="0.25">
      <c r="A28" s="138">
        <f t="shared" si="5"/>
        <v>873.15</v>
      </c>
      <c r="B28" s="150">
        <v>600</v>
      </c>
      <c r="C28" s="140">
        <f>'LSFC,Dalslet (Electrochem)'!G35</f>
        <v>6.5799999999999997E-2</v>
      </c>
      <c r="D28" s="157">
        <f t="shared" si="4"/>
        <v>8.3272234752188954</v>
      </c>
      <c r="G28" s="119"/>
      <c r="H28" s="114"/>
      <c r="K28" s="118"/>
      <c r="L28" s="118"/>
    </row>
    <row r="29" spans="1:12" ht="15.75" thickBot="1" x14ac:dyDescent="0.3">
      <c r="A29" s="141">
        <f t="shared" si="5"/>
        <v>773.15</v>
      </c>
      <c r="B29" s="128">
        <v>500</v>
      </c>
      <c r="C29" s="130">
        <f>'LSFC,Dalslet (Electrochem)'!G36</f>
        <v>7.6999999999999999E-2</v>
      </c>
      <c r="D29" s="158">
        <f t="shared" si="4"/>
        <v>43.472066975138766</v>
      </c>
      <c r="G29" s="119"/>
      <c r="H29" s="114"/>
      <c r="K29" s="118"/>
      <c r="L29" s="118"/>
    </row>
    <row r="30" spans="1:12" x14ac:dyDescent="0.25">
      <c r="D30" s="114"/>
      <c r="G30" s="119"/>
      <c r="H30" s="114"/>
      <c r="J30" s="113"/>
      <c r="K30" s="113"/>
      <c r="L30" s="113"/>
    </row>
    <row r="31" spans="1:12" x14ac:dyDescent="0.25">
      <c r="G31" s="119"/>
      <c r="H31" s="114"/>
      <c r="J31" s="113"/>
      <c r="K31" s="113"/>
      <c r="L31" s="113"/>
    </row>
    <row r="32" spans="1:12" x14ac:dyDescent="0.25">
      <c r="A32" s="118"/>
      <c r="G32" s="119"/>
      <c r="H32" s="114"/>
    </row>
    <row r="33" spans="1:10" x14ac:dyDescent="0.25">
      <c r="C33" s="118"/>
      <c r="G33" s="118"/>
      <c r="H33" s="118"/>
    </row>
    <row r="34" spans="1:10" x14ac:dyDescent="0.25">
      <c r="A34" s="112"/>
      <c r="C34" s="114"/>
      <c r="E34" s="112"/>
      <c r="F34" s="119"/>
      <c r="G34" s="114"/>
      <c r="H34" s="113"/>
      <c r="I34" s="113"/>
    </row>
    <row r="35" spans="1:10" x14ac:dyDescent="0.25">
      <c r="A35" s="112"/>
      <c r="C35" s="114"/>
      <c r="D35" s="114"/>
      <c r="E35" s="112"/>
      <c r="F35" s="119"/>
      <c r="G35" s="114"/>
      <c r="H35" s="113"/>
      <c r="I35" s="113"/>
      <c r="J35" s="118"/>
    </row>
    <row r="36" spans="1:10" x14ac:dyDescent="0.25">
      <c r="A36" s="112"/>
      <c r="C36" s="114"/>
      <c r="D36" s="114"/>
      <c r="E36" s="112"/>
      <c r="F36" s="119"/>
      <c r="G36" s="114"/>
      <c r="H36" s="113"/>
      <c r="I36" s="113"/>
      <c r="J36" s="113"/>
    </row>
    <row r="37" spans="1:10" x14ac:dyDescent="0.25">
      <c r="A37" s="112"/>
      <c r="C37" s="114"/>
      <c r="D37" s="114"/>
      <c r="E37" s="112"/>
      <c r="F37" s="119"/>
      <c r="G37" s="114"/>
      <c r="H37" s="113"/>
      <c r="I37" s="113"/>
      <c r="J37" s="113"/>
    </row>
    <row r="38" spans="1:10" x14ac:dyDescent="0.25">
      <c r="A38" s="112"/>
      <c r="C38" s="120"/>
      <c r="D38" s="114"/>
      <c r="E38" s="112"/>
      <c r="F38" s="119"/>
      <c r="G38" s="120"/>
      <c r="H38" s="113"/>
      <c r="I38" s="113"/>
      <c r="J38" s="113"/>
    </row>
    <row r="39" spans="1:10" x14ac:dyDescent="0.25">
      <c r="A39" s="112"/>
      <c r="C39" s="120"/>
      <c r="D39" s="114"/>
      <c r="E39" s="112"/>
      <c r="F39" s="119"/>
      <c r="G39" s="120"/>
      <c r="H39" s="113"/>
      <c r="J39" s="113"/>
    </row>
    <row r="40" spans="1:10" x14ac:dyDescent="0.25">
      <c r="A40" s="112"/>
      <c r="C40" s="120"/>
      <c r="D40" s="114"/>
      <c r="E40" s="112"/>
      <c r="F40" s="119"/>
      <c r="G40" s="120"/>
      <c r="H40" s="113"/>
      <c r="J40" s="113"/>
    </row>
    <row r="41" spans="1:10" x14ac:dyDescent="0.25">
      <c r="A41" s="112"/>
      <c r="C41" s="120"/>
      <c r="D41" s="114"/>
      <c r="E41" s="112"/>
      <c r="F41" s="119"/>
      <c r="G41" s="120"/>
      <c r="H41" s="113"/>
      <c r="J41" s="113"/>
    </row>
    <row r="42" spans="1:10" x14ac:dyDescent="0.25">
      <c r="A42" s="112"/>
      <c r="C42" s="120"/>
      <c r="D42" s="114"/>
      <c r="E42" s="112"/>
      <c r="G42" s="114"/>
      <c r="H42" s="113"/>
      <c r="J42" s="113"/>
    </row>
    <row r="43" spans="1:10" x14ac:dyDescent="0.25">
      <c r="A43" s="112"/>
      <c r="C43" s="120"/>
      <c r="D43" s="114"/>
      <c r="E43" s="112"/>
      <c r="G43" s="114"/>
      <c r="H43" s="113"/>
      <c r="J43" s="113"/>
    </row>
    <row r="44" spans="1:10" x14ac:dyDescent="0.25">
      <c r="A44" s="112"/>
      <c r="C44" s="120"/>
      <c r="D44" s="114"/>
      <c r="E44" s="112"/>
      <c r="G44" s="114"/>
      <c r="H44" s="114"/>
      <c r="J44" s="113"/>
    </row>
    <row r="45" spans="1:10" x14ac:dyDescent="0.25">
      <c r="A45" s="112"/>
      <c r="C45" s="120"/>
      <c r="D45" s="114"/>
      <c r="E45" s="112"/>
      <c r="G45" s="113"/>
      <c r="H45" s="114"/>
      <c r="J45" s="113"/>
    </row>
    <row r="46" spans="1:10" x14ac:dyDescent="0.25">
      <c r="A46" s="112"/>
      <c r="C46" s="120"/>
      <c r="D46" s="114"/>
      <c r="E46" s="113"/>
      <c r="H46" s="114"/>
      <c r="J46" s="113"/>
    </row>
    <row r="47" spans="1:10" x14ac:dyDescent="0.25">
      <c r="A47" s="112"/>
      <c r="B47" s="117"/>
      <c r="C47" s="113"/>
      <c r="D47" s="114"/>
      <c r="E47" s="113"/>
      <c r="H47" s="114"/>
      <c r="J47" s="113"/>
    </row>
    <row r="48" spans="1:10" x14ac:dyDescent="0.25">
      <c r="A48" s="112"/>
      <c r="B48" s="117"/>
      <c r="C48" s="113"/>
      <c r="D48" s="114"/>
      <c r="E48" s="113"/>
      <c r="H48" s="114"/>
      <c r="J48" s="113"/>
    </row>
    <row r="49" spans="1:10" x14ac:dyDescent="0.25">
      <c r="A49" s="112"/>
      <c r="B49" s="117"/>
      <c r="C49" s="113"/>
      <c r="D49" s="114"/>
      <c r="E49" s="113"/>
      <c r="H49" s="114"/>
      <c r="J49" s="113"/>
    </row>
    <row r="50" spans="1:10" x14ac:dyDescent="0.25">
      <c r="A50" s="112"/>
      <c r="B50" s="117"/>
      <c r="C50" s="113"/>
      <c r="D50" s="114"/>
      <c r="E50" s="113"/>
      <c r="H50" s="114"/>
      <c r="J50" s="113"/>
    </row>
    <row r="51" spans="1:10" x14ac:dyDescent="0.25">
      <c r="A51" s="112"/>
      <c r="B51" s="117"/>
      <c r="C51" s="113"/>
      <c r="D51" s="114"/>
      <c r="E51" s="113"/>
      <c r="H51" s="114"/>
      <c r="J51" s="113"/>
    </row>
    <row r="52" spans="1:10" x14ac:dyDescent="0.25">
      <c r="A52" s="112"/>
      <c r="B52" s="117"/>
      <c r="C52" s="113"/>
      <c r="D52" s="114"/>
      <c r="E52" s="113"/>
      <c r="H52" s="114"/>
      <c r="J52" s="113"/>
    </row>
    <row r="53" spans="1:10" x14ac:dyDescent="0.25">
      <c r="A53" s="112"/>
      <c r="B53" s="117"/>
      <c r="C53" s="113"/>
      <c r="D53" s="114"/>
      <c r="E53" s="113"/>
      <c r="H53" s="114"/>
      <c r="J53" s="113"/>
    </row>
    <row r="54" spans="1:10" x14ac:dyDescent="0.25">
      <c r="A54" s="112"/>
      <c r="B54" s="117"/>
      <c r="C54" s="113"/>
      <c r="D54" s="114"/>
      <c r="E54" s="113"/>
      <c r="H54" s="114"/>
      <c r="J54" s="113"/>
    </row>
    <row r="55" spans="1:10" x14ac:dyDescent="0.25">
      <c r="A55" s="112"/>
      <c r="B55" s="117"/>
      <c r="C55" s="113"/>
      <c r="D55" s="114"/>
      <c r="E55" s="113"/>
      <c r="H55" s="114"/>
      <c r="J55" s="113"/>
    </row>
    <row r="56" spans="1:10" x14ac:dyDescent="0.25">
      <c r="A56" s="112"/>
      <c r="B56" s="117"/>
      <c r="C56" s="113"/>
      <c r="D56" s="114"/>
      <c r="E56" s="113"/>
      <c r="H56" s="114"/>
    </row>
    <row r="57" spans="1:10" x14ac:dyDescent="0.25">
      <c r="A57" s="112"/>
      <c r="B57" s="117"/>
      <c r="C57" s="113"/>
      <c r="D57" s="114"/>
      <c r="E57" s="113"/>
      <c r="H57" s="114"/>
    </row>
    <row r="58" spans="1:10" x14ac:dyDescent="0.25">
      <c r="A58" s="112"/>
      <c r="B58" s="117"/>
      <c r="C58" s="113"/>
      <c r="D58" s="114"/>
      <c r="E58" s="113"/>
      <c r="H58" s="114"/>
    </row>
    <row r="59" spans="1:10" x14ac:dyDescent="0.25">
      <c r="A59" s="112"/>
      <c r="B59" s="117"/>
      <c r="C59" s="113"/>
      <c r="D59" s="114"/>
      <c r="E59" s="113"/>
      <c r="H59" s="114"/>
    </row>
    <row r="60" spans="1:10" x14ac:dyDescent="0.25">
      <c r="A60" s="112"/>
      <c r="B60" s="117"/>
      <c r="C60" s="113"/>
      <c r="D60" s="114"/>
      <c r="H60" s="114"/>
    </row>
    <row r="61" spans="1:10" x14ac:dyDescent="0.25">
      <c r="A61" s="112"/>
      <c r="B61" s="117"/>
      <c r="C61" s="113"/>
      <c r="D61" s="114"/>
      <c r="H61" s="114"/>
    </row>
    <row r="62" spans="1:10" x14ac:dyDescent="0.25">
      <c r="A62" s="112"/>
      <c r="B62" s="117"/>
      <c r="C62" s="113"/>
      <c r="D62" s="114"/>
      <c r="H62" s="114"/>
    </row>
    <row r="63" spans="1:10" x14ac:dyDescent="0.25">
      <c r="A63" s="112"/>
      <c r="B63" s="117"/>
      <c r="C63" s="113"/>
      <c r="D63" s="114"/>
      <c r="H63" s="114"/>
    </row>
    <row r="64" spans="1:10" x14ac:dyDescent="0.25">
      <c r="A64" s="112"/>
      <c r="B64" s="117"/>
      <c r="C64" s="113"/>
      <c r="D64" s="114"/>
      <c r="H64" s="114"/>
    </row>
    <row r="65" spans="1:8" x14ac:dyDescent="0.25">
      <c r="A65" s="112"/>
      <c r="B65" s="117"/>
      <c r="C65" s="113"/>
      <c r="D65" s="114"/>
      <c r="H65" s="114"/>
    </row>
    <row r="66" spans="1:8" x14ac:dyDescent="0.25">
      <c r="A66" s="112"/>
      <c r="B66" s="117"/>
      <c r="C66" s="113"/>
      <c r="D66" s="114"/>
      <c r="H66" s="114"/>
    </row>
    <row r="67" spans="1:8" x14ac:dyDescent="0.25">
      <c r="A67" s="112"/>
      <c r="B67" s="117"/>
      <c r="D67" s="114"/>
      <c r="H67" s="114"/>
    </row>
    <row r="68" spans="1:8" x14ac:dyDescent="0.25">
      <c r="A68" s="112"/>
      <c r="B68" s="117"/>
      <c r="D68" s="114"/>
      <c r="H68" s="114"/>
    </row>
    <row r="69" spans="1:8" x14ac:dyDescent="0.25">
      <c r="A69" s="112"/>
      <c r="B69" s="117"/>
      <c r="D69" s="114"/>
      <c r="H69" s="114"/>
    </row>
    <row r="70" spans="1:8" x14ac:dyDescent="0.25">
      <c r="A70" s="112"/>
      <c r="B70" s="117"/>
      <c r="D70" s="114"/>
      <c r="H70" s="114"/>
    </row>
    <row r="71" spans="1:8" x14ac:dyDescent="0.25">
      <c r="A71" s="112"/>
      <c r="B71" s="117"/>
      <c r="D71" s="114"/>
      <c r="H71" s="114"/>
    </row>
    <row r="72" spans="1:8" x14ac:dyDescent="0.25">
      <c r="A72" s="112"/>
      <c r="B72" s="117"/>
      <c r="D72" s="114"/>
      <c r="H72" s="114"/>
    </row>
    <row r="73" spans="1:8" x14ac:dyDescent="0.25">
      <c r="A73" s="112"/>
      <c r="B73" s="117"/>
      <c r="D73" s="114"/>
      <c r="H73" s="114"/>
    </row>
    <row r="74" spans="1:8" x14ac:dyDescent="0.25">
      <c r="A74" s="112"/>
      <c r="B74" s="117"/>
      <c r="D74" s="114"/>
      <c r="H74" s="114"/>
    </row>
    <row r="75" spans="1:8" x14ac:dyDescent="0.25">
      <c r="A75" s="112"/>
      <c r="B75" s="117"/>
      <c r="D75" s="114"/>
      <c r="H75" s="114"/>
    </row>
    <row r="76" spans="1:8" x14ac:dyDescent="0.25">
      <c r="A76" s="112"/>
      <c r="B76" s="117"/>
      <c r="D76" s="114"/>
      <c r="H76" s="114"/>
    </row>
    <row r="77" spans="1:8" x14ac:dyDescent="0.25">
      <c r="A77" s="112"/>
      <c r="B77" s="117"/>
      <c r="D77" s="114"/>
      <c r="H77" s="114"/>
    </row>
    <row r="78" spans="1:8" x14ac:dyDescent="0.25">
      <c r="A78" s="112"/>
      <c r="B78" s="117"/>
      <c r="D78" s="114"/>
      <c r="H78" s="114"/>
    </row>
    <row r="79" spans="1:8" x14ac:dyDescent="0.25">
      <c r="A79" s="112"/>
      <c r="B79" s="117"/>
      <c r="D79" s="114"/>
      <c r="H79" s="114"/>
    </row>
    <row r="80" spans="1:8" x14ac:dyDescent="0.25">
      <c r="A80" s="112"/>
      <c r="B80" s="117"/>
      <c r="D80" s="114"/>
      <c r="H80" s="114"/>
    </row>
    <row r="81" spans="1:8" x14ac:dyDescent="0.25">
      <c r="A81" s="112"/>
      <c r="B81" s="117"/>
      <c r="D81" s="114"/>
      <c r="H81" s="114"/>
    </row>
    <row r="82" spans="1:8" x14ac:dyDescent="0.25">
      <c r="A82" s="112"/>
      <c r="B82" s="117"/>
      <c r="D82" s="113"/>
      <c r="H82" s="114"/>
    </row>
    <row r="83" spans="1:8" x14ac:dyDescent="0.25">
      <c r="A83" s="112"/>
      <c r="B83" s="117"/>
      <c r="D83" s="113"/>
      <c r="H83" s="114"/>
    </row>
    <row r="84" spans="1:8" x14ac:dyDescent="0.25">
      <c r="A84" s="112"/>
      <c r="B84" s="117"/>
      <c r="D84" s="113"/>
      <c r="H84" s="114"/>
    </row>
    <row r="85" spans="1:8" x14ac:dyDescent="0.25">
      <c r="A85" s="112"/>
      <c r="B85" s="117"/>
      <c r="D85" s="113"/>
      <c r="H85" s="114"/>
    </row>
    <row r="86" spans="1:8" x14ac:dyDescent="0.25">
      <c r="A86" s="112"/>
      <c r="B86" s="117"/>
      <c r="D86" s="113"/>
      <c r="H86" s="114"/>
    </row>
    <row r="87" spans="1:8" x14ac:dyDescent="0.25">
      <c r="A87" s="112"/>
      <c r="B87" s="117"/>
      <c r="D87" s="113"/>
      <c r="H87" s="114"/>
    </row>
    <row r="88" spans="1:8" x14ac:dyDescent="0.25">
      <c r="A88" s="112"/>
      <c r="B88" s="117"/>
      <c r="D88" s="113"/>
      <c r="H88" s="114"/>
    </row>
    <row r="89" spans="1:8" x14ac:dyDescent="0.25">
      <c r="A89" s="112"/>
      <c r="B89" s="117"/>
      <c r="D89" s="113"/>
      <c r="H89" s="114"/>
    </row>
    <row r="90" spans="1:8" x14ac:dyDescent="0.25">
      <c r="A90" s="112"/>
      <c r="B90" s="117"/>
      <c r="D90" s="113"/>
      <c r="H90" s="114"/>
    </row>
    <row r="91" spans="1:8" x14ac:dyDescent="0.25">
      <c r="A91" s="112"/>
      <c r="B91" s="117"/>
      <c r="D91" s="113"/>
      <c r="H91" s="114"/>
    </row>
    <row r="92" spans="1:8" x14ac:dyDescent="0.25">
      <c r="A92" s="112"/>
      <c r="B92" s="117"/>
      <c r="D92" s="113"/>
      <c r="H92" s="114"/>
    </row>
    <row r="93" spans="1:8" x14ac:dyDescent="0.25">
      <c r="A93" s="112"/>
      <c r="B93" s="117"/>
      <c r="D93" s="113"/>
      <c r="H93" s="114"/>
    </row>
    <row r="94" spans="1:8" x14ac:dyDescent="0.25">
      <c r="A94" s="112"/>
      <c r="B94" s="117"/>
      <c r="D94" s="113"/>
      <c r="H94" s="114"/>
    </row>
    <row r="95" spans="1:8" x14ac:dyDescent="0.25">
      <c r="A95" s="112"/>
      <c r="B95" s="117"/>
      <c r="D95" s="113"/>
      <c r="H95" s="114"/>
    </row>
    <row r="96" spans="1:8" x14ac:dyDescent="0.25">
      <c r="A96" s="112"/>
      <c r="B96" s="117"/>
      <c r="D96" s="113"/>
      <c r="H96" s="114"/>
    </row>
    <row r="97" spans="1:8" x14ac:dyDescent="0.25">
      <c r="A97" s="112"/>
      <c r="B97" s="117"/>
      <c r="D97" s="113"/>
      <c r="H97" s="114"/>
    </row>
    <row r="98" spans="1:8" x14ac:dyDescent="0.25">
      <c r="A98" s="112"/>
      <c r="B98" s="117"/>
      <c r="D98" s="113"/>
      <c r="H98" s="114"/>
    </row>
    <row r="99" spans="1:8" x14ac:dyDescent="0.25">
      <c r="A99" s="112"/>
      <c r="B99" s="117"/>
      <c r="D99" s="113"/>
      <c r="H99" s="114"/>
    </row>
    <row r="100" spans="1:8" x14ac:dyDescent="0.25">
      <c r="A100" s="112"/>
      <c r="B100" s="117"/>
      <c r="D100" s="113"/>
      <c r="H100" s="114"/>
    </row>
    <row r="101" spans="1:8" x14ac:dyDescent="0.25">
      <c r="A101" s="112"/>
      <c r="B101" s="117"/>
      <c r="D101" s="113"/>
      <c r="H101" s="119"/>
    </row>
    <row r="102" spans="1:8" x14ac:dyDescent="0.25">
      <c r="A102" s="112"/>
      <c r="B102" s="117"/>
      <c r="D102" s="113"/>
    </row>
    <row r="103" spans="1:8" x14ac:dyDescent="0.25">
      <c r="A103" s="112"/>
      <c r="B103" s="117"/>
      <c r="D103" s="113"/>
    </row>
    <row r="104" spans="1:8" x14ac:dyDescent="0.25">
      <c r="A104" s="112"/>
      <c r="B104" s="117"/>
      <c r="D104" s="114"/>
    </row>
    <row r="105" spans="1:8" x14ac:dyDescent="0.25">
      <c r="A105" s="112"/>
      <c r="B105" s="117"/>
      <c r="D105" s="114"/>
    </row>
    <row r="106" spans="1:8" x14ac:dyDescent="0.25">
      <c r="A106" s="112"/>
      <c r="B106" s="117"/>
      <c r="D106" s="114"/>
    </row>
    <row r="107" spans="1:8" x14ac:dyDescent="0.25">
      <c r="A107" s="112"/>
      <c r="B107" s="117"/>
      <c r="D107" s="114"/>
    </row>
    <row r="108" spans="1:8" x14ac:dyDescent="0.25">
      <c r="A108" s="112"/>
      <c r="B108" s="117"/>
      <c r="D108" s="114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S154"/>
  <sheetViews>
    <sheetView workbookViewId="0">
      <selection activeCell="G22" sqref="G2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49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50</v>
      </c>
    </row>
    <row r="6" spans="1:19" x14ac:dyDescent="0.25">
      <c r="A6" s="138">
        <f>B6+273.15</f>
        <v>1023.15</v>
      </c>
      <c r="B6" s="115">
        <v>750</v>
      </c>
      <c r="C6" s="140">
        <f>'LSFC,Plonczak (Electrochem)'!C39</f>
        <v>238.46024964396415</v>
      </c>
      <c r="D6" s="157">
        <f t="shared" ref="D6:D12" si="0">C6*D16</f>
        <v>2.9758678739906313E-4</v>
      </c>
    </row>
    <row r="7" spans="1:19" x14ac:dyDescent="0.25">
      <c r="A7" s="138">
        <f t="shared" ref="A7:A12" si="1">B7+273.15</f>
        <v>998.15</v>
      </c>
      <c r="B7" s="115">
        <v>725</v>
      </c>
      <c r="C7" s="140">
        <f>'LSFC,Plonczak (Electrochem)'!C40</f>
        <v>238.47292098253925</v>
      </c>
      <c r="D7" s="157">
        <f t="shared" si="0"/>
        <v>1.4458346457027924E-4</v>
      </c>
      <c r="H7" s="111" t="s">
        <v>18</v>
      </c>
    </row>
    <row r="8" spans="1:19" ht="15.75" x14ac:dyDescent="0.25">
      <c r="A8" s="138">
        <f t="shared" si="1"/>
        <v>973.15</v>
      </c>
      <c r="B8" s="115">
        <v>700</v>
      </c>
      <c r="C8" s="140">
        <f>'LSFC,Plonczak (Electrochem)'!C41</f>
        <v>268.49315068493149</v>
      </c>
      <c r="D8" s="157">
        <f t="shared" si="0"/>
        <v>1.0064869861706128E-4</v>
      </c>
      <c r="G8" s="111">
        <v>1</v>
      </c>
      <c r="H8" s="35" t="s">
        <v>54</v>
      </c>
    </row>
    <row r="9" spans="1:19" ht="15.75" x14ac:dyDescent="0.25">
      <c r="A9" s="138">
        <f t="shared" si="1"/>
        <v>948.15</v>
      </c>
      <c r="B9" s="115">
        <v>675</v>
      </c>
      <c r="C9" s="140">
        <f>'LSFC,Plonczak (Electrochem)'!C42</f>
        <v>303.0856864357732</v>
      </c>
      <c r="D9" s="157">
        <f t="shared" si="0"/>
        <v>3.801974935714997E-5</v>
      </c>
      <c r="J9" s="35"/>
    </row>
    <row r="10" spans="1:19" ht="16.5" thickBot="1" x14ac:dyDescent="0.3">
      <c r="A10" s="138">
        <f t="shared" si="1"/>
        <v>923.15</v>
      </c>
      <c r="B10" s="115">
        <v>650</v>
      </c>
      <c r="C10" s="140">
        <f>'LSFC,Plonczak (Electrochem)'!C43</f>
        <v>315.45064377682399</v>
      </c>
      <c r="D10" s="157">
        <f t="shared" si="0"/>
        <v>2.8738427049371463E-5</v>
      </c>
      <c r="J10" s="2"/>
    </row>
    <row r="11" spans="1:19" ht="19.5" thickBot="1" x14ac:dyDescent="0.3">
      <c r="A11" s="138">
        <f t="shared" si="1"/>
        <v>898.15</v>
      </c>
      <c r="B11" s="115">
        <v>625</v>
      </c>
      <c r="C11" s="140">
        <f>'LSFC,Plonczak (Electrochem)'!C44</f>
        <v>400.77395907286757</v>
      </c>
      <c r="D11" s="157">
        <f t="shared" si="0"/>
        <v>2.291553903433396E-5</v>
      </c>
      <c r="H11" s="169" t="s">
        <v>184</v>
      </c>
    </row>
    <row r="12" spans="1:19" ht="15.75" thickBot="1" x14ac:dyDescent="0.3">
      <c r="A12" s="141">
        <f t="shared" si="1"/>
        <v>873.15</v>
      </c>
      <c r="B12" s="126">
        <v>600</v>
      </c>
      <c r="C12" s="130">
        <f>'LSFC,Plonczak (Electrochem)'!C45</f>
        <v>489.73743230110182</v>
      </c>
      <c r="D12" s="158">
        <f t="shared" si="0"/>
        <v>1.8676068009313877E-5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2"/>
      <c r="D13" s="11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45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48" thickBot="1" x14ac:dyDescent="0.3">
      <c r="A15" s="136" t="s">
        <v>16</v>
      </c>
      <c r="B15" s="115" t="s">
        <v>14</v>
      </c>
      <c r="C15" s="142" t="s">
        <v>21</v>
      </c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1023.15</v>
      </c>
      <c r="B16" s="115">
        <v>750</v>
      </c>
      <c r="C16" s="140">
        <f>'LSFC,Plonczak (Electrochem)'!G39</f>
        <v>4.0872906027811524E-2</v>
      </c>
      <c r="D16" s="157">
        <f t="shared" ref="D16:D22" si="2">($C$2*A16*$A$2)/(4*($E$2^2)*C16*D26)</f>
        <v>1.2479513371447801E-6</v>
      </c>
    </row>
    <row r="17" spans="1:12" x14ac:dyDescent="0.25">
      <c r="A17" s="138">
        <f t="shared" ref="A17:A22" si="3">B17+273.15</f>
        <v>998.15</v>
      </c>
      <c r="B17" s="115">
        <v>725</v>
      </c>
      <c r="C17" s="140">
        <f>'LSFC,Plonczak (Electrochem)'!G40</f>
        <v>5.2011203895940487E-2</v>
      </c>
      <c r="D17" s="157">
        <f t="shared" si="2"/>
        <v>6.0628881457306215E-7</v>
      </c>
    </row>
    <row r="18" spans="1:12" x14ac:dyDescent="0.25">
      <c r="A18" s="138">
        <f t="shared" si="3"/>
        <v>973.15</v>
      </c>
      <c r="B18" s="115">
        <v>700</v>
      </c>
      <c r="C18" s="140">
        <f>'LSFC,Plonczak (Electrochem)'!G41</f>
        <v>5.0855545357415995E-2</v>
      </c>
      <c r="D18" s="157">
        <f t="shared" si="2"/>
        <v>3.7486505097170784E-7</v>
      </c>
    </row>
    <row r="19" spans="1:12" x14ac:dyDescent="0.25">
      <c r="A19" s="138">
        <f t="shared" si="3"/>
        <v>948.15</v>
      </c>
      <c r="B19" s="115">
        <v>675</v>
      </c>
      <c r="C19" s="140">
        <f>'LSFC,Plonczak (Electrochem)'!G42</f>
        <v>9.1816247312363722E-2</v>
      </c>
      <c r="D19" s="157">
        <f t="shared" si="2"/>
        <v>1.2544224639657051E-7</v>
      </c>
    </row>
    <row r="20" spans="1:12" x14ac:dyDescent="0.25">
      <c r="A20" s="138">
        <f t="shared" si="3"/>
        <v>923.15</v>
      </c>
      <c r="B20" s="115">
        <v>650</v>
      </c>
      <c r="C20" s="140">
        <f>'LSFC,Plonczak (Electrochem)'!G43</f>
        <v>6.9975174617525948E-2</v>
      </c>
      <c r="D20" s="157">
        <f t="shared" si="2"/>
        <v>9.1102768741544917E-8</v>
      </c>
    </row>
    <row r="21" spans="1:12" x14ac:dyDescent="0.25">
      <c r="A21" s="138">
        <f t="shared" si="3"/>
        <v>898.15</v>
      </c>
      <c r="B21" s="115">
        <v>625</v>
      </c>
      <c r="C21" s="140">
        <f>'LSFC,Plonczak (Electrochem)'!G44</f>
        <v>6.3019148068975517E-2</v>
      </c>
      <c r="D21" s="157">
        <f t="shared" si="2"/>
        <v>5.7178213592883467E-8</v>
      </c>
    </row>
    <row r="22" spans="1:12" ht="15.75" thickBot="1" x14ac:dyDescent="0.3">
      <c r="A22" s="141">
        <f t="shared" si="3"/>
        <v>873.15</v>
      </c>
      <c r="B22" s="126">
        <v>600</v>
      </c>
      <c r="C22" s="130">
        <f>'LSFC,Plonczak (Electrochem)'!G45</f>
        <v>0.05</v>
      </c>
      <c r="D22" s="158">
        <f t="shared" si="2"/>
        <v>3.8134859166393887E-8</v>
      </c>
    </row>
    <row r="23" spans="1:12" ht="15.75" thickBot="1" x14ac:dyDescent="0.3">
      <c r="A23" s="112"/>
      <c r="D23" s="114"/>
    </row>
    <row r="24" spans="1:12" ht="15.75" x14ac:dyDescent="0.25">
      <c r="A24" s="133" t="s">
        <v>19</v>
      </c>
      <c r="B24" s="134"/>
      <c r="C24" s="134"/>
      <c r="D24" s="135"/>
      <c r="G24" s="119"/>
      <c r="H24" s="119"/>
    </row>
    <row r="25" spans="1:12" x14ac:dyDescent="0.25">
      <c r="A25" s="136" t="s">
        <v>16</v>
      </c>
      <c r="B25" s="115" t="s">
        <v>14</v>
      </c>
      <c r="C25" s="142"/>
      <c r="D25" s="143" t="s">
        <v>35</v>
      </c>
      <c r="G25" s="119"/>
      <c r="H25" s="114"/>
    </row>
    <row r="26" spans="1:12" x14ac:dyDescent="0.25">
      <c r="A26" s="138">
        <f t="shared" ref="A26:A32" si="4">B26+273.15</f>
        <v>1023.15</v>
      </c>
      <c r="B26" s="115">
        <v>750</v>
      </c>
      <c r="C26" s="115"/>
      <c r="D26" s="167">
        <f>C38</f>
        <v>4.47654955263042</v>
      </c>
      <c r="G26" s="119"/>
      <c r="H26" s="114"/>
      <c r="K26" s="118"/>
      <c r="L26" s="118"/>
    </row>
    <row r="27" spans="1:12" x14ac:dyDescent="0.25">
      <c r="A27" s="138">
        <f t="shared" si="4"/>
        <v>998.15</v>
      </c>
      <c r="B27" s="115">
        <v>725</v>
      </c>
      <c r="C27" s="115"/>
      <c r="D27" s="167">
        <f>C51</f>
        <v>7.0640961816455903</v>
      </c>
      <c r="G27" s="119"/>
      <c r="H27" s="114"/>
      <c r="J27" s="113"/>
      <c r="K27" s="113"/>
      <c r="L27" s="113"/>
    </row>
    <row r="28" spans="1:12" x14ac:dyDescent="0.25">
      <c r="A28" s="138">
        <f t="shared" si="4"/>
        <v>973.15</v>
      </c>
      <c r="B28" s="115">
        <v>700</v>
      </c>
      <c r="C28" s="115"/>
      <c r="D28" s="167">
        <f>C66</f>
        <v>11.3920996073926</v>
      </c>
      <c r="G28" s="119"/>
      <c r="H28" s="114"/>
      <c r="J28" s="113"/>
      <c r="K28" s="113"/>
      <c r="L28" s="113"/>
    </row>
    <row r="29" spans="1:12" x14ac:dyDescent="0.25">
      <c r="A29" s="138">
        <f t="shared" si="4"/>
        <v>948.15</v>
      </c>
      <c r="B29" s="115">
        <v>675</v>
      </c>
      <c r="C29" s="115"/>
      <c r="D29" s="167">
        <f>C81</f>
        <v>18.3717676157863</v>
      </c>
      <c r="G29" s="119"/>
      <c r="H29" s="114"/>
      <c r="J29" s="113"/>
      <c r="K29" s="113"/>
      <c r="L29" s="113"/>
    </row>
    <row r="30" spans="1:12" x14ac:dyDescent="0.25">
      <c r="A30" s="138">
        <f t="shared" si="4"/>
        <v>923.15</v>
      </c>
      <c r="B30" s="115">
        <v>650</v>
      </c>
      <c r="C30" s="115"/>
      <c r="D30" s="167">
        <f>C97</f>
        <v>32.317217584819502</v>
      </c>
      <c r="G30" s="119"/>
      <c r="H30" s="114"/>
      <c r="J30" s="113"/>
      <c r="K30" s="113"/>
      <c r="L30" s="113"/>
    </row>
    <row r="31" spans="1:12" x14ac:dyDescent="0.25">
      <c r="A31" s="138">
        <f t="shared" si="4"/>
        <v>898.15</v>
      </c>
      <c r="B31" s="115">
        <v>625</v>
      </c>
      <c r="C31" s="115"/>
      <c r="D31" s="167">
        <f>C116</f>
        <v>55.6266644258342</v>
      </c>
      <c r="G31" s="119"/>
      <c r="H31" s="114"/>
      <c r="J31" s="113"/>
      <c r="K31" s="113"/>
      <c r="L31" s="113"/>
    </row>
    <row r="32" spans="1:12" ht="15.75" thickBot="1" x14ac:dyDescent="0.3">
      <c r="A32" s="141">
        <f t="shared" si="4"/>
        <v>873.15</v>
      </c>
      <c r="B32" s="126">
        <v>600</v>
      </c>
      <c r="C32" s="126"/>
      <c r="D32" s="168">
        <f>C133</f>
        <v>102.196015207275</v>
      </c>
      <c r="G32" s="119"/>
      <c r="H32" s="114"/>
      <c r="J32" s="113"/>
      <c r="K32" s="113"/>
      <c r="L32" s="113"/>
    </row>
    <row r="33" spans="1:12" x14ac:dyDescent="0.25">
      <c r="D33" s="113"/>
      <c r="G33" s="119"/>
      <c r="H33" s="114"/>
      <c r="J33" s="113"/>
      <c r="K33" s="113"/>
      <c r="L33" s="113"/>
    </row>
    <row r="34" spans="1:12" x14ac:dyDescent="0.25">
      <c r="G34" s="119"/>
      <c r="H34" s="114"/>
      <c r="J34" s="113"/>
      <c r="K34" s="113"/>
      <c r="L34" s="113"/>
    </row>
    <row r="35" spans="1:12" s="126" customFormat="1" ht="15.75" thickBot="1" x14ac:dyDescent="0.3">
      <c r="G35" s="128"/>
      <c r="H35" s="129"/>
      <c r="J35" s="130"/>
      <c r="K35" s="130"/>
      <c r="L35" s="130"/>
    </row>
    <row r="36" spans="1:12" ht="60" x14ac:dyDescent="0.25">
      <c r="A36" s="118" t="s">
        <v>26</v>
      </c>
      <c r="G36" s="119"/>
      <c r="H36" s="114"/>
    </row>
    <row r="37" spans="1:12" ht="45" x14ac:dyDescent="0.25">
      <c r="A37" s="111" t="s">
        <v>16</v>
      </c>
      <c r="B37" s="111" t="s">
        <v>14</v>
      </c>
      <c r="C37" s="118" t="s">
        <v>35</v>
      </c>
      <c r="E37" s="111" t="s">
        <v>16</v>
      </c>
      <c r="F37" s="111" t="s">
        <v>14</v>
      </c>
      <c r="G37" s="118" t="s">
        <v>87</v>
      </c>
      <c r="H37" s="118" t="s">
        <v>20</v>
      </c>
    </row>
    <row r="38" spans="1:12" x14ac:dyDescent="0.25">
      <c r="A38" s="112">
        <f>B38+273.15</f>
        <v>1023.4541577825164</v>
      </c>
      <c r="B38" s="117">
        <v>750.30415778251643</v>
      </c>
      <c r="C38" s="114">
        <v>4.47654955263042</v>
      </c>
      <c r="E38" s="112">
        <f>F38+273.15</f>
        <v>1023.15</v>
      </c>
      <c r="F38" s="111">
        <v>750</v>
      </c>
      <c r="G38" s="113">
        <f>'LSFC,Plonczak (Electrochem)'!D15</f>
        <v>4.7747999999999996E-7</v>
      </c>
      <c r="H38" s="113">
        <f t="shared" ref="H38:H43" si="5">($C$2*E38*$A$2)/(4*($E$2^2)*G38*D26)</f>
        <v>0.10682624974951901</v>
      </c>
    </row>
    <row r="39" spans="1:12" x14ac:dyDescent="0.25">
      <c r="A39" s="112">
        <f t="shared" ref="A39:A102" si="6">B39+273.15</f>
        <v>1021.2765957446816</v>
      </c>
      <c r="B39" s="117">
        <v>748.12659574468159</v>
      </c>
      <c r="C39" s="114">
        <v>4.5748552615674001</v>
      </c>
      <c r="E39" s="112">
        <f t="shared" ref="E39:E43" si="7">F39+273.15</f>
        <v>998.15</v>
      </c>
      <c r="F39" s="111">
        <v>725</v>
      </c>
      <c r="G39" s="113">
        <f>'LSFC,Plonczak (Electrochem)'!D16</f>
        <v>1.6894999999999999E-7</v>
      </c>
      <c r="H39" s="113">
        <f t="shared" si="5"/>
        <v>0.18664581920442494</v>
      </c>
      <c r="J39" s="118"/>
    </row>
    <row r="40" spans="1:12" x14ac:dyDescent="0.25">
      <c r="A40" s="112">
        <f t="shared" si="6"/>
        <v>1019.9745006374847</v>
      </c>
      <c r="B40" s="117">
        <v>746.82450063748468</v>
      </c>
      <c r="C40" s="114">
        <v>4.7779905121539699</v>
      </c>
      <c r="E40" s="112">
        <f t="shared" si="7"/>
        <v>973.15</v>
      </c>
      <c r="F40" s="111">
        <v>700</v>
      </c>
      <c r="G40" s="113">
        <f>'LSFC,Plonczak (Electrochem)'!D17</f>
        <v>7.3000000000000005E-8</v>
      </c>
      <c r="H40" s="113">
        <f t="shared" si="5"/>
        <v>0.26115022743290062</v>
      </c>
      <c r="J40" s="113"/>
    </row>
    <row r="41" spans="1:12" x14ac:dyDescent="0.25">
      <c r="A41" s="112">
        <f t="shared" si="6"/>
        <v>1017.8117048346055</v>
      </c>
      <c r="B41" s="117">
        <v>744.66170483460553</v>
      </c>
      <c r="C41" s="114">
        <v>4.8829159104030504</v>
      </c>
      <c r="E41" s="112">
        <f t="shared" si="7"/>
        <v>948.15</v>
      </c>
      <c r="F41" s="111">
        <v>675</v>
      </c>
      <c r="G41" s="113">
        <f>'LSFC,Plonczak (Electrochem)'!D18</f>
        <v>3.2829000000000002E-8</v>
      </c>
      <c r="H41" s="113">
        <f t="shared" si="5"/>
        <v>0.35083725725931297</v>
      </c>
      <c r="J41" s="113"/>
    </row>
    <row r="42" spans="1:12" x14ac:dyDescent="0.25">
      <c r="A42" s="112">
        <f t="shared" si="6"/>
        <v>1016.0880609652844</v>
      </c>
      <c r="B42" s="117">
        <v>742.93806096528442</v>
      </c>
      <c r="C42" s="114">
        <v>5.0997298400994904</v>
      </c>
      <c r="E42" s="112">
        <f t="shared" si="7"/>
        <v>923.15</v>
      </c>
      <c r="F42" s="111">
        <v>650</v>
      </c>
      <c r="G42" s="113">
        <f>'LSFC,Plonczak (Electrochem)'!D19</f>
        <v>1.2582E-8</v>
      </c>
      <c r="H42" s="113">
        <f t="shared" si="5"/>
        <v>0.50667081154265547</v>
      </c>
      <c r="J42" s="113"/>
    </row>
    <row r="43" spans="1:12" x14ac:dyDescent="0.25">
      <c r="A43" s="112">
        <f t="shared" si="6"/>
        <v>1013.9416983523448</v>
      </c>
      <c r="B43" s="117">
        <v>740.79169835234484</v>
      </c>
      <c r="C43" s="114">
        <v>5.3261708616756396</v>
      </c>
      <c r="E43" s="112">
        <f t="shared" si="7"/>
        <v>898.15</v>
      </c>
      <c r="F43" s="111">
        <v>625</v>
      </c>
      <c r="G43" s="113">
        <f>'LSFC,Plonczak (Electrochem)'!D20</f>
        <v>5.4369800000000004E-9</v>
      </c>
      <c r="H43" s="113">
        <f t="shared" si="5"/>
        <v>0.66274334441720062</v>
      </c>
      <c r="J43" s="113"/>
    </row>
    <row r="44" spans="1:12" x14ac:dyDescent="0.25">
      <c r="A44" s="112">
        <f t="shared" si="6"/>
        <v>1011.8043844856664</v>
      </c>
      <c r="B44" s="117">
        <v>738.65438448566647</v>
      </c>
      <c r="C44" s="114">
        <v>5.4431343837635202</v>
      </c>
      <c r="E44" s="113"/>
      <c r="H44" s="113"/>
      <c r="J44" s="113"/>
    </row>
    <row r="45" spans="1:12" x14ac:dyDescent="0.25">
      <c r="A45" s="112">
        <f t="shared" si="6"/>
        <v>1010.1010101010102</v>
      </c>
      <c r="B45" s="117">
        <v>736.95101010101018</v>
      </c>
      <c r="C45" s="114">
        <v>5.8096630309206203</v>
      </c>
      <c r="E45" s="113"/>
      <c r="H45" s="113"/>
      <c r="J45" s="113"/>
    </row>
    <row r="46" spans="1:12" x14ac:dyDescent="0.25">
      <c r="A46" s="112">
        <f t="shared" si="6"/>
        <v>1007.9798404031923</v>
      </c>
      <c r="B46" s="117">
        <v>734.82984040319229</v>
      </c>
      <c r="C46" s="114">
        <v>5.9372441145710901</v>
      </c>
      <c r="E46" s="113"/>
      <c r="H46" s="113"/>
      <c r="J46" s="113"/>
    </row>
    <row r="47" spans="1:12" x14ac:dyDescent="0.25">
      <c r="A47" s="112">
        <f t="shared" si="6"/>
        <v>1006.2893081761006</v>
      </c>
      <c r="B47" s="117">
        <v>733.1393081761006</v>
      </c>
      <c r="C47" s="114">
        <v>6.2008729076258096</v>
      </c>
      <c r="E47" s="113"/>
      <c r="H47" s="113"/>
      <c r="J47" s="113"/>
    </row>
    <row r="48" spans="1:12" x14ac:dyDescent="0.25">
      <c r="A48" s="112">
        <f t="shared" si="6"/>
        <v>1004.1841004184104</v>
      </c>
      <c r="B48" s="117">
        <v>731.03410041841039</v>
      </c>
      <c r="C48" s="114">
        <v>6.3370450196611001</v>
      </c>
      <c r="E48" s="113"/>
      <c r="H48" s="114"/>
      <c r="J48" s="113"/>
    </row>
    <row r="49" spans="1:10" x14ac:dyDescent="0.25">
      <c r="A49" s="112">
        <f t="shared" si="6"/>
        <v>1002.0876826722345</v>
      </c>
      <c r="B49" s="117">
        <v>728.93768267223447</v>
      </c>
      <c r="C49" s="114">
        <v>6.4762074919847503</v>
      </c>
      <c r="E49" s="113"/>
      <c r="H49" s="114"/>
      <c r="J49" s="113"/>
    </row>
    <row r="50" spans="1:10" x14ac:dyDescent="0.25">
      <c r="A50" s="112">
        <f t="shared" si="6"/>
        <v>1000.8340283569648</v>
      </c>
      <c r="B50" s="117">
        <v>727.68402835696486</v>
      </c>
      <c r="C50" s="114">
        <v>6.76376763465999</v>
      </c>
      <c r="E50" s="113"/>
      <c r="H50" s="114"/>
      <c r="J50" s="113"/>
    </row>
    <row r="51" spans="1:10" x14ac:dyDescent="0.25">
      <c r="A51" s="112">
        <f t="shared" si="6"/>
        <v>999.58350687214318</v>
      </c>
      <c r="B51" s="117">
        <v>726.4335068721432</v>
      </c>
      <c r="C51" s="114">
        <v>7.0640961816455903</v>
      </c>
      <c r="E51" s="113"/>
      <c r="H51" s="114"/>
      <c r="J51" s="113"/>
    </row>
    <row r="52" spans="1:10" x14ac:dyDescent="0.25">
      <c r="A52" s="112">
        <f t="shared" si="6"/>
        <v>997.5062344139651</v>
      </c>
      <c r="B52" s="117">
        <v>724.35623441396513</v>
      </c>
      <c r="C52" s="114">
        <v>7.2192248080511003</v>
      </c>
      <c r="E52" s="113"/>
      <c r="H52" s="114"/>
      <c r="J52" s="113"/>
    </row>
    <row r="53" spans="1:10" x14ac:dyDescent="0.25">
      <c r="A53" s="112">
        <f t="shared" si="6"/>
        <v>995.43757776856398</v>
      </c>
      <c r="B53" s="117">
        <v>722.28757776856401</v>
      </c>
      <c r="C53" s="114">
        <v>7.5397768160553298</v>
      </c>
      <c r="E53" s="113"/>
      <c r="H53" s="114"/>
      <c r="J53" s="113"/>
    </row>
    <row r="54" spans="1:10" x14ac:dyDescent="0.25">
      <c r="A54" s="112">
        <f t="shared" si="6"/>
        <v>993.78881987577631</v>
      </c>
      <c r="B54" s="117">
        <v>720.63881987577633</v>
      </c>
      <c r="C54" s="114">
        <v>7.5397768160553298</v>
      </c>
      <c r="E54" s="113"/>
      <c r="H54" s="114"/>
      <c r="J54" s="113"/>
    </row>
    <row r="55" spans="1:10" x14ac:dyDescent="0.25">
      <c r="A55" s="112">
        <f t="shared" si="6"/>
        <v>991.73553719008601</v>
      </c>
      <c r="B55" s="117">
        <v>718.58553719008603</v>
      </c>
      <c r="C55" s="114">
        <v>7.8745621513997897</v>
      </c>
      <c r="E55" s="113"/>
      <c r="H55" s="114"/>
      <c r="J55" s="113"/>
    </row>
    <row r="56" spans="1:10" x14ac:dyDescent="0.25">
      <c r="A56" s="112">
        <f t="shared" si="6"/>
        <v>989.69072164949102</v>
      </c>
      <c r="B56" s="117">
        <v>716.54072164949105</v>
      </c>
      <c r="C56" s="114">
        <v>8.2242128101478507</v>
      </c>
      <c r="E56" s="113"/>
      <c r="H56" s="114"/>
      <c r="J56" s="113"/>
    </row>
    <row r="57" spans="1:10" x14ac:dyDescent="0.25">
      <c r="A57" s="112">
        <f t="shared" si="6"/>
        <v>988.06093042404621</v>
      </c>
      <c r="B57" s="117">
        <v>714.91093042404623</v>
      </c>
      <c r="C57" s="114">
        <v>8.5893888506012495</v>
      </c>
      <c r="E57" s="113"/>
      <c r="H57" s="114"/>
      <c r="J57" s="113"/>
    </row>
    <row r="58" spans="1:10" x14ac:dyDescent="0.25">
      <c r="A58" s="112">
        <f t="shared" si="6"/>
        <v>986.43649815043159</v>
      </c>
      <c r="B58" s="117">
        <v>713.28649815043161</v>
      </c>
      <c r="C58" s="114">
        <v>8.5893888506012495</v>
      </c>
      <c r="E58" s="113"/>
      <c r="F58" s="119"/>
      <c r="G58" s="119"/>
      <c r="H58" s="114"/>
      <c r="J58" s="113"/>
    </row>
    <row r="59" spans="1:10" x14ac:dyDescent="0.25">
      <c r="A59" s="112">
        <f t="shared" si="6"/>
        <v>985.22167487684737</v>
      </c>
      <c r="B59" s="117">
        <v>712.0716748768474</v>
      </c>
      <c r="C59" s="114">
        <v>8.97077963933509</v>
      </c>
      <c r="E59" s="113"/>
      <c r="F59" s="119"/>
      <c r="G59" s="114"/>
      <c r="H59" s="114"/>
      <c r="J59" s="113"/>
    </row>
    <row r="60" spans="1:10" x14ac:dyDescent="0.25">
      <c r="A60" s="112">
        <f t="shared" si="6"/>
        <v>983.20360507988846</v>
      </c>
      <c r="B60" s="117">
        <v>710.05360507988848</v>
      </c>
      <c r="C60" s="114">
        <v>9.1677793244260695</v>
      </c>
      <c r="E60" s="113"/>
      <c r="F60" s="119"/>
      <c r="G60" s="114"/>
      <c r="H60" s="114"/>
    </row>
    <row r="61" spans="1:10" x14ac:dyDescent="0.25">
      <c r="A61" s="112">
        <f t="shared" si="6"/>
        <v>981.99672667758102</v>
      </c>
      <c r="B61" s="117">
        <v>708.84672667758105</v>
      </c>
      <c r="C61" s="114">
        <v>9.5748521264957702</v>
      </c>
      <c r="E61" s="113"/>
      <c r="F61" s="119"/>
      <c r="G61" s="114"/>
      <c r="H61" s="114"/>
    </row>
    <row r="62" spans="1:10" x14ac:dyDescent="0.25">
      <c r="A62" s="112">
        <f t="shared" si="6"/>
        <v>979.99183340139462</v>
      </c>
      <c r="B62" s="117">
        <v>706.84183340139464</v>
      </c>
      <c r="C62" s="114">
        <v>10</v>
      </c>
      <c r="E62" s="113"/>
      <c r="F62" s="119"/>
      <c r="G62" s="114"/>
      <c r="H62" s="114"/>
    </row>
    <row r="63" spans="1:10" x14ac:dyDescent="0.25">
      <c r="A63" s="112">
        <f t="shared" si="6"/>
        <v>978.39380350591443</v>
      </c>
      <c r="B63" s="117">
        <v>705.24380350591446</v>
      </c>
      <c r="C63" s="114">
        <v>10.219601520727499</v>
      </c>
      <c r="E63" s="113"/>
      <c r="F63" s="119"/>
      <c r="G63" s="114"/>
      <c r="H63" s="114"/>
    </row>
    <row r="64" spans="1:10" x14ac:dyDescent="0.25">
      <c r="A64" s="112">
        <f t="shared" si="6"/>
        <v>976.40358014646688</v>
      </c>
      <c r="B64" s="117">
        <v>703.2535801464669</v>
      </c>
      <c r="C64" s="114">
        <v>10.6733779130098</v>
      </c>
      <c r="F64" s="119"/>
      <c r="G64" s="114"/>
      <c r="H64" s="114"/>
    </row>
    <row r="65" spans="1:8" x14ac:dyDescent="0.25">
      <c r="A65" s="112">
        <f t="shared" si="6"/>
        <v>975.21332791548787</v>
      </c>
      <c r="B65" s="117">
        <v>702.06332791548789</v>
      </c>
      <c r="C65" s="114">
        <v>11.1473031353395</v>
      </c>
      <c r="F65" s="119"/>
      <c r="G65" s="114"/>
      <c r="H65" s="114"/>
    </row>
    <row r="66" spans="1:8" x14ac:dyDescent="0.25">
      <c r="A66" s="112">
        <f t="shared" si="6"/>
        <v>973.63083164300519</v>
      </c>
      <c r="B66" s="117">
        <v>700.48083164300522</v>
      </c>
      <c r="C66" s="114">
        <v>11.3920996073926</v>
      </c>
      <c r="F66" s="119"/>
      <c r="G66" s="114"/>
      <c r="H66" s="114"/>
    </row>
    <row r="67" spans="1:8" x14ac:dyDescent="0.25">
      <c r="A67" s="112">
        <f t="shared" si="6"/>
        <v>971.26669364630027</v>
      </c>
      <c r="B67" s="117">
        <v>698.11669364630029</v>
      </c>
      <c r="C67" s="114">
        <v>11.8979379074358</v>
      </c>
      <c r="F67" s="119"/>
      <c r="G67" s="114"/>
      <c r="H67" s="114"/>
    </row>
    <row r="68" spans="1:8" x14ac:dyDescent="0.25">
      <c r="A68" s="112">
        <f t="shared" si="6"/>
        <v>970.08892481811154</v>
      </c>
      <c r="B68" s="117">
        <v>696.93892481811156</v>
      </c>
      <c r="C68" s="114">
        <v>12.426236719115</v>
      </c>
      <c r="F68" s="119"/>
      <c r="G68" s="114"/>
      <c r="H68" s="114"/>
    </row>
    <row r="69" spans="1:8" x14ac:dyDescent="0.25">
      <c r="A69" s="112">
        <f t="shared" si="6"/>
        <v>968.52300242130752</v>
      </c>
      <c r="B69" s="117">
        <v>695.37300242130755</v>
      </c>
      <c r="C69" s="114">
        <v>12.699118767158801</v>
      </c>
      <c r="F69" s="119"/>
      <c r="G69" s="114"/>
      <c r="H69" s="114"/>
    </row>
    <row r="70" spans="1:8" x14ac:dyDescent="0.25">
      <c r="A70" s="112">
        <f t="shared" si="6"/>
        <v>966.57269432138844</v>
      </c>
      <c r="B70" s="117">
        <v>693.42269432138846</v>
      </c>
      <c r="C70" s="114">
        <v>12.9779933464756</v>
      </c>
      <c r="F70" s="119"/>
      <c r="G70" s="114"/>
      <c r="H70" s="114"/>
    </row>
    <row r="71" spans="1:8" x14ac:dyDescent="0.25">
      <c r="A71" s="112">
        <f t="shared" si="6"/>
        <v>965.40627514079142</v>
      </c>
      <c r="B71" s="117">
        <v>692.25627514079144</v>
      </c>
      <c r="C71" s="114">
        <v>13.554249376408199</v>
      </c>
      <c r="F71" s="119"/>
      <c r="G71" s="114"/>
      <c r="H71" s="114"/>
    </row>
    <row r="72" spans="1:8" x14ac:dyDescent="0.25">
      <c r="A72" s="112">
        <f t="shared" si="6"/>
        <v>963.46848655159192</v>
      </c>
      <c r="B72" s="117">
        <v>690.31848655159195</v>
      </c>
      <c r="C72" s="114">
        <v>13.851902753946201</v>
      </c>
      <c r="F72" s="119"/>
      <c r="G72" s="114"/>
      <c r="H72" s="114"/>
    </row>
    <row r="73" spans="1:8" x14ac:dyDescent="0.25">
      <c r="A73" s="112">
        <f t="shared" si="6"/>
        <v>961.53846153846155</v>
      </c>
      <c r="B73" s="117">
        <v>688.38846153846157</v>
      </c>
      <c r="C73" s="114">
        <v>14.4669625921583</v>
      </c>
      <c r="F73" s="119"/>
      <c r="G73" s="114"/>
      <c r="H73" s="114"/>
    </row>
    <row r="74" spans="1:8" x14ac:dyDescent="0.25">
      <c r="A74" s="112">
        <f t="shared" si="6"/>
        <v>960.38415366146455</v>
      </c>
      <c r="B74" s="117">
        <v>687.23415366146457</v>
      </c>
      <c r="C74" s="114">
        <v>14.784659290713</v>
      </c>
      <c r="F74" s="119"/>
      <c r="G74" s="114"/>
      <c r="H74" s="114"/>
    </row>
    <row r="75" spans="1:8" x14ac:dyDescent="0.25">
      <c r="A75" s="112">
        <f t="shared" si="6"/>
        <v>958.84938074311435</v>
      </c>
      <c r="B75" s="117">
        <v>685.69938074311438</v>
      </c>
      <c r="C75" s="114">
        <v>15.1093326570809</v>
      </c>
      <c r="F75" s="119"/>
      <c r="G75" s="114"/>
      <c r="H75" s="114"/>
    </row>
    <row r="76" spans="1:8" x14ac:dyDescent="0.25">
      <c r="A76" s="112">
        <f t="shared" si="6"/>
        <v>956.93779904306223</v>
      </c>
      <c r="B76" s="117">
        <v>683.78779904306225</v>
      </c>
      <c r="C76" s="114">
        <v>15.4411358999483</v>
      </c>
      <c r="F76" s="119"/>
      <c r="G76" s="114"/>
      <c r="H76" s="114"/>
    </row>
    <row r="77" spans="1:8" x14ac:dyDescent="0.25">
      <c r="A77" s="112">
        <f t="shared" si="6"/>
        <v>956.17529880478389</v>
      </c>
      <c r="B77" s="117">
        <v>683.02529880478392</v>
      </c>
      <c r="C77" s="114">
        <v>16.1267617462406</v>
      </c>
      <c r="F77" s="119"/>
      <c r="G77" s="114"/>
      <c r="H77" s="114"/>
    </row>
    <row r="78" spans="1:8" x14ac:dyDescent="0.25">
      <c r="A78" s="112">
        <f t="shared" si="6"/>
        <v>953.89507154213334</v>
      </c>
      <c r="B78" s="117">
        <v>680.74507154213336</v>
      </c>
      <c r="C78" s="114">
        <v>16.8428311301166</v>
      </c>
      <c r="F78" s="119"/>
      <c r="G78" s="114"/>
      <c r="H78" s="114"/>
    </row>
    <row r="79" spans="1:8" x14ac:dyDescent="0.25">
      <c r="A79" s="112">
        <f t="shared" si="6"/>
        <v>952.0031733439173</v>
      </c>
      <c r="B79" s="117">
        <v>678.85317334391732</v>
      </c>
      <c r="C79" s="114">
        <v>17.212702263069701</v>
      </c>
      <c r="F79" s="119"/>
      <c r="G79" s="114"/>
      <c r="H79" s="114"/>
    </row>
    <row r="80" spans="1:8" x14ac:dyDescent="0.25">
      <c r="A80" s="112">
        <f t="shared" si="6"/>
        <v>951.2485136741974</v>
      </c>
      <c r="B80" s="117">
        <v>678.09851367419742</v>
      </c>
      <c r="C80" s="114">
        <v>17.590695822349801</v>
      </c>
      <c r="F80" s="119"/>
      <c r="G80" s="114"/>
      <c r="H80" s="114"/>
    </row>
    <row r="81" spans="1:8" x14ac:dyDescent="0.25">
      <c r="A81" s="112">
        <f t="shared" si="6"/>
        <v>948.99169632265716</v>
      </c>
      <c r="B81" s="117">
        <v>675.84169632265719</v>
      </c>
      <c r="C81" s="114">
        <v>18.3717676157863</v>
      </c>
      <c r="F81" s="119"/>
      <c r="G81" s="114"/>
      <c r="H81" s="114"/>
    </row>
    <row r="82" spans="1:8" x14ac:dyDescent="0.25">
      <c r="A82" s="112">
        <f t="shared" si="6"/>
        <v>947.11917916338098</v>
      </c>
      <c r="B82" s="117">
        <v>673.969179163381</v>
      </c>
      <c r="C82" s="114">
        <v>19.6088818693284</v>
      </c>
      <c r="F82" s="119"/>
      <c r="G82" s="114"/>
      <c r="H82" s="114"/>
    </row>
    <row r="83" spans="1:8" x14ac:dyDescent="0.25">
      <c r="A83" s="112">
        <f t="shared" si="6"/>
        <v>945.62647754137106</v>
      </c>
      <c r="B83" s="117">
        <v>672.47647754137108</v>
      </c>
      <c r="C83" s="114">
        <v>20.039495897155501</v>
      </c>
      <c r="F83" s="119"/>
      <c r="G83" s="114"/>
      <c r="H83" s="114"/>
    </row>
    <row r="84" spans="1:8" x14ac:dyDescent="0.25">
      <c r="A84" s="112">
        <f t="shared" si="6"/>
        <v>944.13847364280696</v>
      </c>
      <c r="B84" s="117">
        <v>670.98847364280698</v>
      </c>
      <c r="C84" s="114">
        <v>20.479566274518401</v>
      </c>
      <c r="F84" s="119"/>
      <c r="G84" s="114"/>
      <c r="H84" s="114"/>
    </row>
    <row r="85" spans="1:8" x14ac:dyDescent="0.25">
      <c r="A85" s="112">
        <f t="shared" si="6"/>
        <v>943.02554027505516</v>
      </c>
      <c r="B85" s="117">
        <v>669.87554027505519</v>
      </c>
      <c r="C85" s="114">
        <v>21.8586150342467</v>
      </c>
      <c r="F85" s="119"/>
      <c r="G85" s="114"/>
      <c r="H85" s="114"/>
    </row>
    <row r="86" spans="1:8" x14ac:dyDescent="0.25">
      <c r="A86" s="112">
        <f t="shared" si="6"/>
        <v>941.17647058823525</v>
      </c>
      <c r="B86" s="117">
        <v>668.02647058823527</v>
      </c>
      <c r="C86" s="114">
        <v>22.338633544498599</v>
      </c>
      <c r="F86" s="119"/>
      <c r="G86" s="114"/>
      <c r="H86" s="114"/>
    </row>
    <row r="87" spans="1:8" x14ac:dyDescent="0.25">
      <c r="A87" s="112">
        <f t="shared" si="6"/>
        <v>939.33463796477781</v>
      </c>
      <c r="B87" s="117">
        <v>666.18463796477783</v>
      </c>
      <c r="C87" s="114">
        <v>22.829193334233299</v>
      </c>
      <c r="F87" s="119"/>
      <c r="G87" s="114"/>
      <c r="H87" s="114"/>
    </row>
    <row r="88" spans="1:8" x14ac:dyDescent="0.25">
      <c r="A88" s="112">
        <f t="shared" si="6"/>
        <v>938.23299452697711</v>
      </c>
      <c r="B88" s="117">
        <v>665.08299452697713</v>
      </c>
      <c r="C88" s="114">
        <v>23.842867788067199</v>
      </c>
      <c r="F88" s="119"/>
      <c r="G88" s="114"/>
      <c r="H88" s="114"/>
    </row>
    <row r="89" spans="1:8" x14ac:dyDescent="0.25">
      <c r="A89" s="112">
        <f t="shared" si="6"/>
        <v>936.03744149766283</v>
      </c>
      <c r="B89" s="117">
        <v>662.88744149766285</v>
      </c>
      <c r="C89" s="114">
        <v>24.901551974979</v>
      </c>
      <c r="F89" s="119"/>
      <c r="G89" s="114"/>
      <c r="H89" s="114"/>
    </row>
    <row r="90" spans="1:8" x14ac:dyDescent="0.25">
      <c r="A90" s="112">
        <f t="shared" si="6"/>
        <v>933.85214007782395</v>
      </c>
      <c r="B90" s="117">
        <v>660.70214007782397</v>
      </c>
      <c r="C90" s="114">
        <v>25.448393843197099</v>
      </c>
      <c r="F90" s="119"/>
      <c r="G90" s="114"/>
      <c r="H90" s="114"/>
    </row>
    <row r="91" spans="1:8" x14ac:dyDescent="0.25">
      <c r="A91" s="112">
        <f t="shared" si="6"/>
        <v>932.03883495146204</v>
      </c>
      <c r="B91" s="117">
        <v>658.88883495146206</v>
      </c>
      <c r="C91" s="114">
        <v>27.162032476755599</v>
      </c>
      <c r="F91" s="119"/>
      <c r="G91" s="114"/>
      <c r="H91" s="114"/>
    </row>
    <row r="92" spans="1:8" x14ac:dyDescent="0.25">
      <c r="A92" s="112">
        <f t="shared" si="6"/>
        <v>930.23255813953494</v>
      </c>
      <c r="B92" s="117">
        <v>657.08255813953497</v>
      </c>
      <c r="C92" s="114">
        <v>27.758514840550301</v>
      </c>
      <c r="F92" s="119"/>
      <c r="G92" s="114"/>
      <c r="H92" s="114"/>
    </row>
    <row r="93" spans="1:8" x14ac:dyDescent="0.25">
      <c r="A93" s="112">
        <f t="shared" si="6"/>
        <v>929.51200619674955</v>
      </c>
      <c r="B93" s="117">
        <v>656.36200619674958</v>
      </c>
      <c r="C93" s="114">
        <v>28.991063750986001</v>
      </c>
      <c r="F93" s="119"/>
      <c r="G93" s="114"/>
      <c r="H93" s="114"/>
    </row>
    <row r="94" spans="1:8" x14ac:dyDescent="0.25">
      <c r="A94" s="112">
        <f t="shared" si="6"/>
        <v>927.7155005798279</v>
      </c>
      <c r="B94" s="117">
        <v>654.56550057982793</v>
      </c>
      <c r="C94" s="114">
        <v>29.627711919708599</v>
      </c>
      <c r="F94" s="119"/>
      <c r="G94" s="114"/>
      <c r="H94" s="114"/>
    </row>
    <row r="95" spans="1:8" x14ac:dyDescent="0.25">
      <c r="A95" s="112">
        <f t="shared" si="6"/>
        <v>926.28328830567636</v>
      </c>
      <c r="B95" s="117">
        <v>653.13328830567639</v>
      </c>
      <c r="C95" s="114">
        <v>30.278340979033299</v>
      </c>
      <c r="F95" s="119"/>
      <c r="G95" s="114"/>
      <c r="H95" s="114"/>
    </row>
    <row r="96" spans="1:8" x14ac:dyDescent="0.25">
      <c r="A96" s="112">
        <f t="shared" si="6"/>
        <v>924.85549132947972</v>
      </c>
      <c r="B96" s="117">
        <v>651.70549132947974</v>
      </c>
      <c r="C96" s="114">
        <v>31.6227766016838</v>
      </c>
      <c r="F96" s="119"/>
      <c r="G96" s="114"/>
      <c r="H96" s="114"/>
    </row>
    <row r="97" spans="1:8" x14ac:dyDescent="0.25">
      <c r="A97" s="112">
        <f t="shared" si="6"/>
        <v>923.43208926510761</v>
      </c>
      <c r="B97" s="117">
        <v>650.28208926510763</v>
      </c>
      <c r="C97" s="114">
        <v>32.317217584819502</v>
      </c>
      <c r="F97" s="119"/>
      <c r="G97" s="114"/>
      <c r="H97" s="114"/>
    </row>
    <row r="98" spans="1:8" x14ac:dyDescent="0.25">
      <c r="A98" s="112">
        <f t="shared" si="6"/>
        <v>921.65898617511527</v>
      </c>
      <c r="B98" s="117">
        <v>648.5089861751153</v>
      </c>
      <c r="C98" s="114">
        <v>32.317217584819502</v>
      </c>
      <c r="F98" s="119"/>
      <c r="G98" s="114"/>
      <c r="H98" s="114"/>
    </row>
    <row r="99" spans="1:8" x14ac:dyDescent="0.25">
      <c r="A99" s="112">
        <f t="shared" si="6"/>
        <v>920.59838895281939</v>
      </c>
      <c r="B99" s="117">
        <v>647.44838895281941</v>
      </c>
      <c r="C99" s="114">
        <v>34.493387637974699</v>
      </c>
      <c r="F99" s="119"/>
      <c r="G99" s="114"/>
      <c r="H99" s="114"/>
    </row>
    <row r="100" spans="1:8" x14ac:dyDescent="0.25">
      <c r="A100" s="112">
        <f t="shared" si="6"/>
        <v>919.18805055534847</v>
      </c>
      <c r="B100" s="117">
        <v>646.03805055534849</v>
      </c>
      <c r="C100" s="114">
        <v>35.250867676009101</v>
      </c>
      <c r="F100" s="119"/>
      <c r="G100" s="114"/>
      <c r="H100" s="114"/>
    </row>
    <row r="101" spans="1:8" x14ac:dyDescent="0.25">
      <c r="A101" s="112">
        <f t="shared" si="6"/>
        <v>917.43119266055885</v>
      </c>
      <c r="B101" s="117">
        <v>644.28119266055887</v>
      </c>
      <c r="C101" s="114">
        <v>36.816096176004699</v>
      </c>
      <c r="F101" s="119"/>
      <c r="G101" s="114"/>
      <c r="H101" s="114"/>
    </row>
    <row r="102" spans="1:8" x14ac:dyDescent="0.25">
      <c r="A102" s="112">
        <f t="shared" si="6"/>
        <v>916.38029782359672</v>
      </c>
      <c r="B102" s="117">
        <v>643.23029782359674</v>
      </c>
      <c r="C102" s="114">
        <v>38.4508248165277</v>
      </c>
      <c r="F102" s="119"/>
      <c r="G102" s="114"/>
      <c r="H102" s="114"/>
    </row>
    <row r="103" spans="1:8" x14ac:dyDescent="0.25">
      <c r="A103" s="112">
        <f t="shared" ref="A103:A133" si="8">B103+273.15</f>
        <v>914.98284407167921</v>
      </c>
      <c r="B103" s="117">
        <v>641.83284407167923</v>
      </c>
      <c r="C103" s="114">
        <v>38.4508248165277</v>
      </c>
      <c r="F103" s="119"/>
      <c r="G103" s="114"/>
      <c r="H103" s="114"/>
    </row>
    <row r="104" spans="1:8" x14ac:dyDescent="0.25">
      <c r="A104" s="112">
        <f t="shared" si="8"/>
        <v>913.58964598401508</v>
      </c>
      <c r="B104" s="117">
        <v>640.4396459840151</v>
      </c>
      <c r="C104" s="114">
        <v>40.158139581211501</v>
      </c>
      <c r="F104" s="119"/>
      <c r="G104" s="114"/>
      <c r="H104" s="114"/>
    </row>
    <row r="105" spans="1:8" x14ac:dyDescent="0.25">
      <c r="A105" s="112">
        <f t="shared" si="8"/>
        <v>912.54752851711294</v>
      </c>
      <c r="B105" s="117">
        <v>639.39752851711296</v>
      </c>
      <c r="C105" s="114">
        <v>41.040018433373803</v>
      </c>
      <c r="F105" s="119"/>
      <c r="G105" s="114"/>
      <c r="H105" s="119"/>
    </row>
    <row r="106" spans="1:8" x14ac:dyDescent="0.25">
      <c r="A106" s="112">
        <f t="shared" si="8"/>
        <v>911.50778579567304</v>
      </c>
      <c r="B106" s="117">
        <v>638.35778579567307</v>
      </c>
      <c r="C106" s="114">
        <v>41.941263479239403</v>
      </c>
      <c r="F106" s="119"/>
      <c r="G106" s="114"/>
    </row>
    <row r="107" spans="1:8" x14ac:dyDescent="0.25">
      <c r="A107" s="112">
        <f t="shared" si="8"/>
        <v>909.78013646702607</v>
      </c>
      <c r="B107" s="117">
        <v>636.63013646702609</v>
      </c>
      <c r="C107" s="114">
        <v>43.803562629628999</v>
      </c>
      <c r="F107" s="119"/>
      <c r="G107" s="114"/>
    </row>
    <row r="108" spans="1:8" x14ac:dyDescent="0.25">
      <c r="A108" s="112">
        <f t="shared" si="8"/>
        <v>908.40272520817837</v>
      </c>
      <c r="B108" s="117">
        <v>635.25272520817839</v>
      </c>
      <c r="C108" s="114">
        <v>44.7654955263042</v>
      </c>
      <c r="F108" s="119"/>
      <c r="G108" s="114"/>
    </row>
    <row r="109" spans="1:8" x14ac:dyDescent="0.25">
      <c r="A109" s="112">
        <f t="shared" si="8"/>
        <v>907.37240075614648</v>
      </c>
      <c r="B109" s="117">
        <v>634.2224007561465</v>
      </c>
      <c r="C109" s="114">
        <v>44.7654955263042</v>
      </c>
      <c r="F109" s="119"/>
      <c r="G109" s="114"/>
    </row>
    <row r="110" spans="1:8" x14ac:dyDescent="0.25">
      <c r="A110" s="112">
        <f t="shared" si="8"/>
        <v>906.00226500566248</v>
      </c>
      <c r="B110" s="117">
        <v>632.8522650056625</v>
      </c>
      <c r="C110" s="114">
        <v>46.7531977882227</v>
      </c>
      <c r="F110" s="119"/>
      <c r="G110" s="114"/>
    </row>
    <row r="111" spans="1:8" x14ac:dyDescent="0.25">
      <c r="A111" s="112">
        <f t="shared" si="8"/>
        <v>904.97737556561083</v>
      </c>
      <c r="B111" s="117">
        <v>631.82737556561085</v>
      </c>
      <c r="C111" s="114">
        <v>47.779905121539699</v>
      </c>
      <c r="F111" s="119"/>
      <c r="G111" s="114"/>
    </row>
    <row r="112" spans="1:8" x14ac:dyDescent="0.25">
      <c r="A112" s="112">
        <f t="shared" si="8"/>
        <v>903.95480225988706</v>
      </c>
      <c r="B112" s="117">
        <v>630.80480225988708</v>
      </c>
      <c r="C112" s="114">
        <v>48.829159104030502</v>
      </c>
      <c r="F112" s="119"/>
      <c r="G112" s="114"/>
    </row>
    <row r="113" spans="1:7" x14ac:dyDescent="0.25">
      <c r="A113" s="112">
        <f t="shared" si="8"/>
        <v>902.93453724605001</v>
      </c>
      <c r="B113" s="112">
        <v>629.78453724605004</v>
      </c>
      <c r="C113" s="114">
        <v>49.901454863539797</v>
      </c>
      <c r="F113" s="119"/>
      <c r="G113" s="114"/>
    </row>
    <row r="114" spans="1:7" x14ac:dyDescent="0.25">
      <c r="A114" s="112">
        <f t="shared" si="8"/>
        <v>901.23920390537251</v>
      </c>
      <c r="B114" s="112">
        <v>628.08920390537253</v>
      </c>
      <c r="C114" s="114">
        <v>52.117206829180397</v>
      </c>
      <c r="F114" s="119"/>
      <c r="G114" s="114"/>
    </row>
    <row r="115" spans="1:7" x14ac:dyDescent="0.25">
      <c r="A115" s="112">
        <f t="shared" si="8"/>
        <v>899.55022488756163</v>
      </c>
      <c r="B115" s="112">
        <v>626.40022488756165</v>
      </c>
      <c r="C115" s="114">
        <v>53.261708616756401</v>
      </c>
      <c r="F115" s="119"/>
      <c r="G115" s="114"/>
    </row>
    <row r="116" spans="1:7" x14ac:dyDescent="0.25">
      <c r="A116" s="112">
        <f t="shared" si="8"/>
        <v>898.20359281437402</v>
      </c>
      <c r="B116" s="112">
        <v>625.05359281437404</v>
      </c>
      <c r="C116" s="114">
        <v>55.6266644258342</v>
      </c>
      <c r="F116" s="119"/>
      <c r="G116" s="114"/>
    </row>
    <row r="117" spans="1:7" x14ac:dyDescent="0.25">
      <c r="A117" s="112">
        <f t="shared" si="8"/>
        <v>896.86098654708519</v>
      </c>
      <c r="B117" s="112">
        <v>623.71098654708521</v>
      </c>
      <c r="C117" s="114">
        <v>58.096630309206198</v>
      </c>
      <c r="F117" s="119"/>
      <c r="G117" s="114"/>
    </row>
    <row r="118" spans="1:7" x14ac:dyDescent="0.25">
      <c r="A118" s="112">
        <f t="shared" si="8"/>
        <v>895.1883625512894</v>
      </c>
      <c r="B118" s="112">
        <v>622.03836255128942</v>
      </c>
      <c r="C118" s="114">
        <v>60.676268982201499</v>
      </c>
      <c r="F118" s="119"/>
      <c r="G118" s="114"/>
    </row>
    <row r="119" spans="1:7" x14ac:dyDescent="0.25">
      <c r="A119" s="112">
        <f t="shared" si="8"/>
        <v>894.18777943368366</v>
      </c>
      <c r="B119" s="112">
        <v>621.03777943368368</v>
      </c>
      <c r="C119" s="114">
        <v>63.370450196611003</v>
      </c>
      <c r="F119" s="119"/>
      <c r="G119" s="114"/>
    </row>
    <row r="120" spans="1:7" x14ac:dyDescent="0.25">
      <c r="A120" s="112">
        <f t="shared" si="8"/>
        <v>892.52510226850666</v>
      </c>
      <c r="B120" s="112">
        <v>619.37510226850668</v>
      </c>
      <c r="C120" s="114">
        <v>64.762074919847507</v>
      </c>
      <c r="F120" s="119"/>
      <c r="G120" s="114"/>
    </row>
    <row r="121" spans="1:7" x14ac:dyDescent="0.25">
      <c r="A121" s="112">
        <f t="shared" si="8"/>
        <v>891.19940586706537</v>
      </c>
      <c r="B121" s="112">
        <v>618.04940586706539</v>
      </c>
      <c r="C121" s="114">
        <v>66.184259933634493</v>
      </c>
      <c r="F121" s="119"/>
      <c r="G121" s="114"/>
    </row>
    <row r="122" spans="1:7" x14ac:dyDescent="0.25">
      <c r="A122" s="112">
        <f t="shared" si="8"/>
        <v>889.87764182424917</v>
      </c>
      <c r="B122" s="112">
        <v>616.72764182424919</v>
      </c>
      <c r="C122" s="114">
        <v>69.123010005019097</v>
      </c>
      <c r="F122" s="119"/>
      <c r="G122" s="114"/>
    </row>
    <row r="123" spans="1:7" x14ac:dyDescent="0.25">
      <c r="A123" s="112">
        <f t="shared" si="8"/>
        <v>888.55979266938687</v>
      </c>
      <c r="B123" s="112">
        <v>615.40979266938689</v>
      </c>
      <c r="C123" s="114">
        <v>69.123010005019097</v>
      </c>
      <c r="F123" s="119"/>
      <c r="G123" s="114"/>
    </row>
    <row r="124" spans="1:7" x14ac:dyDescent="0.25">
      <c r="A124" s="112">
        <f t="shared" si="8"/>
        <v>886.5903213889967</v>
      </c>
      <c r="B124" s="112">
        <v>613.44032138899672</v>
      </c>
      <c r="C124" s="114">
        <v>72.192248080511007</v>
      </c>
      <c r="F124" s="119"/>
      <c r="G124" s="114"/>
    </row>
    <row r="125" spans="1:7" x14ac:dyDescent="0.25">
      <c r="A125" s="112">
        <f t="shared" si="8"/>
        <v>884.95575221238948</v>
      </c>
      <c r="B125" s="112">
        <v>611.80575221238951</v>
      </c>
      <c r="C125" s="114">
        <v>75.397768160553397</v>
      </c>
      <c r="F125" s="119"/>
      <c r="G125" s="114"/>
    </row>
    <row r="126" spans="1:7" x14ac:dyDescent="0.25">
      <c r="A126" s="112">
        <f t="shared" si="8"/>
        <v>883.32719911667539</v>
      </c>
      <c r="B126" s="112">
        <v>610.17719911667541</v>
      </c>
      <c r="C126" s="114">
        <v>78.745621513997904</v>
      </c>
      <c r="F126" s="119"/>
      <c r="G126" s="114"/>
    </row>
    <row r="127" spans="1:7" x14ac:dyDescent="0.25">
      <c r="A127" s="112">
        <f t="shared" si="8"/>
        <v>882.35294117647322</v>
      </c>
      <c r="B127" s="112">
        <v>609.20294117647325</v>
      </c>
      <c r="C127" s="114">
        <v>82.2421281014785</v>
      </c>
      <c r="F127" s="119"/>
      <c r="G127" s="114"/>
    </row>
    <row r="128" spans="1:7" x14ac:dyDescent="0.25">
      <c r="A128" s="112">
        <f t="shared" si="8"/>
        <v>880.73394495413356</v>
      </c>
      <c r="B128" s="112">
        <v>607.58394495413359</v>
      </c>
      <c r="C128" s="114">
        <v>84.048177741373905</v>
      </c>
      <c r="F128" s="119"/>
      <c r="G128" s="114"/>
    </row>
    <row r="129" spans="1:7" x14ac:dyDescent="0.25">
      <c r="A129" s="112">
        <f t="shared" si="8"/>
        <v>879.12087912087918</v>
      </c>
      <c r="B129" s="112">
        <v>605.9708791208792</v>
      </c>
      <c r="C129" s="114">
        <v>85.893888506012502</v>
      </c>
      <c r="F129" s="119"/>
      <c r="G129" s="114"/>
    </row>
    <row r="130" spans="1:7" x14ac:dyDescent="0.25">
      <c r="A130" s="112">
        <f t="shared" si="8"/>
        <v>877.83467446964664</v>
      </c>
      <c r="B130" s="112">
        <v>604.68467446964667</v>
      </c>
      <c r="C130" s="114">
        <v>89.707796393350804</v>
      </c>
      <c r="F130" s="119"/>
      <c r="G130" s="114"/>
    </row>
    <row r="131" spans="1:7" x14ac:dyDescent="0.25">
      <c r="A131" s="112">
        <f t="shared" si="8"/>
        <v>876.2322015334139</v>
      </c>
      <c r="B131" s="112">
        <v>603.08220153341392</v>
      </c>
      <c r="C131" s="114">
        <v>93.691051525599207</v>
      </c>
      <c r="F131" s="119"/>
      <c r="G131" s="114"/>
    </row>
    <row r="132" spans="1:7" x14ac:dyDescent="0.25">
      <c r="A132" s="112">
        <f t="shared" si="8"/>
        <v>874.95442945680429</v>
      </c>
      <c r="B132" s="112">
        <v>601.80442945680431</v>
      </c>
      <c r="C132" s="114">
        <v>95.748521264957702</v>
      </c>
      <c r="F132" s="119"/>
      <c r="G132" s="114"/>
    </row>
    <row r="133" spans="1:7" x14ac:dyDescent="0.25">
      <c r="A133" s="112">
        <f t="shared" si="8"/>
        <v>873.04474354311162</v>
      </c>
      <c r="B133" s="112">
        <v>599.89474354311164</v>
      </c>
      <c r="C133" s="114">
        <v>102.196015207275</v>
      </c>
      <c r="F133" s="119"/>
      <c r="G133" s="114"/>
    </row>
    <row r="134" spans="1:7" x14ac:dyDescent="0.25">
      <c r="F134" s="119"/>
      <c r="G134" s="114"/>
    </row>
    <row r="135" spans="1:7" x14ac:dyDescent="0.25">
      <c r="F135" s="119"/>
      <c r="G135" s="114"/>
    </row>
    <row r="136" spans="1:7" x14ac:dyDescent="0.25">
      <c r="F136" s="119"/>
      <c r="G136" s="114"/>
    </row>
    <row r="137" spans="1:7" x14ac:dyDescent="0.25">
      <c r="F137" s="119"/>
      <c r="G137" s="114"/>
    </row>
    <row r="138" spans="1:7" x14ac:dyDescent="0.25">
      <c r="F138" s="119"/>
      <c r="G138" s="114"/>
    </row>
    <row r="139" spans="1:7" x14ac:dyDescent="0.25">
      <c r="F139" s="119"/>
      <c r="G139" s="114"/>
    </row>
    <row r="140" spans="1:7" x14ac:dyDescent="0.25">
      <c r="F140" s="119"/>
      <c r="G140" s="114"/>
    </row>
    <row r="141" spans="1:7" x14ac:dyDescent="0.25">
      <c r="F141" s="119"/>
      <c r="G141" s="114"/>
    </row>
    <row r="142" spans="1:7" x14ac:dyDescent="0.25">
      <c r="F142" s="119"/>
      <c r="G142" s="114"/>
    </row>
    <row r="143" spans="1:7" x14ac:dyDescent="0.25">
      <c r="F143" s="119"/>
      <c r="G143" s="114"/>
    </row>
    <row r="144" spans="1:7" x14ac:dyDescent="0.25">
      <c r="F144" s="119"/>
      <c r="G144" s="114"/>
    </row>
    <row r="145" spans="6:7" x14ac:dyDescent="0.25">
      <c r="F145" s="119"/>
      <c r="G145" s="114"/>
    </row>
    <row r="146" spans="6:7" x14ac:dyDescent="0.25">
      <c r="F146" s="119"/>
      <c r="G146" s="114"/>
    </row>
    <row r="147" spans="6:7" x14ac:dyDescent="0.25">
      <c r="F147" s="119"/>
      <c r="G147" s="114"/>
    </row>
    <row r="148" spans="6:7" x14ac:dyDescent="0.25">
      <c r="F148" s="119"/>
      <c r="G148" s="114"/>
    </row>
    <row r="149" spans="6:7" x14ac:dyDescent="0.25">
      <c r="F149" s="119"/>
      <c r="G149" s="114"/>
    </row>
    <row r="150" spans="6:7" x14ac:dyDescent="0.25">
      <c r="F150" s="119"/>
      <c r="G150" s="114"/>
    </row>
    <row r="151" spans="6:7" x14ac:dyDescent="0.25">
      <c r="F151" s="119"/>
      <c r="G151" s="114"/>
    </row>
    <row r="152" spans="6:7" x14ac:dyDescent="0.25">
      <c r="F152" s="119"/>
      <c r="G152" s="114"/>
    </row>
    <row r="153" spans="6:7" x14ac:dyDescent="0.25">
      <c r="F153" s="119"/>
      <c r="G153" s="114"/>
    </row>
    <row r="154" spans="6:7" x14ac:dyDescent="0.25">
      <c r="F154" s="119"/>
      <c r="G154" s="114"/>
    </row>
  </sheetData>
  <sortState ref="F54:G149">
    <sortCondition descending="1" ref="F54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S144"/>
  <sheetViews>
    <sheetView workbookViewId="0">
      <selection activeCell="F10" sqref="F10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88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90</v>
      </c>
    </row>
    <row r="6" spans="1:19" x14ac:dyDescent="0.25">
      <c r="A6" s="138">
        <f>B6+273.15</f>
        <v>773.15</v>
      </c>
      <c r="B6" s="150">
        <v>500</v>
      </c>
      <c r="C6" s="140">
        <f>'LSFC,Dalslet (Electrochem)'!C36</f>
        <v>264.45000000000005</v>
      </c>
      <c r="D6" s="157">
        <f>C6*D13</f>
        <v>2.1462762000000003E-5</v>
      </c>
    </row>
    <row r="7" spans="1:19" x14ac:dyDescent="0.25">
      <c r="A7" s="138">
        <f t="shared" ref="A7:A9" si="0">B7+273.15</f>
        <v>723.15</v>
      </c>
      <c r="B7" s="150">
        <v>450</v>
      </c>
      <c r="C7" s="140">
        <f>'LSFC,Dalslet (Electrochem)'!C37</f>
        <v>299.24</v>
      </c>
      <c r="D7" s="157">
        <f>C7*D14</f>
        <v>8.2680012000000004E-6</v>
      </c>
      <c r="H7" s="111" t="s">
        <v>18</v>
      </c>
    </row>
    <row r="8" spans="1:19" ht="15.75" x14ac:dyDescent="0.25">
      <c r="A8" s="138">
        <f t="shared" si="0"/>
        <v>698.15</v>
      </c>
      <c r="B8" s="150">
        <v>425</v>
      </c>
      <c r="C8" s="140">
        <f>'LSFC,Dalslet (Electrochem)'!C38</f>
        <v>317.94749999999999</v>
      </c>
      <c r="D8" s="157">
        <f>C8*D15</f>
        <v>5.4845943749999996E-6</v>
      </c>
      <c r="G8" s="111">
        <v>1</v>
      </c>
      <c r="H8" s="35" t="s">
        <v>65</v>
      </c>
    </row>
    <row r="9" spans="1:19" ht="16.5" thickBot="1" x14ac:dyDescent="0.3">
      <c r="A9" s="141">
        <f t="shared" si="0"/>
        <v>673.15</v>
      </c>
      <c r="B9" s="128">
        <v>400</v>
      </c>
      <c r="C9" s="130">
        <f>'LSFC,Dalslet (Electrochem)'!C39</f>
        <v>337.53</v>
      </c>
      <c r="D9" s="158">
        <f>C9*D16</f>
        <v>4.3001321999999996E-6</v>
      </c>
      <c r="J9" s="35"/>
    </row>
    <row r="10" spans="1:19" ht="15.75" thickBot="1" x14ac:dyDescent="0.3">
      <c r="A10" s="112"/>
      <c r="B10" s="112"/>
      <c r="D10" s="114"/>
    </row>
    <row r="11" spans="1:19" ht="19.5" thickBot="1" x14ac:dyDescent="0.3">
      <c r="A11" s="133" t="s">
        <v>13</v>
      </c>
      <c r="B11" s="134"/>
      <c r="C11" s="134"/>
      <c r="D11" s="135"/>
      <c r="H11" s="169" t="s">
        <v>184</v>
      </c>
    </row>
    <row r="12" spans="1:19" x14ac:dyDescent="0.25">
      <c r="A12" s="136" t="s">
        <v>16</v>
      </c>
      <c r="B12" s="115" t="s">
        <v>14</v>
      </c>
      <c r="C12" s="142"/>
      <c r="D12" s="137" t="s">
        <v>15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773.15</v>
      </c>
      <c r="B13" s="150">
        <v>500</v>
      </c>
      <c r="C13" s="140"/>
      <c r="D13" s="159">
        <v>8.1159999999999994E-8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ref="A14:A16" si="1">B14+273.15</f>
        <v>723.15</v>
      </c>
      <c r="B14" s="150">
        <v>450</v>
      </c>
      <c r="C14" s="140"/>
      <c r="D14" s="159">
        <v>2.763E-8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1"/>
        <v>698.15</v>
      </c>
      <c r="B15" s="150">
        <v>425</v>
      </c>
      <c r="C15" s="140"/>
      <c r="D15" s="159">
        <v>1.7249999999999999E-8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A16" s="141">
        <f t="shared" si="1"/>
        <v>673.15</v>
      </c>
      <c r="B16" s="128">
        <v>400</v>
      </c>
      <c r="C16" s="130"/>
      <c r="D16" s="160">
        <v>1.274E-8</v>
      </c>
    </row>
    <row r="17" spans="1:12" ht="15.75" thickBot="1" x14ac:dyDescent="0.3">
      <c r="A17" s="112"/>
      <c r="D17" s="114"/>
    </row>
    <row r="18" spans="1:12" ht="15.75" x14ac:dyDescent="0.25">
      <c r="A18" s="133" t="s">
        <v>19</v>
      </c>
      <c r="B18" s="134"/>
      <c r="C18" s="134"/>
      <c r="D18" s="135"/>
      <c r="G18" s="119"/>
      <c r="H18" s="119"/>
    </row>
    <row r="19" spans="1:12" x14ac:dyDescent="0.25">
      <c r="A19" s="136" t="s">
        <v>16</v>
      </c>
      <c r="B19" s="115" t="s">
        <v>14</v>
      </c>
      <c r="C19" s="142"/>
      <c r="D19" s="143" t="s">
        <v>35</v>
      </c>
      <c r="G19" s="119"/>
      <c r="H19" s="114"/>
    </row>
    <row r="20" spans="1:12" x14ac:dyDescent="0.25">
      <c r="A20" s="138">
        <f>B20+273.15</f>
        <v>773.15</v>
      </c>
      <c r="B20" s="150">
        <v>500</v>
      </c>
      <c r="C20" s="115"/>
      <c r="D20" s="167">
        <v>23.5</v>
      </c>
      <c r="G20" s="119"/>
      <c r="H20" s="114"/>
      <c r="K20" s="118"/>
      <c r="L20" s="118"/>
    </row>
    <row r="21" spans="1:12" x14ac:dyDescent="0.25">
      <c r="A21" s="138">
        <f>B21+273.15</f>
        <v>723.15</v>
      </c>
      <c r="B21" s="150">
        <v>450</v>
      </c>
      <c r="C21" s="115"/>
      <c r="D21" s="167">
        <v>69.400000000000006</v>
      </c>
      <c r="G21" s="119"/>
      <c r="H21" s="114"/>
      <c r="J21" s="113"/>
      <c r="K21" s="113"/>
      <c r="L21" s="113"/>
    </row>
    <row r="22" spans="1:12" x14ac:dyDescent="0.25">
      <c r="A22" s="138">
        <f>B22+273.15</f>
        <v>698.15</v>
      </c>
      <c r="B22" s="150">
        <v>425</v>
      </c>
      <c r="C22" s="115"/>
      <c r="D22" s="167">
        <v>108.2</v>
      </c>
      <c r="G22" s="119"/>
      <c r="H22" s="114"/>
      <c r="J22" s="113"/>
      <c r="K22" s="113"/>
      <c r="L22" s="113"/>
    </row>
    <row r="23" spans="1:12" ht="15.75" thickBot="1" x14ac:dyDescent="0.3">
      <c r="A23" s="141">
        <f>B23+273.15</f>
        <v>673.15</v>
      </c>
      <c r="B23" s="128">
        <v>400</v>
      </c>
      <c r="C23" s="126"/>
      <c r="D23" s="168">
        <v>139.5</v>
      </c>
      <c r="G23" s="119"/>
      <c r="H23" s="114"/>
      <c r="J23" s="113"/>
      <c r="K23" s="113"/>
      <c r="L23" s="113"/>
    </row>
    <row r="24" spans="1:12" x14ac:dyDescent="0.25">
      <c r="D24" s="113"/>
      <c r="G24" s="119"/>
      <c r="H24" s="114"/>
      <c r="J24" s="113"/>
      <c r="K24" s="113"/>
      <c r="L24" s="113"/>
    </row>
    <row r="25" spans="1:12" s="126" customFormat="1" ht="15.75" thickBot="1" x14ac:dyDescent="0.3">
      <c r="G25" s="128"/>
      <c r="H25" s="129"/>
      <c r="J25" s="130"/>
      <c r="K25" s="130"/>
      <c r="L25" s="130"/>
    </row>
    <row r="26" spans="1:12" ht="60" x14ac:dyDescent="0.25">
      <c r="A26" s="118" t="s">
        <v>26</v>
      </c>
      <c r="G26" s="119"/>
      <c r="H26" s="114"/>
    </row>
    <row r="27" spans="1:12" ht="17.25" x14ac:dyDescent="0.25">
      <c r="A27" s="111" t="s">
        <v>16</v>
      </c>
      <c r="B27" s="111" t="s">
        <v>14</v>
      </c>
      <c r="C27" s="118" t="s">
        <v>20</v>
      </c>
    </row>
    <row r="28" spans="1:12" x14ac:dyDescent="0.25">
      <c r="A28" s="112">
        <f>B28+273.15</f>
        <v>773.15</v>
      </c>
      <c r="B28" s="119">
        <v>500</v>
      </c>
      <c r="C28" s="114">
        <f>($C$2*A28*$A$2)/(4*($E$2^2)*D20*D13)</f>
        <v>9.0467192873946389E-2</v>
      </c>
    </row>
    <row r="29" spans="1:12" x14ac:dyDescent="0.25">
      <c r="A29" s="112">
        <f t="shared" ref="A29:A31" si="2">B29+273.15</f>
        <v>723.15</v>
      </c>
      <c r="B29" s="119">
        <v>450</v>
      </c>
      <c r="C29" s="114">
        <f>($C$2*A29*$A$2)/(4*($E$2^2)*D21*D14)</f>
        <v>8.4163791204868818E-2</v>
      </c>
      <c r="J29" s="118"/>
    </row>
    <row r="30" spans="1:12" x14ac:dyDescent="0.25">
      <c r="A30" s="112">
        <f t="shared" si="2"/>
        <v>698.15</v>
      </c>
      <c r="B30" s="119">
        <v>425</v>
      </c>
      <c r="C30" s="114">
        <f>($C$2*A30*$A$2)/(4*($E$2^2)*D22*D15)</f>
        <v>8.3477539027422235E-2</v>
      </c>
      <c r="J30" s="113"/>
    </row>
    <row r="31" spans="1:12" x14ac:dyDescent="0.25">
      <c r="A31" s="112">
        <f t="shared" si="2"/>
        <v>673.15</v>
      </c>
      <c r="B31" s="119">
        <v>400</v>
      </c>
      <c r="C31" s="114">
        <f>($C$2*A31*$A$2)/(4*($E$2^2)*D23*D16)</f>
        <v>8.4528949093095412E-2</v>
      </c>
      <c r="J31" s="113"/>
    </row>
    <row r="32" spans="1:12" x14ac:dyDescent="0.25">
      <c r="A32" s="112"/>
      <c r="C32" s="113"/>
      <c r="J32" s="113"/>
    </row>
    <row r="33" spans="1:10" x14ac:dyDescent="0.25">
      <c r="A33" s="112"/>
      <c r="C33" s="113"/>
      <c r="J33" s="113"/>
    </row>
    <row r="34" spans="1:10" x14ac:dyDescent="0.25">
      <c r="A34" s="112"/>
      <c r="B34" s="117"/>
      <c r="D34" s="114"/>
      <c r="E34" s="113"/>
      <c r="H34" s="113"/>
      <c r="J34" s="113"/>
    </row>
    <row r="35" spans="1:10" x14ac:dyDescent="0.25">
      <c r="A35" s="112"/>
      <c r="B35" s="117"/>
      <c r="D35" s="114"/>
      <c r="E35" s="113"/>
      <c r="H35" s="113"/>
      <c r="J35" s="113"/>
    </row>
    <row r="36" spans="1:10" x14ac:dyDescent="0.25">
      <c r="A36" s="112"/>
      <c r="B36" s="117"/>
      <c r="D36" s="114"/>
      <c r="E36" s="113"/>
      <c r="H36" s="113"/>
      <c r="J36" s="113"/>
    </row>
    <row r="37" spans="1:10" x14ac:dyDescent="0.25">
      <c r="A37" s="112"/>
      <c r="B37" s="117"/>
      <c r="D37" s="114"/>
      <c r="E37" s="113"/>
      <c r="H37" s="113"/>
      <c r="J37" s="113"/>
    </row>
    <row r="38" spans="1:10" x14ac:dyDescent="0.25">
      <c r="A38" s="112"/>
      <c r="B38" s="117"/>
      <c r="D38" s="114"/>
      <c r="E38" s="113"/>
      <c r="H38" s="114"/>
      <c r="J38" s="113"/>
    </row>
    <row r="39" spans="1:10" x14ac:dyDescent="0.25">
      <c r="A39" s="112"/>
      <c r="B39" s="117"/>
      <c r="D39" s="114"/>
      <c r="E39" s="113"/>
      <c r="H39" s="114"/>
      <c r="J39" s="113"/>
    </row>
    <row r="40" spans="1:10" x14ac:dyDescent="0.25">
      <c r="A40" s="112"/>
      <c r="B40" s="117"/>
      <c r="D40" s="114"/>
      <c r="E40" s="113"/>
      <c r="H40" s="114"/>
      <c r="J40" s="113"/>
    </row>
    <row r="41" spans="1:10" x14ac:dyDescent="0.25">
      <c r="A41" s="112"/>
      <c r="B41" s="117"/>
      <c r="C41" s="113"/>
      <c r="D41" s="114"/>
      <c r="E41" s="113"/>
      <c r="H41" s="114"/>
      <c r="J41" s="113"/>
    </row>
    <row r="42" spans="1:10" x14ac:dyDescent="0.25">
      <c r="A42" s="112"/>
      <c r="B42" s="117"/>
      <c r="C42" s="113"/>
      <c r="D42" s="114"/>
      <c r="E42" s="113"/>
      <c r="H42" s="114"/>
      <c r="J42" s="113"/>
    </row>
    <row r="43" spans="1:10" x14ac:dyDescent="0.25">
      <c r="A43" s="112"/>
      <c r="B43" s="117"/>
      <c r="C43" s="113"/>
      <c r="D43" s="114"/>
      <c r="E43" s="113"/>
      <c r="H43" s="114"/>
      <c r="J43" s="113"/>
    </row>
    <row r="44" spans="1:10" x14ac:dyDescent="0.25">
      <c r="A44" s="112"/>
      <c r="B44" s="117"/>
      <c r="C44" s="113"/>
      <c r="D44" s="114"/>
      <c r="E44" s="113"/>
      <c r="H44" s="114"/>
      <c r="J44" s="113"/>
    </row>
    <row r="45" spans="1:10" x14ac:dyDescent="0.25">
      <c r="A45" s="112"/>
      <c r="B45" s="117"/>
      <c r="C45" s="113"/>
      <c r="D45" s="114"/>
      <c r="E45" s="113"/>
      <c r="H45" s="114"/>
      <c r="J45" s="113"/>
    </row>
    <row r="46" spans="1:10" x14ac:dyDescent="0.25">
      <c r="A46" s="112"/>
      <c r="B46" s="117"/>
      <c r="C46" s="113"/>
      <c r="D46" s="114"/>
      <c r="E46" s="113"/>
      <c r="H46" s="114"/>
      <c r="J46" s="113"/>
    </row>
    <row r="47" spans="1:10" x14ac:dyDescent="0.25">
      <c r="A47" s="112"/>
      <c r="B47" s="117"/>
      <c r="C47" s="113"/>
      <c r="D47" s="114"/>
      <c r="E47" s="113"/>
      <c r="H47" s="114"/>
      <c r="J47" s="113"/>
    </row>
    <row r="48" spans="1:10" x14ac:dyDescent="0.25">
      <c r="A48" s="112"/>
      <c r="B48" s="117"/>
      <c r="C48" s="113"/>
      <c r="D48" s="114"/>
      <c r="E48" s="113"/>
      <c r="F48" s="119"/>
      <c r="G48" s="119"/>
      <c r="H48" s="114"/>
      <c r="J48" s="113"/>
    </row>
    <row r="49" spans="1:10" x14ac:dyDescent="0.25">
      <c r="A49" s="112"/>
      <c r="B49" s="117"/>
      <c r="C49" s="113"/>
      <c r="D49" s="114"/>
      <c r="E49" s="113"/>
      <c r="F49" s="119"/>
      <c r="G49" s="114"/>
      <c r="H49" s="114"/>
      <c r="J49" s="113"/>
    </row>
    <row r="50" spans="1:10" x14ac:dyDescent="0.25">
      <c r="A50" s="112"/>
      <c r="B50" s="117"/>
      <c r="C50" s="113"/>
      <c r="D50" s="114"/>
      <c r="E50" s="113"/>
      <c r="F50" s="119"/>
      <c r="G50" s="114"/>
      <c r="H50" s="114"/>
    </row>
    <row r="51" spans="1:10" x14ac:dyDescent="0.25">
      <c r="A51" s="112"/>
      <c r="B51" s="117"/>
      <c r="C51" s="113"/>
      <c r="D51" s="114"/>
      <c r="E51" s="113"/>
      <c r="F51" s="119"/>
      <c r="G51" s="114"/>
      <c r="H51" s="114"/>
    </row>
    <row r="52" spans="1:10" x14ac:dyDescent="0.25">
      <c r="A52" s="112"/>
      <c r="B52" s="117"/>
      <c r="C52" s="113"/>
      <c r="D52" s="114"/>
      <c r="E52" s="113"/>
      <c r="F52" s="119"/>
      <c r="G52" s="114"/>
      <c r="H52" s="114"/>
    </row>
    <row r="53" spans="1:10" x14ac:dyDescent="0.25">
      <c r="A53" s="112"/>
      <c r="B53" s="117"/>
      <c r="C53" s="113"/>
      <c r="D53" s="114"/>
      <c r="E53" s="113"/>
      <c r="F53" s="119"/>
      <c r="G53" s="114"/>
      <c r="H53" s="114"/>
    </row>
    <row r="54" spans="1:10" x14ac:dyDescent="0.25">
      <c r="A54" s="112"/>
      <c r="B54" s="117"/>
      <c r="C54" s="113"/>
      <c r="D54" s="114"/>
      <c r="F54" s="119"/>
      <c r="G54" s="114"/>
      <c r="H54" s="114"/>
    </row>
    <row r="55" spans="1:10" x14ac:dyDescent="0.25">
      <c r="A55" s="112"/>
      <c r="B55" s="117"/>
      <c r="C55" s="113"/>
      <c r="D55" s="114"/>
      <c r="F55" s="119"/>
      <c r="G55" s="114"/>
      <c r="H55" s="114"/>
    </row>
    <row r="56" spans="1:10" x14ac:dyDescent="0.25">
      <c r="A56" s="112"/>
      <c r="B56" s="117"/>
      <c r="C56" s="113"/>
      <c r="D56" s="114"/>
      <c r="F56" s="119"/>
      <c r="G56" s="114"/>
      <c r="H56" s="114"/>
    </row>
    <row r="57" spans="1:10" x14ac:dyDescent="0.25">
      <c r="A57" s="112"/>
      <c r="B57" s="117"/>
      <c r="C57" s="113"/>
      <c r="D57" s="114"/>
      <c r="F57" s="119"/>
      <c r="G57" s="114"/>
      <c r="H57" s="114"/>
    </row>
    <row r="58" spans="1:10" x14ac:dyDescent="0.25">
      <c r="A58" s="112"/>
      <c r="B58" s="117"/>
      <c r="C58" s="113"/>
      <c r="D58" s="114"/>
      <c r="F58" s="119"/>
      <c r="G58" s="114"/>
      <c r="H58" s="114"/>
    </row>
    <row r="59" spans="1:10" x14ac:dyDescent="0.25">
      <c r="A59" s="112"/>
      <c r="B59" s="117"/>
      <c r="C59" s="113"/>
      <c r="D59" s="114"/>
      <c r="F59" s="119"/>
      <c r="G59" s="114"/>
      <c r="H59" s="114"/>
    </row>
    <row r="60" spans="1:10" x14ac:dyDescent="0.25">
      <c r="A60" s="112"/>
      <c r="B60" s="117"/>
      <c r="C60" s="113"/>
      <c r="D60" s="114"/>
      <c r="F60" s="119"/>
      <c r="G60" s="114"/>
      <c r="H60" s="114"/>
    </row>
    <row r="61" spans="1:10" x14ac:dyDescent="0.25">
      <c r="A61" s="112"/>
      <c r="B61" s="117"/>
      <c r="D61" s="114"/>
      <c r="F61" s="119"/>
      <c r="G61" s="114"/>
      <c r="H61" s="114"/>
    </row>
    <row r="62" spans="1:10" x14ac:dyDescent="0.25">
      <c r="A62" s="112"/>
      <c r="B62" s="117"/>
      <c r="D62" s="114"/>
      <c r="F62" s="119"/>
      <c r="G62" s="114"/>
      <c r="H62" s="114"/>
    </row>
    <row r="63" spans="1:10" x14ac:dyDescent="0.25">
      <c r="A63" s="112"/>
      <c r="B63" s="117"/>
      <c r="D63" s="114"/>
      <c r="F63" s="119"/>
      <c r="G63" s="114"/>
      <c r="H63" s="114"/>
    </row>
    <row r="64" spans="1:10" x14ac:dyDescent="0.25">
      <c r="A64" s="112"/>
      <c r="B64" s="117"/>
      <c r="D64" s="114"/>
      <c r="F64" s="119"/>
      <c r="G64" s="114"/>
      <c r="H64" s="114"/>
    </row>
    <row r="65" spans="1:8" x14ac:dyDescent="0.25">
      <c r="A65" s="112"/>
      <c r="B65" s="117"/>
      <c r="D65" s="114"/>
      <c r="F65" s="119"/>
      <c r="G65" s="114"/>
      <c r="H65" s="114"/>
    </row>
    <row r="66" spans="1:8" x14ac:dyDescent="0.25">
      <c r="A66" s="112"/>
      <c r="B66" s="117"/>
      <c r="D66" s="114"/>
      <c r="F66" s="119"/>
      <c r="G66" s="114"/>
      <c r="H66" s="114"/>
    </row>
    <row r="67" spans="1:8" x14ac:dyDescent="0.25">
      <c r="A67" s="112"/>
      <c r="B67" s="117"/>
      <c r="D67" s="114"/>
      <c r="F67" s="119"/>
      <c r="G67" s="114"/>
      <c r="H67" s="114"/>
    </row>
    <row r="68" spans="1:8" x14ac:dyDescent="0.25">
      <c r="A68" s="112"/>
      <c r="B68" s="117"/>
      <c r="D68" s="114"/>
      <c r="F68" s="119"/>
      <c r="G68" s="114"/>
      <c r="H68" s="114"/>
    </row>
    <row r="69" spans="1:8" x14ac:dyDescent="0.25">
      <c r="A69" s="112"/>
      <c r="B69" s="117"/>
      <c r="D69" s="114"/>
      <c r="F69" s="119"/>
      <c r="G69" s="114"/>
      <c r="H69" s="114"/>
    </row>
    <row r="70" spans="1:8" x14ac:dyDescent="0.25">
      <c r="A70" s="112"/>
      <c r="B70" s="117"/>
      <c r="D70" s="114"/>
      <c r="F70" s="119"/>
      <c r="G70" s="114"/>
      <c r="H70" s="114"/>
    </row>
    <row r="71" spans="1:8" x14ac:dyDescent="0.25">
      <c r="A71" s="112"/>
      <c r="B71" s="117"/>
      <c r="D71" s="114"/>
      <c r="F71" s="119"/>
      <c r="G71" s="114"/>
      <c r="H71" s="114"/>
    </row>
    <row r="72" spans="1:8" x14ac:dyDescent="0.25">
      <c r="A72" s="112"/>
      <c r="B72" s="117"/>
      <c r="D72" s="114"/>
      <c r="F72" s="119"/>
      <c r="G72" s="114"/>
      <c r="H72" s="114"/>
    </row>
    <row r="73" spans="1:8" x14ac:dyDescent="0.25">
      <c r="A73" s="112"/>
      <c r="B73" s="117"/>
      <c r="D73" s="114"/>
      <c r="F73" s="119"/>
      <c r="G73" s="114"/>
      <c r="H73" s="114"/>
    </row>
    <row r="74" spans="1:8" x14ac:dyDescent="0.25">
      <c r="A74" s="112"/>
      <c r="B74" s="117"/>
      <c r="D74" s="114"/>
      <c r="F74" s="119"/>
      <c r="G74" s="114"/>
      <c r="H74" s="114"/>
    </row>
    <row r="75" spans="1:8" x14ac:dyDescent="0.25">
      <c r="A75" s="112"/>
      <c r="B75" s="117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4"/>
    </row>
    <row r="82" spans="1:8" x14ac:dyDescent="0.25">
      <c r="A82" s="112"/>
      <c r="B82" s="117"/>
      <c r="D82" s="114"/>
      <c r="F82" s="119"/>
      <c r="G82" s="114"/>
      <c r="H82" s="114"/>
    </row>
    <row r="83" spans="1:8" x14ac:dyDescent="0.25">
      <c r="A83" s="112"/>
      <c r="B83" s="117"/>
      <c r="D83" s="114"/>
      <c r="F83" s="119"/>
      <c r="G83" s="114"/>
      <c r="H83" s="114"/>
    </row>
    <row r="84" spans="1:8" x14ac:dyDescent="0.25">
      <c r="A84" s="112"/>
      <c r="B84" s="117"/>
      <c r="D84" s="114"/>
      <c r="F84" s="119"/>
      <c r="G84" s="114"/>
      <c r="H84" s="114"/>
    </row>
    <row r="85" spans="1:8" x14ac:dyDescent="0.25">
      <c r="A85" s="112"/>
      <c r="B85" s="117"/>
      <c r="D85" s="114"/>
      <c r="F85" s="119"/>
      <c r="G85" s="114"/>
      <c r="H85" s="114"/>
    </row>
    <row r="86" spans="1:8" x14ac:dyDescent="0.25">
      <c r="A86" s="112"/>
      <c r="B86" s="117"/>
      <c r="D86" s="114"/>
      <c r="F86" s="119"/>
      <c r="G86" s="114"/>
      <c r="H86" s="114"/>
    </row>
    <row r="87" spans="1:8" x14ac:dyDescent="0.25">
      <c r="A87" s="112"/>
      <c r="B87" s="117"/>
      <c r="D87" s="114"/>
      <c r="F87" s="119"/>
      <c r="G87" s="114"/>
      <c r="H87" s="114"/>
    </row>
    <row r="88" spans="1:8" x14ac:dyDescent="0.25">
      <c r="A88" s="112"/>
      <c r="B88" s="117"/>
      <c r="D88" s="114"/>
      <c r="F88" s="119"/>
      <c r="G88" s="114"/>
      <c r="H88" s="114"/>
    </row>
    <row r="89" spans="1:8" x14ac:dyDescent="0.25">
      <c r="A89" s="112"/>
      <c r="B89" s="117"/>
      <c r="D89" s="114"/>
      <c r="F89" s="119"/>
      <c r="G89" s="114"/>
      <c r="H89" s="114"/>
    </row>
    <row r="90" spans="1:8" x14ac:dyDescent="0.25">
      <c r="A90" s="112"/>
      <c r="B90" s="117"/>
      <c r="D90" s="114"/>
      <c r="F90" s="119"/>
      <c r="G90" s="114"/>
      <c r="H90" s="114"/>
    </row>
    <row r="91" spans="1:8" x14ac:dyDescent="0.25">
      <c r="A91" s="112"/>
      <c r="B91" s="117"/>
      <c r="D91" s="114"/>
      <c r="F91" s="119"/>
      <c r="G91" s="114"/>
      <c r="H91" s="114"/>
    </row>
    <row r="92" spans="1:8" x14ac:dyDescent="0.25">
      <c r="A92" s="112"/>
      <c r="B92" s="117"/>
      <c r="D92" s="114"/>
      <c r="F92" s="119"/>
      <c r="G92" s="114"/>
      <c r="H92" s="114"/>
    </row>
    <row r="93" spans="1:8" x14ac:dyDescent="0.25">
      <c r="A93" s="112"/>
      <c r="B93" s="117"/>
      <c r="D93" s="114"/>
      <c r="F93" s="119"/>
      <c r="G93" s="114"/>
      <c r="H93" s="114"/>
    </row>
    <row r="94" spans="1:8" x14ac:dyDescent="0.25">
      <c r="A94" s="112"/>
      <c r="B94" s="117"/>
      <c r="D94" s="114"/>
      <c r="F94" s="119"/>
      <c r="G94" s="114"/>
      <c r="H94" s="114"/>
    </row>
    <row r="95" spans="1:8" x14ac:dyDescent="0.25">
      <c r="A95" s="112"/>
      <c r="B95" s="117"/>
      <c r="D95" s="114"/>
      <c r="F95" s="119"/>
      <c r="G95" s="114"/>
      <c r="H95" s="119"/>
    </row>
    <row r="96" spans="1:8" x14ac:dyDescent="0.25">
      <c r="A96" s="112"/>
      <c r="B96" s="117"/>
      <c r="D96" s="114"/>
      <c r="F96" s="119"/>
      <c r="G96" s="114"/>
    </row>
    <row r="97" spans="1:7" x14ac:dyDescent="0.25">
      <c r="A97" s="112"/>
      <c r="B97" s="117"/>
      <c r="D97" s="114"/>
      <c r="F97" s="119"/>
      <c r="G97" s="114"/>
    </row>
    <row r="98" spans="1:7" x14ac:dyDescent="0.25">
      <c r="A98" s="112"/>
      <c r="B98" s="117"/>
      <c r="D98" s="114"/>
      <c r="F98" s="119"/>
      <c r="G98" s="114"/>
    </row>
    <row r="99" spans="1:7" x14ac:dyDescent="0.25">
      <c r="A99" s="112"/>
      <c r="B99" s="117"/>
      <c r="D99" s="114"/>
      <c r="F99" s="119"/>
      <c r="G99" s="114"/>
    </row>
    <row r="100" spans="1:7" x14ac:dyDescent="0.25">
      <c r="A100" s="112"/>
      <c r="B100" s="117"/>
      <c r="D100" s="114"/>
      <c r="F100" s="119"/>
      <c r="G100" s="114"/>
    </row>
    <row r="101" spans="1:7" x14ac:dyDescent="0.25">
      <c r="A101" s="112"/>
      <c r="B101" s="117"/>
      <c r="D101" s="114"/>
      <c r="F101" s="119"/>
      <c r="G101" s="114"/>
    </row>
    <row r="102" spans="1:7" x14ac:dyDescent="0.25">
      <c r="A102" s="112"/>
      <c r="B102" s="117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A111" s="112"/>
      <c r="B111" s="112"/>
      <c r="D111" s="114"/>
      <c r="F111" s="119"/>
      <c r="G111" s="114"/>
    </row>
    <row r="112" spans="1:7" x14ac:dyDescent="0.25">
      <c r="A112" s="112"/>
      <c r="B112" s="112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A117" s="112"/>
      <c r="B117" s="112"/>
      <c r="D117" s="114"/>
      <c r="F117" s="119"/>
      <c r="G117" s="114"/>
    </row>
    <row r="118" spans="1:7" x14ac:dyDescent="0.25">
      <c r="A118" s="112"/>
      <c r="B118" s="112"/>
      <c r="D118" s="114"/>
      <c r="F118" s="119"/>
      <c r="G118" s="114"/>
    </row>
    <row r="119" spans="1:7" x14ac:dyDescent="0.25">
      <c r="A119" s="112"/>
      <c r="B119" s="112"/>
      <c r="D119" s="114"/>
      <c r="F119" s="119"/>
      <c r="G119" s="114"/>
    </row>
    <row r="120" spans="1:7" x14ac:dyDescent="0.25">
      <c r="A120" s="112"/>
      <c r="B120" s="112"/>
      <c r="D120" s="114"/>
      <c r="F120" s="119"/>
      <c r="G120" s="114"/>
    </row>
    <row r="121" spans="1:7" x14ac:dyDescent="0.25">
      <c r="A121" s="112"/>
      <c r="B121" s="112"/>
      <c r="D121" s="114"/>
      <c r="F121" s="119"/>
      <c r="G121" s="114"/>
    </row>
    <row r="122" spans="1:7" x14ac:dyDescent="0.25">
      <c r="A122" s="112"/>
      <c r="B122" s="112"/>
      <c r="D122" s="114"/>
      <c r="F122" s="119"/>
      <c r="G122" s="114"/>
    </row>
    <row r="123" spans="1:7" x14ac:dyDescent="0.25">
      <c r="A123" s="112"/>
      <c r="B123" s="112"/>
      <c r="D123" s="114"/>
      <c r="F123" s="119"/>
      <c r="G123" s="114"/>
    </row>
    <row r="124" spans="1:7" x14ac:dyDescent="0.25">
      <c r="F124" s="119"/>
      <c r="G124" s="114"/>
    </row>
    <row r="125" spans="1:7" x14ac:dyDescent="0.25">
      <c r="F125" s="119"/>
      <c r="G125" s="114"/>
    </row>
    <row r="126" spans="1:7" x14ac:dyDescent="0.25">
      <c r="F126" s="119"/>
      <c r="G126" s="114"/>
    </row>
    <row r="127" spans="1:7" x14ac:dyDescent="0.25">
      <c r="F127" s="119"/>
      <c r="G127" s="114"/>
    </row>
    <row r="128" spans="1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  <row r="134" spans="6:7" x14ac:dyDescent="0.25">
      <c r="F134" s="119"/>
      <c r="G134" s="114"/>
    </row>
    <row r="135" spans="6:7" x14ac:dyDescent="0.25">
      <c r="F135" s="119"/>
      <c r="G135" s="114"/>
    </row>
    <row r="136" spans="6:7" x14ac:dyDescent="0.25">
      <c r="F136" s="119"/>
      <c r="G136" s="114"/>
    </row>
    <row r="137" spans="6:7" x14ac:dyDescent="0.25">
      <c r="F137" s="119"/>
      <c r="G137" s="114"/>
    </row>
    <row r="138" spans="6:7" x14ac:dyDescent="0.25">
      <c r="F138" s="119"/>
      <c r="G138" s="114"/>
    </row>
    <row r="139" spans="6:7" x14ac:dyDescent="0.25">
      <c r="F139" s="119"/>
      <c r="G139" s="114"/>
    </row>
    <row r="140" spans="6:7" x14ac:dyDescent="0.25">
      <c r="F140" s="119"/>
      <c r="G140" s="114"/>
    </row>
    <row r="141" spans="6:7" x14ac:dyDescent="0.25">
      <c r="F141" s="119"/>
      <c r="G141" s="114"/>
    </row>
    <row r="142" spans="6:7" x14ac:dyDescent="0.25">
      <c r="F142" s="119"/>
      <c r="G142" s="114"/>
    </row>
    <row r="143" spans="6:7" x14ac:dyDescent="0.25">
      <c r="F143" s="119"/>
      <c r="G143" s="114"/>
    </row>
    <row r="144" spans="6:7" x14ac:dyDescent="0.25">
      <c r="F144" s="119"/>
      <c r="G144" s="114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S154"/>
  <sheetViews>
    <sheetView workbookViewId="0">
      <selection activeCell="F13" sqref="F13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92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91</v>
      </c>
    </row>
    <row r="6" spans="1:19" x14ac:dyDescent="0.25">
      <c r="A6" s="138">
        <f>B6+273.15</f>
        <v>973.15</v>
      </c>
      <c r="B6" s="150">
        <v>700</v>
      </c>
      <c r="C6" s="140"/>
      <c r="D6" s="153">
        <v>4.6975000000000003E-6</v>
      </c>
    </row>
    <row r="7" spans="1:19" x14ac:dyDescent="0.25">
      <c r="A7" s="138">
        <f t="shared" ref="A7:A12" si="0">B7+273.15</f>
        <v>923.15</v>
      </c>
      <c r="B7" s="150">
        <v>650</v>
      </c>
      <c r="C7" s="140"/>
      <c r="D7" s="153">
        <v>2.6894999999999998E-6</v>
      </c>
      <c r="H7" s="111" t="s">
        <v>18</v>
      </c>
    </row>
    <row r="8" spans="1:19" ht="15.75" x14ac:dyDescent="0.25">
      <c r="A8" s="138">
        <f t="shared" si="0"/>
        <v>873.15</v>
      </c>
      <c r="B8" s="150">
        <v>600</v>
      </c>
      <c r="C8" s="140"/>
      <c r="D8" s="153">
        <v>1.3577200000000001E-6</v>
      </c>
      <c r="G8" s="111">
        <v>1</v>
      </c>
      <c r="H8" s="35" t="s">
        <v>93</v>
      </c>
    </row>
    <row r="9" spans="1:19" ht="15.75" x14ac:dyDescent="0.25">
      <c r="A9" s="138">
        <f t="shared" si="0"/>
        <v>823.15</v>
      </c>
      <c r="B9" s="150">
        <v>550</v>
      </c>
      <c r="C9" s="140"/>
      <c r="D9" s="153">
        <v>6.0429000000000002E-7</v>
      </c>
      <c r="J9" s="35"/>
    </row>
    <row r="10" spans="1:19" ht="16.5" thickBot="1" x14ac:dyDescent="0.3">
      <c r="A10" s="138">
        <f t="shared" si="0"/>
        <v>773.15</v>
      </c>
      <c r="B10" s="150">
        <v>500</v>
      </c>
      <c r="C10" s="140"/>
      <c r="D10" s="153">
        <v>2.7379999999999998E-7</v>
      </c>
      <c r="J10" s="35"/>
    </row>
    <row r="11" spans="1:19" ht="19.5" thickBot="1" x14ac:dyDescent="0.3">
      <c r="A11" s="138">
        <f t="shared" si="0"/>
        <v>723.15</v>
      </c>
      <c r="B11" s="150">
        <v>450</v>
      </c>
      <c r="C11" s="140"/>
      <c r="D11" s="153">
        <v>3.7855000000000001E-7</v>
      </c>
      <c r="H11" s="169" t="s">
        <v>184</v>
      </c>
    </row>
    <row r="12" spans="1:19" ht="15.75" thickBot="1" x14ac:dyDescent="0.3">
      <c r="A12" s="141">
        <f t="shared" si="0"/>
        <v>673.15</v>
      </c>
      <c r="B12" s="128">
        <v>400</v>
      </c>
      <c r="C12" s="130"/>
      <c r="D12" s="154">
        <v>5.3278999999999997E-8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2"/>
      <c r="D13" s="11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75.75" thickBot="1" x14ac:dyDescent="0.3">
      <c r="A15" s="136" t="s">
        <v>16</v>
      </c>
      <c r="B15" s="115" t="s">
        <v>14</v>
      </c>
      <c r="C15" s="142" t="s">
        <v>37</v>
      </c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ref="A16:A22" si="1">B16+273.15</f>
        <v>973.15</v>
      </c>
      <c r="B16" s="150">
        <v>700</v>
      </c>
      <c r="C16" s="140">
        <f>'LSC,Egger (Solid State Ionics)'!K47</f>
        <v>118.83906119027662</v>
      </c>
      <c r="D16" s="157">
        <f t="shared" ref="D16:D22" si="2">D6/C16</f>
        <v>3.9528248986069476E-8</v>
      </c>
    </row>
    <row r="17" spans="1:12" x14ac:dyDescent="0.25">
      <c r="A17" s="138">
        <f t="shared" si="1"/>
        <v>923.15</v>
      </c>
      <c r="B17" s="150">
        <v>650</v>
      </c>
      <c r="C17" s="140">
        <f>'LSC,Egger (Solid State Ionics)'!K50</f>
        <v>144.61848635235731</v>
      </c>
      <c r="D17" s="157">
        <f t="shared" si="2"/>
        <v>1.8597207506702412E-8</v>
      </c>
    </row>
    <row r="18" spans="1:12" x14ac:dyDescent="0.25">
      <c r="A18" s="138">
        <f t="shared" si="1"/>
        <v>873.15</v>
      </c>
      <c r="B18" s="150">
        <v>600</v>
      </c>
      <c r="C18" s="140">
        <f>'LSC,Egger (Solid State Ionics)'!K52</f>
        <v>145.40690505548707</v>
      </c>
      <c r="D18" s="157">
        <f t="shared" si="2"/>
        <v>9.3373832520669904E-9</v>
      </c>
    </row>
    <row r="19" spans="1:12" x14ac:dyDescent="0.25">
      <c r="A19" s="138">
        <f t="shared" si="1"/>
        <v>823.15</v>
      </c>
      <c r="B19" s="150">
        <v>550</v>
      </c>
      <c r="C19" s="140">
        <f>'LSC,Egger (Solid State Ionics)'!K55</f>
        <v>237.20330197337634</v>
      </c>
      <c r="D19" s="157">
        <f t="shared" si="2"/>
        <v>2.5475615009264306E-9</v>
      </c>
    </row>
    <row r="20" spans="1:12" x14ac:dyDescent="0.25">
      <c r="A20" s="138">
        <f t="shared" si="1"/>
        <v>773.15</v>
      </c>
      <c r="B20" s="150">
        <v>500</v>
      </c>
      <c r="C20" s="140">
        <f>'LSC,Egger (Solid State Ionics)'!K58</f>
        <v>208.3201922400124</v>
      </c>
      <c r="D20" s="157">
        <f t="shared" si="2"/>
        <v>1.3143229038716813E-9</v>
      </c>
    </row>
    <row r="21" spans="1:12" x14ac:dyDescent="0.25">
      <c r="A21" s="138">
        <f t="shared" si="1"/>
        <v>723.15</v>
      </c>
      <c r="B21" s="150">
        <v>450</v>
      </c>
      <c r="C21" s="140">
        <f>'LSC,Egger (Solid State Ionics)'!K60</f>
        <v>281.16236374605825</v>
      </c>
      <c r="D21" s="157">
        <f t="shared" si="2"/>
        <v>1.3463750800654844E-9</v>
      </c>
    </row>
    <row r="22" spans="1:12" ht="15.75" thickBot="1" x14ac:dyDescent="0.3">
      <c r="A22" s="141">
        <f t="shared" si="1"/>
        <v>673.15</v>
      </c>
      <c r="B22" s="128">
        <v>400</v>
      </c>
      <c r="C22" s="130">
        <f>'LSC,Egger (Solid State Ionics)'!K63</f>
        <v>393.13097610225878</v>
      </c>
      <c r="D22" s="158">
        <f t="shared" si="2"/>
        <v>1.3552480785981462E-10</v>
      </c>
    </row>
    <row r="23" spans="1:12" ht="15.75" thickBot="1" x14ac:dyDescent="0.3">
      <c r="A23" s="112"/>
      <c r="D23" s="114"/>
    </row>
    <row r="24" spans="1:12" ht="15.75" x14ac:dyDescent="0.25">
      <c r="A24" s="133" t="s">
        <v>19</v>
      </c>
      <c r="B24" s="134"/>
      <c r="C24" s="134"/>
      <c r="D24" s="135"/>
      <c r="G24" s="119"/>
      <c r="H24" s="119"/>
    </row>
    <row r="25" spans="1:12" ht="47.25" x14ac:dyDescent="0.25">
      <c r="A25" s="136" t="s">
        <v>16</v>
      </c>
      <c r="B25" s="115" t="s">
        <v>14</v>
      </c>
      <c r="C25" s="142" t="s">
        <v>21</v>
      </c>
      <c r="D25" s="143" t="s">
        <v>35</v>
      </c>
      <c r="G25" s="119"/>
      <c r="H25" s="114"/>
    </row>
    <row r="26" spans="1:12" x14ac:dyDescent="0.25">
      <c r="A26" s="138">
        <f>B26+273.15</f>
        <v>973.15</v>
      </c>
      <c r="B26" s="150">
        <v>700</v>
      </c>
      <c r="C26" s="140">
        <f>'LSC,Egger (Solid State Ionics)'!C63</f>
        <v>8.9729936875813515E-2</v>
      </c>
      <c r="D26" s="157">
        <f t="shared" ref="D26:D32" si="3">($C$2*$A$2*A26)/(4*($E$2^2)*C26*D16)</f>
        <v>61.231105907397549</v>
      </c>
      <c r="G26" s="119"/>
      <c r="H26" s="114"/>
      <c r="K26" s="118"/>
      <c r="L26" s="118"/>
    </row>
    <row r="27" spans="1:12" x14ac:dyDescent="0.25">
      <c r="A27" s="138">
        <f>B27+273.15</f>
        <v>923.15</v>
      </c>
      <c r="B27" s="150">
        <v>650</v>
      </c>
      <c r="C27" s="140">
        <f>'LSC,Egger (Solid State Ionics)'!C65</f>
        <v>7.3734944973804617E-2</v>
      </c>
      <c r="D27" s="157">
        <f t="shared" si="3"/>
        <v>150.24098828778583</v>
      </c>
      <c r="G27" s="119"/>
      <c r="H27" s="114"/>
      <c r="J27" s="113"/>
      <c r="K27" s="113"/>
      <c r="L27" s="113"/>
    </row>
    <row r="28" spans="1:12" x14ac:dyDescent="0.25">
      <c r="A28" s="138">
        <f>B28+273.15</f>
        <v>873.15</v>
      </c>
      <c r="B28" s="150">
        <v>600</v>
      </c>
      <c r="C28" s="140">
        <f>'LSC,Egger (Solid State Ionics)'!C67</f>
        <v>5.8374835889035401E-2</v>
      </c>
      <c r="D28" s="157">
        <f t="shared" si="3"/>
        <v>357.49934964499317</v>
      </c>
      <c r="G28" s="119"/>
      <c r="H28" s="114"/>
      <c r="J28" s="113"/>
      <c r="K28" s="113"/>
      <c r="L28" s="113"/>
    </row>
    <row r="29" spans="1:12" x14ac:dyDescent="0.25">
      <c r="A29" s="138">
        <f>B29+273.15</f>
        <v>823.15</v>
      </c>
      <c r="B29" s="150">
        <v>550</v>
      </c>
      <c r="C29" s="140">
        <f>'LSC,Egger (Solid State Ionics)'!C69</f>
        <v>9.3351363999339021E-2</v>
      </c>
      <c r="D29" s="157">
        <f t="shared" si="3"/>
        <v>772.45091595095062</v>
      </c>
      <c r="G29" s="119"/>
      <c r="H29" s="114"/>
      <c r="J29" s="113"/>
      <c r="K29" s="113"/>
      <c r="L29" s="113"/>
    </row>
    <row r="30" spans="1:12" x14ac:dyDescent="0.25">
      <c r="A30" s="138">
        <f t="shared" ref="A30:A32" si="4">B30+273.15</f>
        <v>773.15</v>
      </c>
      <c r="B30" s="150">
        <v>500</v>
      </c>
      <c r="C30" s="140">
        <f>'LSC,Egger (Solid State Ionics)'!C71</f>
        <v>7.9476981953167547E-2</v>
      </c>
      <c r="D30" s="157">
        <f t="shared" si="3"/>
        <v>1651.8004203076187</v>
      </c>
      <c r="G30" s="119"/>
      <c r="H30" s="114"/>
      <c r="J30" s="113"/>
      <c r="K30" s="113"/>
      <c r="L30" s="113"/>
    </row>
    <row r="31" spans="1:12" x14ac:dyDescent="0.25">
      <c r="A31" s="138">
        <f t="shared" si="4"/>
        <v>723.15</v>
      </c>
      <c r="B31" s="150">
        <v>450</v>
      </c>
      <c r="C31" s="140">
        <f>'LSC,Egger (Solid State Ionics)'!C72</f>
        <v>8.0689610356642766E-2</v>
      </c>
      <c r="D31" s="157">
        <f t="shared" si="3"/>
        <v>1485.5318331121741</v>
      </c>
      <c r="G31" s="119"/>
      <c r="H31" s="114"/>
      <c r="J31" s="113"/>
      <c r="K31" s="113"/>
      <c r="L31" s="113"/>
    </row>
    <row r="32" spans="1:12" ht="15.75" thickBot="1" x14ac:dyDescent="0.3">
      <c r="A32" s="141">
        <f t="shared" si="4"/>
        <v>673.15</v>
      </c>
      <c r="B32" s="128">
        <v>400</v>
      </c>
      <c r="C32" s="130">
        <f>'LSC,Egger (Solid State Ionics)'!C73</f>
        <v>7.9759016943208028E-2</v>
      </c>
      <c r="D32" s="158">
        <f t="shared" si="3"/>
        <v>13897.942562911958</v>
      </c>
      <c r="G32" s="119"/>
      <c r="H32" s="114"/>
      <c r="J32" s="113"/>
      <c r="K32" s="113"/>
      <c r="L32" s="113"/>
    </row>
    <row r="33" spans="1:12" x14ac:dyDescent="0.25">
      <c r="D33" s="113"/>
      <c r="G33" s="119"/>
      <c r="H33" s="114"/>
      <c r="J33" s="113"/>
      <c r="K33" s="113"/>
      <c r="L33" s="113"/>
    </row>
    <row r="34" spans="1:12" x14ac:dyDescent="0.25">
      <c r="G34" s="119"/>
      <c r="H34" s="114"/>
      <c r="J34" s="113"/>
      <c r="K34" s="113"/>
      <c r="L34" s="113"/>
    </row>
    <row r="35" spans="1:12" x14ac:dyDescent="0.25">
      <c r="G35" s="119"/>
      <c r="H35" s="114"/>
      <c r="J35" s="113"/>
      <c r="K35" s="113"/>
      <c r="L35" s="113"/>
    </row>
    <row r="36" spans="1:12" x14ac:dyDescent="0.25">
      <c r="A36" s="118"/>
      <c r="G36" s="119"/>
      <c r="H36" s="114"/>
    </row>
    <row r="37" spans="1:12" x14ac:dyDescent="0.25">
      <c r="C37" s="118"/>
    </row>
    <row r="38" spans="1:12" x14ac:dyDescent="0.25">
      <c r="A38" s="112"/>
      <c r="B38" s="119"/>
      <c r="C38" s="114"/>
    </row>
    <row r="39" spans="1:12" x14ac:dyDescent="0.25">
      <c r="A39" s="112"/>
      <c r="B39" s="119"/>
      <c r="C39" s="114"/>
      <c r="J39" s="118"/>
    </row>
    <row r="40" spans="1:12" x14ac:dyDescent="0.25">
      <c r="A40" s="112"/>
      <c r="B40" s="119"/>
      <c r="C40" s="114"/>
      <c r="J40" s="113"/>
    </row>
    <row r="41" spans="1:12" x14ac:dyDescent="0.25">
      <c r="A41" s="112"/>
      <c r="B41" s="119"/>
      <c r="C41" s="114"/>
      <c r="J41" s="113"/>
    </row>
    <row r="42" spans="1:12" x14ac:dyDescent="0.25">
      <c r="A42" s="112"/>
      <c r="C42" s="113"/>
      <c r="J42" s="113"/>
    </row>
    <row r="43" spans="1:12" x14ac:dyDescent="0.25">
      <c r="A43" s="112"/>
      <c r="C43" s="113"/>
      <c r="J43" s="113"/>
    </row>
    <row r="44" spans="1:12" x14ac:dyDescent="0.25">
      <c r="A44" s="112"/>
      <c r="B44" s="117"/>
      <c r="D44" s="114"/>
      <c r="E44" s="113"/>
      <c r="H44" s="113"/>
      <c r="J44" s="113"/>
    </row>
    <row r="45" spans="1:12" x14ac:dyDescent="0.25">
      <c r="A45" s="112"/>
      <c r="B45" s="117"/>
      <c r="D45" s="114"/>
      <c r="E45" s="113"/>
      <c r="H45" s="113"/>
      <c r="J45" s="113"/>
    </row>
    <row r="46" spans="1:12" x14ac:dyDescent="0.25">
      <c r="A46" s="112"/>
      <c r="B46" s="117"/>
      <c r="D46" s="114"/>
      <c r="E46" s="113"/>
      <c r="H46" s="113"/>
      <c r="J46" s="113"/>
    </row>
    <row r="47" spans="1:12" x14ac:dyDescent="0.25">
      <c r="A47" s="112"/>
      <c r="B47" s="117"/>
      <c r="D47" s="114"/>
      <c r="E47" s="113"/>
      <c r="H47" s="113"/>
      <c r="J47" s="113"/>
    </row>
    <row r="48" spans="1:12" x14ac:dyDescent="0.25">
      <c r="A48" s="112"/>
      <c r="B48" s="117"/>
      <c r="D48" s="114"/>
      <c r="E48" s="113"/>
      <c r="H48" s="114"/>
      <c r="J48" s="113"/>
    </row>
    <row r="49" spans="1:10" x14ac:dyDescent="0.25">
      <c r="A49" s="112"/>
      <c r="B49" s="117"/>
      <c r="D49" s="114"/>
      <c r="E49" s="113"/>
      <c r="H49" s="114"/>
      <c r="J49" s="113"/>
    </row>
    <row r="50" spans="1:10" x14ac:dyDescent="0.25">
      <c r="A50" s="112"/>
      <c r="B50" s="117"/>
      <c r="D50" s="114"/>
      <c r="E50" s="113"/>
      <c r="H50" s="114"/>
      <c r="J50" s="113"/>
    </row>
    <row r="51" spans="1:10" x14ac:dyDescent="0.25">
      <c r="A51" s="112"/>
      <c r="B51" s="117"/>
      <c r="C51" s="113"/>
      <c r="D51" s="114"/>
      <c r="E51" s="113"/>
      <c r="H51" s="114"/>
      <c r="J51" s="113"/>
    </row>
    <row r="52" spans="1:10" x14ac:dyDescent="0.25">
      <c r="A52" s="112"/>
      <c r="B52" s="117"/>
      <c r="C52" s="113"/>
      <c r="D52" s="114"/>
      <c r="E52" s="113"/>
      <c r="H52" s="114"/>
      <c r="J52" s="113"/>
    </row>
    <row r="53" spans="1:10" x14ac:dyDescent="0.25">
      <c r="A53" s="112"/>
      <c r="B53" s="117"/>
      <c r="C53" s="113"/>
      <c r="D53" s="114"/>
      <c r="E53" s="113"/>
      <c r="H53" s="114"/>
      <c r="J53" s="113"/>
    </row>
    <row r="54" spans="1:10" x14ac:dyDescent="0.25">
      <c r="A54" s="112"/>
      <c r="B54" s="117"/>
      <c r="C54" s="113"/>
      <c r="D54" s="114"/>
      <c r="E54" s="113"/>
      <c r="H54" s="114"/>
      <c r="J54" s="113"/>
    </row>
    <row r="55" spans="1:10" x14ac:dyDescent="0.25">
      <c r="A55" s="112"/>
      <c r="B55" s="117"/>
      <c r="C55" s="113"/>
      <c r="D55" s="114"/>
      <c r="E55" s="113"/>
      <c r="H55" s="114"/>
      <c r="J55" s="113"/>
    </row>
    <row r="56" spans="1:10" x14ac:dyDescent="0.25">
      <c r="A56" s="112"/>
      <c r="B56" s="117"/>
      <c r="C56" s="113"/>
      <c r="D56" s="114"/>
      <c r="E56" s="113"/>
      <c r="H56" s="114"/>
      <c r="J56" s="113"/>
    </row>
    <row r="57" spans="1:10" x14ac:dyDescent="0.25">
      <c r="A57" s="112"/>
      <c r="B57" s="117"/>
      <c r="C57" s="113"/>
      <c r="D57" s="114"/>
      <c r="E57" s="113"/>
      <c r="H57" s="114"/>
      <c r="J57" s="113"/>
    </row>
    <row r="58" spans="1:10" x14ac:dyDescent="0.25">
      <c r="A58" s="112"/>
      <c r="B58" s="117"/>
      <c r="C58" s="113"/>
      <c r="D58" s="114"/>
      <c r="E58" s="113"/>
      <c r="F58" s="119"/>
      <c r="G58" s="119"/>
      <c r="H58" s="114"/>
      <c r="J58" s="113"/>
    </row>
    <row r="59" spans="1:10" x14ac:dyDescent="0.25">
      <c r="A59" s="112"/>
      <c r="B59" s="117"/>
      <c r="C59" s="113"/>
      <c r="D59" s="114"/>
      <c r="E59" s="113"/>
      <c r="F59" s="119"/>
      <c r="G59" s="114"/>
      <c r="H59" s="114"/>
      <c r="J59" s="113"/>
    </row>
    <row r="60" spans="1:10" x14ac:dyDescent="0.25">
      <c r="A60" s="112"/>
      <c r="B60" s="117"/>
      <c r="C60" s="113"/>
      <c r="D60" s="114"/>
      <c r="E60" s="113"/>
      <c r="F60" s="119"/>
      <c r="G60" s="114"/>
      <c r="H60" s="114"/>
    </row>
    <row r="61" spans="1:10" x14ac:dyDescent="0.25">
      <c r="A61" s="112"/>
      <c r="B61" s="117"/>
      <c r="C61" s="113"/>
      <c r="D61" s="114"/>
      <c r="E61" s="113"/>
      <c r="F61" s="119"/>
      <c r="G61" s="114"/>
      <c r="H61" s="114"/>
    </row>
    <row r="62" spans="1:10" x14ac:dyDescent="0.25">
      <c r="A62" s="112"/>
      <c r="B62" s="117"/>
      <c r="C62" s="113"/>
      <c r="D62" s="114"/>
      <c r="E62" s="113"/>
      <c r="F62" s="119"/>
      <c r="G62" s="114"/>
      <c r="H62" s="114"/>
    </row>
    <row r="63" spans="1:10" x14ac:dyDescent="0.25">
      <c r="A63" s="112"/>
      <c r="B63" s="117"/>
      <c r="C63" s="113"/>
      <c r="D63" s="114"/>
      <c r="E63" s="113"/>
      <c r="F63" s="119"/>
      <c r="G63" s="114"/>
      <c r="H63" s="114"/>
    </row>
    <row r="64" spans="1:10" x14ac:dyDescent="0.25">
      <c r="A64" s="112"/>
      <c r="B64" s="117"/>
      <c r="C64" s="113"/>
      <c r="D64" s="114"/>
      <c r="F64" s="119"/>
      <c r="G64" s="114"/>
      <c r="H64" s="114"/>
    </row>
    <row r="65" spans="1:8" x14ac:dyDescent="0.25">
      <c r="A65" s="112"/>
      <c r="B65" s="117"/>
      <c r="C65" s="113"/>
      <c r="D65" s="114"/>
      <c r="F65" s="119"/>
      <c r="G65" s="114"/>
      <c r="H65" s="114"/>
    </row>
    <row r="66" spans="1:8" x14ac:dyDescent="0.25">
      <c r="A66" s="112"/>
      <c r="B66" s="117"/>
      <c r="C66" s="113"/>
      <c r="D66" s="114"/>
      <c r="F66" s="119"/>
      <c r="G66" s="114"/>
      <c r="H66" s="114"/>
    </row>
    <row r="67" spans="1:8" x14ac:dyDescent="0.25">
      <c r="A67" s="112"/>
      <c r="B67" s="117"/>
      <c r="C67" s="113"/>
      <c r="D67" s="114"/>
      <c r="F67" s="119"/>
      <c r="G67" s="114"/>
      <c r="H67" s="114"/>
    </row>
    <row r="68" spans="1:8" x14ac:dyDescent="0.25">
      <c r="A68" s="112"/>
      <c r="B68" s="117"/>
      <c r="C68" s="113"/>
      <c r="D68" s="114"/>
      <c r="F68" s="119"/>
      <c r="G68" s="114"/>
      <c r="H68" s="114"/>
    </row>
    <row r="69" spans="1:8" x14ac:dyDescent="0.25">
      <c r="A69" s="112"/>
      <c r="B69" s="117"/>
      <c r="C69" s="113"/>
      <c r="D69" s="114"/>
      <c r="F69" s="119"/>
      <c r="G69" s="114"/>
      <c r="H69" s="114"/>
    </row>
    <row r="70" spans="1:8" x14ac:dyDescent="0.25">
      <c r="A70" s="112"/>
      <c r="B70" s="117"/>
      <c r="C70" s="113"/>
      <c r="D70" s="114"/>
      <c r="F70" s="119"/>
      <c r="G70" s="114"/>
      <c r="H70" s="114"/>
    </row>
    <row r="71" spans="1:8" x14ac:dyDescent="0.25">
      <c r="A71" s="112"/>
      <c r="B71" s="117"/>
      <c r="D71" s="114"/>
      <c r="F71" s="119"/>
      <c r="G71" s="114"/>
      <c r="H71" s="114"/>
    </row>
    <row r="72" spans="1:8" x14ac:dyDescent="0.25">
      <c r="A72" s="112"/>
      <c r="B72" s="117"/>
      <c r="D72" s="114"/>
      <c r="F72" s="119"/>
      <c r="G72" s="114"/>
      <c r="H72" s="114"/>
    </row>
    <row r="73" spans="1:8" x14ac:dyDescent="0.25">
      <c r="A73" s="112"/>
      <c r="B73" s="117"/>
      <c r="D73" s="114"/>
      <c r="F73" s="119"/>
      <c r="G73" s="114"/>
      <c r="H73" s="114"/>
    </row>
    <row r="74" spans="1:8" x14ac:dyDescent="0.25">
      <c r="A74" s="112"/>
      <c r="B74" s="117"/>
      <c r="D74" s="114"/>
      <c r="F74" s="119"/>
      <c r="G74" s="114"/>
      <c r="H74" s="114"/>
    </row>
    <row r="75" spans="1:8" x14ac:dyDescent="0.25">
      <c r="A75" s="112"/>
      <c r="B75" s="117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4"/>
    </row>
    <row r="82" spans="1:8" x14ac:dyDescent="0.25">
      <c r="A82" s="112"/>
      <c r="B82" s="117"/>
      <c r="D82" s="114"/>
      <c r="F82" s="119"/>
      <c r="G82" s="114"/>
      <c r="H82" s="114"/>
    </row>
    <row r="83" spans="1:8" x14ac:dyDescent="0.25">
      <c r="A83" s="112"/>
      <c r="B83" s="117"/>
      <c r="D83" s="114"/>
      <c r="F83" s="119"/>
      <c r="G83" s="114"/>
      <c r="H83" s="114"/>
    </row>
    <row r="84" spans="1:8" x14ac:dyDescent="0.25">
      <c r="A84" s="112"/>
      <c r="B84" s="117"/>
      <c r="D84" s="114"/>
      <c r="F84" s="119"/>
      <c r="G84" s="114"/>
      <c r="H84" s="114"/>
    </row>
    <row r="85" spans="1:8" x14ac:dyDescent="0.25">
      <c r="A85" s="112"/>
      <c r="B85" s="117"/>
      <c r="D85" s="114"/>
      <c r="F85" s="119"/>
      <c r="G85" s="114"/>
      <c r="H85" s="114"/>
    </row>
    <row r="86" spans="1:8" x14ac:dyDescent="0.25">
      <c r="A86" s="112"/>
      <c r="B86" s="117"/>
      <c r="D86" s="114"/>
      <c r="F86" s="119"/>
      <c r="G86" s="114"/>
      <c r="H86" s="114"/>
    </row>
    <row r="87" spans="1:8" x14ac:dyDescent="0.25">
      <c r="A87" s="112"/>
      <c r="B87" s="117"/>
      <c r="D87" s="114"/>
      <c r="F87" s="119"/>
      <c r="G87" s="114"/>
      <c r="H87" s="114"/>
    </row>
    <row r="88" spans="1:8" x14ac:dyDescent="0.25">
      <c r="A88" s="112"/>
      <c r="B88" s="117"/>
      <c r="D88" s="114"/>
      <c r="F88" s="119"/>
      <c r="G88" s="114"/>
      <c r="H88" s="114"/>
    </row>
    <row r="89" spans="1:8" x14ac:dyDescent="0.25">
      <c r="A89" s="112"/>
      <c r="B89" s="117"/>
      <c r="D89" s="114"/>
      <c r="F89" s="119"/>
      <c r="G89" s="114"/>
      <c r="H89" s="114"/>
    </row>
    <row r="90" spans="1:8" x14ac:dyDescent="0.25">
      <c r="A90" s="112"/>
      <c r="B90" s="117"/>
      <c r="D90" s="114"/>
      <c r="F90" s="119"/>
      <c r="G90" s="114"/>
      <c r="H90" s="114"/>
    </row>
    <row r="91" spans="1:8" x14ac:dyDescent="0.25">
      <c r="A91" s="112"/>
      <c r="B91" s="117"/>
      <c r="D91" s="114"/>
      <c r="F91" s="119"/>
      <c r="G91" s="114"/>
      <c r="H91" s="114"/>
    </row>
    <row r="92" spans="1:8" x14ac:dyDescent="0.25">
      <c r="A92" s="112"/>
      <c r="B92" s="117"/>
      <c r="D92" s="114"/>
      <c r="F92" s="119"/>
      <c r="G92" s="114"/>
      <c r="H92" s="114"/>
    </row>
    <row r="93" spans="1:8" x14ac:dyDescent="0.25">
      <c r="A93" s="112"/>
      <c r="B93" s="117"/>
      <c r="D93" s="114"/>
      <c r="F93" s="119"/>
      <c r="G93" s="114"/>
      <c r="H93" s="114"/>
    </row>
    <row r="94" spans="1:8" x14ac:dyDescent="0.25">
      <c r="A94" s="112"/>
      <c r="B94" s="117"/>
      <c r="D94" s="114"/>
      <c r="F94" s="119"/>
      <c r="G94" s="114"/>
      <c r="H94" s="114"/>
    </row>
    <row r="95" spans="1:8" x14ac:dyDescent="0.25">
      <c r="A95" s="112"/>
      <c r="B95" s="117"/>
      <c r="D95" s="114"/>
      <c r="F95" s="119"/>
      <c r="G95" s="114"/>
      <c r="H95" s="114"/>
    </row>
    <row r="96" spans="1:8" x14ac:dyDescent="0.25">
      <c r="A96" s="112"/>
      <c r="B96" s="117"/>
      <c r="D96" s="114"/>
      <c r="F96" s="119"/>
      <c r="G96" s="114"/>
      <c r="H96" s="114"/>
    </row>
    <row r="97" spans="1:8" x14ac:dyDescent="0.25">
      <c r="A97" s="112"/>
      <c r="B97" s="117"/>
      <c r="D97" s="114"/>
      <c r="F97" s="119"/>
      <c r="G97" s="114"/>
      <c r="H97" s="114"/>
    </row>
    <row r="98" spans="1:8" x14ac:dyDescent="0.25">
      <c r="A98" s="112"/>
      <c r="B98" s="117"/>
      <c r="D98" s="114"/>
      <c r="F98" s="119"/>
      <c r="G98" s="114"/>
      <c r="H98" s="114"/>
    </row>
    <row r="99" spans="1:8" x14ac:dyDescent="0.25">
      <c r="A99" s="112"/>
      <c r="B99" s="117"/>
      <c r="D99" s="114"/>
      <c r="F99" s="119"/>
      <c r="G99" s="114"/>
      <c r="H99" s="114"/>
    </row>
    <row r="100" spans="1:8" x14ac:dyDescent="0.25">
      <c r="A100" s="112"/>
      <c r="B100" s="117"/>
      <c r="D100" s="114"/>
      <c r="F100" s="119"/>
      <c r="G100" s="114"/>
      <c r="H100" s="114"/>
    </row>
    <row r="101" spans="1:8" x14ac:dyDescent="0.25">
      <c r="A101" s="112"/>
      <c r="B101" s="117"/>
      <c r="D101" s="114"/>
      <c r="F101" s="119"/>
      <c r="G101" s="114"/>
      <c r="H101" s="114"/>
    </row>
    <row r="102" spans="1:8" x14ac:dyDescent="0.25">
      <c r="A102" s="112"/>
      <c r="B102" s="117"/>
      <c r="D102" s="114"/>
      <c r="F102" s="119"/>
      <c r="G102" s="114"/>
      <c r="H102" s="114"/>
    </row>
    <row r="103" spans="1:8" x14ac:dyDescent="0.25">
      <c r="A103" s="112"/>
      <c r="B103" s="117"/>
      <c r="D103" s="114"/>
      <c r="F103" s="119"/>
      <c r="G103" s="114"/>
      <c r="H103" s="114"/>
    </row>
    <row r="104" spans="1:8" x14ac:dyDescent="0.25">
      <c r="A104" s="112"/>
      <c r="B104" s="117"/>
      <c r="D104" s="114"/>
      <c r="F104" s="119"/>
      <c r="G104" s="114"/>
      <c r="H104" s="114"/>
    </row>
    <row r="105" spans="1:8" x14ac:dyDescent="0.25">
      <c r="A105" s="112"/>
      <c r="B105" s="117"/>
      <c r="D105" s="114"/>
      <c r="F105" s="119"/>
      <c r="G105" s="114"/>
      <c r="H105" s="119"/>
    </row>
    <row r="106" spans="1:8" x14ac:dyDescent="0.25">
      <c r="A106" s="112"/>
      <c r="B106" s="117"/>
      <c r="D106" s="114"/>
      <c r="F106" s="119"/>
      <c r="G106" s="114"/>
    </row>
    <row r="107" spans="1:8" x14ac:dyDescent="0.25">
      <c r="A107" s="112"/>
      <c r="B107" s="117"/>
      <c r="D107" s="114"/>
      <c r="F107" s="119"/>
      <c r="G107" s="114"/>
    </row>
    <row r="108" spans="1:8" x14ac:dyDescent="0.25">
      <c r="A108" s="112"/>
      <c r="B108" s="117"/>
      <c r="D108" s="114"/>
      <c r="F108" s="119"/>
      <c r="G108" s="114"/>
    </row>
    <row r="109" spans="1:8" x14ac:dyDescent="0.25">
      <c r="A109" s="112"/>
      <c r="B109" s="117"/>
      <c r="D109" s="114"/>
      <c r="F109" s="119"/>
      <c r="G109" s="114"/>
    </row>
    <row r="110" spans="1:8" x14ac:dyDescent="0.25">
      <c r="A110" s="112"/>
      <c r="B110" s="117"/>
      <c r="D110" s="114"/>
      <c r="F110" s="119"/>
      <c r="G110" s="114"/>
    </row>
    <row r="111" spans="1:8" x14ac:dyDescent="0.25">
      <c r="A111" s="112"/>
      <c r="B111" s="117"/>
      <c r="D111" s="114"/>
      <c r="F111" s="119"/>
      <c r="G111" s="114"/>
    </row>
    <row r="112" spans="1:8" x14ac:dyDescent="0.25">
      <c r="A112" s="112"/>
      <c r="B112" s="117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A117" s="112"/>
      <c r="B117" s="112"/>
      <c r="D117" s="114"/>
      <c r="F117" s="119"/>
      <c r="G117" s="114"/>
    </row>
    <row r="118" spans="1:7" x14ac:dyDescent="0.25">
      <c r="A118" s="112"/>
      <c r="B118" s="112"/>
      <c r="D118" s="114"/>
      <c r="F118" s="119"/>
      <c r="G118" s="114"/>
    </row>
    <row r="119" spans="1:7" x14ac:dyDescent="0.25">
      <c r="A119" s="112"/>
      <c r="B119" s="112"/>
      <c r="D119" s="114"/>
      <c r="F119" s="119"/>
      <c r="G119" s="114"/>
    </row>
    <row r="120" spans="1:7" x14ac:dyDescent="0.25">
      <c r="A120" s="112"/>
      <c r="B120" s="112"/>
      <c r="D120" s="114"/>
      <c r="F120" s="119"/>
      <c r="G120" s="114"/>
    </row>
    <row r="121" spans="1:7" x14ac:dyDescent="0.25">
      <c r="A121" s="112"/>
      <c r="B121" s="112"/>
      <c r="D121" s="114"/>
      <c r="F121" s="119"/>
      <c r="G121" s="114"/>
    </row>
    <row r="122" spans="1:7" x14ac:dyDescent="0.25">
      <c r="A122" s="112"/>
      <c r="B122" s="112"/>
      <c r="D122" s="114"/>
      <c r="F122" s="119"/>
      <c r="G122" s="114"/>
    </row>
    <row r="123" spans="1:7" x14ac:dyDescent="0.25">
      <c r="A123" s="112"/>
      <c r="B123" s="112"/>
      <c r="D123" s="114"/>
      <c r="F123" s="119"/>
      <c r="G123" s="114"/>
    </row>
    <row r="124" spans="1:7" x14ac:dyDescent="0.25">
      <c r="A124" s="112"/>
      <c r="B124" s="112"/>
      <c r="D124" s="114"/>
      <c r="F124" s="119"/>
      <c r="G124" s="114"/>
    </row>
    <row r="125" spans="1:7" x14ac:dyDescent="0.25">
      <c r="A125" s="112"/>
      <c r="B125" s="112"/>
      <c r="D125" s="114"/>
      <c r="F125" s="119"/>
      <c r="G125" s="114"/>
    </row>
    <row r="126" spans="1:7" x14ac:dyDescent="0.25">
      <c r="A126" s="112"/>
      <c r="B126" s="112"/>
      <c r="D126" s="114"/>
      <c r="F126" s="119"/>
      <c r="G126" s="114"/>
    </row>
    <row r="127" spans="1:7" x14ac:dyDescent="0.25">
      <c r="A127" s="112"/>
      <c r="B127" s="112"/>
      <c r="D127" s="114"/>
      <c r="F127" s="119"/>
      <c r="G127" s="114"/>
    </row>
    <row r="128" spans="1:7" x14ac:dyDescent="0.25">
      <c r="A128" s="112"/>
      <c r="B128" s="112"/>
      <c r="D128" s="114"/>
      <c r="F128" s="119"/>
      <c r="G128" s="114"/>
    </row>
    <row r="129" spans="1:7" x14ac:dyDescent="0.25">
      <c r="A129" s="112"/>
      <c r="B129" s="112"/>
      <c r="D129" s="114"/>
      <c r="F129" s="119"/>
      <c r="G129" s="114"/>
    </row>
    <row r="130" spans="1:7" x14ac:dyDescent="0.25">
      <c r="A130" s="112"/>
      <c r="B130" s="112"/>
      <c r="D130" s="114"/>
      <c r="F130" s="119"/>
      <c r="G130" s="114"/>
    </row>
    <row r="131" spans="1:7" x14ac:dyDescent="0.25">
      <c r="A131" s="112"/>
      <c r="B131" s="112"/>
      <c r="D131" s="114"/>
      <c r="F131" s="119"/>
      <c r="G131" s="114"/>
    </row>
    <row r="132" spans="1:7" x14ac:dyDescent="0.25">
      <c r="A132" s="112"/>
      <c r="B132" s="112"/>
      <c r="D132" s="114"/>
      <c r="F132" s="119"/>
      <c r="G132" s="114"/>
    </row>
    <row r="133" spans="1:7" x14ac:dyDescent="0.25">
      <c r="A133" s="112"/>
      <c r="B133" s="112"/>
      <c r="D133" s="114"/>
      <c r="F133" s="119"/>
      <c r="G133" s="114"/>
    </row>
    <row r="134" spans="1:7" x14ac:dyDescent="0.25">
      <c r="F134" s="119"/>
      <c r="G134" s="114"/>
    </row>
    <row r="135" spans="1:7" x14ac:dyDescent="0.25">
      <c r="F135" s="119"/>
      <c r="G135" s="114"/>
    </row>
    <row r="136" spans="1:7" x14ac:dyDescent="0.25">
      <c r="F136" s="119"/>
      <c r="G136" s="114"/>
    </row>
    <row r="137" spans="1:7" x14ac:dyDescent="0.25">
      <c r="F137" s="119"/>
      <c r="G137" s="114"/>
    </row>
    <row r="138" spans="1:7" x14ac:dyDescent="0.25">
      <c r="F138" s="119"/>
      <c r="G138" s="114"/>
    </row>
    <row r="139" spans="1:7" x14ac:dyDescent="0.25">
      <c r="F139" s="119"/>
      <c r="G139" s="114"/>
    </row>
    <row r="140" spans="1:7" x14ac:dyDescent="0.25">
      <c r="F140" s="119"/>
      <c r="G140" s="114"/>
    </row>
    <row r="141" spans="1:7" x14ac:dyDescent="0.25">
      <c r="F141" s="119"/>
      <c r="G141" s="114"/>
    </row>
    <row r="142" spans="1:7" x14ac:dyDescent="0.25">
      <c r="F142" s="119"/>
      <c r="G142" s="114"/>
    </row>
    <row r="143" spans="1:7" x14ac:dyDescent="0.25">
      <c r="F143" s="119"/>
      <c r="G143" s="114"/>
    </row>
    <row r="144" spans="1:7" x14ac:dyDescent="0.25">
      <c r="F144" s="119"/>
      <c r="G144" s="114"/>
    </row>
    <row r="145" spans="6:7" x14ac:dyDescent="0.25">
      <c r="F145" s="119"/>
      <c r="G145" s="114"/>
    </row>
    <row r="146" spans="6:7" x14ac:dyDescent="0.25">
      <c r="F146" s="119"/>
      <c r="G146" s="114"/>
    </row>
    <row r="147" spans="6:7" x14ac:dyDescent="0.25">
      <c r="F147" s="119"/>
      <c r="G147" s="114"/>
    </row>
    <row r="148" spans="6:7" x14ac:dyDescent="0.25">
      <c r="F148" s="119"/>
      <c r="G148" s="114"/>
    </row>
    <row r="149" spans="6:7" x14ac:dyDescent="0.25">
      <c r="F149" s="119"/>
      <c r="G149" s="114"/>
    </row>
    <row r="150" spans="6:7" x14ac:dyDescent="0.25">
      <c r="F150" s="119"/>
      <c r="G150" s="114"/>
    </row>
    <row r="151" spans="6:7" x14ac:dyDescent="0.25">
      <c r="F151" s="119"/>
      <c r="G151" s="114"/>
    </row>
    <row r="152" spans="6:7" x14ac:dyDescent="0.25">
      <c r="F152" s="119"/>
      <c r="G152" s="114"/>
    </row>
    <row r="153" spans="6:7" x14ac:dyDescent="0.25">
      <c r="F153" s="119"/>
      <c r="G153" s="114"/>
    </row>
    <row r="154" spans="6:7" x14ac:dyDescent="0.25">
      <c r="F154" s="119"/>
      <c r="G154" s="114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153"/>
  <sheetViews>
    <sheetView topLeftCell="A5" workbookViewId="0">
      <selection activeCell="D28" sqref="D28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101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94</v>
      </c>
    </row>
    <row r="6" spans="1:19" x14ac:dyDescent="0.25">
      <c r="A6" s="138">
        <f>B6+273.15</f>
        <v>953.15</v>
      </c>
      <c r="B6" s="150">
        <v>680</v>
      </c>
      <c r="C6" s="140">
        <f>'LSC,Egger (Solid State Ionics)'!K48</f>
        <v>115</v>
      </c>
      <c r="D6" s="157">
        <f>C6*D16</f>
        <v>1.2534999999999998E-4</v>
      </c>
    </row>
    <row r="7" spans="1:19" x14ac:dyDescent="0.25">
      <c r="A7" s="138">
        <f t="shared" ref="A7:A8" si="0">B7+273.15</f>
        <v>873.15</v>
      </c>
      <c r="B7" s="150">
        <v>600</v>
      </c>
      <c r="C7" s="140">
        <f>'LSC,Egger (Solid State Ionics)'!K52</f>
        <v>145.40690505548707</v>
      </c>
      <c r="D7" s="157">
        <f>C7*D17</f>
        <v>1.3217487669543774E-5</v>
      </c>
      <c r="H7" s="111" t="s">
        <v>18</v>
      </c>
    </row>
    <row r="8" spans="1:19" ht="15.75" x14ac:dyDescent="0.25">
      <c r="A8" s="138">
        <f t="shared" si="0"/>
        <v>865.15</v>
      </c>
      <c r="B8" s="150">
        <v>592</v>
      </c>
      <c r="C8" s="140">
        <f>'LSC,Egger (Solid State Ionics)'!K53</f>
        <v>128.81677515299268</v>
      </c>
      <c r="D8" s="157">
        <f>C8*D18</f>
        <v>1.9064882722642915E-5</v>
      </c>
      <c r="G8" s="111">
        <v>1</v>
      </c>
      <c r="H8" s="35" t="s">
        <v>93</v>
      </c>
    </row>
    <row r="9" spans="1:19" ht="15.75" x14ac:dyDescent="0.25">
      <c r="A9" s="138">
        <f>B9+273.15</f>
        <v>791.15</v>
      </c>
      <c r="B9" s="150">
        <v>518</v>
      </c>
      <c r="C9" s="140">
        <f>'LSC,Egger (Solid State Ionics)'!K57</f>
        <v>207</v>
      </c>
      <c r="D9" s="157">
        <f>C9*D20</f>
        <v>1.96857E-5</v>
      </c>
      <c r="J9" s="35"/>
    </row>
    <row r="10" spans="1:19" ht="16.5" thickBot="1" x14ac:dyDescent="0.3">
      <c r="A10" s="138">
        <f>B10+273.15</f>
        <v>757.15</v>
      </c>
      <c r="B10" s="150">
        <v>484</v>
      </c>
      <c r="C10" s="140">
        <f>'LSC,Egger (Solid State Ionics)'!K59</f>
        <v>228.52309682545376</v>
      </c>
      <c r="D10" s="157">
        <f>C10*D22</f>
        <v>7.1070683112716122E-6</v>
      </c>
      <c r="J10" s="35"/>
    </row>
    <row r="11" spans="1:19" ht="19.5" thickBot="1" x14ac:dyDescent="0.3">
      <c r="A11" s="138">
        <f>B11+273.15</f>
        <v>715.15</v>
      </c>
      <c r="B11" s="150">
        <v>442</v>
      </c>
      <c r="C11" s="140">
        <f>'LSC,Egger (Solid State Ionics)'!K61</f>
        <v>295.88859213308081</v>
      </c>
      <c r="D11" s="157">
        <f>C11*D23</f>
        <v>7.8706365507399488E-6</v>
      </c>
      <c r="H11" s="169" t="s">
        <v>184</v>
      </c>
    </row>
    <row r="12" spans="1:19" ht="15.75" thickBot="1" x14ac:dyDescent="0.3">
      <c r="A12" s="141">
        <f>B12+273.15</f>
        <v>673.15</v>
      </c>
      <c r="B12" s="128">
        <v>400</v>
      </c>
      <c r="C12" s="130">
        <f>'LSC,Egger (Solid State Ionics)'!K63</f>
        <v>393.13097610225878</v>
      </c>
      <c r="D12" s="158">
        <f>C12*D24</f>
        <v>5.7003991534827523E-6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2"/>
      <c r="D13" s="11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6" t="s">
        <v>16</v>
      </c>
      <c r="B15" s="115" t="s">
        <v>14</v>
      </c>
      <c r="C15" s="142"/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953.15</v>
      </c>
      <c r="B16" s="150">
        <v>680</v>
      </c>
      <c r="C16" s="140"/>
      <c r="D16" s="155">
        <v>1.0899999999999999E-6</v>
      </c>
    </row>
    <row r="17" spans="1:12" x14ac:dyDescent="0.25">
      <c r="A17" s="138">
        <f t="shared" ref="A17:A24" si="1">B17+273.15</f>
        <v>873.15</v>
      </c>
      <c r="B17" s="150">
        <v>600</v>
      </c>
      <c r="C17" s="140"/>
      <c r="D17" s="155">
        <v>9.09E-8</v>
      </c>
    </row>
    <row r="18" spans="1:12" x14ac:dyDescent="0.25">
      <c r="A18" s="138">
        <f t="shared" si="1"/>
        <v>865.15</v>
      </c>
      <c r="B18" s="150">
        <v>592</v>
      </c>
      <c r="C18" s="140"/>
      <c r="D18" s="155">
        <v>1.48E-7</v>
      </c>
    </row>
    <row r="19" spans="1:12" x14ac:dyDescent="0.25">
      <c r="A19" s="138">
        <f t="shared" si="1"/>
        <v>823.15</v>
      </c>
      <c r="B19" s="150">
        <v>550</v>
      </c>
      <c r="C19" s="140"/>
      <c r="D19" s="155">
        <v>1.0450842879170713E-7</v>
      </c>
    </row>
    <row r="20" spans="1:12" x14ac:dyDescent="0.25">
      <c r="A20" s="138">
        <f t="shared" si="1"/>
        <v>791.15</v>
      </c>
      <c r="B20" s="150">
        <v>518</v>
      </c>
      <c r="C20" s="140"/>
      <c r="D20" s="155">
        <v>9.5099999999999998E-8</v>
      </c>
    </row>
    <row r="21" spans="1:12" x14ac:dyDescent="0.25">
      <c r="A21" s="138">
        <f t="shared" si="1"/>
        <v>773.15</v>
      </c>
      <c r="B21" s="150">
        <v>500</v>
      </c>
      <c r="C21" s="140"/>
      <c r="D21" s="155">
        <v>5.2157486409015102E-8</v>
      </c>
    </row>
    <row r="22" spans="1:12" x14ac:dyDescent="0.25">
      <c r="A22" s="138">
        <f t="shared" si="1"/>
        <v>757.15</v>
      </c>
      <c r="B22" s="150">
        <v>484</v>
      </c>
      <c r="C22" s="140"/>
      <c r="D22" s="155">
        <v>3.1100000000000001E-8</v>
      </c>
    </row>
    <row r="23" spans="1:12" x14ac:dyDescent="0.25">
      <c r="A23" s="138">
        <f t="shared" si="1"/>
        <v>715.15</v>
      </c>
      <c r="B23" s="150">
        <v>442</v>
      </c>
      <c r="C23" s="140"/>
      <c r="D23" s="155">
        <v>2.66E-8</v>
      </c>
    </row>
    <row r="24" spans="1:12" ht="15.75" thickBot="1" x14ac:dyDescent="0.3">
      <c r="A24" s="141">
        <f t="shared" si="1"/>
        <v>673.15</v>
      </c>
      <c r="B24" s="128">
        <v>400</v>
      </c>
      <c r="C24" s="130"/>
      <c r="D24" s="156">
        <v>1.4500000000000001E-8</v>
      </c>
    </row>
    <row r="25" spans="1:12" ht="15.75" thickBot="1" x14ac:dyDescent="0.3">
      <c r="A25" s="112"/>
      <c r="D25" s="114"/>
    </row>
    <row r="26" spans="1:12" ht="15.75" x14ac:dyDescent="0.25">
      <c r="A26" s="133" t="s">
        <v>19</v>
      </c>
      <c r="B26" s="134"/>
      <c r="C26" s="134"/>
      <c r="D26" s="135"/>
      <c r="G26" s="119"/>
      <c r="H26" s="119"/>
    </row>
    <row r="27" spans="1:12" ht="47.25" x14ac:dyDescent="0.25">
      <c r="A27" s="136" t="s">
        <v>16</v>
      </c>
      <c r="B27" s="115" t="s">
        <v>14</v>
      </c>
      <c r="C27" s="142" t="s">
        <v>96</v>
      </c>
      <c r="D27" s="143" t="s">
        <v>35</v>
      </c>
      <c r="G27" s="119"/>
      <c r="H27" s="114"/>
    </row>
    <row r="28" spans="1:12" x14ac:dyDescent="0.25">
      <c r="A28" s="138">
        <f>B28+273.15</f>
        <v>953.15</v>
      </c>
      <c r="B28" s="150">
        <v>680</v>
      </c>
      <c r="C28" s="140">
        <f>D39</f>
        <v>0.15822897352180143</v>
      </c>
      <c r="D28" s="157">
        <f>($C$2*$A$2*A28)/(4*($E$2^2)*C28*D16)</f>
        <v>1.2333490359722792</v>
      </c>
      <c r="G28" s="119"/>
      <c r="H28" s="114"/>
      <c r="K28" s="118"/>
      <c r="L28" s="118"/>
    </row>
    <row r="29" spans="1:12" x14ac:dyDescent="0.25">
      <c r="A29" s="138">
        <f>B29+273.15</f>
        <v>873.15</v>
      </c>
      <c r="B29" s="150">
        <v>600</v>
      </c>
      <c r="C29" s="140">
        <f t="shared" ref="C29:C34" si="2">D40</f>
        <v>1.711238547858188E-2</v>
      </c>
      <c r="D29" s="157">
        <f>($C$2*$A$2*A29)/(4*($E$2^2)*C29*D17)</f>
        <v>125.27132630447308</v>
      </c>
      <c r="G29" s="119"/>
      <c r="H29" s="114"/>
      <c r="J29" s="113"/>
      <c r="K29" s="113"/>
      <c r="L29" s="113"/>
    </row>
    <row r="30" spans="1:12" x14ac:dyDescent="0.25">
      <c r="A30" s="138">
        <f>B30+273.15</f>
        <v>865.15</v>
      </c>
      <c r="B30" s="150">
        <v>592</v>
      </c>
      <c r="C30" s="140">
        <f t="shared" si="2"/>
        <v>2.2347009199349465E-2</v>
      </c>
      <c r="D30" s="157">
        <f>($C$2*$A$2*A30)/(4*($E$2^2)*C30*D18)</f>
        <v>58.377775769080138</v>
      </c>
      <c r="G30" s="119"/>
      <c r="H30" s="114"/>
      <c r="J30" s="113"/>
      <c r="K30" s="113"/>
      <c r="L30" s="113"/>
    </row>
    <row r="31" spans="1:12" x14ac:dyDescent="0.25">
      <c r="A31" s="138">
        <f>B31+273.15</f>
        <v>791.15</v>
      </c>
      <c r="B31" s="150">
        <v>518</v>
      </c>
      <c r="C31" s="140">
        <f t="shared" si="2"/>
        <v>3.5461098014582561E-2</v>
      </c>
      <c r="D31" s="157">
        <f>($C$2*$A$2*A31)/(4*($E$2^2)*C31*D20)</f>
        <v>52.355630217619748</v>
      </c>
      <c r="G31" s="119"/>
      <c r="H31" s="114"/>
      <c r="J31" s="113"/>
      <c r="K31" s="113"/>
      <c r="L31" s="113"/>
    </row>
    <row r="32" spans="1:12" x14ac:dyDescent="0.25">
      <c r="A32" s="138">
        <f t="shared" ref="A32:A34" si="3">B32+273.15</f>
        <v>757.15</v>
      </c>
      <c r="B32" s="150">
        <v>484</v>
      </c>
      <c r="C32" s="140">
        <f t="shared" si="2"/>
        <v>4.2599953484289507E-2</v>
      </c>
      <c r="D32" s="157">
        <f>($C$2*$A$2*A32)/(4*($E$2^2)*C32*D22)</f>
        <v>127.54095597496033</v>
      </c>
      <c r="G32" s="119"/>
      <c r="H32" s="114"/>
      <c r="J32" s="113"/>
      <c r="K32" s="113"/>
      <c r="L32" s="113"/>
    </row>
    <row r="33" spans="1:12" x14ac:dyDescent="0.25">
      <c r="A33" s="138">
        <f t="shared" si="3"/>
        <v>715.15</v>
      </c>
      <c r="B33" s="150">
        <v>442</v>
      </c>
      <c r="C33" s="140">
        <f t="shared" si="2"/>
        <v>8.9681351827306452E-2</v>
      </c>
      <c r="D33" s="157">
        <f>($C$2*$A$2*A33)/(4*($E$2^2)*C33*D23)</f>
        <v>66.903773796201804</v>
      </c>
      <c r="G33" s="119"/>
      <c r="H33" s="114"/>
      <c r="J33" s="113"/>
      <c r="K33" s="113"/>
      <c r="L33" s="113"/>
    </row>
    <row r="34" spans="1:12" ht="15.75" thickBot="1" x14ac:dyDescent="0.3">
      <c r="A34" s="141">
        <f t="shared" si="3"/>
        <v>673.15</v>
      </c>
      <c r="B34" s="128">
        <v>400</v>
      </c>
      <c r="C34" s="130">
        <f t="shared" si="2"/>
        <v>0.20718595313173591</v>
      </c>
      <c r="D34" s="158">
        <f>($C$2*$A$2*A34)/(4*($E$2^2)*C34*D24)</f>
        <v>50.005847878879983</v>
      </c>
      <c r="G34" s="119"/>
      <c r="H34" s="114"/>
      <c r="J34" s="113"/>
      <c r="K34" s="113"/>
      <c r="L34" s="113"/>
    </row>
    <row r="35" spans="1:12" x14ac:dyDescent="0.25">
      <c r="A35" s="112"/>
      <c r="B35" s="119"/>
      <c r="D35" s="114"/>
      <c r="G35" s="119"/>
      <c r="H35" s="114"/>
      <c r="J35" s="113"/>
      <c r="K35" s="113"/>
      <c r="L35" s="113"/>
    </row>
    <row r="36" spans="1:12" s="126" customFormat="1" ht="14.25" customHeight="1" thickBot="1" x14ac:dyDescent="0.3">
      <c r="G36" s="128"/>
      <c r="H36" s="129"/>
      <c r="J36" s="130"/>
      <c r="K36" s="130"/>
      <c r="L36" s="130"/>
    </row>
    <row r="37" spans="1:12" ht="60" x14ac:dyDescent="0.25">
      <c r="A37" s="118" t="s">
        <v>26</v>
      </c>
      <c r="G37" s="119"/>
      <c r="H37" s="114"/>
    </row>
    <row r="38" spans="1:12" ht="62.25" x14ac:dyDescent="0.25">
      <c r="A38" s="111" t="s">
        <v>16</v>
      </c>
      <c r="B38" s="111" t="s">
        <v>14</v>
      </c>
      <c r="C38" s="118" t="s">
        <v>100</v>
      </c>
      <c r="D38" s="118" t="s">
        <v>20</v>
      </c>
      <c r="F38" s="111" t="s">
        <v>16</v>
      </c>
      <c r="G38" s="111" t="s">
        <v>14</v>
      </c>
      <c r="H38" s="111" t="s">
        <v>97</v>
      </c>
      <c r="I38" s="118" t="s">
        <v>98</v>
      </c>
      <c r="J38" s="111" t="s">
        <v>99</v>
      </c>
    </row>
    <row r="39" spans="1:12" x14ac:dyDescent="0.25">
      <c r="A39" s="112">
        <f>B39+273.15</f>
        <v>953.15</v>
      </c>
      <c r="B39" s="119">
        <v>680</v>
      </c>
      <c r="C39" s="114">
        <f>'LSC,Egger (Solid State Ionics)'!G48</f>
        <v>2.2100000000000002E-3</v>
      </c>
      <c r="D39" s="114">
        <f t="shared" ref="D39:D45" si="4">($C$2*$A$2*A39*C39)/(4*($E$2^2)*J39)</f>
        <v>0.15822897352180143</v>
      </c>
      <c r="F39" s="112">
        <f>G39+273.15</f>
        <v>953.15</v>
      </c>
      <c r="G39" s="119">
        <v>680</v>
      </c>
      <c r="H39" s="114">
        <v>2.0500000000000002E-9</v>
      </c>
      <c r="I39" s="111">
        <v>0.69</v>
      </c>
      <c r="J39" s="114">
        <f>H39/I39</f>
        <v>2.9710144927536235E-9</v>
      </c>
    </row>
    <row r="40" spans="1:12" x14ac:dyDescent="0.25">
      <c r="A40" s="112">
        <f t="shared" ref="A40:A45" si="5">B40+273.15</f>
        <v>873.15</v>
      </c>
      <c r="B40" s="119">
        <v>600</v>
      </c>
      <c r="C40" s="114">
        <f>'LSC,Egger (Solid State Ionics)'!G51</f>
        <v>3.6400000000000001E-4</v>
      </c>
      <c r="D40" s="114">
        <f t="shared" si="4"/>
        <v>1.711238547858188E-2</v>
      </c>
      <c r="F40" s="112">
        <f t="shared" ref="F40:F45" si="6">G40+273.15</f>
        <v>873.15</v>
      </c>
      <c r="G40" s="119">
        <v>600</v>
      </c>
      <c r="H40" s="114">
        <v>2.86E-9</v>
      </c>
      <c r="I40" s="111">
        <v>0.69</v>
      </c>
      <c r="J40" s="114">
        <f t="shared" ref="J40:J45" si="7">H40/I40</f>
        <v>4.1449275362318841E-9</v>
      </c>
    </row>
    <row r="41" spans="1:12" x14ac:dyDescent="0.25">
      <c r="A41" s="112">
        <f t="shared" si="5"/>
        <v>865.15</v>
      </c>
      <c r="B41" s="119">
        <v>592</v>
      </c>
      <c r="C41" s="114">
        <f>'LSC,Egger (Solid State Ionics)'!G51</f>
        <v>3.6400000000000001E-4</v>
      </c>
      <c r="D41" s="114">
        <f t="shared" si="4"/>
        <v>2.2347009199349465E-2</v>
      </c>
      <c r="F41" s="112">
        <f t="shared" si="6"/>
        <v>865.15</v>
      </c>
      <c r="G41" s="119">
        <v>592</v>
      </c>
      <c r="H41" s="114">
        <v>2.1700000000000002E-9</v>
      </c>
      <c r="I41" s="111">
        <v>0.69</v>
      </c>
      <c r="J41" s="114">
        <f t="shared" si="7"/>
        <v>3.1449275362318846E-9</v>
      </c>
    </row>
    <row r="42" spans="1:12" x14ac:dyDescent="0.25">
      <c r="A42" s="112">
        <f t="shared" si="5"/>
        <v>791.15</v>
      </c>
      <c r="B42" s="119">
        <v>518</v>
      </c>
      <c r="C42" s="114">
        <f>'LSC,Egger (Solid State Ionics)'!G55</f>
        <v>5.7633127953672474E-5</v>
      </c>
      <c r="D42" s="114">
        <f t="shared" si="4"/>
        <v>3.5461098014582561E-2</v>
      </c>
      <c r="F42" s="112">
        <f t="shared" si="6"/>
        <v>791.15</v>
      </c>
      <c r="G42" s="119">
        <v>518</v>
      </c>
      <c r="H42" s="114">
        <v>1.9799999999999999E-10</v>
      </c>
      <c r="I42" s="111">
        <v>0.69</v>
      </c>
      <c r="J42" s="114">
        <f t="shared" si="7"/>
        <v>2.8695652173913045E-10</v>
      </c>
    </row>
    <row r="43" spans="1:12" x14ac:dyDescent="0.25">
      <c r="A43" s="112">
        <f t="shared" si="5"/>
        <v>757.15</v>
      </c>
      <c r="B43" s="119">
        <v>484</v>
      </c>
      <c r="C43" s="113">
        <f>'LSC,Egger (Solid State Ionics)'!G56</f>
        <v>2.6818649985027986E-5</v>
      </c>
      <c r="D43" s="114">
        <f t="shared" si="4"/>
        <v>4.2599953484289507E-2</v>
      </c>
      <c r="F43" s="112">
        <f t="shared" si="6"/>
        <v>757.15</v>
      </c>
      <c r="G43" s="119">
        <v>484</v>
      </c>
      <c r="H43" s="114">
        <v>7.34E-11</v>
      </c>
      <c r="I43" s="111">
        <v>0.69</v>
      </c>
      <c r="J43" s="114">
        <f t="shared" si="7"/>
        <v>1.063768115942029E-10</v>
      </c>
    </row>
    <row r="44" spans="1:12" x14ac:dyDescent="0.25">
      <c r="A44" s="112">
        <f t="shared" si="5"/>
        <v>715.15</v>
      </c>
      <c r="B44" s="119">
        <v>442</v>
      </c>
      <c r="C44" s="113">
        <v>1.0423861368344998E-5</v>
      </c>
      <c r="D44" s="114">
        <f t="shared" si="4"/>
        <v>8.9681351827306452E-2</v>
      </c>
      <c r="F44" s="112">
        <f t="shared" si="6"/>
        <v>715.15</v>
      </c>
      <c r="G44" s="119">
        <v>442</v>
      </c>
      <c r="H44" s="114">
        <v>1.28E-11</v>
      </c>
      <c r="I44" s="111">
        <v>0.69</v>
      </c>
      <c r="J44" s="114">
        <f t="shared" si="7"/>
        <v>1.8550724637681161E-11</v>
      </c>
    </row>
    <row r="45" spans="1:12" x14ac:dyDescent="0.25">
      <c r="A45" s="112">
        <f t="shared" si="5"/>
        <v>673.15</v>
      </c>
      <c r="B45" s="119">
        <v>400</v>
      </c>
      <c r="C45" s="113">
        <f>'LSC,Egger (Solid State Ionics)'!G58</f>
        <v>4.6371388108979735E-6</v>
      </c>
      <c r="D45" s="114">
        <f t="shared" si="4"/>
        <v>0.20718595313173591</v>
      </c>
      <c r="E45" s="113"/>
      <c r="F45" s="112">
        <f t="shared" si="6"/>
        <v>673.15</v>
      </c>
      <c r="G45" s="119">
        <v>400</v>
      </c>
      <c r="H45" s="114">
        <v>2.3199999999999998E-12</v>
      </c>
      <c r="I45" s="111">
        <v>0.69</v>
      </c>
      <c r="J45" s="114">
        <f t="shared" si="7"/>
        <v>3.36231884057971E-12</v>
      </c>
    </row>
    <row r="46" spans="1:12" x14ac:dyDescent="0.25">
      <c r="A46" s="112"/>
      <c r="B46" s="117"/>
      <c r="D46" s="114"/>
      <c r="E46" s="113"/>
      <c r="H46" s="113"/>
      <c r="J46" s="113"/>
    </row>
    <row r="47" spans="1:12" x14ac:dyDescent="0.25">
      <c r="A47" s="112"/>
      <c r="B47" s="117"/>
      <c r="D47" s="114"/>
      <c r="E47" s="113"/>
      <c r="H47" s="114"/>
      <c r="J47" s="113"/>
    </row>
    <row r="48" spans="1:12" x14ac:dyDescent="0.25">
      <c r="A48" s="112"/>
      <c r="B48" s="117"/>
      <c r="D48" s="114"/>
      <c r="E48" s="113"/>
      <c r="H48" s="114"/>
      <c r="J48" s="113"/>
    </row>
    <row r="49" spans="1:10" x14ac:dyDescent="0.25">
      <c r="A49" s="112"/>
      <c r="B49" s="117"/>
      <c r="D49" s="114"/>
      <c r="E49" s="113"/>
      <c r="H49" s="114"/>
      <c r="J49" s="113"/>
    </row>
    <row r="50" spans="1:10" x14ac:dyDescent="0.25">
      <c r="A50" s="112"/>
      <c r="B50" s="117"/>
      <c r="C50" s="113"/>
      <c r="D50" s="114"/>
      <c r="E50" s="113"/>
      <c r="H50" s="114"/>
      <c r="J50" s="113"/>
    </row>
    <row r="51" spans="1:10" x14ac:dyDescent="0.25">
      <c r="A51" s="112"/>
      <c r="B51" s="117"/>
      <c r="C51" s="113"/>
      <c r="D51" s="114"/>
      <c r="E51" s="113"/>
      <c r="H51" s="114"/>
      <c r="J51" s="113"/>
    </row>
    <row r="52" spans="1:10" x14ac:dyDescent="0.25">
      <c r="A52" s="112"/>
      <c r="B52" s="117"/>
      <c r="C52" s="113"/>
      <c r="D52" s="114"/>
      <c r="E52" s="113"/>
      <c r="H52" s="114"/>
      <c r="J52" s="113"/>
    </row>
    <row r="53" spans="1:10" x14ac:dyDescent="0.25">
      <c r="A53" s="112"/>
      <c r="B53" s="117"/>
      <c r="C53" s="113"/>
      <c r="D53" s="114"/>
      <c r="E53" s="113"/>
      <c r="H53" s="114"/>
      <c r="J53" s="113"/>
    </row>
    <row r="54" spans="1:10" x14ac:dyDescent="0.25">
      <c r="A54" s="112"/>
      <c r="B54" s="117"/>
      <c r="C54" s="113"/>
      <c r="D54" s="114"/>
      <c r="E54" s="113"/>
      <c r="H54" s="114"/>
      <c r="J54" s="113"/>
    </row>
    <row r="55" spans="1:10" x14ac:dyDescent="0.25">
      <c r="A55" s="112"/>
      <c r="B55" s="117"/>
      <c r="C55" s="113"/>
      <c r="D55" s="114"/>
      <c r="E55" s="113"/>
      <c r="H55" s="114"/>
      <c r="J55" s="113"/>
    </row>
    <row r="56" spans="1:10" x14ac:dyDescent="0.25">
      <c r="A56" s="112"/>
      <c r="B56" s="117"/>
      <c r="C56" s="113"/>
      <c r="D56" s="114"/>
      <c r="E56" s="113"/>
      <c r="H56" s="114"/>
      <c r="J56" s="113"/>
    </row>
    <row r="57" spans="1:10" x14ac:dyDescent="0.25">
      <c r="A57" s="112"/>
      <c r="B57" s="117"/>
      <c r="C57" s="113"/>
      <c r="D57" s="114"/>
      <c r="E57" s="113"/>
      <c r="F57" s="119"/>
      <c r="G57" s="119"/>
      <c r="H57" s="114"/>
      <c r="J57" s="113"/>
    </row>
    <row r="58" spans="1:10" x14ac:dyDescent="0.25">
      <c r="A58" s="112"/>
      <c r="B58" s="117"/>
      <c r="C58" s="113"/>
      <c r="D58" s="114"/>
      <c r="E58" s="113"/>
      <c r="F58" s="119"/>
      <c r="G58" s="114"/>
      <c r="H58" s="114"/>
      <c r="J58" s="113"/>
    </row>
    <row r="59" spans="1:10" x14ac:dyDescent="0.25">
      <c r="A59" s="112"/>
      <c r="B59" s="117"/>
      <c r="C59" s="113"/>
      <c r="D59" s="114"/>
      <c r="E59" s="113"/>
      <c r="F59" s="119"/>
      <c r="G59" s="114"/>
      <c r="H59" s="114"/>
    </row>
    <row r="60" spans="1:10" x14ac:dyDescent="0.25">
      <c r="A60" s="112"/>
      <c r="B60" s="117"/>
      <c r="C60" s="113"/>
      <c r="D60" s="114"/>
      <c r="E60" s="113"/>
      <c r="F60" s="119"/>
      <c r="G60" s="114"/>
      <c r="H60" s="114"/>
    </row>
    <row r="61" spans="1:10" x14ac:dyDescent="0.25">
      <c r="A61" s="112"/>
      <c r="B61" s="117"/>
      <c r="C61" s="113"/>
      <c r="D61" s="114"/>
      <c r="E61" s="113"/>
      <c r="F61" s="119"/>
      <c r="G61" s="114"/>
      <c r="H61" s="114"/>
    </row>
    <row r="62" spans="1:10" x14ac:dyDescent="0.25">
      <c r="A62" s="112"/>
      <c r="B62" s="117"/>
      <c r="C62" s="113"/>
      <c r="D62" s="114"/>
      <c r="E62" s="113"/>
      <c r="F62" s="119"/>
      <c r="G62" s="114"/>
      <c r="H62" s="114"/>
    </row>
    <row r="63" spans="1:10" x14ac:dyDescent="0.25">
      <c r="A63" s="112"/>
      <c r="B63" s="117"/>
      <c r="C63" s="113"/>
      <c r="D63" s="114"/>
      <c r="F63" s="119"/>
      <c r="G63" s="114"/>
      <c r="H63" s="114"/>
    </row>
    <row r="64" spans="1:10" x14ac:dyDescent="0.25">
      <c r="A64" s="112"/>
      <c r="B64" s="117"/>
      <c r="C64" s="113"/>
      <c r="D64" s="114"/>
      <c r="F64" s="119"/>
      <c r="G64" s="114"/>
      <c r="H64" s="114"/>
    </row>
    <row r="65" spans="1:8" x14ac:dyDescent="0.25">
      <c r="A65" s="112"/>
      <c r="B65" s="117"/>
      <c r="C65" s="113"/>
      <c r="D65" s="114"/>
      <c r="F65" s="119"/>
      <c r="G65" s="114"/>
      <c r="H65" s="114"/>
    </row>
    <row r="66" spans="1:8" x14ac:dyDescent="0.25">
      <c r="A66" s="112"/>
      <c r="B66" s="117"/>
      <c r="C66" s="113"/>
      <c r="D66" s="114"/>
      <c r="F66" s="119"/>
      <c r="G66" s="114"/>
      <c r="H66" s="114"/>
    </row>
    <row r="67" spans="1:8" x14ac:dyDescent="0.25">
      <c r="A67" s="112"/>
      <c r="B67" s="117"/>
      <c r="C67" s="113"/>
      <c r="D67" s="114"/>
      <c r="F67" s="119"/>
      <c r="G67" s="114"/>
      <c r="H67" s="114"/>
    </row>
    <row r="68" spans="1:8" x14ac:dyDescent="0.25">
      <c r="A68" s="112"/>
      <c r="B68" s="117"/>
      <c r="C68" s="113"/>
      <c r="D68" s="114"/>
      <c r="F68" s="119"/>
      <c r="G68" s="114"/>
      <c r="H68" s="114"/>
    </row>
    <row r="69" spans="1:8" x14ac:dyDescent="0.25">
      <c r="A69" s="112"/>
      <c r="B69" s="117"/>
      <c r="C69" s="113"/>
      <c r="D69" s="114"/>
      <c r="F69" s="119"/>
      <c r="G69" s="114"/>
      <c r="H69" s="114"/>
    </row>
    <row r="70" spans="1:8" x14ac:dyDescent="0.25">
      <c r="A70" s="112"/>
      <c r="B70" s="117"/>
      <c r="D70" s="114"/>
      <c r="F70" s="119"/>
      <c r="G70" s="114"/>
      <c r="H70" s="114"/>
    </row>
    <row r="71" spans="1:8" x14ac:dyDescent="0.25">
      <c r="A71" s="112"/>
      <c r="B71" s="117"/>
      <c r="D71" s="114"/>
      <c r="F71" s="119"/>
      <c r="G71" s="114"/>
      <c r="H71" s="114"/>
    </row>
    <row r="72" spans="1:8" x14ac:dyDescent="0.25">
      <c r="A72" s="112"/>
      <c r="B72" s="117"/>
      <c r="D72" s="114"/>
      <c r="F72" s="119"/>
      <c r="G72" s="114"/>
      <c r="H72" s="114"/>
    </row>
    <row r="73" spans="1:8" x14ac:dyDescent="0.25">
      <c r="A73" s="112"/>
      <c r="B73" s="117"/>
      <c r="D73" s="114"/>
      <c r="F73" s="119"/>
      <c r="G73" s="114"/>
      <c r="H73" s="114"/>
    </row>
    <row r="74" spans="1:8" x14ac:dyDescent="0.25">
      <c r="A74" s="112"/>
      <c r="B74" s="117"/>
      <c r="D74" s="114"/>
      <c r="F74" s="119"/>
      <c r="G74" s="114"/>
      <c r="H74" s="114"/>
    </row>
    <row r="75" spans="1:8" x14ac:dyDescent="0.25">
      <c r="A75" s="112"/>
      <c r="B75" s="117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4"/>
    </row>
    <row r="82" spans="1:8" x14ac:dyDescent="0.25">
      <c r="A82" s="112"/>
      <c r="B82" s="117"/>
      <c r="D82" s="114"/>
      <c r="F82" s="119"/>
      <c r="G82" s="114"/>
      <c r="H82" s="114"/>
    </row>
    <row r="83" spans="1:8" x14ac:dyDescent="0.25">
      <c r="A83" s="112"/>
      <c r="B83" s="117"/>
      <c r="D83" s="114"/>
      <c r="F83" s="119"/>
      <c r="G83" s="114"/>
      <c r="H83" s="114"/>
    </row>
    <row r="84" spans="1:8" x14ac:dyDescent="0.25">
      <c r="A84" s="112"/>
      <c r="B84" s="117"/>
      <c r="D84" s="114"/>
      <c r="F84" s="119"/>
      <c r="G84" s="114"/>
      <c r="H84" s="114"/>
    </row>
    <row r="85" spans="1:8" x14ac:dyDescent="0.25">
      <c r="A85" s="112"/>
      <c r="B85" s="117"/>
      <c r="D85" s="114"/>
      <c r="F85" s="119"/>
      <c r="G85" s="114"/>
      <c r="H85" s="114"/>
    </row>
    <row r="86" spans="1:8" x14ac:dyDescent="0.25">
      <c r="A86" s="112"/>
      <c r="B86" s="117"/>
      <c r="D86" s="114"/>
      <c r="F86" s="119"/>
      <c r="G86" s="114"/>
      <c r="H86" s="114"/>
    </row>
    <row r="87" spans="1:8" x14ac:dyDescent="0.25">
      <c r="A87" s="112"/>
      <c r="B87" s="117"/>
      <c r="D87" s="114"/>
      <c r="F87" s="119"/>
      <c r="G87" s="114"/>
      <c r="H87" s="114"/>
    </row>
    <row r="88" spans="1:8" x14ac:dyDescent="0.25">
      <c r="A88" s="112"/>
      <c r="B88" s="117"/>
      <c r="D88" s="114"/>
      <c r="F88" s="119"/>
      <c r="G88" s="114"/>
      <c r="H88" s="114"/>
    </row>
    <row r="89" spans="1:8" x14ac:dyDescent="0.25">
      <c r="A89" s="112"/>
      <c r="B89" s="117"/>
      <c r="D89" s="114"/>
      <c r="F89" s="119"/>
      <c r="G89" s="114"/>
      <c r="H89" s="114"/>
    </row>
    <row r="90" spans="1:8" x14ac:dyDescent="0.25">
      <c r="A90" s="112"/>
      <c r="B90" s="117"/>
      <c r="D90" s="114"/>
      <c r="F90" s="119"/>
      <c r="G90" s="114"/>
      <c r="H90" s="114"/>
    </row>
    <row r="91" spans="1:8" x14ac:dyDescent="0.25">
      <c r="A91" s="112"/>
      <c r="B91" s="117"/>
      <c r="D91" s="114"/>
      <c r="F91" s="119"/>
      <c r="G91" s="114"/>
      <c r="H91" s="114"/>
    </row>
    <row r="92" spans="1:8" x14ac:dyDescent="0.25">
      <c r="A92" s="112"/>
      <c r="B92" s="117"/>
      <c r="D92" s="114"/>
      <c r="F92" s="119"/>
      <c r="G92" s="114"/>
      <c r="H92" s="114"/>
    </row>
    <row r="93" spans="1:8" x14ac:dyDescent="0.25">
      <c r="A93" s="112"/>
      <c r="B93" s="117"/>
      <c r="D93" s="114"/>
      <c r="F93" s="119"/>
      <c r="G93" s="114"/>
      <c r="H93" s="114"/>
    </row>
    <row r="94" spans="1:8" x14ac:dyDescent="0.25">
      <c r="A94" s="112"/>
      <c r="B94" s="117"/>
      <c r="D94" s="114"/>
      <c r="F94" s="119"/>
      <c r="G94" s="114"/>
      <c r="H94" s="114"/>
    </row>
    <row r="95" spans="1:8" x14ac:dyDescent="0.25">
      <c r="A95" s="112"/>
      <c r="B95" s="117"/>
      <c r="D95" s="114"/>
      <c r="F95" s="119"/>
      <c r="G95" s="114"/>
      <c r="H95" s="114"/>
    </row>
    <row r="96" spans="1:8" x14ac:dyDescent="0.25">
      <c r="A96" s="112"/>
      <c r="B96" s="117"/>
      <c r="D96" s="114"/>
      <c r="F96" s="119"/>
      <c r="G96" s="114"/>
      <c r="H96" s="114"/>
    </row>
    <row r="97" spans="1:8" x14ac:dyDescent="0.25">
      <c r="A97" s="112"/>
      <c r="B97" s="117"/>
      <c r="D97" s="114"/>
      <c r="F97" s="119"/>
      <c r="G97" s="114"/>
      <c r="H97" s="114"/>
    </row>
    <row r="98" spans="1:8" x14ac:dyDescent="0.25">
      <c r="A98" s="112"/>
      <c r="B98" s="117"/>
      <c r="D98" s="114"/>
      <c r="F98" s="119"/>
      <c r="G98" s="114"/>
      <c r="H98" s="114"/>
    </row>
    <row r="99" spans="1:8" x14ac:dyDescent="0.25">
      <c r="A99" s="112"/>
      <c r="B99" s="117"/>
      <c r="D99" s="114"/>
      <c r="F99" s="119"/>
      <c r="G99" s="114"/>
      <c r="H99" s="114"/>
    </row>
    <row r="100" spans="1:8" x14ac:dyDescent="0.25">
      <c r="A100" s="112"/>
      <c r="B100" s="117"/>
      <c r="D100" s="114"/>
      <c r="F100" s="119"/>
      <c r="G100" s="114"/>
      <c r="H100" s="114"/>
    </row>
    <row r="101" spans="1:8" x14ac:dyDescent="0.25">
      <c r="A101" s="112"/>
      <c r="B101" s="117"/>
      <c r="D101" s="114"/>
      <c r="F101" s="119"/>
      <c r="G101" s="114"/>
      <c r="H101" s="114"/>
    </row>
    <row r="102" spans="1:8" x14ac:dyDescent="0.25">
      <c r="A102" s="112"/>
      <c r="B102" s="117"/>
      <c r="D102" s="114"/>
      <c r="F102" s="119"/>
      <c r="G102" s="114"/>
      <c r="H102" s="114"/>
    </row>
    <row r="103" spans="1:8" x14ac:dyDescent="0.25">
      <c r="A103" s="112"/>
      <c r="B103" s="117"/>
      <c r="D103" s="114"/>
      <c r="F103" s="119"/>
      <c r="G103" s="114"/>
      <c r="H103" s="114"/>
    </row>
    <row r="104" spans="1:8" x14ac:dyDescent="0.25">
      <c r="A104" s="112"/>
      <c r="B104" s="117"/>
      <c r="D104" s="114"/>
      <c r="F104" s="119"/>
      <c r="G104" s="114"/>
      <c r="H104" s="119"/>
    </row>
    <row r="105" spans="1:8" x14ac:dyDescent="0.25">
      <c r="A105" s="112"/>
      <c r="B105" s="117"/>
      <c r="D105" s="114"/>
      <c r="F105" s="119"/>
      <c r="G105" s="114"/>
    </row>
    <row r="106" spans="1:8" x14ac:dyDescent="0.25">
      <c r="A106" s="112"/>
      <c r="B106" s="117"/>
      <c r="D106" s="114"/>
      <c r="F106" s="119"/>
      <c r="G106" s="114"/>
    </row>
    <row r="107" spans="1:8" x14ac:dyDescent="0.25">
      <c r="A107" s="112"/>
      <c r="B107" s="117"/>
      <c r="D107" s="114"/>
      <c r="F107" s="119"/>
      <c r="G107" s="114"/>
    </row>
    <row r="108" spans="1:8" x14ac:dyDescent="0.25">
      <c r="A108" s="112"/>
      <c r="B108" s="117"/>
      <c r="D108" s="114"/>
      <c r="F108" s="119"/>
      <c r="G108" s="114"/>
    </row>
    <row r="109" spans="1:8" x14ac:dyDescent="0.25">
      <c r="A109" s="112"/>
      <c r="B109" s="117"/>
      <c r="D109" s="114"/>
      <c r="F109" s="119"/>
      <c r="G109" s="114"/>
    </row>
    <row r="110" spans="1:8" x14ac:dyDescent="0.25">
      <c r="A110" s="112"/>
      <c r="B110" s="117"/>
      <c r="D110" s="114"/>
      <c r="F110" s="119"/>
      <c r="G110" s="114"/>
    </row>
    <row r="111" spans="1:8" x14ac:dyDescent="0.25">
      <c r="A111" s="112"/>
      <c r="B111" s="117"/>
      <c r="D111" s="114"/>
      <c r="F111" s="119"/>
      <c r="G111" s="114"/>
    </row>
    <row r="112" spans="1:8" x14ac:dyDescent="0.25">
      <c r="A112" s="112"/>
      <c r="B112" s="112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A117" s="112"/>
      <c r="B117" s="112"/>
      <c r="D117" s="114"/>
      <c r="F117" s="119"/>
      <c r="G117" s="114"/>
    </row>
    <row r="118" spans="1:7" x14ac:dyDescent="0.25">
      <c r="A118" s="112"/>
      <c r="B118" s="112"/>
      <c r="D118" s="114"/>
      <c r="F118" s="119"/>
      <c r="G118" s="114"/>
    </row>
    <row r="119" spans="1:7" x14ac:dyDescent="0.25">
      <c r="A119" s="112"/>
      <c r="B119" s="112"/>
      <c r="D119" s="114"/>
      <c r="F119" s="119"/>
      <c r="G119" s="114"/>
    </row>
    <row r="120" spans="1:7" x14ac:dyDescent="0.25">
      <c r="A120" s="112"/>
      <c r="B120" s="112"/>
      <c r="D120" s="114"/>
      <c r="F120" s="119"/>
      <c r="G120" s="114"/>
    </row>
    <row r="121" spans="1:7" x14ac:dyDescent="0.25">
      <c r="A121" s="112"/>
      <c r="B121" s="112"/>
      <c r="D121" s="114"/>
      <c r="F121" s="119"/>
      <c r="G121" s="114"/>
    </row>
    <row r="122" spans="1:7" x14ac:dyDescent="0.25">
      <c r="A122" s="112"/>
      <c r="B122" s="112"/>
      <c r="D122" s="114"/>
      <c r="F122" s="119"/>
      <c r="G122" s="114"/>
    </row>
    <row r="123" spans="1:7" x14ac:dyDescent="0.25">
      <c r="A123" s="112"/>
      <c r="B123" s="112"/>
      <c r="D123" s="114"/>
      <c r="F123" s="119"/>
      <c r="G123" s="114"/>
    </row>
    <row r="124" spans="1:7" x14ac:dyDescent="0.25">
      <c r="A124" s="112"/>
      <c r="B124" s="112"/>
      <c r="D124" s="114"/>
      <c r="F124" s="119"/>
      <c r="G124" s="114"/>
    </row>
    <row r="125" spans="1:7" x14ac:dyDescent="0.25">
      <c r="A125" s="112"/>
      <c r="B125" s="112"/>
      <c r="D125" s="114"/>
      <c r="F125" s="119"/>
      <c r="G125" s="114"/>
    </row>
    <row r="126" spans="1:7" x14ac:dyDescent="0.25">
      <c r="A126" s="112"/>
      <c r="B126" s="112"/>
      <c r="D126" s="114"/>
      <c r="F126" s="119"/>
      <c r="G126" s="114"/>
    </row>
    <row r="127" spans="1:7" x14ac:dyDescent="0.25">
      <c r="A127" s="112"/>
      <c r="B127" s="112"/>
      <c r="D127" s="114"/>
      <c r="F127" s="119"/>
      <c r="G127" s="114"/>
    </row>
    <row r="128" spans="1:7" x14ac:dyDescent="0.25">
      <c r="A128" s="112"/>
      <c r="B128" s="112"/>
      <c r="D128" s="114"/>
      <c r="F128" s="119"/>
      <c r="G128" s="114"/>
    </row>
    <row r="129" spans="1:7" x14ac:dyDescent="0.25">
      <c r="A129" s="112"/>
      <c r="B129" s="112"/>
      <c r="D129" s="114"/>
      <c r="F129" s="119"/>
      <c r="G129" s="114"/>
    </row>
    <row r="130" spans="1:7" x14ac:dyDescent="0.25">
      <c r="A130" s="112"/>
      <c r="B130" s="112"/>
      <c r="D130" s="114"/>
      <c r="F130" s="119"/>
      <c r="G130" s="114"/>
    </row>
    <row r="131" spans="1:7" x14ac:dyDescent="0.25">
      <c r="A131" s="112"/>
      <c r="B131" s="112"/>
      <c r="D131" s="114"/>
      <c r="F131" s="119"/>
      <c r="G131" s="114"/>
    </row>
    <row r="132" spans="1:7" x14ac:dyDescent="0.25">
      <c r="A132" s="112"/>
      <c r="B132" s="112"/>
      <c r="D132" s="114"/>
      <c r="F132" s="119"/>
      <c r="G132" s="114"/>
    </row>
    <row r="133" spans="1:7" x14ac:dyDescent="0.25">
      <c r="F133" s="119"/>
      <c r="G133" s="114"/>
    </row>
    <row r="134" spans="1:7" x14ac:dyDescent="0.25">
      <c r="F134" s="119"/>
      <c r="G134" s="114"/>
    </row>
    <row r="135" spans="1:7" x14ac:dyDescent="0.25">
      <c r="F135" s="119"/>
      <c r="G135" s="114"/>
    </row>
    <row r="136" spans="1:7" x14ac:dyDescent="0.25">
      <c r="F136" s="119"/>
      <c r="G136" s="114"/>
    </row>
    <row r="137" spans="1:7" x14ac:dyDescent="0.25">
      <c r="F137" s="119"/>
      <c r="G137" s="114"/>
    </row>
    <row r="138" spans="1:7" x14ac:dyDescent="0.25">
      <c r="F138" s="119"/>
      <c r="G138" s="114"/>
    </row>
    <row r="139" spans="1:7" x14ac:dyDescent="0.25">
      <c r="F139" s="119"/>
      <c r="G139" s="114"/>
    </row>
    <row r="140" spans="1:7" x14ac:dyDescent="0.25">
      <c r="F140" s="119"/>
      <c r="G140" s="114"/>
    </row>
    <row r="141" spans="1:7" x14ac:dyDescent="0.25">
      <c r="F141" s="119"/>
      <c r="G141" s="114"/>
    </row>
    <row r="142" spans="1:7" x14ac:dyDescent="0.25">
      <c r="F142" s="119"/>
      <c r="G142" s="114"/>
    </row>
    <row r="143" spans="1:7" x14ac:dyDescent="0.25">
      <c r="F143" s="119"/>
      <c r="G143" s="114"/>
    </row>
    <row r="144" spans="1:7" x14ac:dyDescent="0.25">
      <c r="F144" s="119"/>
      <c r="G144" s="114"/>
    </row>
    <row r="145" spans="6:7" x14ac:dyDescent="0.25">
      <c r="F145" s="119"/>
      <c r="G145" s="114"/>
    </row>
    <row r="146" spans="6:7" x14ac:dyDescent="0.25">
      <c r="F146" s="119"/>
      <c r="G146" s="114"/>
    </row>
    <row r="147" spans="6:7" x14ac:dyDescent="0.25">
      <c r="F147" s="119"/>
      <c r="G147" s="114"/>
    </row>
    <row r="148" spans="6:7" x14ac:dyDescent="0.25">
      <c r="F148" s="119"/>
      <c r="G148" s="114"/>
    </row>
    <row r="149" spans="6:7" x14ac:dyDescent="0.25">
      <c r="F149" s="119"/>
      <c r="G149" s="114"/>
    </row>
    <row r="150" spans="6:7" x14ac:dyDescent="0.25">
      <c r="F150" s="119"/>
      <c r="G150" s="114"/>
    </row>
    <row r="151" spans="6:7" x14ac:dyDescent="0.25">
      <c r="F151" s="119"/>
      <c r="G151" s="114"/>
    </row>
    <row r="152" spans="6:7" x14ac:dyDescent="0.25">
      <c r="F152" s="119"/>
      <c r="G152" s="114"/>
    </row>
    <row r="153" spans="6:7" x14ac:dyDescent="0.25">
      <c r="F153" s="119"/>
      <c r="G153" s="114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topLeftCell="A7" workbookViewId="0">
      <selection activeCell="F25" sqref="F25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102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93</v>
      </c>
    </row>
    <row r="6" spans="1:19" x14ac:dyDescent="0.25">
      <c r="A6" s="138">
        <f>B6+273.15</f>
        <v>998.25305714998763</v>
      </c>
      <c r="B6" s="148">
        <v>725.10305714998765</v>
      </c>
      <c r="C6" s="140"/>
      <c r="D6" s="153">
        <v>4.3859999999999997E-5</v>
      </c>
    </row>
    <row r="7" spans="1:19" x14ac:dyDescent="0.25">
      <c r="A7" s="138">
        <f t="shared" ref="A7:A14" si="0">B7+273.15</f>
        <v>972.7626459143969</v>
      </c>
      <c r="B7" s="148">
        <v>699.61264591439692</v>
      </c>
      <c r="C7" s="140"/>
      <c r="D7" s="153">
        <v>2.8354999999999999E-5</v>
      </c>
    </row>
    <row r="8" spans="1:19" ht="15.75" x14ac:dyDescent="0.25">
      <c r="A8" s="138">
        <f t="shared" si="0"/>
        <v>947.75500533112188</v>
      </c>
      <c r="B8" s="148">
        <v>674.6050053311219</v>
      </c>
      <c r="C8" s="140"/>
      <c r="D8" s="153">
        <v>1.7459999999999999E-5</v>
      </c>
      <c r="J8" s="35"/>
    </row>
    <row r="9" spans="1:19" ht="15.75" x14ac:dyDescent="0.25">
      <c r="A9" s="138">
        <f t="shared" si="0"/>
        <v>924.0009240009241</v>
      </c>
      <c r="B9" s="148">
        <v>650.85092400092412</v>
      </c>
      <c r="C9" s="140"/>
      <c r="D9" s="153">
        <v>1.3055E-5</v>
      </c>
      <c r="J9" s="35"/>
    </row>
    <row r="10" spans="1:19" ht="16.5" thickBot="1" x14ac:dyDescent="0.3">
      <c r="A10" s="138">
        <f t="shared" si="0"/>
        <v>897.16272288886398</v>
      </c>
      <c r="B10" s="148">
        <v>624.012722888864</v>
      </c>
      <c r="C10" s="140"/>
      <c r="D10" s="153">
        <v>8.0399999999999993E-6</v>
      </c>
      <c r="J10" s="35"/>
    </row>
    <row r="11" spans="1:19" ht="19.5" thickBot="1" x14ac:dyDescent="0.3">
      <c r="A11" s="138">
        <f t="shared" si="0"/>
        <v>873.83943200436931</v>
      </c>
      <c r="B11" s="148">
        <v>600.68943200436934</v>
      </c>
      <c r="C11" s="140"/>
      <c r="D11" s="153">
        <v>4.7169999999999999E-6</v>
      </c>
      <c r="H11" s="169" t="s">
        <v>184</v>
      </c>
    </row>
    <row r="12" spans="1:19" x14ac:dyDescent="0.25">
      <c r="A12" s="138">
        <f t="shared" si="0"/>
        <v>847.90673025967135</v>
      </c>
      <c r="B12" s="148">
        <v>574.75673025967137</v>
      </c>
      <c r="C12" s="140"/>
      <c r="D12" s="153">
        <v>1.5469E-6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822.87595145031889</v>
      </c>
      <c r="B13" s="148">
        <v>549.72595145031892</v>
      </c>
      <c r="C13" s="140"/>
      <c r="D13" s="153">
        <v>1.1009999999999999E-6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thickBot="1" x14ac:dyDescent="0.3">
      <c r="A14" s="141">
        <f t="shared" si="0"/>
        <v>797.05091162698011</v>
      </c>
      <c r="B14" s="149">
        <v>523.90091162698013</v>
      </c>
      <c r="C14" s="130"/>
      <c r="D14" s="154">
        <v>6.158E-7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12"/>
      <c r="B15" s="112"/>
      <c r="D15" s="114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x14ac:dyDescent="0.25">
      <c r="A16" s="133" t="s">
        <v>13</v>
      </c>
      <c r="B16" s="134"/>
      <c r="C16" s="134"/>
      <c r="D16" s="135"/>
    </row>
    <row r="17" spans="1:12" x14ac:dyDescent="0.25">
      <c r="A17" s="136" t="s">
        <v>16</v>
      </c>
      <c r="B17" s="115" t="s">
        <v>14</v>
      </c>
      <c r="C17" s="142"/>
      <c r="D17" s="137" t="s">
        <v>15</v>
      </c>
    </row>
    <row r="18" spans="1:12" x14ac:dyDescent="0.25">
      <c r="A18" s="138">
        <f>B18+273.15</f>
        <v>1023.15</v>
      </c>
      <c r="B18" s="148">
        <v>750</v>
      </c>
      <c r="C18" s="140"/>
      <c r="D18" s="159">
        <f>(1*10^-53)*(B18^16.328)</f>
        <v>8.7902314156573961E-7</v>
      </c>
    </row>
    <row r="19" spans="1:12" x14ac:dyDescent="0.25">
      <c r="A19" s="138">
        <f t="shared" ref="A19:A27" si="1">B19+273.15</f>
        <v>998.38262015534838</v>
      </c>
      <c r="B19" s="139">
        <v>725.2326201553484</v>
      </c>
      <c r="C19" s="140"/>
      <c r="D19" s="159">
        <v>5.4109999999999999E-7</v>
      </c>
    </row>
    <row r="20" spans="1:12" x14ac:dyDescent="0.25">
      <c r="A20" s="138">
        <f t="shared" si="1"/>
        <v>974.62087248060493</v>
      </c>
      <c r="B20" s="139">
        <v>701.47087248060495</v>
      </c>
      <c r="C20" s="140"/>
      <c r="D20" s="159">
        <v>2.3859999999999998E-7</v>
      </c>
    </row>
    <row r="21" spans="1:12" x14ac:dyDescent="0.25">
      <c r="A21" s="138">
        <f t="shared" si="1"/>
        <v>949.03672772136269</v>
      </c>
      <c r="B21" s="139">
        <v>675.88672772136272</v>
      </c>
      <c r="C21" s="140"/>
      <c r="D21" s="159">
        <v>1.505E-7</v>
      </c>
    </row>
    <row r="22" spans="1:12" x14ac:dyDescent="0.25">
      <c r="A22" s="138">
        <f t="shared" si="1"/>
        <v>923.34398256726558</v>
      </c>
      <c r="B22" s="139">
        <v>650.19398256726561</v>
      </c>
      <c r="C22" s="140"/>
      <c r="D22" s="159">
        <v>9.0272000000000003E-8</v>
      </c>
    </row>
    <row r="23" spans="1:12" x14ac:dyDescent="0.25">
      <c r="A23" s="138">
        <f t="shared" si="1"/>
        <v>899.01741891200004</v>
      </c>
      <c r="B23" s="139">
        <v>625.86741891200006</v>
      </c>
      <c r="C23" s="140"/>
      <c r="D23" s="159">
        <v>5.1410000000000002E-8</v>
      </c>
    </row>
    <row r="24" spans="1:12" x14ac:dyDescent="0.25">
      <c r="A24" s="138">
        <f t="shared" si="1"/>
        <v>872.83645663312063</v>
      </c>
      <c r="B24" s="139">
        <v>599.68645663312066</v>
      </c>
      <c r="C24" s="140"/>
      <c r="D24" s="159">
        <v>3.2439999999999998E-8</v>
      </c>
    </row>
    <row r="25" spans="1:12" x14ac:dyDescent="0.25">
      <c r="A25" s="138">
        <f t="shared" si="1"/>
        <v>848.71271498953956</v>
      </c>
      <c r="B25" s="139">
        <v>575.56271498953959</v>
      </c>
      <c r="C25" s="140"/>
      <c r="D25" s="159">
        <v>1.1077000000000001E-8</v>
      </c>
    </row>
    <row r="26" spans="1:12" x14ac:dyDescent="0.25">
      <c r="A26" s="138">
        <f t="shared" si="1"/>
        <v>823.12656394047156</v>
      </c>
      <c r="B26" s="139">
        <v>549.97656394047158</v>
      </c>
      <c r="C26" s="140"/>
      <c r="D26" s="159">
        <v>4.6415879999999997E-9</v>
      </c>
    </row>
    <row r="27" spans="1:12" ht="15.75" thickBot="1" x14ac:dyDescent="0.3">
      <c r="A27" s="141">
        <f t="shared" si="1"/>
        <v>797.99607226333228</v>
      </c>
      <c r="B27" s="131">
        <v>524.8460722633323</v>
      </c>
      <c r="C27" s="130"/>
      <c r="D27" s="160">
        <v>2.5118799999999998E-9</v>
      </c>
    </row>
    <row r="28" spans="1:12" ht="15.75" thickBot="1" x14ac:dyDescent="0.3"/>
    <row r="29" spans="1:12" ht="15.75" x14ac:dyDescent="0.25">
      <c r="A29" s="133" t="s">
        <v>19</v>
      </c>
      <c r="B29" s="134"/>
      <c r="C29" s="134"/>
      <c r="D29" s="135"/>
      <c r="G29" s="119"/>
      <c r="H29" s="119"/>
    </row>
    <row r="30" spans="1:12" x14ac:dyDescent="0.25">
      <c r="A30" s="136" t="s">
        <v>16</v>
      </c>
      <c r="B30" s="115" t="s">
        <v>14</v>
      </c>
      <c r="C30" s="142"/>
      <c r="D30" s="143" t="s">
        <v>35</v>
      </c>
      <c r="G30" s="119"/>
      <c r="H30" s="114"/>
    </row>
    <row r="31" spans="1:12" x14ac:dyDescent="0.25">
      <c r="A31" s="138">
        <f>B31+273.15</f>
        <v>1023.15</v>
      </c>
      <c r="B31" s="148">
        <v>750</v>
      </c>
      <c r="C31" s="140"/>
      <c r="D31" s="159">
        <v>3.37500598915932</v>
      </c>
      <c r="G31" s="119"/>
      <c r="H31" s="114"/>
      <c r="K31" s="118"/>
      <c r="L31" s="118"/>
    </row>
    <row r="32" spans="1:12" x14ac:dyDescent="0.25">
      <c r="A32" s="138">
        <f t="shared" ref="A32:A40" si="2">B32+273.15</f>
        <v>998.47</v>
      </c>
      <c r="B32" s="148">
        <v>725.32</v>
      </c>
      <c r="C32" s="140"/>
      <c r="D32" s="159">
        <v>4.6859999999999999</v>
      </c>
      <c r="G32" s="119"/>
      <c r="H32" s="114"/>
      <c r="J32" s="113"/>
      <c r="K32" s="113"/>
      <c r="L32" s="113"/>
    </row>
    <row r="33" spans="1:12" x14ac:dyDescent="0.25">
      <c r="A33" s="138">
        <f t="shared" si="2"/>
        <v>973.15</v>
      </c>
      <c r="B33" s="148">
        <v>700</v>
      </c>
      <c r="C33" s="140"/>
      <c r="D33" s="159">
        <v>10.144</v>
      </c>
      <c r="G33" s="119"/>
      <c r="H33" s="114"/>
      <c r="J33" s="113"/>
      <c r="K33" s="113"/>
      <c r="L33" s="113"/>
    </row>
    <row r="34" spans="1:12" x14ac:dyDescent="0.25">
      <c r="A34" s="138">
        <f t="shared" si="2"/>
        <v>949.12400000000002</v>
      </c>
      <c r="B34" s="148">
        <v>675.97400000000005</v>
      </c>
      <c r="C34" s="140"/>
      <c r="D34" s="159">
        <v>16.2622</v>
      </c>
      <c r="G34" s="119"/>
      <c r="H34" s="114"/>
      <c r="J34" s="113"/>
      <c r="K34" s="113"/>
      <c r="L34" s="113"/>
    </row>
    <row r="35" spans="1:12" x14ac:dyDescent="0.25">
      <c r="A35" s="138">
        <f t="shared" si="2"/>
        <v>924.44799999999998</v>
      </c>
      <c r="B35" s="148">
        <v>651.298</v>
      </c>
      <c r="C35" s="140"/>
      <c r="D35" s="159">
        <v>30.951599999999999</v>
      </c>
      <c r="G35" s="119"/>
      <c r="H35" s="114"/>
      <c r="J35" s="113"/>
      <c r="K35" s="113"/>
      <c r="L35" s="113"/>
    </row>
    <row r="36" spans="1:12" x14ac:dyDescent="0.25">
      <c r="A36" s="138">
        <f t="shared" si="2"/>
        <v>899.12400000000002</v>
      </c>
      <c r="B36" s="148">
        <v>625.97400000000005</v>
      </c>
      <c r="C36" s="140"/>
      <c r="D36" s="159">
        <v>54.064999999999998</v>
      </c>
      <c r="G36" s="119"/>
      <c r="H36" s="114"/>
      <c r="J36" s="113"/>
      <c r="K36" s="113"/>
      <c r="L36" s="113"/>
    </row>
    <row r="37" spans="1:12" x14ac:dyDescent="0.25">
      <c r="A37" s="138">
        <f t="shared" si="2"/>
        <v>874.44799999999998</v>
      </c>
      <c r="B37" s="148">
        <v>601.298</v>
      </c>
      <c r="C37" s="140"/>
      <c r="D37" s="159">
        <v>102.901</v>
      </c>
      <c r="G37" s="119"/>
      <c r="H37" s="114"/>
      <c r="J37" s="113"/>
      <c r="K37" s="113"/>
      <c r="L37" s="113"/>
    </row>
    <row r="38" spans="1:12" x14ac:dyDescent="0.25">
      <c r="A38" s="138">
        <f t="shared" si="2"/>
        <v>848.47</v>
      </c>
      <c r="B38" s="148">
        <v>575.32000000000005</v>
      </c>
      <c r="C38" s="115"/>
      <c r="D38" s="159">
        <v>222.75399999999999</v>
      </c>
      <c r="G38" s="119"/>
      <c r="H38" s="114"/>
      <c r="J38" s="113"/>
      <c r="K38" s="113"/>
      <c r="L38" s="113"/>
    </row>
    <row r="39" spans="1:12" x14ac:dyDescent="0.25">
      <c r="A39" s="138">
        <f t="shared" si="2"/>
        <v>823.15</v>
      </c>
      <c r="B39" s="139">
        <v>550</v>
      </c>
      <c r="C39" s="115"/>
      <c r="D39" s="159">
        <v>423.964</v>
      </c>
      <c r="G39" s="119"/>
      <c r="H39" s="114"/>
      <c r="J39" s="113"/>
      <c r="K39" s="113"/>
      <c r="L39" s="113"/>
    </row>
    <row r="40" spans="1:12" ht="15.75" thickBot="1" x14ac:dyDescent="0.3">
      <c r="A40" s="141">
        <f t="shared" si="2"/>
        <v>798.47</v>
      </c>
      <c r="B40" s="131">
        <v>525.32000000000005</v>
      </c>
      <c r="C40" s="126"/>
      <c r="D40" s="160">
        <v>806.923</v>
      </c>
      <c r="G40" s="119"/>
      <c r="H40" s="114"/>
      <c r="J40" s="113"/>
      <c r="K40" s="113"/>
      <c r="L40" s="113"/>
    </row>
    <row r="41" spans="1:12" x14ac:dyDescent="0.25">
      <c r="D41" s="113"/>
      <c r="G41" s="119"/>
      <c r="H41" s="114"/>
      <c r="J41" s="113"/>
      <c r="K41" s="113"/>
      <c r="L41" s="113"/>
    </row>
    <row r="42" spans="1:12" s="126" customFormat="1" ht="14.25" customHeight="1" thickBot="1" x14ac:dyDescent="0.3">
      <c r="G42" s="128"/>
      <c r="H42" s="129"/>
      <c r="J42" s="130"/>
      <c r="K42" s="130"/>
      <c r="L42" s="130"/>
    </row>
    <row r="43" spans="1:12" ht="60" x14ac:dyDescent="0.25">
      <c r="A43" s="118" t="s">
        <v>26</v>
      </c>
      <c r="G43" s="119"/>
      <c r="H43" s="114"/>
    </row>
    <row r="44" spans="1:12" ht="47.25" x14ac:dyDescent="0.25">
      <c r="A44" s="111" t="s">
        <v>16</v>
      </c>
      <c r="B44" s="111" t="s">
        <v>14</v>
      </c>
      <c r="C44" s="118" t="s">
        <v>22</v>
      </c>
      <c r="D44" s="118"/>
      <c r="E44" s="111" t="s">
        <v>16</v>
      </c>
      <c r="F44" s="111" t="s">
        <v>14</v>
      </c>
      <c r="G44" s="118" t="s">
        <v>95</v>
      </c>
      <c r="I44" s="111" t="s">
        <v>16</v>
      </c>
      <c r="J44" s="111" t="s">
        <v>14</v>
      </c>
      <c r="K44" s="118" t="s">
        <v>41</v>
      </c>
    </row>
    <row r="45" spans="1:12" x14ac:dyDescent="0.25">
      <c r="A45" s="112">
        <f>B45+273.15</f>
        <v>998.01</v>
      </c>
      <c r="B45" s="119">
        <v>724.86</v>
      </c>
      <c r="C45" s="114">
        <v>8.6263000000000006E-2</v>
      </c>
      <c r="D45" s="114"/>
      <c r="E45" s="112">
        <f>F45+273.15</f>
        <v>1023.15</v>
      </c>
      <c r="F45" s="111">
        <v>750</v>
      </c>
      <c r="G45" s="114">
        <f>(5*10^-10)*EXP(0.0225*F45)</f>
        <v>1.0658335493553724E-2</v>
      </c>
      <c r="H45" s="114"/>
      <c r="I45" s="112">
        <f>J45+273.15</f>
        <v>1023.15</v>
      </c>
      <c r="J45" s="117">
        <v>750</v>
      </c>
      <c r="K45" s="114">
        <f>(1*10^10)*(J45^-2.846)</f>
        <v>65.701554392644908</v>
      </c>
    </row>
    <row r="46" spans="1:12" x14ac:dyDescent="0.25">
      <c r="A46" s="112">
        <f t="shared" ref="A46:A53" si="3">B46+273.15</f>
        <v>972.87</v>
      </c>
      <c r="B46" s="119">
        <v>699.72</v>
      </c>
      <c r="C46" s="114">
        <v>7.8351599999999993E-2</v>
      </c>
      <c r="D46" s="114"/>
      <c r="E46" s="112">
        <f t="shared" ref="E46:E58" si="4">F46+273.15</f>
        <v>998.49</v>
      </c>
      <c r="F46" s="112">
        <v>725.34</v>
      </c>
      <c r="G46" s="114">
        <v>4.9480000000000001E-3</v>
      </c>
      <c r="H46" s="114"/>
      <c r="I46" s="112">
        <f t="shared" ref="I46:I63" si="5">J46+273.15</f>
        <v>998.15</v>
      </c>
      <c r="J46" s="117">
        <v>725</v>
      </c>
      <c r="K46" s="114">
        <f>(D6/D19)</f>
        <v>81.057105895398252</v>
      </c>
    </row>
    <row r="47" spans="1:12" x14ac:dyDescent="0.25">
      <c r="A47" s="112">
        <f t="shared" si="3"/>
        <v>947.28</v>
      </c>
      <c r="B47" s="119">
        <v>674.13</v>
      </c>
      <c r="C47" s="114">
        <v>7.1428000000000005E-2</v>
      </c>
      <c r="D47" s="114"/>
      <c r="E47" s="112">
        <f t="shared" si="4"/>
        <v>973.83280000000002</v>
      </c>
      <c r="F47" s="112">
        <v>700.68280000000004</v>
      </c>
      <c r="G47" s="114">
        <v>4.1368000000000004E-3</v>
      </c>
      <c r="H47" s="114"/>
      <c r="I47" s="112">
        <f t="shared" si="5"/>
        <v>973.15</v>
      </c>
      <c r="J47" s="117">
        <v>700</v>
      </c>
      <c r="K47" s="114">
        <f>(D7/D20)</f>
        <v>118.83906119027662</v>
      </c>
    </row>
    <row r="48" spans="1:12" x14ac:dyDescent="0.25">
      <c r="A48" s="112">
        <f t="shared" si="3"/>
        <v>922.14</v>
      </c>
      <c r="B48" s="119">
        <v>648.99</v>
      </c>
      <c r="C48" s="114">
        <v>6.4505000000000007E-2</v>
      </c>
      <c r="D48" s="114"/>
      <c r="E48" s="112">
        <f t="shared" si="4"/>
        <v>949.17399999999998</v>
      </c>
      <c r="F48" s="112">
        <v>676.024</v>
      </c>
      <c r="G48" s="114">
        <v>2.2100000000000002E-3</v>
      </c>
      <c r="H48" s="114"/>
      <c r="I48" s="112">
        <f t="shared" si="5"/>
        <v>953.15</v>
      </c>
      <c r="J48" s="117">
        <v>680</v>
      </c>
      <c r="K48" s="113">
        <v>115</v>
      </c>
    </row>
    <row r="49" spans="1:11" x14ac:dyDescent="0.25">
      <c r="A49" s="112">
        <f t="shared" si="3"/>
        <v>897.92</v>
      </c>
      <c r="B49" s="119">
        <v>624.77</v>
      </c>
      <c r="C49" s="113">
        <v>5.9064999999999999E-2</v>
      </c>
      <c r="D49" s="114"/>
      <c r="E49" s="112">
        <f t="shared" si="4"/>
        <v>923.75599999999997</v>
      </c>
      <c r="F49" s="112">
        <v>650.60599999999999</v>
      </c>
      <c r="G49" s="114">
        <v>1.1808999999999999E-3</v>
      </c>
      <c r="H49" s="114"/>
      <c r="I49" s="112">
        <f t="shared" si="5"/>
        <v>948.15</v>
      </c>
      <c r="J49" s="117">
        <v>675</v>
      </c>
      <c r="K49" s="114">
        <f>(D8/D21)</f>
        <v>116.01328903654483</v>
      </c>
    </row>
    <row r="50" spans="1:11" x14ac:dyDescent="0.25">
      <c r="A50" s="112">
        <f t="shared" si="3"/>
        <v>872.78</v>
      </c>
      <c r="B50" s="119">
        <v>599.63</v>
      </c>
      <c r="C50" s="113">
        <v>5.3129999999999997E-2</v>
      </c>
      <c r="D50" s="114"/>
      <c r="E50" s="112">
        <f t="shared" si="4"/>
        <v>898.71899999999994</v>
      </c>
      <c r="F50" s="112">
        <v>625.56899999999996</v>
      </c>
      <c r="G50" s="114">
        <v>9.1434000000000003E-4</v>
      </c>
      <c r="H50" s="114"/>
      <c r="I50" s="112">
        <f t="shared" si="5"/>
        <v>923.15</v>
      </c>
      <c r="J50" s="117">
        <v>650</v>
      </c>
      <c r="K50" s="114">
        <f>(D9/D22)</f>
        <v>144.61848635235731</v>
      </c>
    </row>
    <row r="51" spans="1:11" x14ac:dyDescent="0.25">
      <c r="A51" s="112">
        <f t="shared" si="3"/>
        <v>847.64</v>
      </c>
      <c r="B51" s="119">
        <v>574.49</v>
      </c>
      <c r="C51" s="113">
        <v>4.8681299999999997E-2</v>
      </c>
      <c r="D51" s="114"/>
      <c r="E51" s="112">
        <f t="shared" si="4"/>
        <v>873.30169999999998</v>
      </c>
      <c r="F51" s="112">
        <v>600.15170000000001</v>
      </c>
      <c r="G51" s="114">
        <v>3.6400000000000001E-4</v>
      </c>
      <c r="H51" s="114"/>
      <c r="I51" s="112">
        <f t="shared" si="5"/>
        <v>898.15</v>
      </c>
      <c r="J51" s="117">
        <v>625</v>
      </c>
      <c r="K51" s="114">
        <f>(D10/D23)</f>
        <v>156.38980743046099</v>
      </c>
    </row>
    <row r="52" spans="1:11" x14ac:dyDescent="0.25">
      <c r="A52" s="112">
        <f t="shared" si="3"/>
        <v>822.51</v>
      </c>
      <c r="B52" s="117">
        <v>549.36</v>
      </c>
      <c r="C52" s="113">
        <v>4.4230699999999998E-2</v>
      </c>
      <c r="D52" s="114"/>
      <c r="E52" s="112">
        <f t="shared" si="4"/>
        <v>848.26300000000003</v>
      </c>
      <c r="F52" s="112">
        <v>575.11300000000006</v>
      </c>
      <c r="G52" s="114">
        <v>2.4169999999999999E-4</v>
      </c>
      <c r="H52" s="113"/>
      <c r="I52" s="112">
        <f t="shared" si="5"/>
        <v>873.15</v>
      </c>
      <c r="J52" s="112">
        <v>600</v>
      </c>
      <c r="K52" s="114">
        <f>(D11/D24)</f>
        <v>145.40690505548707</v>
      </c>
    </row>
    <row r="53" spans="1:11" x14ac:dyDescent="0.25">
      <c r="A53" s="112">
        <f t="shared" si="3"/>
        <v>797.37</v>
      </c>
      <c r="B53" s="117">
        <v>524.22</v>
      </c>
      <c r="C53" s="113">
        <v>4.07E-2</v>
      </c>
      <c r="D53" s="114"/>
      <c r="E53" s="112">
        <f t="shared" si="4"/>
        <v>823.22</v>
      </c>
      <c r="F53" s="112">
        <v>550.07000000000005</v>
      </c>
      <c r="G53" s="114">
        <v>8.4599999999999996E-5</v>
      </c>
      <c r="H53" s="114"/>
      <c r="I53" s="112">
        <f t="shared" si="5"/>
        <v>865.15</v>
      </c>
      <c r="J53" s="112">
        <v>592</v>
      </c>
      <c r="K53" s="114">
        <f>(1*10^10)*(J53^-2.846)</f>
        <v>128.81677515299268</v>
      </c>
    </row>
    <row r="54" spans="1:11" x14ac:dyDescent="0.25">
      <c r="A54" s="112"/>
      <c r="B54" s="117"/>
      <c r="C54" s="119"/>
      <c r="D54" s="114"/>
      <c r="E54" s="112">
        <f t="shared" si="4"/>
        <v>797.56</v>
      </c>
      <c r="F54" s="112">
        <v>524.41</v>
      </c>
      <c r="G54" s="114">
        <v>7.8399999999999995E-5</v>
      </c>
      <c r="H54" s="114"/>
      <c r="I54" s="112">
        <f t="shared" si="5"/>
        <v>848.15</v>
      </c>
      <c r="J54" s="112">
        <v>575</v>
      </c>
      <c r="K54" s="114">
        <f>(D12/D25)</f>
        <v>139.64972465468989</v>
      </c>
    </row>
    <row r="55" spans="1:11" x14ac:dyDescent="0.25">
      <c r="A55" s="112"/>
      <c r="B55" s="117"/>
      <c r="C55" s="119"/>
      <c r="D55" s="114"/>
      <c r="E55" s="112">
        <f t="shared" si="4"/>
        <v>791.15</v>
      </c>
      <c r="F55" s="112">
        <v>518</v>
      </c>
      <c r="G55" s="114">
        <f>(5*10^-10)*EXP(0.0225*F55)</f>
        <v>5.7633127953672474E-5</v>
      </c>
      <c r="H55" s="114"/>
      <c r="I55" s="112">
        <f t="shared" si="5"/>
        <v>823.15</v>
      </c>
      <c r="J55" s="112">
        <v>550</v>
      </c>
      <c r="K55" s="114">
        <f>(D13/D26)</f>
        <v>237.20330197337634</v>
      </c>
    </row>
    <row r="56" spans="1:11" x14ac:dyDescent="0.25">
      <c r="A56" s="112"/>
      <c r="B56" s="117"/>
      <c r="C56" s="119"/>
      <c r="D56" s="114"/>
      <c r="E56" s="112">
        <f t="shared" si="4"/>
        <v>757.15</v>
      </c>
      <c r="F56" s="112">
        <v>484</v>
      </c>
      <c r="G56" s="114">
        <f>(5*10^-10)*EXP(0.0225*F56)</f>
        <v>2.6818649985027986E-5</v>
      </c>
      <c r="I56" s="112">
        <f t="shared" si="5"/>
        <v>798.15</v>
      </c>
      <c r="J56" s="112">
        <v>525</v>
      </c>
      <c r="K56" s="114">
        <f>(D14/D27)</f>
        <v>245.15502332913994</v>
      </c>
    </row>
    <row r="57" spans="1:11" x14ac:dyDescent="0.25">
      <c r="A57" s="112"/>
      <c r="B57" s="117"/>
      <c r="C57" s="119"/>
      <c r="D57" s="114"/>
      <c r="E57" s="112">
        <f t="shared" si="4"/>
        <v>715.15</v>
      </c>
      <c r="F57" s="112">
        <v>442</v>
      </c>
      <c r="G57" s="114">
        <f>(5*10^-10)*EXP(0.0225*F57)</f>
        <v>1.0423861368344998E-5</v>
      </c>
      <c r="I57" s="112">
        <f t="shared" si="5"/>
        <v>791.15</v>
      </c>
      <c r="J57" s="112">
        <v>518</v>
      </c>
      <c r="K57" s="114">
        <v>207</v>
      </c>
    </row>
    <row r="58" spans="1:11" x14ac:dyDescent="0.25">
      <c r="A58" s="112"/>
      <c r="B58" s="117"/>
      <c r="C58" s="119"/>
      <c r="D58" s="114"/>
      <c r="E58" s="112">
        <f t="shared" si="4"/>
        <v>679.15</v>
      </c>
      <c r="F58" s="112">
        <v>406</v>
      </c>
      <c r="G58" s="114">
        <f>(5*10^-10)*EXP(0.0225*F58)</f>
        <v>4.6371388108979735E-6</v>
      </c>
      <c r="I58" s="112">
        <f t="shared" si="5"/>
        <v>773.15</v>
      </c>
      <c r="J58" s="112">
        <v>500</v>
      </c>
      <c r="K58" s="114">
        <f t="shared" ref="K58:K63" si="6">(1*10^10)*(J58^-2.846)</f>
        <v>208.3201922400124</v>
      </c>
    </row>
    <row r="59" spans="1:11" x14ac:dyDescent="0.25">
      <c r="A59" s="112"/>
      <c r="B59" s="117"/>
      <c r="C59" s="119"/>
      <c r="D59" s="114"/>
      <c r="E59" s="113"/>
      <c r="I59" s="112">
        <f t="shared" si="5"/>
        <v>757.15</v>
      </c>
      <c r="J59" s="112">
        <v>484</v>
      </c>
      <c r="K59" s="114">
        <f t="shared" si="6"/>
        <v>228.52309682545376</v>
      </c>
    </row>
    <row r="60" spans="1:11" ht="17.25" x14ac:dyDescent="0.25">
      <c r="A60" s="111" t="s">
        <v>16</v>
      </c>
      <c r="B60" s="111" t="s">
        <v>14</v>
      </c>
      <c r="C60" s="118" t="s">
        <v>20</v>
      </c>
      <c r="D60" s="114"/>
      <c r="E60" s="113"/>
      <c r="I60" s="112">
        <f t="shared" si="5"/>
        <v>723.15</v>
      </c>
      <c r="J60" s="112">
        <v>450</v>
      </c>
      <c r="K60" s="114">
        <f t="shared" si="6"/>
        <v>281.16236374605825</v>
      </c>
    </row>
    <row r="61" spans="1:11" x14ac:dyDescent="0.25">
      <c r="A61" s="112">
        <f>B61+273.15</f>
        <v>1023.15</v>
      </c>
      <c r="B61" s="111">
        <v>750</v>
      </c>
      <c r="C61" s="114">
        <f t="shared" ref="C61:C70" si="7">($C$2*$A$2*A61)/(4*($E$2^2)*D18*D31)</f>
        <v>7.6966494583840486E-2</v>
      </c>
      <c r="D61" s="114"/>
      <c r="E61" s="113"/>
      <c r="I61" s="112">
        <f t="shared" si="5"/>
        <v>715.15</v>
      </c>
      <c r="J61" s="112">
        <v>442</v>
      </c>
      <c r="K61" s="114">
        <f t="shared" si="6"/>
        <v>295.88859213308081</v>
      </c>
    </row>
    <row r="62" spans="1:11" x14ac:dyDescent="0.25">
      <c r="A62" s="112">
        <f t="shared" ref="A62:A73" si="8">B62+273.15</f>
        <v>998.15</v>
      </c>
      <c r="B62" s="111">
        <v>725</v>
      </c>
      <c r="C62" s="114">
        <f t="shared" si="7"/>
        <v>8.7852322674080177E-2</v>
      </c>
      <c r="D62" s="114"/>
      <c r="E62" s="113"/>
      <c r="I62" s="112">
        <f t="shared" si="5"/>
        <v>698.15</v>
      </c>
      <c r="J62" s="112">
        <v>425</v>
      </c>
      <c r="K62" s="114">
        <f t="shared" si="6"/>
        <v>330.83016769970118</v>
      </c>
    </row>
    <row r="63" spans="1:11" x14ac:dyDescent="0.25">
      <c r="A63" s="112">
        <f t="shared" si="8"/>
        <v>973.15</v>
      </c>
      <c r="B63" s="111">
        <v>700</v>
      </c>
      <c r="C63" s="114">
        <f t="shared" si="7"/>
        <v>8.9729936875813515E-2</v>
      </c>
      <c r="D63" s="114"/>
      <c r="E63" s="113"/>
      <c r="F63" s="119"/>
      <c r="I63" s="112">
        <f t="shared" si="5"/>
        <v>673.15</v>
      </c>
      <c r="J63" s="112">
        <v>400</v>
      </c>
      <c r="K63" s="114">
        <f t="shared" si="6"/>
        <v>393.13097610225878</v>
      </c>
    </row>
    <row r="64" spans="1:11" x14ac:dyDescent="0.25">
      <c r="A64" s="112">
        <f t="shared" si="8"/>
        <v>948.15</v>
      </c>
      <c r="B64" s="111">
        <v>675</v>
      </c>
      <c r="C64" s="114">
        <f t="shared" si="7"/>
        <v>8.6456670517800982E-2</v>
      </c>
      <c r="D64" s="114"/>
      <c r="E64" s="113"/>
      <c r="F64" s="119"/>
      <c r="J64" s="113"/>
    </row>
    <row r="65" spans="1:8" x14ac:dyDescent="0.25">
      <c r="A65" s="112">
        <f t="shared" si="8"/>
        <v>923.15</v>
      </c>
      <c r="B65" s="111">
        <v>650</v>
      </c>
      <c r="C65" s="114">
        <f t="shared" si="7"/>
        <v>7.3734944973804617E-2</v>
      </c>
      <c r="D65" s="114"/>
      <c r="E65" s="113"/>
      <c r="F65" s="119"/>
    </row>
    <row r="66" spans="1:8" x14ac:dyDescent="0.25">
      <c r="A66" s="112">
        <f t="shared" si="8"/>
        <v>898.15</v>
      </c>
      <c r="B66" s="111">
        <v>625</v>
      </c>
      <c r="C66" s="114">
        <f t="shared" si="7"/>
        <v>7.2114453745652271E-2</v>
      </c>
      <c r="D66" s="114"/>
      <c r="E66" s="113"/>
      <c r="F66" s="119"/>
    </row>
    <row r="67" spans="1:8" x14ac:dyDescent="0.25">
      <c r="A67" s="112">
        <f t="shared" si="8"/>
        <v>873.15</v>
      </c>
      <c r="B67" s="111">
        <v>600</v>
      </c>
      <c r="C67" s="114">
        <f t="shared" si="7"/>
        <v>5.8374835889035401E-2</v>
      </c>
      <c r="D67" s="114"/>
      <c r="E67" s="113"/>
      <c r="F67" s="119"/>
    </row>
    <row r="68" spans="1:8" x14ac:dyDescent="0.25">
      <c r="A68" s="112">
        <f t="shared" si="8"/>
        <v>848.15</v>
      </c>
      <c r="B68" s="111">
        <v>575</v>
      </c>
      <c r="C68" s="114">
        <f t="shared" si="7"/>
        <v>7.671181431914155E-2</v>
      </c>
      <c r="D68" s="114"/>
      <c r="E68" s="113"/>
      <c r="F68" s="119"/>
    </row>
    <row r="69" spans="1:8" x14ac:dyDescent="0.25">
      <c r="A69" s="112">
        <f t="shared" si="8"/>
        <v>823.15</v>
      </c>
      <c r="B69" s="111">
        <v>550</v>
      </c>
      <c r="C69" s="114">
        <f t="shared" si="7"/>
        <v>9.3351363999339021E-2</v>
      </c>
      <c r="D69" s="114"/>
      <c r="F69" s="119"/>
      <c r="G69" s="114"/>
      <c r="H69" s="114"/>
    </row>
    <row r="70" spans="1:8" x14ac:dyDescent="0.25">
      <c r="A70" s="112">
        <f t="shared" si="8"/>
        <v>798.15</v>
      </c>
      <c r="B70" s="111">
        <v>525</v>
      </c>
      <c r="C70" s="114">
        <f t="shared" si="7"/>
        <v>8.788015021511747E-2</v>
      </c>
      <c r="D70" s="114"/>
      <c r="F70" s="119"/>
      <c r="G70" s="114"/>
      <c r="H70" s="114"/>
    </row>
    <row r="71" spans="1:8" x14ac:dyDescent="0.25">
      <c r="A71" s="112">
        <f t="shared" si="8"/>
        <v>773.15</v>
      </c>
      <c r="B71" s="111">
        <v>500</v>
      </c>
      <c r="C71" s="114">
        <f>AVERAGE(C61:C69)</f>
        <v>7.9476981953167547E-2</v>
      </c>
      <c r="D71" s="114"/>
      <c r="F71" s="119"/>
      <c r="G71" s="114"/>
      <c r="H71" s="114"/>
    </row>
    <row r="72" spans="1:8" x14ac:dyDescent="0.25">
      <c r="A72" s="112">
        <f t="shared" si="8"/>
        <v>723.15</v>
      </c>
      <c r="B72" s="111">
        <v>450</v>
      </c>
      <c r="C72" s="114">
        <f>AVERAGE(C62:C70)</f>
        <v>8.0689610356642766E-2</v>
      </c>
      <c r="D72" s="114"/>
      <c r="F72" s="119"/>
      <c r="G72" s="114"/>
      <c r="H72" s="114"/>
    </row>
    <row r="73" spans="1:8" x14ac:dyDescent="0.25">
      <c r="A73" s="112">
        <f t="shared" si="8"/>
        <v>673.15</v>
      </c>
      <c r="B73" s="111">
        <v>400</v>
      </c>
      <c r="C73" s="114">
        <f>AVERAGE(C63:C71)</f>
        <v>7.9759016943208028E-2</v>
      </c>
      <c r="D73" s="114"/>
      <c r="F73" s="119"/>
      <c r="G73" s="114"/>
      <c r="H73" s="114"/>
    </row>
    <row r="74" spans="1:8" x14ac:dyDescent="0.25">
      <c r="A74" s="112"/>
      <c r="C74" s="113"/>
      <c r="D74" s="114"/>
      <c r="F74" s="119"/>
      <c r="G74" s="114"/>
      <c r="H74" s="114"/>
    </row>
    <row r="75" spans="1:8" x14ac:dyDescent="0.25">
      <c r="A75" s="112"/>
      <c r="B75" s="117"/>
      <c r="C75" s="113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4"/>
    </row>
    <row r="82" spans="1:8" x14ac:dyDescent="0.25">
      <c r="A82" s="112"/>
      <c r="B82" s="117"/>
      <c r="D82" s="114"/>
      <c r="F82" s="119"/>
      <c r="G82" s="114"/>
      <c r="H82" s="114"/>
    </row>
    <row r="83" spans="1:8" x14ac:dyDescent="0.25">
      <c r="A83" s="112"/>
      <c r="B83" s="117"/>
      <c r="D83" s="114"/>
      <c r="F83" s="119"/>
      <c r="G83" s="114"/>
      <c r="H83" s="114"/>
    </row>
    <row r="84" spans="1:8" x14ac:dyDescent="0.25">
      <c r="A84" s="112"/>
      <c r="B84" s="117"/>
      <c r="D84" s="114"/>
      <c r="F84" s="119"/>
      <c r="G84" s="114"/>
      <c r="H84" s="114"/>
    </row>
    <row r="85" spans="1:8" x14ac:dyDescent="0.25">
      <c r="A85" s="112"/>
      <c r="B85" s="117"/>
      <c r="D85" s="114"/>
      <c r="F85" s="119"/>
      <c r="G85" s="114"/>
      <c r="H85" s="114"/>
    </row>
    <row r="86" spans="1:8" x14ac:dyDescent="0.25">
      <c r="A86" s="112"/>
      <c r="B86" s="117"/>
      <c r="D86" s="114"/>
      <c r="F86" s="119"/>
      <c r="G86" s="114"/>
      <c r="H86" s="114"/>
    </row>
    <row r="87" spans="1:8" x14ac:dyDescent="0.25">
      <c r="A87" s="112"/>
      <c r="B87" s="117"/>
      <c r="D87" s="114"/>
      <c r="F87" s="119"/>
      <c r="G87" s="114"/>
      <c r="H87" s="114"/>
    </row>
    <row r="88" spans="1:8" x14ac:dyDescent="0.25">
      <c r="A88" s="112"/>
      <c r="B88" s="117"/>
      <c r="D88" s="114"/>
      <c r="F88" s="119"/>
      <c r="G88" s="114"/>
      <c r="H88" s="114"/>
    </row>
    <row r="89" spans="1:8" x14ac:dyDescent="0.25">
      <c r="A89" s="112"/>
      <c r="B89" s="117"/>
      <c r="D89" s="114"/>
      <c r="F89" s="119"/>
      <c r="G89" s="114"/>
      <c r="H89" s="114"/>
    </row>
    <row r="90" spans="1:8" x14ac:dyDescent="0.25">
      <c r="A90" s="112"/>
      <c r="B90" s="117"/>
      <c r="D90" s="114"/>
      <c r="F90" s="119"/>
      <c r="G90" s="114"/>
      <c r="H90" s="114"/>
    </row>
    <row r="91" spans="1:8" x14ac:dyDescent="0.25">
      <c r="A91" s="112"/>
      <c r="B91" s="117"/>
      <c r="D91" s="114"/>
      <c r="F91" s="119"/>
      <c r="G91" s="114"/>
      <c r="H91" s="114"/>
    </row>
    <row r="92" spans="1:8" x14ac:dyDescent="0.25">
      <c r="A92" s="112"/>
      <c r="B92" s="117"/>
      <c r="D92" s="114"/>
      <c r="F92" s="119"/>
      <c r="G92" s="114"/>
      <c r="H92" s="114"/>
    </row>
    <row r="93" spans="1:8" x14ac:dyDescent="0.25">
      <c r="A93" s="112"/>
      <c r="B93" s="117"/>
      <c r="D93" s="114"/>
      <c r="F93" s="119"/>
      <c r="G93" s="114"/>
      <c r="H93" s="114"/>
    </row>
    <row r="94" spans="1:8" x14ac:dyDescent="0.25">
      <c r="A94" s="112"/>
      <c r="B94" s="117"/>
      <c r="D94" s="114"/>
      <c r="F94" s="119"/>
      <c r="G94" s="114"/>
      <c r="H94" s="114"/>
    </row>
    <row r="95" spans="1:8" x14ac:dyDescent="0.25">
      <c r="A95" s="112"/>
      <c r="B95" s="117"/>
      <c r="D95" s="114"/>
      <c r="F95" s="119"/>
      <c r="G95" s="114"/>
      <c r="H95" s="114"/>
    </row>
    <row r="96" spans="1:8" x14ac:dyDescent="0.25">
      <c r="A96" s="112"/>
      <c r="B96" s="117"/>
      <c r="D96" s="114"/>
      <c r="F96" s="119"/>
      <c r="G96" s="114"/>
      <c r="H96" s="114"/>
    </row>
    <row r="97" spans="1:8" x14ac:dyDescent="0.25">
      <c r="A97" s="112"/>
      <c r="B97" s="117"/>
      <c r="D97" s="114"/>
      <c r="F97" s="119"/>
      <c r="G97" s="114"/>
      <c r="H97" s="114"/>
    </row>
    <row r="98" spans="1:8" x14ac:dyDescent="0.25">
      <c r="A98" s="112"/>
      <c r="B98" s="117"/>
      <c r="D98" s="114"/>
      <c r="F98" s="119"/>
      <c r="G98" s="114"/>
      <c r="H98" s="114"/>
    </row>
    <row r="99" spans="1:8" x14ac:dyDescent="0.25">
      <c r="A99" s="112"/>
      <c r="B99" s="117"/>
      <c r="D99" s="114"/>
      <c r="F99" s="119"/>
      <c r="G99" s="114"/>
      <c r="H99" s="114"/>
    </row>
    <row r="100" spans="1:8" x14ac:dyDescent="0.25">
      <c r="A100" s="112"/>
      <c r="B100" s="117"/>
      <c r="D100" s="114"/>
      <c r="F100" s="119"/>
      <c r="G100" s="114"/>
      <c r="H100" s="114"/>
    </row>
    <row r="101" spans="1:8" x14ac:dyDescent="0.25">
      <c r="A101" s="112"/>
      <c r="B101" s="117"/>
      <c r="D101" s="114"/>
      <c r="F101" s="119"/>
      <c r="G101" s="114"/>
      <c r="H101" s="114"/>
    </row>
    <row r="102" spans="1:8" x14ac:dyDescent="0.25">
      <c r="A102" s="112"/>
      <c r="B102" s="117"/>
      <c r="D102" s="114"/>
      <c r="F102" s="119"/>
      <c r="G102" s="114"/>
      <c r="H102" s="114"/>
    </row>
    <row r="103" spans="1:8" x14ac:dyDescent="0.25">
      <c r="A103" s="112"/>
      <c r="B103" s="117"/>
      <c r="D103" s="114"/>
      <c r="F103" s="119"/>
      <c r="G103" s="114"/>
      <c r="H103" s="114"/>
    </row>
    <row r="104" spans="1:8" x14ac:dyDescent="0.25">
      <c r="A104" s="112"/>
      <c r="B104" s="117"/>
      <c r="D104" s="114"/>
      <c r="F104" s="119"/>
      <c r="G104" s="114"/>
      <c r="H104" s="114"/>
    </row>
    <row r="105" spans="1:8" x14ac:dyDescent="0.25">
      <c r="A105" s="112"/>
      <c r="B105" s="117"/>
      <c r="D105" s="114"/>
      <c r="F105" s="119"/>
      <c r="G105" s="114"/>
      <c r="H105" s="114"/>
    </row>
    <row r="106" spans="1:8" x14ac:dyDescent="0.25">
      <c r="A106" s="112"/>
      <c r="B106" s="117"/>
      <c r="D106" s="114"/>
      <c r="F106" s="119"/>
      <c r="G106" s="114"/>
      <c r="H106" s="114"/>
    </row>
    <row r="107" spans="1:8" x14ac:dyDescent="0.25">
      <c r="A107" s="112"/>
      <c r="B107" s="117"/>
      <c r="D107" s="114"/>
      <c r="F107" s="119"/>
      <c r="G107" s="114"/>
      <c r="H107" s="114"/>
    </row>
    <row r="108" spans="1:8" x14ac:dyDescent="0.25">
      <c r="A108" s="112"/>
      <c r="B108" s="117"/>
      <c r="D108" s="114"/>
      <c r="F108" s="119"/>
      <c r="G108" s="114"/>
      <c r="H108" s="114"/>
    </row>
    <row r="109" spans="1:8" x14ac:dyDescent="0.25">
      <c r="A109" s="112"/>
      <c r="B109" s="117"/>
      <c r="D109" s="114"/>
      <c r="F109" s="119"/>
      <c r="G109" s="114"/>
      <c r="H109" s="114"/>
    </row>
    <row r="110" spans="1:8" x14ac:dyDescent="0.25">
      <c r="A110" s="112"/>
      <c r="B110" s="117"/>
      <c r="D110" s="114"/>
      <c r="F110" s="119"/>
      <c r="G110" s="114"/>
      <c r="H110" s="119"/>
    </row>
    <row r="111" spans="1:8" x14ac:dyDescent="0.25">
      <c r="A111" s="112"/>
      <c r="B111" s="117"/>
      <c r="D111" s="114"/>
      <c r="F111" s="119"/>
      <c r="G111" s="114"/>
    </row>
    <row r="112" spans="1:8" x14ac:dyDescent="0.25">
      <c r="A112" s="112"/>
      <c r="B112" s="117"/>
      <c r="D112" s="114"/>
      <c r="F112" s="119"/>
      <c r="G112" s="114"/>
    </row>
    <row r="113" spans="1:7" x14ac:dyDescent="0.25">
      <c r="A113" s="112"/>
      <c r="B113" s="117"/>
      <c r="D113" s="114"/>
      <c r="F113" s="119"/>
      <c r="G113" s="114"/>
    </row>
    <row r="114" spans="1:7" x14ac:dyDescent="0.25">
      <c r="A114" s="112"/>
      <c r="B114" s="117"/>
      <c r="D114" s="114"/>
      <c r="F114" s="119"/>
      <c r="G114" s="114"/>
    </row>
    <row r="115" spans="1:7" x14ac:dyDescent="0.25">
      <c r="A115" s="112"/>
      <c r="B115" s="117"/>
      <c r="D115" s="114"/>
      <c r="F115" s="119"/>
      <c r="G115" s="114"/>
    </row>
    <row r="116" spans="1:7" x14ac:dyDescent="0.25">
      <c r="A116" s="112"/>
      <c r="B116" s="117"/>
      <c r="D116" s="114"/>
      <c r="F116" s="119"/>
      <c r="G116" s="114"/>
    </row>
    <row r="117" spans="1:7" x14ac:dyDescent="0.25">
      <c r="A117" s="112"/>
      <c r="B117" s="117"/>
      <c r="D117" s="114"/>
      <c r="F117" s="119"/>
      <c r="G117" s="114"/>
    </row>
    <row r="118" spans="1:7" x14ac:dyDescent="0.25">
      <c r="A118" s="112"/>
      <c r="B118" s="112"/>
      <c r="D118" s="114"/>
      <c r="F118" s="119"/>
      <c r="G118" s="114"/>
    </row>
    <row r="119" spans="1:7" x14ac:dyDescent="0.25">
      <c r="A119" s="112"/>
      <c r="B119" s="112"/>
      <c r="D119" s="114"/>
      <c r="F119" s="119"/>
      <c r="G119" s="114"/>
    </row>
    <row r="120" spans="1:7" x14ac:dyDescent="0.25">
      <c r="A120" s="112"/>
      <c r="B120" s="112"/>
      <c r="D120" s="114"/>
      <c r="F120" s="119"/>
      <c r="G120" s="114"/>
    </row>
    <row r="121" spans="1:7" x14ac:dyDescent="0.25">
      <c r="A121" s="112"/>
      <c r="B121" s="112"/>
      <c r="D121" s="114"/>
      <c r="F121" s="119"/>
      <c r="G121" s="114"/>
    </row>
    <row r="122" spans="1:7" x14ac:dyDescent="0.25">
      <c r="A122" s="112"/>
      <c r="B122" s="112"/>
      <c r="D122" s="114"/>
      <c r="F122" s="119"/>
      <c r="G122" s="114"/>
    </row>
    <row r="123" spans="1:7" x14ac:dyDescent="0.25">
      <c r="A123" s="112"/>
      <c r="B123" s="112"/>
      <c r="D123" s="114"/>
      <c r="F123" s="119"/>
      <c r="G123" s="114"/>
    </row>
    <row r="124" spans="1:7" x14ac:dyDescent="0.25">
      <c r="A124" s="112"/>
      <c r="B124" s="112"/>
      <c r="D124" s="114"/>
      <c r="F124" s="119"/>
      <c r="G124" s="114"/>
    </row>
    <row r="125" spans="1:7" x14ac:dyDescent="0.25">
      <c r="A125" s="112"/>
      <c r="B125" s="112"/>
      <c r="D125" s="114"/>
      <c r="F125" s="119"/>
      <c r="G125" s="114"/>
    </row>
    <row r="126" spans="1:7" x14ac:dyDescent="0.25">
      <c r="A126" s="112"/>
      <c r="B126" s="112"/>
      <c r="D126" s="114"/>
      <c r="F126" s="119"/>
      <c r="G126" s="114"/>
    </row>
    <row r="127" spans="1:7" x14ac:dyDescent="0.25">
      <c r="A127" s="112"/>
      <c r="B127" s="112"/>
      <c r="D127" s="114"/>
      <c r="F127" s="119"/>
      <c r="G127" s="114"/>
    </row>
    <row r="128" spans="1:7" x14ac:dyDescent="0.25">
      <c r="A128" s="112"/>
      <c r="B128" s="112"/>
      <c r="D128" s="114"/>
      <c r="F128" s="119"/>
      <c r="G128" s="114"/>
    </row>
    <row r="129" spans="1:7" x14ac:dyDescent="0.25">
      <c r="A129" s="112"/>
      <c r="B129" s="112"/>
      <c r="D129" s="114"/>
      <c r="F129" s="119"/>
      <c r="G129" s="114"/>
    </row>
    <row r="130" spans="1:7" x14ac:dyDescent="0.25">
      <c r="A130" s="112"/>
      <c r="B130" s="112"/>
      <c r="D130" s="114"/>
      <c r="F130" s="119"/>
      <c r="G130" s="114"/>
    </row>
    <row r="131" spans="1:7" x14ac:dyDescent="0.25">
      <c r="A131" s="112"/>
      <c r="B131" s="112"/>
      <c r="D131" s="114"/>
      <c r="F131" s="119"/>
      <c r="G131" s="114"/>
    </row>
    <row r="132" spans="1:7" x14ac:dyDescent="0.25">
      <c r="A132" s="112"/>
      <c r="B132" s="112"/>
      <c r="D132" s="114"/>
      <c r="F132" s="119"/>
      <c r="G132" s="114"/>
    </row>
    <row r="133" spans="1:7" x14ac:dyDescent="0.25">
      <c r="A133" s="112"/>
      <c r="B133" s="112"/>
      <c r="D133" s="114"/>
      <c r="F133" s="119"/>
      <c r="G133" s="114"/>
    </row>
    <row r="134" spans="1:7" x14ac:dyDescent="0.25">
      <c r="A134" s="112"/>
      <c r="B134" s="112"/>
      <c r="D134" s="114"/>
      <c r="F134" s="119"/>
      <c r="G134" s="114"/>
    </row>
    <row r="135" spans="1:7" x14ac:dyDescent="0.25">
      <c r="A135" s="112"/>
      <c r="B135" s="112"/>
      <c r="D135" s="114"/>
      <c r="F135" s="119"/>
      <c r="G135" s="114"/>
    </row>
    <row r="136" spans="1:7" x14ac:dyDescent="0.25">
      <c r="A136" s="112"/>
      <c r="B136" s="112"/>
      <c r="D136" s="114"/>
      <c r="F136" s="119"/>
      <c r="G136" s="114"/>
    </row>
    <row r="137" spans="1:7" x14ac:dyDescent="0.25">
      <c r="A137" s="112"/>
      <c r="B137" s="112"/>
      <c r="D137" s="114"/>
      <c r="F137" s="119"/>
      <c r="G137" s="114"/>
    </row>
    <row r="138" spans="1:7" x14ac:dyDescent="0.25">
      <c r="A138" s="112"/>
      <c r="B138" s="112"/>
      <c r="D138" s="114"/>
      <c r="F138" s="119"/>
      <c r="G138" s="114"/>
    </row>
    <row r="139" spans="1:7" x14ac:dyDescent="0.25">
      <c r="F139" s="119"/>
      <c r="G139" s="114"/>
    </row>
    <row r="140" spans="1:7" x14ac:dyDescent="0.25">
      <c r="F140" s="119"/>
      <c r="G140" s="114"/>
    </row>
    <row r="141" spans="1:7" x14ac:dyDescent="0.25">
      <c r="F141" s="119"/>
      <c r="G141" s="114"/>
    </row>
    <row r="142" spans="1:7" x14ac:dyDescent="0.25">
      <c r="F142" s="119"/>
      <c r="G142" s="114"/>
    </row>
    <row r="143" spans="1:7" x14ac:dyDescent="0.25">
      <c r="F143" s="119"/>
      <c r="G143" s="114"/>
    </row>
    <row r="144" spans="1:7" x14ac:dyDescent="0.25">
      <c r="F144" s="119"/>
      <c r="G144" s="114"/>
    </row>
    <row r="145" spans="6:7" x14ac:dyDescent="0.25">
      <c r="F145" s="119"/>
      <c r="G145" s="114"/>
    </row>
    <row r="146" spans="6:7" x14ac:dyDescent="0.25">
      <c r="F146" s="119"/>
      <c r="G146" s="114"/>
    </row>
    <row r="147" spans="6:7" x14ac:dyDescent="0.25">
      <c r="F147" s="119"/>
      <c r="G147" s="114"/>
    </row>
    <row r="148" spans="6:7" x14ac:dyDescent="0.25">
      <c r="F148" s="119"/>
      <c r="G148" s="114"/>
    </row>
    <row r="149" spans="6:7" x14ac:dyDescent="0.25">
      <c r="F149" s="119"/>
      <c r="G149" s="114"/>
    </row>
    <row r="150" spans="6:7" x14ac:dyDescent="0.25">
      <c r="F150" s="119"/>
      <c r="G150" s="114"/>
    </row>
    <row r="151" spans="6:7" x14ac:dyDescent="0.25">
      <c r="F151" s="119"/>
      <c r="G151" s="114"/>
    </row>
    <row r="152" spans="6:7" x14ac:dyDescent="0.25">
      <c r="F152" s="119"/>
      <c r="G152" s="114"/>
    </row>
    <row r="153" spans="6:7" x14ac:dyDescent="0.25">
      <c r="F153" s="119"/>
      <c r="G153" s="114"/>
    </row>
    <row r="154" spans="6:7" x14ac:dyDescent="0.25">
      <c r="F154" s="119"/>
      <c r="G154" s="114"/>
    </row>
    <row r="155" spans="6:7" x14ac:dyDescent="0.25">
      <c r="F155" s="119"/>
      <c r="G155" s="114"/>
    </row>
    <row r="156" spans="6:7" x14ac:dyDescent="0.25">
      <c r="F156" s="119"/>
      <c r="G156" s="114"/>
    </row>
    <row r="157" spans="6:7" x14ac:dyDescent="0.25">
      <c r="F157" s="119"/>
      <c r="G157" s="114"/>
    </row>
    <row r="158" spans="6:7" x14ac:dyDescent="0.25">
      <c r="F158" s="119"/>
      <c r="G158" s="114"/>
    </row>
    <row r="159" spans="6:7" x14ac:dyDescent="0.25">
      <c r="F159" s="119"/>
      <c r="G159" s="114"/>
    </row>
  </sheetData>
  <sortState ref="G57:I70">
    <sortCondition descending="1" ref="G57"/>
  </sortState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workbookViewId="0">
      <selection activeCell="D18" sqref="D18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104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8</v>
      </c>
      <c r="D5" s="137" t="s">
        <v>9</v>
      </c>
      <c r="H5" s="35" t="s">
        <v>103</v>
      </c>
    </row>
    <row r="6" spans="1:19" x14ac:dyDescent="0.25">
      <c r="A6" s="138">
        <f>B6+273.15</f>
        <v>1173.1500000000001</v>
      </c>
      <c r="B6" s="148">
        <v>900</v>
      </c>
      <c r="C6" s="144">
        <v>-1.2121999999999999</v>
      </c>
      <c r="D6" s="153">
        <f>10^C6</f>
        <v>6.134794223881293E-2</v>
      </c>
    </row>
    <row r="7" spans="1:19" x14ac:dyDescent="0.25">
      <c r="A7" s="138">
        <f t="shared" ref="A7:A8" si="0">B7+273.15</f>
        <v>1073.1500000000001</v>
      </c>
      <c r="B7" s="148">
        <v>800</v>
      </c>
      <c r="C7" s="144">
        <v>-2.1379999999999999</v>
      </c>
      <c r="D7" s="153">
        <f t="shared" ref="D7:D8" si="1">10^C7</f>
        <v>7.2777980453682389E-3</v>
      </c>
    </row>
    <row r="8" spans="1:19" ht="16.5" thickBot="1" x14ac:dyDescent="0.3">
      <c r="A8" s="141">
        <f t="shared" si="0"/>
        <v>973.15</v>
      </c>
      <c r="B8" s="149">
        <v>700</v>
      </c>
      <c r="C8" s="129">
        <v>-2.3974000000000002</v>
      </c>
      <c r="D8" s="154">
        <f t="shared" si="1"/>
        <v>4.004976757121588E-3</v>
      </c>
      <c r="J8" s="35"/>
    </row>
    <row r="9" spans="1:19" ht="15.75" thickBot="1" x14ac:dyDescent="0.3"/>
    <row r="10" spans="1:19" ht="16.5" thickBot="1" x14ac:dyDescent="0.3">
      <c r="A10" s="133" t="s">
        <v>13</v>
      </c>
      <c r="B10" s="134"/>
      <c r="C10" s="134"/>
      <c r="D10" s="135"/>
    </row>
    <row r="11" spans="1:19" ht="19.5" thickBot="1" x14ac:dyDescent="0.3">
      <c r="A11" s="136" t="s">
        <v>16</v>
      </c>
      <c r="B11" s="115" t="s">
        <v>14</v>
      </c>
      <c r="C11" s="142"/>
      <c r="D11" s="137" t="s">
        <v>15</v>
      </c>
      <c r="H11" s="169" t="s">
        <v>184</v>
      </c>
    </row>
    <row r="12" spans="1:19" x14ac:dyDescent="0.25">
      <c r="A12" s="138">
        <f>B12+273.15</f>
        <v>1173.1500000000001</v>
      </c>
      <c r="B12" s="148">
        <v>900</v>
      </c>
      <c r="C12" s="140"/>
      <c r="D12" s="159">
        <f>D6/C26</f>
        <v>7.3913183420256539E-4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ref="A13:A14" si="2">B13+273.15</f>
        <v>1073.1500000000001</v>
      </c>
      <c r="B13" s="139">
        <v>800</v>
      </c>
      <c r="C13" s="140"/>
      <c r="D13" s="159">
        <f>D7/C28</f>
        <v>7.581039630591916E-5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thickBot="1" x14ac:dyDescent="0.3">
      <c r="A14" s="141">
        <f t="shared" si="2"/>
        <v>973.15</v>
      </c>
      <c r="B14" s="131">
        <v>700</v>
      </c>
      <c r="C14" s="130"/>
      <c r="D14" s="160">
        <f>D8/C30</f>
        <v>3.4825884844535546E-5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12"/>
      <c r="B15" s="119"/>
      <c r="C15" s="113"/>
      <c r="D15" s="114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x14ac:dyDescent="0.25">
      <c r="A16" s="133" t="s">
        <v>19</v>
      </c>
      <c r="B16" s="134"/>
      <c r="C16" s="134"/>
      <c r="D16" s="135"/>
      <c r="G16" s="119"/>
      <c r="H16" s="119"/>
    </row>
    <row r="17" spans="1:12" x14ac:dyDescent="0.25">
      <c r="A17" s="136" t="s">
        <v>16</v>
      </c>
      <c r="B17" s="115" t="s">
        <v>14</v>
      </c>
      <c r="C17" s="142"/>
      <c r="D17" s="143" t="s">
        <v>35</v>
      </c>
      <c r="G17" s="119"/>
      <c r="H17" s="114"/>
    </row>
    <row r="18" spans="1:12" x14ac:dyDescent="0.25">
      <c r="A18" s="138">
        <f>B18+273.15</f>
        <v>1173.1500000000001</v>
      </c>
      <c r="B18" s="148">
        <v>900</v>
      </c>
      <c r="C18" s="140"/>
      <c r="D18" s="159">
        <f>($C$2*$A$2*A18)/(4*($E$2^2)*D12*G26)</f>
        <v>2.7810404861985864E-3</v>
      </c>
      <c r="G18" s="119"/>
      <c r="H18" s="114"/>
      <c r="K18" s="118"/>
      <c r="L18" s="118"/>
    </row>
    <row r="19" spans="1:12" x14ac:dyDescent="0.25">
      <c r="A19" s="138">
        <f t="shared" ref="A19:A20" si="3">B19+273.15</f>
        <v>1073.1500000000001</v>
      </c>
      <c r="B19" s="148">
        <v>800</v>
      </c>
      <c r="C19" s="140"/>
      <c r="D19" s="159">
        <f>($C$2*$A$2*A19)/(4*($E$2^2)*D13*G28)</f>
        <v>3.2977007400300372E-2</v>
      </c>
      <c r="G19" s="119"/>
      <c r="H19" s="114"/>
      <c r="J19" s="113"/>
      <c r="K19" s="113"/>
      <c r="L19" s="113"/>
    </row>
    <row r="20" spans="1:12" ht="15.75" thickBot="1" x14ac:dyDescent="0.3">
      <c r="A20" s="141">
        <f t="shared" si="3"/>
        <v>973.15</v>
      </c>
      <c r="B20" s="149">
        <v>700</v>
      </c>
      <c r="C20" s="130"/>
      <c r="D20" s="160">
        <f>($C$2*$A$2*A20)/(4*($E$2^2)*D14*G30)</f>
        <v>8.2553537773243688E-2</v>
      </c>
      <c r="G20" s="119"/>
      <c r="H20" s="114"/>
      <c r="J20" s="113"/>
      <c r="K20" s="113"/>
      <c r="L20" s="113"/>
    </row>
    <row r="21" spans="1:12" x14ac:dyDescent="0.25">
      <c r="D21" s="113"/>
      <c r="G21" s="119"/>
      <c r="H21" s="114"/>
      <c r="J21" s="113"/>
      <c r="K21" s="113"/>
      <c r="L21" s="113"/>
    </row>
    <row r="22" spans="1:12" s="126" customFormat="1" ht="15.75" thickBot="1" x14ac:dyDescent="0.3">
      <c r="G22" s="128"/>
      <c r="H22" s="129"/>
      <c r="J22" s="130"/>
      <c r="K22" s="130"/>
      <c r="L22" s="130"/>
    </row>
    <row r="23" spans="1:12" ht="60" x14ac:dyDescent="0.25">
      <c r="A23" s="118" t="s">
        <v>26</v>
      </c>
      <c r="G23" s="119"/>
      <c r="H23" s="114"/>
    </row>
    <row r="24" spans="1:12" ht="45" x14ac:dyDescent="0.25">
      <c r="A24" s="111" t="s">
        <v>16</v>
      </c>
      <c r="B24" s="111" t="s">
        <v>14</v>
      </c>
      <c r="C24" s="118" t="s">
        <v>41</v>
      </c>
      <c r="D24" s="118"/>
      <c r="E24" s="111" t="s">
        <v>16</v>
      </c>
      <c r="F24" s="111" t="s">
        <v>14</v>
      </c>
      <c r="G24" s="118" t="s">
        <v>20</v>
      </c>
      <c r="K24" s="118"/>
    </row>
    <row r="25" spans="1:12" x14ac:dyDescent="0.25">
      <c r="A25" s="112">
        <f>B25+273.15</f>
        <v>1273.1500000000001</v>
      </c>
      <c r="B25" s="119">
        <v>1000</v>
      </c>
      <c r="C25" s="114">
        <v>74</v>
      </c>
      <c r="D25" s="114"/>
      <c r="E25" s="112">
        <f>F25+273.15</f>
        <v>1273.1500000000001</v>
      </c>
      <c r="F25" s="111">
        <v>1000</v>
      </c>
      <c r="G25" s="114">
        <f>($C$2*$A$2*E25*C34)/(4*($E$2^2)*G34)</f>
        <v>0.16007314293012284</v>
      </c>
      <c r="H25" s="114"/>
      <c r="I25" s="112"/>
      <c r="J25" s="117"/>
      <c r="K25" s="114"/>
    </row>
    <row r="26" spans="1:12" x14ac:dyDescent="0.25">
      <c r="A26" s="112">
        <f t="shared" ref="A26:A30" si="4">B26+273.15</f>
        <v>1173.1500000000001</v>
      </c>
      <c r="B26" s="119">
        <v>900</v>
      </c>
      <c r="C26" s="114">
        <v>83</v>
      </c>
      <c r="D26" s="114"/>
      <c r="E26" s="112">
        <f t="shared" ref="E26:E30" si="5">F26+273.15</f>
        <v>1173.1500000000001</v>
      </c>
      <c r="F26" s="112">
        <v>900</v>
      </c>
      <c r="G26" s="114">
        <f>($C$2*$A$2*E26*C35)/(4*($E$2^2)*G35)</f>
        <v>0.12736836711093746</v>
      </c>
      <c r="H26" s="114"/>
      <c r="I26" s="112"/>
      <c r="J26" s="117"/>
      <c r="K26" s="114"/>
    </row>
    <row r="27" spans="1:12" x14ac:dyDescent="0.25">
      <c r="A27" s="112">
        <f t="shared" si="4"/>
        <v>1098.1500000000001</v>
      </c>
      <c r="B27" s="119">
        <v>825</v>
      </c>
      <c r="C27" s="114">
        <f>382688*(B27^-1.239)</f>
        <v>93.187659031584744</v>
      </c>
      <c r="D27" s="114"/>
      <c r="E27" s="112">
        <f t="shared" si="5"/>
        <v>1098.1500000000001</v>
      </c>
      <c r="F27" s="112">
        <v>825</v>
      </c>
      <c r="G27" s="114">
        <f>0.0127*EXP(0.0025*F27)</f>
        <v>9.9893237779100127E-2</v>
      </c>
      <c r="H27" s="114"/>
      <c r="I27" s="112"/>
      <c r="J27" s="117"/>
      <c r="K27" s="114"/>
    </row>
    <row r="28" spans="1:12" x14ac:dyDescent="0.25">
      <c r="A28" s="112">
        <f t="shared" si="4"/>
        <v>1073.1500000000001</v>
      </c>
      <c r="B28" s="119">
        <v>800</v>
      </c>
      <c r="C28" s="114">
        <v>96</v>
      </c>
      <c r="D28" s="114"/>
      <c r="E28" s="112">
        <f t="shared" si="5"/>
        <v>1073.1500000000001</v>
      </c>
      <c r="F28" s="112">
        <v>800</v>
      </c>
      <c r="G28" s="114">
        <f>($C$2*$A$2*E28*C36)/(4*($E$2^2)*G36)</f>
        <v>9.5798272213154401E-2</v>
      </c>
      <c r="H28" s="114"/>
      <c r="I28" s="112"/>
      <c r="J28" s="117"/>
      <c r="K28" s="114"/>
    </row>
    <row r="29" spans="1:12" x14ac:dyDescent="0.25">
      <c r="A29" s="112">
        <f t="shared" si="4"/>
        <v>998.15</v>
      </c>
      <c r="B29" s="119">
        <v>725</v>
      </c>
      <c r="C29" s="114">
        <f>382688*(B29^-1.239)</f>
        <v>109.3669382358818</v>
      </c>
      <c r="D29" s="114"/>
      <c r="E29" s="112">
        <f t="shared" si="5"/>
        <v>998.15</v>
      </c>
      <c r="F29" s="112">
        <v>725</v>
      </c>
      <c r="G29" s="114">
        <f>0.0127*EXP(0.0025*F29)</f>
        <v>7.779693180590122E-2</v>
      </c>
      <c r="H29" s="114"/>
      <c r="I29" s="112"/>
      <c r="J29" s="117"/>
      <c r="K29" s="114"/>
    </row>
    <row r="30" spans="1:12" x14ac:dyDescent="0.25">
      <c r="A30" s="112">
        <f t="shared" si="4"/>
        <v>973.15</v>
      </c>
      <c r="B30" s="119">
        <v>700</v>
      </c>
      <c r="C30" s="114">
        <v>115</v>
      </c>
      <c r="D30" s="114"/>
      <c r="E30" s="112">
        <f t="shared" si="5"/>
        <v>973.15</v>
      </c>
      <c r="F30" s="112">
        <v>700</v>
      </c>
      <c r="G30" s="114">
        <f>($C$2*$A$2*E30*C37)/(4*($E$2^2)*G37)</f>
        <v>7.5540384851772169E-2</v>
      </c>
      <c r="H30" s="114"/>
      <c r="I30" s="112"/>
      <c r="J30" s="117"/>
      <c r="K30" s="113"/>
    </row>
    <row r="31" spans="1:12" x14ac:dyDescent="0.25">
      <c r="A31" s="112"/>
      <c r="B31" s="117"/>
      <c r="C31" s="119"/>
      <c r="D31" s="114"/>
      <c r="E31" s="113"/>
      <c r="I31" s="112"/>
      <c r="J31" s="112"/>
      <c r="K31" s="114"/>
    </row>
    <row r="32" spans="1:12" x14ac:dyDescent="0.25">
      <c r="C32" s="118"/>
      <c r="D32" s="114"/>
      <c r="E32" s="113"/>
      <c r="I32" s="112"/>
      <c r="J32" s="112"/>
      <c r="K32" s="114"/>
    </row>
    <row r="33" spans="1:11" ht="32.25" x14ac:dyDescent="0.25">
      <c r="A33" s="111" t="s">
        <v>16</v>
      </c>
      <c r="B33" s="111" t="s">
        <v>14</v>
      </c>
      <c r="C33" s="118" t="s">
        <v>95</v>
      </c>
      <c r="D33" s="114"/>
      <c r="E33" s="111" t="s">
        <v>16</v>
      </c>
      <c r="F33" s="111" t="s">
        <v>14</v>
      </c>
      <c r="G33" s="111" t="s">
        <v>99</v>
      </c>
      <c r="I33" s="112"/>
      <c r="J33" s="112"/>
      <c r="K33" s="114"/>
    </row>
    <row r="34" spans="1:11" x14ac:dyDescent="0.25">
      <c r="A34" s="112">
        <f>B34+273.15</f>
        <v>1273.1500000000001</v>
      </c>
      <c r="B34" s="119">
        <v>1000</v>
      </c>
      <c r="C34" s="114">
        <v>0.4</v>
      </c>
      <c r="D34" s="114"/>
      <c r="E34" s="112">
        <f>F34+273.15</f>
        <v>1273.1500000000001</v>
      </c>
      <c r="F34" s="119">
        <v>1000</v>
      </c>
      <c r="G34" s="114">
        <v>7.0999999999999998E-7</v>
      </c>
      <c r="I34" s="112"/>
      <c r="J34" s="112"/>
      <c r="K34" s="114"/>
    </row>
    <row r="35" spans="1:11" x14ac:dyDescent="0.25">
      <c r="A35" s="112">
        <f t="shared" ref="A35:A37" si="6">B35+273.15</f>
        <v>1173.1500000000001</v>
      </c>
      <c r="B35" s="119">
        <v>900</v>
      </c>
      <c r="C35" s="114">
        <v>0.18</v>
      </c>
      <c r="D35" s="114"/>
      <c r="E35" s="112">
        <f t="shared" ref="E35:E37" si="7">F35+273.15</f>
        <v>1173.1500000000001</v>
      </c>
      <c r="F35" s="119">
        <v>900</v>
      </c>
      <c r="G35" s="114">
        <v>3.7E-7</v>
      </c>
      <c r="I35" s="112"/>
      <c r="J35" s="112"/>
      <c r="K35" s="114"/>
    </row>
    <row r="36" spans="1:11" x14ac:dyDescent="0.25">
      <c r="A36" s="112">
        <f t="shared" si="6"/>
        <v>1073.1500000000001</v>
      </c>
      <c r="B36" s="119">
        <v>800</v>
      </c>
      <c r="C36" s="114">
        <v>6.4000000000000001E-2</v>
      </c>
      <c r="D36" s="114"/>
      <c r="E36" s="112">
        <f t="shared" si="7"/>
        <v>1073.1500000000001</v>
      </c>
      <c r="F36" s="119">
        <v>800</v>
      </c>
      <c r="G36" s="114">
        <v>1.6E-7</v>
      </c>
      <c r="J36" s="113"/>
    </row>
    <row r="37" spans="1:11" x14ac:dyDescent="0.25">
      <c r="A37" s="112">
        <f t="shared" si="6"/>
        <v>973.15</v>
      </c>
      <c r="B37" s="119">
        <v>700</v>
      </c>
      <c r="C37" s="114">
        <v>1.6E-2</v>
      </c>
      <c r="D37" s="114"/>
      <c r="E37" s="112">
        <f t="shared" si="7"/>
        <v>973.15</v>
      </c>
      <c r="F37" s="119">
        <v>700</v>
      </c>
      <c r="G37" s="114">
        <v>4.6000000000000002E-8</v>
      </c>
    </row>
    <row r="38" spans="1:11" x14ac:dyDescent="0.25">
      <c r="A38" s="112"/>
      <c r="C38" s="114"/>
      <c r="D38" s="114"/>
      <c r="E38" s="113"/>
      <c r="F38" s="119"/>
    </row>
    <row r="39" spans="1:11" x14ac:dyDescent="0.25">
      <c r="A39" s="112"/>
      <c r="C39" s="114"/>
      <c r="D39" s="114"/>
      <c r="E39" s="113"/>
      <c r="F39" s="119"/>
    </row>
    <row r="40" spans="1:11" x14ac:dyDescent="0.25">
      <c r="A40" s="112"/>
      <c r="C40" s="114"/>
      <c r="D40" s="114"/>
      <c r="E40" s="113"/>
      <c r="F40" s="119"/>
    </row>
    <row r="41" spans="1:11" x14ac:dyDescent="0.25">
      <c r="A41" s="112"/>
      <c r="C41" s="114"/>
      <c r="D41" s="114"/>
      <c r="F41" s="119"/>
      <c r="G41" s="114"/>
      <c r="H41" s="114"/>
    </row>
    <row r="42" spans="1:11" x14ac:dyDescent="0.25">
      <c r="A42" s="112"/>
      <c r="C42" s="114"/>
      <c r="D42" s="114"/>
      <c r="F42" s="119"/>
      <c r="G42" s="114"/>
      <c r="H42" s="114"/>
    </row>
    <row r="43" spans="1:11" x14ac:dyDescent="0.25">
      <c r="A43" s="112"/>
      <c r="C43" s="114"/>
      <c r="D43" s="114"/>
      <c r="F43" s="119"/>
      <c r="G43" s="114"/>
      <c r="H43" s="114"/>
    </row>
    <row r="44" spans="1:11" x14ac:dyDescent="0.25">
      <c r="A44" s="112"/>
      <c r="C44" s="114"/>
      <c r="D44" s="114"/>
      <c r="F44" s="119"/>
      <c r="G44" s="114"/>
      <c r="H44" s="114"/>
    </row>
    <row r="45" spans="1:11" x14ac:dyDescent="0.25">
      <c r="A45" s="112"/>
      <c r="C45" s="114"/>
      <c r="D45" s="114"/>
      <c r="F45" s="119"/>
      <c r="G45" s="114"/>
      <c r="H45" s="114"/>
    </row>
    <row r="46" spans="1:11" x14ac:dyDescent="0.25">
      <c r="A46" s="112"/>
      <c r="C46" s="113"/>
      <c r="D46" s="114"/>
      <c r="F46" s="119"/>
      <c r="G46" s="114"/>
      <c r="H46" s="114"/>
    </row>
    <row r="47" spans="1:11" x14ac:dyDescent="0.25">
      <c r="A47" s="112"/>
      <c r="B47" s="117"/>
      <c r="C47" s="113"/>
      <c r="D47" s="114"/>
      <c r="F47" s="119"/>
      <c r="G47" s="114"/>
      <c r="H47" s="114"/>
    </row>
    <row r="48" spans="1:11" x14ac:dyDescent="0.25">
      <c r="A48" s="112"/>
      <c r="B48" s="117"/>
      <c r="D48" s="114"/>
      <c r="F48" s="119"/>
      <c r="G48" s="114"/>
      <c r="H48" s="114"/>
    </row>
    <row r="49" spans="1:8" x14ac:dyDescent="0.25">
      <c r="A49" s="112"/>
      <c r="B49" s="117"/>
      <c r="D49" s="114"/>
      <c r="F49" s="119"/>
      <c r="G49" s="114"/>
      <c r="H49" s="114"/>
    </row>
    <row r="50" spans="1:8" x14ac:dyDescent="0.25">
      <c r="A50" s="112"/>
      <c r="B50" s="117"/>
      <c r="D50" s="114"/>
      <c r="F50" s="119"/>
      <c r="G50" s="114"/>
      <c r="H50" s="114"/>
    </row>
    <row r="51" spans="1:8" x14ac:dyDescent="0.25">
      <c r="A51" s="112"/>
      <c r="B51" s="117"/>
      <c r="D51" s="114"/>
      <c r="F51" s="119"/>
      <c r="G51" s="114"/>
      <c r="H51" s="114"/>
    </row>
    <row r="52" spans="1:8" x14ac:dyDescent="0.25">
      <c r="A52" s="112"/>
      <c r="B52" s="117"/>
      <c r="D52" s="114"/>
      <c r="F52" s="119"/>
      <c r="G52" s="114"/>
      <c r="H52" s="114"/>
    </row>
    <row r="53" spans="1:8" x14ac:dyDescent="0.25">
      <c r="A53" s="112"/>
      <c r="B53" s="117"/>
      <c r="D53" s="114"/>
      <c r="F53" s="119"/>
      <c r="G53" s="114"/>
      <c r="H53" s="114"/>
    </row>
    <row r="54" spans="1:8" x14ac:dyDescent="0.25">
      <c r="A54" s="112"/>
      <c r="B54" s="117"/>
      <c r="D54" s="114"/>
      <c r="F54" s="119"/>
      <c r="G54" s="114"/>
      <c r="H54" s="114"/>
    </row>
    <row r="55" spans="1:8" x14ac:dyDescent="0.25">
      <c r="A55" s="112"/>
      <c r="B55" s="117"/>
      <c r="D55" s="114"/>
      <c r="F55" s="119"/>
      <c r="G55" s="114"/>
      <c r="H55" s="114"/>
    </row>
    <row r="56" spans="1:8" x14ac:dyDescent="0.25">
      <c r="A56" s="112"/>
      <c r="B56" s="117"/>
      <c r="D56" s="114"/>
      <c r="F56" s="119"/>
      <c r="G56" s="114"/>
      <c r="H56" s="114"/>
    </row>
    <row r="57" spans="1:8" x14ac:dyDescent="0.25">
      <c r="A57" s="112"/>
      <c r="B57" s="117"/>
      <c r="D57" s="114"/>
      <c r="F57" s="119"/>
      <c r="G57" s="114"/>
      <c r="H57" s="114"/>
    </row>
    <row r="58" spans="1:8" x14ac:dyDescent="0.25">
      <c r="A58" s="112"/>
      <c r="B58" s="117"/>
      <c r="D58" s="114"/>
      <c r="F58" s="119"/>
      <c r="G58" s="114"/>
      <c r="H58" s="114"/>
    </row>
    <row r="59" spans="1:8" x14ac:dyDescent="0.25">
      <c r="A59" s="112"/>
      <c r="B59" s="117"/>
      <c r="D59" s="114"/>
      <c r="F59" s="119"/>
      <c r="G59" s="114"/>
      <c r="H59" s="114"/>
    </row>
    <row r="60" spans="1:8" x14ac:dyDescent="0.25">
      <c r="A60" s="112"/>
      <c r="B60" s="117"/>
      <c r="D60" s="114"/>
      <c r="F60" s="119"/>
      <c r="G60" s="114"/>
      <c r="H60" s="114"/>
    </row>
    <row r="61" spans="1:8" x14ac:dyDescent="0.25">
      <c r="A61" s="112"/>
      <c r="B61" s="117"/>
      <c r="D61" s="114"/>
      <c r="F61" s="119"/>
      <c r="G61" s="114"/>
      <c r="H61" s="114"/>
    </row>
    <row r="62" spans="1:8" x14ac:dyDescent="0.25">
      <c r="A62" s="112"/>
      <c r="B62" s="117"/>
      <c r="D62" s="114"/>
      <c r="F62" s="119"/>
      <c r="G62" s="114"/>
      <c r="H62" s="114"/>
    </row>
    <row r="63" spans="1:8" x14ac:dyDescent="0.25">
      <c r="A63" s="112"/>
      <c r="B63" s="117"/>
      <c r="D63" s="114"/>
      <c r="F63" s="119"/>
      <c r="G63" s="114"/>
      <c r="H63" s="114"/>
    </row>
    <row r="64" spans="1:8" x14ac:dyDescent="0.25">
      <c r="A64" s="112"/>
      <c r="B64" s="117"/>
      <c r="D64" s="114"/>
      <c r="F64" s="119"/>
      <c r="G64" s="114"/>
      <c r="H64" s="114"/>
    </row>
    <row r="65" spans="1:8" x14ac:dyDescent="0.25">
      <c r="A65" s="112"/>
      <c r="B65" s="117"/>
      <c r="D65" s="114"/>
      <c r="F65" s="119"/>
      <c r="G65" s="114"/>
      <c r="H65" s="114"/>
    </row>
    <row r="66" spans="1:8" x14ac:dyDescent="0.25">
      <c r="A66" s="112"/>
      <c r="B66" s="117"/>
      <c r="D66" s="114"/>
      <c r="F66" s="119"/>
      <c r="G66" s="114"/>
      <c r="H66" s="114"/>
    </row>
    <row r="67" spans="1:8" x14ac:dyDescent="0.25">
      <c r="A67" s="112"/>
      <c r="B67" s="117"/>
      <c r="D67" s="114"/>
      <c r="F67" s="119"/>
      <c r="G67" s="114"/>
      <c r="H67" s="114"/>
    </row>
    <row r="68" spans="1:8" x14ac:dyDescent="0.25">
      <c r="A68" s="112"/>
      <c r="B68" s="117"/>
      <c r="D68" s="114"/>
      <c r="F68" s="119"/>
      <c r="G68" s="114"/>
      <c r="H68" s="114"/>
    </row>
    <row r="69" spans="1:8" x14ac:dyDescent="0.25">
      <c r="A69" s="112"/>
      <c r="B69" s="117"/>
      <c r="D69" s="114"/>
      <c r="F69" s="119"/>
      <c r="G69" s="114"/>
      <c r="H69" s="114"/>
    </row>
    <row r="70" spans="1:8" x14ac:dyDescent="0.25">
      <c r="A70" s="112"/>
      <c r="B70" s="117"/>
      <c r="D70" s="114"/>
      <c r="F70" s="119"/>
      <c r="G70" s="114"/>
      <c r="H70" s="114"/>
    </row>
    <row r="71" spans="1:8" x14ac:dyDescent="0.25">
      <c r="A71" s="112"/>
      <c r="B71" s="117"/>
      <c r="D71" s="114"/>
      <c r="F71" s="119"/>
      <c r="G71" s="114"/>
      <c r="H71" s="114"/>
    </row>
    <row r="72" spans="1:8" x14ac:dyDescent="0.25">
      <c r="A72" s="112"/>
      <c r="B72" s="117"/>
      <c r="D72" s="114"/>
      <c r="F72" s="119"/>
      <c r="G72" s="114"/>
      <c r="H72" s="114"/>
    </row>
    <row r="73" spans="1:8" x14ac:dyDescent="0.25">
      <c r="A73" s="112"/>
      <c r="B73" s="117"/>
      <c r="D73" s="114"/>
      <c r="F73" s="119"/>
      <c r="G73" s="114"/>
      <c r="H73" s="114"/>
    </row>
    <row r="74" spans="1:8" x14ac:dyDescent="0.25">
      <c r="A74" s="112"/>
      <c r="B74" s="117"/>
      <c r="D74" s="114"/>
      <c r="F74" s="119"/>
      <c r="G74" s="114"/>
      <c r="H74" s="114"/>
    </row>
    <row r="75" spans="1:8" x14ac:dyDescent="0.25">
      <c r="A75" s="112"/>
      <c r="B75" s="117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4"/>
    </row>
    <row r="82" spans="1:8" x14ac:dyDescent="0.25">
      <c r="A82" s="112"/>
      <c r="B82" s="117"/>
      <c r="D82" s="114"/>
      <c r="F82" s="119"/>
      <c r="G82" s="114"/>
      <c r="H82" s="119"/>
    </row>
    <row r="83" spans="1:8" x14ac:dyDescent="0.25">
      <c r="A83" s="112"/>
      <c r="B83" s="117"/>
      <c r="D83" s="114"/>
      <c r="F83" s="119"/>
      <c r="G83" s="114"/>
    </row>
    <row r="84" spans="1:8" x14ac:dyDescent="0.25">
      <c r="A84" s="112"/>
      <c r="B84" s="117"/>
      <c r="D84" s="114"/>
      <c r="F84" s="119"/>
      <c r="G84" s="114"/>
    </row>
    <row r="85" spans="1:8" x14ac:dyDescent="0.25">
      <c r="A85" s="112"/>
      <c r="B85" s="117"/>
      <c r="D85" s="114"/>
      <c r="F85" s="119"/>
      <c r="G85" s="114"/>
    </row>
    <row r="86" spans="1:8" x14ac:dyDescent="0.25">
      <c r="A86" s="112"/>
      <c r="B86" s="117"/>
      <c r="D86" s="114"/>
      <c r="F86" s="119"/>
      <c r="G86" s="114"/>
    </row>
    <row r="87" spans="1:8" x14ac:dyDescent="0.25">
      <c r="A87" s="112"/>
      <c r="B87" s="117"/>
      <c r="D87" s="114"/>
      <c r="F87" s="119"/>
      <c r="G87" s="114"/>
    </row>
    <row r="88" spans="1:8" x14ac:dyDescent="0.25">
      <c r="A88" s="112"/>
      <c r="B88" s="117"/>
      <c r="D88" s="114"/>
      <c r="F88" s="119"/>
      <c r="G88" s="114"/>
    </row>
    <row r="89" spans="1:8" x14ac:dyDescent="0.25">
      <c r="A89" s="112"/>
      <c r="B89" s="117"/>
      <c r="D89" s="114"/>
      <c r="F89" s="119"/>
      <c r="G89" s="114"/>
    </row>
    <row r="90" spans="1:8" x14ac:dyDescent="0.25">
      <c r="A90" s="112"/>
      <c r="B90" s="112"/>
      <c r="D90" s="114"/>
      <c r="F90" s="119"/>
      <c r="G90" s="114"/>
    </row>
    <row r="91" spans="1:8" x14ac:dyDescent="0.25">
      <c r="A91" s="112"/>
      <c r="B91" s="112"/>
      <c r="D91" s="114"/>
      <c r="F91" s="119"/>
      <c r="G91" s="114"/>
    </row>
    <row r="92" spans="1:8" x14ac:dyDescent="0.25">
      <c r="A92" s="112"/>
      <c r="B92" s="112"/>
      <c r="D92" s="114"/>
      <c r="F92" s="119"/>
      <c r="G92" s="114"/>
    </row>
    <row r="93" spans="1:8" x14ac:dyDescent="0.25">
      <c r="A93" s="112"/>
      <c r="B93" s="112"/>
      <c r="D93" s="114"/>
      <c r="F93" s="119"/>
      <c r="G93" s="114"/>
    </row>
    <row r="94" spans="1:8" x14ac:dyDescent="0.25">
      <c r="A94" s="112"/>
      <c r="B94" s="112"/>
      <c r="D94" s="114"/>
      <c r="F94" s="119"/>
      <c r="G94" s="114"/>
    </row>
    <row r="95" spans="1:8" x14ac:dyDescent="0.25">
      <c r="A95" s="112"/>
      <c r="B95" s="112"/>
      <c r="D95" s="114"/>
      <c r="F95" s="119"/>
      <c r="G95" s="114"/>
    </row>
    <row r="96" spans="1:8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F111" s="119"/>
      <c r="G111" s="114"/>
    </row>
    <row r="112" spans="1:7" x14ac:dyDescent="0.25"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  <row r="122" spans="6:7" x14ac:dyDescent="0.25">
      <c r="F122" s="119"/>
      <c r="G122" s="114"/>
    </row>
    <row r="123" spans="6:7" x14ac:dyDescent="0.25">
      <c r="F123" s="119"/>
      <c r="G123" s="114"/>
    </row>
    <row r="124" spans="6:7" x14ac:dyDescent="0.25">
      <c r="F124" s="119"/>
      <c r="G124" s="114"/>
    </row>
    <row r="125" spans="6:7" x14ac:dyDescent="0.25">
      <c r="F125" s="119"/>
      <c r="G125" s="114"/>
    </row>
    <row r="126" spans="6:7" x14ac:dyDescent="0.25">
      <c r="F126" s="119"/>
      <c r="G126" s="114"/>
    </row>
    <row r="127" spans="6:7" x14ac:dyDescent="0.25">
      <c r="F127" s="119"/>
      <c r="G127" s="114"/>
    </row>
    <row r="128" spans="6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topLeftCell="A10" workbookViewId="0">
      <selection activeCell="F19" sqref="F19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49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50</v>
      </c>
    </row>
    <row r="6" spans="1:19" x14ac:dyDescent="0.25">
      <c r="A6" s="138">
        <f>B6+273.15</f>
        <v>1023.15</v>
      </c>
      <c r="B6" s="115">
        <v>750</v>
      </c>
      <c r="C6" s="140">
        <f>'LSC,Egger (Solid State Ionics)'!K45</f>
        <v>65.701554392644908</v>
      </c>
      <c r="D6" s="157">
        <f t="shared" ref="D6:D12" si="0">C6*D16</f>
        <v>3.3226830727718125E-5</v>
      </c>
    </row>
    <row r="7" spans="1:19" x14ac:dyDescent="0.25">
      <c r="A7" s="138">
        <f t="shared" ref="A7:A12" si="1">B7+273.15</f>
        <v>998.15</v>
      </c>
      <c r="B7" s="115">
        <v>725</v>
      </c>
      <c r="C7" s="140">
        <f>'LSC,Egger (Solid State Ionics)'!K46</f>
        <v>81.057105895398252</v>
      </c>
      <c r="D7" s="157">
        <f t="shared" si="0"/>
        <v>2.3714709240607762E-5</v>
      </c>
      <c r="H7" s="111" t="s">
        <v>18</v>
      </c>
    </row>
    <row r="8" spans="1:19" ht="15.75" x14ac:dyDescent="0.25">
      <c r="A8" s="138">
        <f t="shared" si="1"/>
        <v>973.15</v>
      </c>
      <c r="B8" s="115">
        <v>700</v>
      </c>
      <c r="C8" s="140">
        <f>'LSC,Egger (Solid State Ionics)'!K47</f>
        <v>118.83906119027662</v>
      </c>
      <c r="D8" s="157">
        <f t="shared" si="0"/>
        <v>2.2464370818511531E-5</v>
      </c>
      <c r="G8" s="111">
        <v>1</v>
      </c>
      <c r="H8" s="35" t="s">
        <v>93</v>
      </c>
    </row>
    <row r="9" spans="1:19" ht="15.75" x14ac:dyDescent="0.25">
      <c r="A9" s="138">
        <f t="shared" si="1"/>
        <v>948.15</v>
      </c>
      <c r="B9" s="115">
        <v>675</v>
      </c>
      <c r="C9" s="140">
        <f>'LSC,Egger (Solid State Ionics)'!K49</f>
        <v>116.01328903654483</v>
      </c>
      <c r="D9" s="157">
        <f t="shared" si="0"/>
        <v>1.4688288131328698E-5</v>
      </c>
      <c r="J9" s="35"/>
    </row>
    <row r="10" spans="1:19" ht="16.5" thickBot="1" x14ac:dyDescent="0.3">
      <c r="A10" s="138">
        <f t="shared" si="1"/>
        <v>923.15</v>
      </c>
      <c r="B10" s="115">
        <v>650</v>
      </c>
      <c r="C10" s="140">
        <f>'LSC,Egger (Solid State Ionics)'!K50</f>
        <v>144.61848635235731</v>
      </c>
      <c r="D10" s="157">
        <f t="shared" si="0"/>
        <v>1.3845221401360331E-5</v>
      </c>
      <c r="J10" s="2"/>
    </row>
    <row r="11" spans="1:19" ht="19.5" thickBot="1" x14ac:dyDescent="0.3">
      <c r="A11" s="138">
        <f t="shared" si="1"/>
        <v>898.15</v>
      </c>
      <c r="B11" s="115">
        <v>625</v>
      </c>
      <c r="C11" s="140">
        <f>'LSC,Egger (Solid State Ionics)'!K51</f>
        <v>156.38980743046099</v>
      </c>
      <c r="D11" s="157">
        <f t="shared" si="0"/>
        <v>9.2439134783383707E-6</v>
      </c>
      <c r="H11" s="169" t="s">
        <v>184</v>
      </c>
    </row>
    <row r="12" spans="1:19" ht="15.75" thickBot="1" x14ac:dyDescent="0.3">
      <c r="A12" s="141">
        <f t="shared" si="1"/>
        <v>873.15</v>
      </c>
      <c r="B12" s="126">
        <v>600</v>
      </c>
      <c r="C12" s="130">
        <f>'LSC,Egger (Solid State Ionics)'!K52</f>
        <v>145.40690505548707</v>
      </c>
      <c r="D12" s="158">
        <f t="shared" si="0"/>
        <v>6.5467985018707754E-6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2"/>
      <c r="D13" s="11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48" thickBot="1" x14ac:dyDescent="0.3">
      <c r="A15" s="136" t="s">
        <v>16</v>
      </c>
      <c r="B15" s="115" t="s">
        <v>14</v>
      </c>
      <c r="C15" s="142" t="s">
        <v>21</v>
      </c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1023.15</v>
      </c>
      <c r="B16" s="115">
        <v>750</v>
      </c>
      <c r="C16" s="140">
        <f>'LSC,Egger (Solid State Ionics)'!C61</f>
        <v>7.6966494583840486E-2</v>
      </c>
      <c r="D16" s="157">
        <f t="shared" ref="D16:D22" si="2">($C$2*$A$2*A16)/(4*($E$2^2)*D26*C16)</f>
        <v>5.0572366262673635E-7</v>
      </c>
    </row>
    <row r="17" spans="1:12" x14ac:dyDescent="0.25">
      <c r="A17" s="138">
        <f t="shared" ref="A17:A22" si="3">B17+273.15</f>
        <v>998.15</v>
      </c>
      <c r="B17" s="115">
        <v>725</v>
      </c>
      <c r="C17" s="140">
        <f>'LSC,Egger (Solid State Ionics)'!C62</f>
        <v>8.7852322674080177E-2</v>
      </c>
      <c r="D17" s="157">
        <f t="shared" si="2"/>
        <v>2.9256792453472096E-7</v>
      </c>
    </row>
    <row r="18" spans="1:12" x14ac:dyDescent="0.25">
      <c r="A18" s="138">
        <f t="shared" si="3"/>
        <v>973.15</v>
      </c>
      <c r="B18" s="115">
        <v>700</v>
      </c>
      <c r="C18" s="140">
        <f>'LSC,Egger (Solid State Ionics)'!C63</f>
        <v>8.9729936875813515E-2</v>
      </c>
      <c r="D18" s="157">
        <f t="shared" si="2"/>
        <v>1.8903187717499034E-7</v>
      </c>
    </row>
    <row r="19" spans="1:12" x14ac:dyDescent="0.25">
      <c r="A19" s="138">
        <f t="shared" si="3"/>
        <v>948.15</v>
      </c>
      <c r="B19" s="115">
        <v>675</v>
      </c>
      <c r="C19" s="140">
        <f>'LSC,Egger (Solid State Ionics)'!C64</f>
        <v>8.6456670517800982E-2</v>
      </c>
      <c r="D19" s="157">
        <f t="shared" si="2"/>
        <v>1.2660866917325139E-7</v>
      </c>
    </row>
    <row r="20" spans="1:12" x14ac:dyDescent="0.25">
      <c r="A20" s="138">
        <f t="shared" si="3"/>
        <v>923.15</v>
      </c>
      <c r="B20" s="115">
        <v>650</v>
      </c>
      <c r="C20" s="140">
        <f>'LSC,Egger (Solid State Ionics)'!C65</f>
        <v>7.3734944973804617E-2</v>
      </c>
      <c r="D20" s="157">
        <f t="shared" si="2"/>
        <v>9.5736179727583294E-8</v>
      </c>
    </row>
    <row r="21" spans="1:12" x14ac:dyDescent="0.25">
      <c r="A21" s="138">
        <f t="shared" si="3"/>
        <v>898.15</v>
      </c>
      <c r="B21" s="115">
        <v>625</v>
      </c>
      <c r="C21" s="140">
        <f>'LSC,Egger (Solid State Ionics)'!C66</f>
        <v>7.2114453745652271E-2</v>
      </c>
      <c r="D21" s="157">
        <f t="shared" si="2"/>
        <v>5.9108158199176078E-8</v>
      </c>
    </row>
    <row r="22" spans="1:12" ht="15.75" thickBot="1" x14ac:dyDescent="0.3">
      <c r="A22" s="141">
        <f t="shared" si="3"/>
        <v>873.15</v>
      </c>
      <c r="B22" s="126">
        <v>600</v>
      </c>
      <c r="C22" s="130">
        <f>'LSC,Egger (Solid State Ionics)'!C67</f>
        <v>5.8374835889035401E-2</v>
      </c>
      <c r="D22" s="158">
        <f t="shared" si="2"/>
        <v>4.5023986305000618E-8</v>
      </c>
    </row>
    <row r="23" spans="1:12" ht="15.75" thickBot="1" x14ac:dyDescent="0.3">
      <c r="A23" s="112"/>
      <c r="D23" s="114"/>
    </row>
    <row r="24" spans="1:12" ht="15.75" x14ac:dyDescent="0.25">
      <c r="A24" s="133" t="s">
        <v>19</v>
      </c>
      <c r="B24" s="134"/>
      <c r="C24" s="134"/>
      <c r="D24" s="135"/>
      <c r="G24" s="119"/>
      <c r="H24" s="119"/>
    </row>
    <row r="25" spans="1:12" x14ac:dyDescent="0.25">
      <c r="A25" s="136" t="s">
        <v>16</v>
      </c>
      <c r="B25" s="115" t="s">
        <v>14</v>
      </c>
      <c r="C25" s="142"/>
      <c r="D25" s="143" t="s">
        <v>35</v>
      </c>
      <c r="G25" s="119"/>
      <c r="H25" s="114"/>
    </row>
    <row r="26" spans="1:12" x14ac:dyDescent="0.25">
      <c r="A26" s="138">
        <f t="shared" ref="A26:A32" si="4">B26+273.15</f>
        <v>1023.15</v>
      </c>
      <c r="B26" s="115">
        <v>750</v>
      </c>
      <c r="C26" s="115"/>
      <c r="D26" s="167">
        <f>C37</f>
        <v>5.8662637061214102</v>
      </c>
      <c r="G26" s="119"/>
      <c r="H26" s="114"/>
      <c r="K26" s="118"/>
      <c r="L26" s="118"/>
    </row>
    <row r="27" spans="1:12" x14ac:dyDescent="0.25">
      <c r="A27" s="138">
        <f t="shared" si="4"/>
        <v>998.15</v>
      </c>
      <c r="B27" s="115">
        <v>725</v>
      </c>
      <c r="C27" s="115"/>
      <c r="D27" s="167">
        <f>C51</f>
        <v>8.6666869036734901</v>
      </c>
      <c r="G27" s="119"/>
      <c r="H27" s="114"/>
      <c r="J27" s="113"/>
      <c r="K27" s="113"/>
      <c r="L27" s="113"/>
    </row>
    <row r="28" spans="1:12" x14ac:dyDescent="0.25">
      <c r="A28" s="138">
        <f t="shared" si="4"/>
        <v>973.15</v>
      </c>
      <c r="B28" s="115">
        <v>700</v>
      </c>
      <c r="C28" s="115"/>
      <c r="D28" s="167">
        <f>C63</f>
        <v>12.803969553555399</v>
      </c>
      <c r="G28" s="119"/>
      <c r="H28" s="114"/>
      <c r="J28" s="113"/>
      <c r="K28" s="113"/>
      <c r="L28" s="113"/>
    </row>
    <row r="29" spans="1:12" x14ac:dyDescent="0.25">
      <c r="A29" s="138">
        <f t="shared" si="4"/>
        <v>948.15</v>
      </c>
      <c r="B29" s="115">
        <v>675</v>
      </c>
      <c r="C29" s="115"/>
      <c r="D29" s="167">
        <f>C78</f>
        <v>19.3309124563255</v>
      </c>
      <c r="G29" s="119"/>
      <c r="H29" s="114"/>
      <c r="J29" s="113"/>
      <c r="K29" s="113"/>
      <c r="L29" s="113"/>
    </row>
    <row r="30" spans="1:12" x14ac:dyDescent="0.25">
      <c r="A30" s="138">
        <f t="shared" si="4"/>
        <v>923.15</v>
      </c>
      <c r="B30" s="115">
        <v>650</v>
      </c>
      <c r="C30" s="115"/>
      <c r="D30" s="167">
        <f>C96</f>
        <v>29.185025380691901</v>
      </c>
      <c r="G30" s="119"/>
      <c r="H30" s="114"/>
      <c r="J30" s="113"/>
      <c r="K30" s="113"/>
      <c r="L30" s="113"/>
    </row>
    <row r="31" spans="1:12" x14ac:dyDescent="0.25">
      <c r="A31" s="138">
        <f t="shared" si="4"/>
        <v>898.15</v>
      </c>
      <c r="B31" s="115">
        <v>625</v>
      </c>
      <c r="C31" s="115"/>
      <c r="D31" s="167">
        <f>C117</f>
        <v>47.023655188747597</v>
      </c>
      <c r="G31" s="119"/>
      <c r="H31" s="114"/>
      <c r="J31" s="113"/>
      <c r="K31" s="113"/>
      <c r="L31" s="113"/>
    </row>
    <row r="32" spans="1:12" ht="15.75" thickBot="1" x14ac:dyDescent="0.3">
      <c r="A32" s="141">
        <f t="shared" si="4"/>
        <v>873.15</v>
      </c>
      <c r="B32" s="126">
        <v>600</v>
      </c>
      <c r="C32" s="126"/>
      <c r="D32" s="168">
        <f>C131</f>
        <v>74.140668429202407</v>
      </c>
      <c r="G32" s="119"/>
      <c r="H32" s="114"/>
      <c r="J32" s="113"/>
      <c r="K32" s="113"/>
      <c r="L32" s="113"/>
    </row>
    <row r="33" spans="1:12" x14ac:dyDescent="0.25">
      <c r="G33" s="119"/>
      <c r="H33" s="114"/>
      <c r="J33" s="113"/>
      <c r="K33" s="113"/>
      <c r="L33" s="113"/>
    </row>
    <row r="34" spans="1:12" s="126" customFormat="1" ht="15.75" thickBot="1" x14ac:dyDescent="0.3">
      <c r="G34" s="128"/>
      <c r="H34" s="129"/>
      <c r="J34" s="130"/>
      <c r="K34" s="130"/>
      <c r="L34" s="130"/>
    </row>
    <row r="35" spans="1:12" ht="60" x14ac:dyDescent="0.25">
      <c r="A35" s="118" t="s">
        <v>26</v>
      </c>
      <c r="G35" s="119"/>
      <c r="H35" s="114"/>
    </row>
    <row r="36" spans="1:12" ht="45" x14ac:dyDescent="0.25">
      <c r="A36" s="111" t="s">
        <v>16</v>
      </c>
      <c r="B36" s="111" t="s">
        <v>14</v>
      </c>
      <c r="C36" s="118" t="s">
        <v>35</v>
      </c>
      <c r="E36" s="111" t="s">
        <v>16</v>
      </c>
      <c r="F36" s="111" t="s">
        <v>14</v>
      </c>
      <c r="G36" s="118" t="s">
        <v>87</v>
      </c>
      <c r="H36" s="118" t="s">
        <v>20</v>
      </c>
    </row>
    <row r="37" spans="1:12" x14ac:dyDescent="0.25">
      <c r="A37" s="112">
        <f>B37+273.15</f>
        <v>1023.0179028132992</v>
      </c>
      <c r="B37" s="117">
        <v>749.86790281329922</v>
      </c>
      <c r="C37" s="114">
        <v>5.8662637061214102</v>
      </c>
      <c r="E37" s="112">
        <f>F37+273.15</f>
        <v>1023.15</v>
      </c>
      <c r="F37" s="111">
        <v>750</v>
      </c>
      <c r="G37" s="113">
        <f>'LSC,Egger (Solid State Ionics)'!D18</f>
        <v>8.7902314156573961E-7</v>
      </c>
      <c r="H37" s="113">
        <f t="shared" ref="H37:H43" si="5">($C$2*E37*$A$2)/(4*($E$2^2)*G37*D26)</f>
        <v>4.4280719926381697E-2</v>
      </c>
    </row>
    <row r="38" spans="1:12" x14ac:dyDescent="0.25">
      <c r="A38" s="112">
        <f t="shared" ref="A38:A101" si="6">B38+273.15</f>
        <v>1021.7113665389527</v>
      </c>
      <c r="B38" s="117">
        <v>748.56136653895271</v>
      </c>
      <c r="C38" s="114">
        <v>5.9948425031893997</v>
      </c>
      <c r="E38" s="112">
        <f t="shared" ref="E38:E43" si="7">F38+273.15</f>
        <v>998.15</v>
      </c>
      <c r="F38" s="111">
        <v>725</v>
      </c>
      <c r="G38" s="113">
        <f>'LSC,Egger (Solid State Ionics)'!D19</f>
        <v>5.4109999999999999E-7</v>
      </c>
      <c r="H38" s="113">
        <f t="shared" si="5"/>
        <v>4.750096416616198E-2</v>
      </c>
    </row>
    <row r="39" spans="1:12" x14ac:dyDescent="0.25">
      <c r="A39" s="112">
        <f t="shared" si="6"/>
        <v>1020.4081632653061</v>
      </c>
      <c r="B39" s="117">
        <v>747.25816326530617</v>
      </c>
      <c r="C39" s="114">
        <v>5.9948425031893997</v>
      </c>
      <c r="E39" s="112">
        <f t="shared" si="7"/>
        <v>973.15</v>
      </c>
      <c r="F39" s="111">
        <v>700</v>
      </c>
      <c r="G39" s="113">
        <f>'LSC,Egger (Solid State Ionics)'!D20</f>
        <v>2.3859999999999998E-7</v>
      </c>
      <c r="H39" s="113">
        <f t="shared" si="5"/>
        <v>7.1088928777990001E-2</v>
      </c>
    </row>
    <row r="40" spans="1:12" x14ac:dyDescent="0.25">
      <c r="A40" s="112">
        <f t="shared" si="6"/>
        <v>1018.6757215619701</v>
      </c>
      <c r="B40" s="117">
        <v>745.52572156197016</v>
      </c>
      <c r="C40" s="114">
        <v>6.2605165720148204</v>
      </c>
      <c r="E40" s="112">
        <f t="shared" si="7"/>
        <v>948.15</v>
      </c>
      <c r="F40" s="111">
        <v>675</v>
      </c>
      <c r="G40" s="113">
        <f>'LSC,Egger (Solid State Ionics)'!D21</f>
        <v>1.505E-7</v>
      </c>
      <c r="H40" s="113">
        <f t="shared" si="5"/>
        <v>7.2731986680458882E-2</v>
      </c>
    </row>
    <row r="41" spans="1:12" x14ac:dyDescent="0.25">
      <c r="A41" s="112">
        <f t="shared" si="6"/>
        <v>1016.9491525423733</v>
      </c>
      <c r="B41" s="117">
        <v>743.79915254237335</v>
      </c>
      <c r="C41" s="114">
        <v>6.2605165720148204</v>
      </c>
      <c r="E41" s="112">
        <f t="shared" si="7"/>
        <v>923.15</v>
      </c>
      <c r="F41" s="111">
        <v>650</v>
      </c>
      <c r="G41" s="113">
        <f>'LSC,Egger (Solid State Ionics)'!D22</f>
        <v>9.0272000000000003E-8</v>
      </c>
      <c r="H41" s="113">
        <f t="shared" si="5"/>
        <v>7.8198133908804757E-2</v>
      </c>
    </row>
    <row r="42" spans="1:12" x14ac:dyDescent="0.25">
      <c r="A42" s="112">
        <f t="shared" si="6"/>
        <v>1015.2284263959391</v>
      </c>
      <c r="B42" s="117">
        <v>742.07842639593912</v>
      </c>
      <c r="C42" s="114">
        <v>6.5379645466281904</v>
      </c>
      <c r="E42" s="112">
        <f t="shared" si="7"/>
        <v>898.15</v>
      </c>
      <c r="F42" s="111">
        <v>625</v>
      </c>
      <c r="G42" s="113">
        <f>'LSC,Egger (Solid State Ionics)'!D23</f>
        <v>5.1410000000000002E-8</v>
      </c>
      <c r="H42" s="113">
        <f t="shared" si="5"/>
        <v>8.2912906836124886E-2</v>
      </c>
    </row>
    <row r="43" spans="1:12" x14ac:dyDescent="0.25">
      <c r="A43" s="112">
        <f t="shared" si="6"/>
        <v>1013.0856901646268</v>
      </c>
      <c r="B43" s="117">
        <v>739.93569016462686</v>
      </c>
      <c r="C43" s="114">
        <v>6.9773602827809897</v>
      </c>
      <c r="E43" s="112">
        <f t="shared" si="7"/>
        <v>873.15</v>
      </c>
      <c r="F43" s="111">
        <v>600</v>
      </c>
      <c r="G43" s="113">
        <f>'LSC,Egger (Solid State Ionics)'!D24</f>
        <v>3.2439999999999998E-8</v>
      </c>
      <c r="H43" s="113">
        <f t="shared" si="5"/>
        <v>8.1019353009389269E-2</v>
      </c>
    </row>
    <row r="44" spans="1:12" x14ac:dyDescent="0.25">
      <c r="A44" s="112">
        <f t="shared" si="6"/>
        <v>1011.8043844856664</v>
      </c>
      <c r="B44" s="117">
        <v>738.65438448566647</v>
      </c>
      <c r="C44" s="114">
        <v>6.9773602827809897</v>
      </c>
      <c r="E44" s="113"/>
      <c r="H44" s="113"/>
    </row>
    <row r="45" spans="1:12" x14ac:dyDescent="0.25">
      <c r="A45" s="112">
        <f t="shared" si="6"/>
        <v>1009.6760622633579</v>
      </c>
      <c r="B45" s="117">
        <v>736.52606226335797</v>
      </c>
      <c r="C45" s="114">
        <v>7.2865766958895897</v>
      </c>
      <c r="E45" s="113"/>
      <c r="H45" s="113"/>
    </row>
    <row r="46" spans="1:12" x14ac:dyDescent="0.25">
      <c r="A46" s="112">
        <f t="shared" si="6"/>
        <v>1007.1338648762071</v>
      </c>
      <c r="B46" s="117">
        <v>733.98386487620712</v>
      </c>
      <c r="C46" s="114">
        <v>7.2865766958895897</v>
      </c>
      <c r="E46" s="113"/>
      <c r="H46" s="113"/>
    </row>
    <row r="47" spans="1:12" x14ac:dyDescent="0.25">
      <c r="A47" s="112">
        <f t="shared" si="6"/>
        <v>1005.4461667364897</v>
      </c>
      <c r="B47" s="117">
        <v>732.29616673648968</v>
      </c>
      <c r="C47" s="114">
        <v>7.6094966854598702</v>
      </c>
      <c r="E47" s="113"/>
      <c r="H47" s="114"/>
    </row>
    <row r="48" spans="1:12" x14ac:dyDescent="0.25">
      <c r="A48" s="112">
        <f t="shared" si="6"/>
        <v>1003.7641154328733</v>
      </c>
      <c r="B48" s="117">
        <v>730.61411543287329</v>
      </c>
      <c r="C48" s="114">
        <v>7.9467275543382403</v>
      </c>
      <c r="E48" s="113"/>
      <c r="H48" s="114"/>
    </row>
    <row r="49" spans="1:8" x14ac:dyDescent="0.25">
      <c r="A49" s="112">
        <f t="shared" si="6"/>
        <v>1001.2515644555695</v>
      </c>
      <c r="B49" s="117">
        <v>728.10156445556947</v>
      </c>
      <c r="C49" s="114">
        <v>8.1209066776697991</v>
      </c>
      <c r="E49" s="113"/>
      <c r="H49" s="114"/>
    </row>
    <row r="50" spans="1:8" x14ac:dyDescent="0.25">
      <c r="A50" s="112">
        <f t="shared" si="6"/>
        <v>1000</v>
      </c>
      <c r="B50" s="117">
        <v>726.85</v>
      </c>
      <c r="C50" s="114">
        <v>8.4808017572252794</v>
      </c>
      <c r="E50" s="113"/>
      <c r="H50" s="114"/>
    </row>
    <row r="51" spans="1:8" x14ac:dyDescent="0.25">
      <c r="A51" s="112">
        <f t="shared" si="6"/>
        <v>998.33610648919125</v>
      </c>
      <c r="B51" s="117">
        <v>725.18610648919127</v>
      </c>
      <c r="C51" s="114">
        <v>8.6666869036734901</v>
      </c>
      <c r="E51" s="113"/>
      <c r="H51" s="114"/>
    </row>
    <row r="52" spans="1:8" x14ac:dyDescent="0.25">
      <c r="A52" s="112">
        <f t="shared" si="6"/>
        <v>995.85062240664558</v>
      </c>
      <c r="B52" s="117">
        <v>722.70062240664561</v>
      </c>
      <c r="C52" s="114">
        <v>8.6666869036734901</v>
      </c>
      <c r="E52" s="113"/>
      <c r="H52" s="114"/>
    </row>
    <row r="53" spans="1:8" x14ac:dyDescent="0.25">
      <c r="A53" s="112">
        <f t="shared" si="6"/>
        <v>993.78881987577631</v>
      </c>
      <c r="B53" s="117">
        <v>720.63881987577633</v>
      </c>
      <c r="C53" s="114">
        <v>8.8566463450597492</v>
      </c>
      <c r="E53" s="113"/>
      <c r="H53" s="114"/>
    </row>
    <row r="54" spans="1:8" x14ac:dyDescent="0.25">
      <c r="A54" s="112">
        <f t="shared" si="6"/>
        <v>991.73553719008601</v>
      </c>
      <c r="B54" s="117">
        <v>718.58553719008603</v>
      </c>
      <c r="C54" s="114">
        <v>9.24914727721732</v>
      </c>
      <c r="E54" s="113"/>
      <c r="H54" s="114"/>
    </row>
    <row r="55" spans="1:8" x14ac:dyDescent="0.25">
      <c r="A55" s="112">
        <f t="shared" si="6"/>
        <v>989.69072164949102</v>
      </c>
      <c r="B55" s="117">
        <v>716.54072164949105</v>
      </c>
      <c r="C55" s="114">
        <v>9.4518732865456094</v>
      </c>
      <c r="E55" s="113"/>
      <c r="H55" s="114"/>
    </row>
    <row r="56" spans="1:8" x14ac:dyDescent="0.25">
      <c r="A56" s="112">
        <f t="shared" si="6"/>
        <v>987.24804607158194</v>
      </c>
      <c r="B56" s="117">
        <v>714.09804607158196</v>
      </c>
      <c r="C56" s="114">
        <v>9.8707529539801993</v>
      </c>
      <c r="E56" s="113"/>
      <c r="H56" s="114"/>
    </row>
    <row r="57" spans="1:8" x14ac:dyDescent="0.25">
      <c r="A57" s="112">
        <f t="shared" si="6"/>
        <v>985.22167487684737</v>
      </c>
      <c r="B57" s="117">
        <v>712.0716748768474</v>
      </c>
      <c r="C57" s="114">
        <v>10.534134764888501</v>
      </c>
      <c r="E57" s="113"/>
      <c r="F57" s="119"/>
      <c r="G57" s="119"/>
      <c r="H57" s="114"/>
    </row>
    <row r="58" spans="1:8" x14ac:dyDescent="0.25">
      <c r="A58" s="112">
        <f t="shared" si="6"/>
        <v>983.20360507988846</v>
      </c>
      <c r="B58" s="117">
        <v>710.05360507988848</v>
      </c>
      <c r="C58" s="114">
        <v>11.000977128645999</v>
      </c>
      <c r="E58" s="113"/>
      <c r="F58" s="119"/>
      <c r="G58" s="114"/>
      <c r="H58" s="114"/>
    </row>
    <row r="59" spans="1:8" x14ac:dyDescent="0.25">
      <c r="A59" s="112">
        <f t="shared" si="6"/>
        <v>981.19378577269663</v>
      </c>
      <c r="B59" s="117">
        <v>708.04378577269665</v>
      </c>
      <c r="C59" s="114">
        <v>11.000977128645999</v>
      </c>
      <c r="E59" s="113"/>
      <c r="F59" s="119"/>
      <c r="G59" s="114"/>
      <c r="H59" s="114"/>
    </row>
    <row r="60" spans="1:8" x14ac:dyDescent="0.25">
      <c r="A60" s="112">
        <f t="shared" si="6"/>
        <v>979.99183340139462</v>
      </c>
      <c r="B60" s="117">
        <v>706.84183340139464</v>
      </c>
      <c r="C60" s="114">
        <v>11.4885085947801</v>
      </c>
      <c r="E60" s="113"/>
      <c r="F60" s="119"/>
      <c r="G60" s="114"/>
      <c r="H60" s="114"/>
    </row>
    <row r="61" spans="1:8" x14ac:dyDescent="0.25">
      <c r="A61" s="112">
        <f t="shared" si="6"/>
        <v>977.198697068407</v>
      </c>
      <c r="B61" s="117">
        <v>704.04869706840702</v>
      </c>
      <c r="C61" s="114">
        <v>11.7403177000681</v>
      </c>
      <c r="E61" s="113"/>
      <c r="F61" s="119"/>
      <c r="G61" s="114"/>
      <c r="H61" s="114"/>
    </row>
    <row r="62" spans="1:8" x14ac:dyDescent="0.25">
      <c r="A62" s="112">
        <f t="shared" si="6"/>
        <v>975.21332791548787</v>
      </c>
      <c r="B62" s="117">
        <v>702.06332791548789</v>
      </c>
      <c r="C62" s="114">
        <v>11.997646044427301</v>
      </c>
      <c r="E62" s="113"/>
      <c r="F62" s="119"/>
      <c r="G62" s="114"/>
      <c r="H62" s="114"/>
    </row>
    <row r="63" spans="1:8" x14ac:dyDescent="0.25">
      <c r="A63" s="112">
        <f t="shared" si="6"/>
        <v>973.23600973236</v>
      </c>
      <c r="B63" s="117">
        <v>700.08600973236003</v>
      </c>
      <c r="C63" s="114">
        <v>12.803969553555399</v>
      </c>
      <c r="F63" s="119"/>
      <c r="G63" s="114"/>
      <c r="H63" s="114"/>
    </row>
    <row r="64" spans="1:8" x14ac:dyDescent="0.25">
      <c r="A64" s="112">
        <f t="shared" si="6"/>
        <v>970.87378640776694</v>
      </c>
      <c r="B64" s="117">
        <v>697.72378640776697</v>
      </c>
      <c r="C64" s="114">
        <v>13.0846113871595</v>
      </c>
      <c r="F64" s="119"/>
      <c r="G64" s="114"/>
      <c r="H64" s="114"/>
    </row>
    <row r="65" spans="1:8" x14ac:dyDescent="0.25">
      <c r="A65" s="112">
        <f t="shared" si="6"/>
        <v>968.52300242130752</v>
      </c>
      <c r="B65" s="117">
        <v>695.37300242130755</v>
      </c>
      <c r="C65" s="114">
        <v>13.9639863687353</v>
      </c>
      <c r="F65" s="119"/>
      <c r="G65" s="114"/>
      <c r="H65" s="114"/>
    </row>
    <row r="66" spans="1:8" x14ac:dyDescent="0.25">
      <c r="A66" s="112">
        <f t="shared" si="6"/>
        <v>966.57269432138844</v>
      </c>
      <c r="B66" s="117">
        <v>693.42269432138846</v>
      </c>
      <c r="C66" s="114">
        <v>14.270053852147599</v>
      </c>
      <c r="F66" s="119"/>
      <c r="G66" s="114"/>
      <c r="H66" s="114"/>
    </row>
    <row r="67" spans="1:8" x14ac:dyDescent="0.25">
      <c r="A67" s="112">
        <f t="shared" si="6"/>
        <v>965.01809408926431</v>
      </c>
      <c r="B67" s="117">
        <v>691.86809408926433</v>
      </c>
      <c r="C67" s="114">
        <v>14.270053852147599</v>
      </c>
      <c r="F67" s="119"/>
      <c r="G67" s="114"/>
      <c r="H67" s="114"/>
    </row>
    <row r="68" spans="1:8" x14ac:dyDescent="0.25">
      <c r="A68" s="112">
        <f t="shared" si="6"/>
        <v>963.08186195826954</v>
      </c>
      <c r="B68" s="117">
        <v>689.93186195826956</v>
      </c>
      <c r="C68" s="114">
        <v>14.9024613369549</v>
      </c>
      <c r="F68" s="119"/>
      <c r="G68" s="114"/>
      <c r="H68" s="114"/>
    </row>
    <row r="69" spans="1:8" x14ac:dyDescent="0.25">
      <c r="A69" s="112">
        <f t="shared" si="6"/>
        <v>961.92384769539387</v>
      </c>
      <c r="B69" s="117">
        <v>688.7738476953939</v>
      </c>
      <c r="C69" s="114">
        <v>15.229098639341901</v>
      </c>
      <c r="F69" s="119"/>
      <c r="G69" s="114"/>
      <c r="H69" s="114"/>
    </row>
    <row r="70" spans="1:8" x14ac:dyDescent="0.25">
      <c r="A70" s="112">
        <f t="shared" si="6"/>
        <v>960.76861489191663</v>
      </c>
      <c r="B70" s="117">
        <v>687.61861489191665</v>
      </c>
      <c r="C70" s="114">
        <v>15.229098639341901</v>
      </c>
      <c r="F70" s="119"/>
      <c r="G70" s="114"/>
      <c r="H70" s="114"/>
    </row>
    <row r="71" spans="1:8" x14ac:dyDescent="0.25">
      <c r="A71" s="112">
        <f t="shared" si="6"/>
        <v>959.23261390887296</v>
      </c>
      <c r="B71" s="117">
        <v>686.08261390887299</v>
      </c>
      <c r="C71" s="114">
        <v>15.904008213347399</v>
      </c>
      <c r="F71" s="119"/>
      <c r="G71" s="114"/>
      <c r="H71" s="114"/>
    </row>
    <row r="72" spans="1:8" x14ac:dyDescent="0.25">
      <c r="A72" s="112">
        <f t="shared" si="6"/>
        <v>956.93779904306223</v>
      </c>
      <c r="B72" s="117">
        <v>683.78779904306225</v>
      </c>
      <c r="C72" s="114">
        <v>16.252597766609</v>
      </c>
      <c r="F72" s="119"/>
      <c r="G72" s="114"/>
      <c r="H72" s="114"/>
    </row>
    <row r="73" spans="1:8" x14ac:dyDescent="0.25">
      <c r="A73" s="112">
        <f t="shared" si="6"/>
        <v>955.41401273885958</v>
      </c>
      <c r="B73" s="117">
        <v>682.26401273885961</v>
      </c>
      <c r="C73" s="114">
        <v>16.6088278262771</v>
      </c>
      <c r="F73" s="119"/>
      <c r="G73" s="114"/>
      <c r="H73" s="114"/>
    </row>
    <row r="74" spans="1:8" x14ac:dyDescent="0.25">
      <c r="A74" s="112">
        <f t="shared" si="6"/>
        <v>954.27435387674564</v>
      </c>
      <c r="B74" s="117">
        <v>681.12435387674566</v>
      </c>
      <c r="C74" s="114">
        <v>17.3448830044874</v>
      </c>
      <c r="F74" s="119"/>
      <c r="G74" s="114"/>
      <c r="H74" s="114"/>
    </row>
    <row r="75" spans="1:8" x14ac:dyDescent="0.25">
      <c r="A75" s="112">
        <f t="shared" si="6"/>
        <v>953.13741064337387</v>
      </c>
      <c r="B75" s="117">
        <v>679.98741064337389</v>
      </c>
      <c r="C75" s="114">
        <v>17.3448830044874</v>
      </c>
      <c r="F75" s="119"/>
      <c r="G75" s="114"/>
      <c r="H75" s="114"/>
    </row>
    <row r="76" spans="1:8" x14ac:dyDescent="0.25">
      <c r="A76" s="112">
        <f t="shared" si="6"/>
        <v>952.0031733439173</v>
      </c>
      <c r="B76" s="117">
        <v>678.85317334391732</v>
      </c>
      <c r="C76" s="114">
        <v>18.1135580178262</v>
      </c>
      <c r="F76" s="119"/>
      <c r="G76" s="114"/>
      <c r="H76" s="114"/>
    </row>
    <row r="77" spans="1:8" x14ac:dyDescent="0.25">
      <c r="A77" s="112">
        <f t="shared" si="6"/>
        <v>950.49504950495361</v>
      </c>
      <c r="B77" s="117">
        <v>677.34504950495364</v>
      </c>
      <c r="C77" s="114">
        <v>18.5105772479919</v>
      </c>
      <c r="F77" s="119"/>
      <c r="G77" s="114"/>
      <c r="H77" s="114"/>
    </row>
    <row r="78" spans="1:8" x14ac:dyDescent="0.25">
      <c r="A78" s="112">
        <f t="shared" si="6"/>
        <v>948.24180165942607</v>
      </c>
      <c r="B78" s="117">
        <v>675.0918016594261</v>
      </c>
      <c r="C78" s="114">
        <v>19.3309124563255</v>
      </c>
      <c r="F78" s="119"/>
      <c r="G78" s="114"/>
      <c r="H78" s="114"/>
    </row>
    <row r="79" spans="1:8" x14ac:dyDescent="0.25">
      <c r="A79" s="112">
        <f t="shared" si="6"/>
        <v>947.49309119621603</v>
      </c>
      <c r="B79" s="117">
        <v>674.34309119621605</v>
      </c>
      <c r="C79" s="114">
        <v>19.3309124563255</v>
      </c>
      <c r="F79" s="119"/>
      <c r="G79" s="114"/>
      <c r="H79" s="114"/>
    </row>
    <row r="80" spans="1:8" x14ac:dyDescent="0.25">
      <c r="A80" s="112">
        <f t="shared" si="6"/>
        <v>945.99921166732656</v>
      </c>
      <c r="B80" s="117">
        <v>672.84921166732659</v>
      </c>
      <c r="C80" s="114">
        <v>19.7546140821606</v>
      </c>
      <c r="F80" s="119"/>
      <c r="G80" s="114"/>
      <c r="H80" s="114"/>
    </row>
    <row r="81" spans="1:8" x14ac:dyDescent="0.25">
      <c r="A81" s="112">
        <f t="shared" si="6"/>
        <v>943.76720408966082</v>
      </c>
      <c r="B81" s="117">
        <v>670.61720408966085</v>
      </c>
      <c r="C81" s="114">
        <v>20.630081402359799</v>
      </c>
      <c r="F81" s="119"/>
      <c r="G81" s="114"/>
      <c r="H81" s="114"/>
    </row>
    <row r="82" spans="1:8" x14ac:dyDescent="0.25">
      <c r="A82" s="112">
        <f t="shared" si="6"/>
        <v>942.65514532600457</v>
      </c>
      <c r="B82" s="117">
        <v>669.50514532600459</v>
      </c>
      <c r="C82" s="114">
        <v>20.630081402359799</v>
      </c>
      <c r="F82" s="119"/>
      <c r="G82" s="114"/>
      <c r="H82" s="114"/>
    </row>
    <row r="83" spans="1:8" x14ac:dyDescent="0.25">
      <c r="A83" s="112">
        <f t="shared" si="6"/>
        <v>941.54570419772756</v>
      </c>
      <c r="B83" s="117">
        <v>668.39570419772758</v>
      </c>
      <c r="C83" s="114">
        <v>21.082258662540301</v>
      </c>
      <c r="F83" s="119"/>
      <c r="G83" s="114"/>
      <c r="H83" s="114"/>
    </row>
    <row r="84" spans="1:8" x14ac:dyDescent="0.25">
      <c r="A84" s="112">
        <f t="shared" si="6"/>
        <v>940.43887147335727</v>
      </c>
      <c r="B84" s="117">
        <v>667.28887147335729</v>
      </c>
      <c r="C84" s="114">
        <v>22.0165633479306</v>
      </c>
      <c r="F84" s="119"/>
      <c r="G84" s="114"/>
      <c r="H84" s="114"/>
    </row>
    <row r="85" spans="1:8" x14ac:dyDescent="0.25">
      <c r="A85" s="112">
        <f t="shared" si="6"/>
        <v>939.33463796477781</v>
      </c>
      <c r="B85" s="117">
        <v>666.18463796477783</v>
      </c>
      <c r="C85" s="114">
        <v>22.0165633479306</v>
      </c>
      <c r="F85" s="119"/>
      <c r="G85" s="114"/>
      <c r="H85" s="114"/>
    </row>
    <row r="86" spans="1:8" x14ac:dyDescent="0.25">
      <c r="A86" s="112">
        <f t="shared" si="6"/>
        <v>937.86635404454876</v>
      </c>
      <c r="B86" s="117">
        <v>664.71635404454878</v>
      </c>
      <c r="C86" s="114">
        <v>22.499129998982099</v>
      </c>
      <c r="F86" s="119"/>
      <c r="G86" s="114"/>
      <c r="H86" s="114"/>
    </row>
    <row r="87" spans="1:8" x14ac:dyDescent="0.25">
      <c r="A87" s="112">
        <f t="shared" si="6"/>
        <v>936.76814988290403</v>
      </c>
      <c r="B87" s="117">
        <v>663.61814988290405</v>
      </c>
      <c r="C87" s="114">
        <v>22.499129998982099</v>
      </c>
      <c r="F87" s="119"/>
      <c r="G87" s="114"/>
      <c r="H87" s="114"/>
    </row>
    <row r="88" spans="1:8" x14ac:dyDescent="0.25">
      <c r="A88" s="112">
        <f t="shared" si="6"/>
        <v>935.67251461988292</v>
      </c>
      <c r="B88" s="117">
        <v>662.52251461988294</v>
      </c>
      <c r="C88" s="114">
        <v>23.496226321142601</v>
      </c>
      <c r="F88" s="119"/>
      <c r="G88" s="114"/>
      <c r="H88" s="114"/>
    </row>
    <row r="89" spans="1:8" x14ac:dyDescent="0.25">
      <c r="A89" s="112">
        <f t="shared" si="6"/>
        <v>933.85214007782395</v>
      </c>
      <c r="B89" s="117">
        <v>660.70214007782397</v>
      </c>
      <c r="C89" s="114">
        <v>24.011224737060601</v>
      </c>
      <c r="F89" s="119"/>
      <c r="G89" s="114"/>
      <c r="H89" s="114"/>
    </row>
    <row r="90" spans="1:8" x14ac:dyDescent="0.25">
      <c r="A90" s="112">
        <f t="shared" si="6"/>
        <v>932.40093240093245</v>
      </c>
      <c r="B90" s="117">
        <v>659.25093240093247</v>
      </c>
      <c r="C90" s="114">
        <v>24.5375110663981</v>
      </c>
      <c r="F90" s="119"/>
      <c r="G90" s="114"/>
      <c r="H90" s="114"/>
    </row>
    <row r="91" spans="1:8" x14ac:dyDescent="0.25">
      <c r="A91" s="112">
        <f t="shared" si="6"/>
        <v>930.23255813953494</v>
      </c>
      <c r="B91" s="117">
        <v>657.08255813953497</v>
      </c>
      <c r="C91" s="114">
        <v>25.624942537765399</v>
      </c>
      <c r="F91" s="119"/>
      <c r="G91" s="114"/>
      <c r="H91" s="114"/>
    </row>
    <row r="92" spans="1:8" x14ac:dyDescent="0.25">
      <c r="A92" s="112">
        <f t="shared" si="6"/>
        <v>928.43326885880356</v>
      </c>
      <c r="B92" s="117">
        <v>655.28326885880358</v>
      </c>
      <c r="C92" s="114">
        <v>26.186598892048401</v>
      </c>
      <c r="F92" s="119"/>
      <c r="G92" s="114"/>
      <c r="H92" s="114"/>
    </row>
    <row r="93" spans="1:8" x14ac:dyDescent="0.25">
      <c r="A93" s="112">
        <f t="shared" si="6"/>
        <v>926.99884125144831</v>
      </c>
      <c r="B93" s="117">
        <v>653.84884125144833</v>
      </c>
      <c r="C93" s="114">
        <v>27.347113162881701</v>
      </c>
      <c r="F93" s="119"/>
      <c r="G93" s="114"/>
      <c r="H93" s="114"/>
    </row>
    <row r="94" spans="1:8" x14ac:dyDescent="0.25">
      <c r="A94" s="112">
        <f t="shared" si="6"/>
        <v>925.92592592592587</v>
      </c>
      <c r="B94" s="117">
        <v>652.77592592592589</v>
      </c>
      <c r="C94" s="114">
        <v>27.946516648629601</v>
      </c>
      <c r="F94" s="119"/>
      <c r="G94" s="114"/>
      <c r="H94" s="114"/>
    </row>
    <row r="95" spans="1:8" x14ac:dyDescent="0.25">
      <c r="A95" s="112">
        <f t="shared" si="6"/>
        <v>924.85549132947972</v>
      </c>
      <c r="B95" s="117">
        <v>651.70549132947974</v>
      </c>
      <c r="C95" s="114">
        <v>29.185025380691901</v>
      </c>
      <c r="F95" s="119"/>
      <c r="G95" s="114"/>
      <c r="H95" s="114"/>
    </row>
    <row r="96" spans="1:8" x14ac:dyDescent="0.25">
      <c r="A96" s="112">
        <f t="shared" si="6"/>
        <v>923.43208926510761</v>
      </c>
      <c r="B96" s="117">
        <v>650.28208926510763</v>
      </c>
      <c r="C96" s="114">
        <v>29.185025380691901</v>
      </c>
      <c r="F96" s="119"/>
      <c r="G96" s="114"/>
      <c r="H96" s="114"/>
    </row>
    <row r="97" spans="1:10" x14ac:dyDescent="0.25">
      <c r="A97" s="112">
        <f t="shared" si="6"/>
        <v>922.36740968486345</v>
      </c>
      <c r="B97" s="117">
        <v>649.21740968486347</v>
      </c>
      <c r="C97" s="114">
        <v>30.478421235134501</v>
      </c>
      <c r="F97" s="119"/>
      <c r="G97" s="114"/>
      <c r="H97" s="114"/>
    </row>
    <row r="98" spans="1:10" x14ac:dyDescent="0.25">
      <c r="A98" s="112">
        <f t="shared" si="6"/>
        <v>921.30518234165629</v>
      </c>
      <c r="B98" s="117">
        <v>648.15518234165631</v>
      </c>
      <c r="C98" s="114">
        <v>31.146457814338401</v>
      </c>
      <c r="F98" s="119"/>
      <c r="G98" s="114"/>
      <c r="H98" s="114"/>
    </row>
    <row r="99" spans="1:10" x14ac:dyDescent="0.25">
      <c r="A99" s="112">
        <f t="shared" si="6"/>
        <v>919.54022988505756</v>
      </c>
      <c r="B99" s="117">
        <v>646.39022988505758</v>
      </c>
      <c r="C99" s="114">
        <v>31.829136650361001</v>
      </c>
      <c r="F99" s="119"/>
      <c r="G99" s="114"/>
      <c r="H99" s="114"/>
    </row>
    <row r="100" spans="1:10" x14ac:dyDescent="0.25">
      <c r="A100" s="112">
        <f t="shared" si="6"/>
        <v>918.83614088821105</v>
      </c>
      <c r="B100" s="117">
        <v>645.68614088821107</v>
      </c>
      <c r="C100" s="114">
        <v>31.829136650361001</v>
      </c>
      <c r="F100" s="119"/>
      <c r="G100" s="114"/>
      <c r="H100" s="114"/>
    </row>
    <row r="101" spans="1:10" x14ac:dyDescent="0.25">
      <c r="A101" s="112">
        <f t="shared" si="6"/>
        <v>918.13312930375469</v>
      </c>
      <c r="B101" s="117">
        <v>644.98312930375471</v>
      </c>
      <c r="C101" s="114">
        <v>32.526778677252103</v>
      </c>
      <c r="F101" s="119"/>
      <c r="G101" s="114"/>
      <c r="H101" s="114"/>
    </row>
    <row r="102" spans="1:10" x14ac:dyDescent="0.25">
      <c r="A102" s="112">
        <f t="shared" ref="A102:A131" si="8">B102+273.15</f>
        <v>917.08062667176728</v>
      </c>
      <c r="B102" s="117">
        <v>643.9306266717673</v>
      </c>
      <c r="C102" s="114">
        <v>33.239711863404999</v>
      </c>
      <c r="F102" s="119"/>
      <c r="G102" s="114"/>
      <c r="H102" s="114"/>
    </row>
    <row r="103" spans="1:10" x14ac:dyDescent="0.25">
      <c r="A103" s="112">
        <f t="shared" si="8"/>
        <v>916.38029782359672</v>
      </c>
      <c r="B103" s="117">
        <v>643.23029782359674</v>
      </c>
      <c r="C103" s="114">
        <v>33.9682713657375</v>
      </c>
      <c r="F103" s="119"/>
      <c r="G103" s="114"/>
      <c r="H103" s="114"/>
    </row>
    <row r="104" spans="1:10" x14ac:dyDescent="0.25">
      <c r="A104" s="112">
        <f t="shared" si="8"/>
        <v>915.68103777184558</v>
      </c>
      <c r="B104" s="117">
        <v>642.5310377718456</v>
      </c>
      <c r="C104" s="114">
        <v>34.712799687253003</v>
      </c>
      <c r="F104" s="119"/>
      <c r="G104" s="114"/>
      <c r="H104" s="119"/>
    </row>
    <row r="105" spans="1:10" x14ac:dyDescent="0.25">
      <c r="A105" s="112">
        <f t="shared" si="8"/>
        <v>914.63414634146625</v>
      </c>
      <c r="B105" s="117">
        <v>641.48414634146627</v>
      </c>
      <c r="C105" s="114">
        <v>34.712799687253003</v>
      </c>
      <c r="F105" s="119"/>
      <c r="G105" s="114"/>
    </row>
    <row r="106" spans="1:10" x14ac:dyDescent="0.25">
      <c r="A106" s="112">
        <f t="shared" si="8"/>
        <v>913.58964598401508</v>
      </c>
      <c r="B106" s="117">
        <v>640.4396459840151</v>
      </c>
      <c r="C106" s="114">
        <v>36.251170499885298</v>
      </c>
      <c r="F106" s="119"/>
      <c r="G106" s="114"/>
    </row>
    <row r="107" spans="1:10" x14ac:dyDescent="0.25">
      <c r="A107" s="112">
        <f t="shared" si="8"/>
        <v>912.54752851711294</v>
      </c>
      <c r="B107" s="117">
        <v>639.39752851711296</v>
      </c>
      <c r="C107" s="114">
        <v>37.045736194284302</v>
      </c>
      <c r="F107" s="119"/>
      <c r="G107" s="114"/>
    </row>
    <row r="108" spans="1:10" x14ac:dyDescent="0.25">
      <c r="A108" s="112">
        <f t="shared" si="8"/>
        <v>911.16173120728934</v>
      </c>
      <c r="B108" s="117">
        <v>638.01173120728936</v>
      </c>
      <c r="C108" s="114">
        <v>37.045736194284302</v>
      </c>
      <c r="F108" s="119"/>
      <c r="G108" s="114"/>
    </row>
    <row r="109" spans="1:10" x14ac:dyDescent="0.25">
      <c r="A109" s="112">
        <f t="shared" si="8"/>
        <v>909.43539219401566</v>
      </c>
      <c r="B109" s="117">
        <v>636.28539219401569</v>
      </c>
      <c r="C109" s="114">
        <v>37.857717454415699</v>
      </c>
      <c r="F109" s="119"/>
      <c r="G109" s="114"/>
    </row>
    <row r="110" spans="1:10" x14ac:dyDescent="0.25">
      <c r="A110" s="112">
        <f t="shared" si="8"/>
        <v>907.71558245083759</v>
      </c>
      <c r="B110" s="117">
        <v>634.56558245083761</v>
      </c>
      <c r="C110" s="114">
        <v>38.6874960006732</v>
      </c>
      <c r="F110" s="119"/>
      <c r="G110" s="114"/>
      <c r="J110" s="113"/>
    </row>
    <row r="111" spans="1:10" x14ac:dyDescent="0.25">
      <c r="A111" s="112">
        <f t="shared" si="8"/>
        <v>906.34441087613573</v>
      </c>
      <c r="B111" s="117">
        <v>633.19441087613575</v>
      </c>
      <c r="C111" s="114">
        <v>40.402013849924003</v>
      </c>
      <c r="F111" s="119"/>
      <c r="G111" s="114"/>
      <c r="J111" s="113"/>
    </row>
    <row r="112" spans="1:10" x14ac:dyDescent="0.25">
      <c r="A112" s="112">
        <f t="shared" si="8"/>
        <v>904.97737556561083</v>
      </c>
      <c r="B112" s="112">
        <v>631.82737556561085</v>
      </c>
      <c r="C112" s="114">
        <v>41.287559164657601</v>
      </c>
      <c r="F112" s="119"/>
      <c r="G112" s="114"/>
      <c r="J112" s="113"/>
    </row>
    <row r="113" spans="1:10" x14ac:dyDescent="0.25">
      <c r="A113" s="112">
        <f t="shared" si="8"/>
        <v>903.6144578313307</v>
      </c>
      <c r="B113" s="112">
        <v>630.46445783133072</v>
      </c>
      <c r="C113" s="114">
        <v>43.117304287954603</v>
      </c>
      <c r="F113" s="119"/>
      <c r="G113" s="114"/>
      <c r="J113" s="113"/>
    </row>
    <row r="114" spans="1:10" x14ac:dyDescent="0.25">
      <c r="A114" s="112">
        <f t="shared" si="8"/>
        <v>902.25563909774701</v>
      </c>
      <c r="B114" s="112">
        <v>629.10563909774703</v>
      </c>
      <c r="C114" s="114">
        <v>43.117304287954603</v>
      </c>
      <c r="F114" s="119"/>
      <c r="G114" s="114"/>
      <c r="J114" s="113"/>
    </row>
    <row r="115" spans="1:10" x14ac:dyDescent="0.25">
      <c r="A115" s="112">
        <f t="shared" si="8"/>
        <v>901.23920390537251</v>
      </c>
      <c r="B115" s="112">
        <v>628.08920390537253</v>
      </c>
      <c r="C115" s="114">
        <v>45.028138419271599</v>
      </c>
      <c r="F115" s="119"/>
      <c r="G115" s="114"/>
      <c r="J115" s="113"/>
    </row>
    <row r="116" spans="1:10" x14ac:dyDescent="0.25">
      <c r="A116" s="112">
        <f t="shared" si="8"/>
        <v>899.55022488756163</v>
      </c>
      <c r="B116" s="112">
        <v>626.40022488756165</v>
      </c>
      <c r="C116" s="114">
        <v>46.015080732505801</v>
      </c>
      <c r="F116" s="119"/>
      <c r="G116" s="114"/>
      <c r="J116" s="113"/>
    </row>
    <row r="117" spans="1:10" x14ac:dyDescent="0.25">
      <c r="A117" s="112">
        <f t="shared" si="8"/>
        <v>897.86756453423118</v>
      </c>
      <c r="B117" s="112">
        <v>624.7175645342312</v>
      </c>
      <c r="C117" s="114">
        <v>47.023655188747597</v>
      </c>
      <c r="F117" s="119"/>
      <c r="G117" s="114"/>
      <c r="J117" s="113"/>
    </row>
    <row r="118" spans="1:10" x14ac:dyDescent="0.25">
      <c r="A118" s="112">
        <f t="shared" si="8"/>
        <v>896.19118745332617</v>
      </c>
      <c r="B118" s="112">
        <v>623.04118745332619</v>
      </c>
      <c r="C118" s="114">
        <v>48.054335928790003</v>
      </c>
      <c r="F118" s="119"/>
      <c r="G118" s="114"/>
      <c r="J118" s="113"/>
    </row>
    <row r="119" spans="1:10" x14ac:dyDescent="0.25">
      <c r="A119" s="112">
        <f t="shared" si="8"/>
        <v>894.18777943368366</v>
      </c>
      <c r="B119" s="112">
        <v>621.03777943368368</v>
      </c>
      <c r="C119" s="114">
        <v>50.183965013142497</v>
      </c>
      <c r="F119" s="119"/>
      <c r="G119" s="114"/>
      <c r="J119" s="113"/>
    </row>
    <row r="120" spans="1:10" x14ac:dyDescent="0.25">
      <c r="A120" s="112">
        <f t="shared" si="8"/>
        <v>891.86176142698673</v>
      </c>
      <c r="B120" s="112">
        <v>618.71176142698675</v>
      </c>
      <c r="C120" s="114">
        <v>52.407973094712702</v>
      </c>
      <c r="F120" s="119"/>
      <c r="G120" s="114"/>
      <c r="J120" s="113"/>
    </row>
    <row r="121" spans="1:10" x14ac:dyDescent="0.25">
      <c r="A121" s="112">
        <f t="shared" si="8"/>
        <v>889.54781319496442</v>
      </c>
      <c r="B121" s="112">
        <v>616.39781319496444</v>
      </c>
      <c r="C121" s="114">
        <v>53.556669177068898</v>
      </c>
      <c r="F121" s="119"/>
      <c r="G121" s="114"/>
      <c r="J121" s="113"/>
    </row>
    <row r="122" spans="1:10" x14ac:dyDescent="0.25">
      <c r="A122" s="112">
        <f t="shared" si="8"/>
        <v>887.57396449704663</v>
      </c>
      <c r="B122" s="112">
        <v>614.42396449704665</v>
      </c>
      <c r="C122" s="114">
        <v>57.156042026388903</v>
      </c>
      <c r="F122" s="119"/>
      <c r="G122" s="114"/>
      <c r="J122" s="113"/>
    </row>
    <row r="123" spans="1:10" x14ac:dyDescent="0.25">
      <c r="A123" s="112">
        <f t="shared" si="8"/>
        <v>885.9357696566999</v>
      </c>
      <c r="B123" s="112">
        <v>612.78576965669993</v>
      </c>
      <c r="C123" s="114">
        <v>58.408807925959998</v>
      </c>
      <c r="F123" s="119"/>
      <c r="G123" s="114"/>
      <c r="J123" s="113"/>
    </row>
    <row r="124" spans="1:10" x14ac:dyDescent="0.25">
      <c r="A124" s="112">
        <f t="shared" si="8"/>
        <v>884.62956137118101</v>
      </c>
      <c r="B124" s="112">
        <v>611.47956137118103</v>
      </c>
      <c r="C124" s="114">
        <v>59.689032381853202</v>
      </c>
      <c r="F124" s="119"/>
      <c r="G124" s="114"/>
      <c r="J124" s="113"/>
    </row>
    <row r="125" spans="1:10" x14ac:dyDescent="0.25">
      <c r="A125" s="112">
        <f t="shared" si="8"/>
        <v>882.67745494667679</v>
      </c>
      <c r="B125" s="112">
        <v>609.52745494667681</v>
      </c>
      <c r="C125" s="114">
        <v>62.334277538619602</v>
      </c>
      <c r="F125" s="119"/>
      <c r="G125" s="114"/>
      <c r="J125" s="113"/>
    </row>
    <row r="126" spans="1:10" x14ac:dyDescent="0.25">
      <c r="A126" s="112">
        <f t="shared" si="8"/>
        <v>881.70462894930711</v>
      </c>
      <c r="B126" s="112">
        <v>608.55462894930713</v>
      </c>
      <c r="C126" s="114">
        <v>63.700541795314102</v>
      </c>
      <c r="F126" s="119"/>
      <c r="G126" s="114"/>
      <c r="J126" s="113"/>
    </row>
    <row r="127" spans="1:10" x14ac:dyDescent="0.25">
      <c r="A127" s="112">
        <f t="shared" si="8"/>
        <v>879.76539589443325</v>
      </c>
      <c r="B127" s="112">
        <v>606.61539589443328</v>
      </c>
      <c r="C127" s="114">
        <v>65.096752304581599</v>
      </c>
      <c r="F127" s="119"/>
      <c r="G127" s="114"/>
      <c r="J127" s="113"/>
    </row>
    <row r="128" spans="1:10" x14ac:dyDescent="0.25">
      <c r="A128" s="112">
        <f t="shared" si="8"/>
        <v>878.15587266739851</v>
      </c>
      <c r="B128" s="112">
        <v>605.00587266739853</v>
      </c>
      <c r="C128" s="114">
        <v>66.523565438744399</v>
      </c>
      <c r="F128" s="119"/>
      <c r="G128" s="114"/>
      <c r="J128" s="113"/>
    </row>
    <row r="129" spans="1:10" x14ac:dyDescent="0.25">
      <c r="A129" s="112">
        <f t="shared" si="8"/>
        <v>876.55222790358175</v>
      </c>
      <c r="B129" s="112">
        <v>603.40222790358177</v>
      </c>
      <c r="C129" s="114">
        <v>67.981651956720398</v>
      </c>
      <c r="F129" s="119"/>
      <c r="G129" s="114"/>
      <c r="J129" s="113"/>
    </row>
    <row r="130" spans="1:10" x14ac:dyDescent="0.25">
      <c r="A130" s="112">
        <f t="shared" si="8"/>
        <v>874.31693989071039</v>
      </c>
      <c r="B130" s="112">
        <v>601.16693989071041</v>
      </c>
      <c r="C130" s="114">
        <v>70.994402011656106</v>
      </c>
      <c r="F130" s="119"/>
      <c r="G130" s="114"/>
      <c r="J130" s="118"/>
    </row>
    <row r="131" spans="1:10" x14ac:dyDescent="0.25">
      <c r="A131" s="112">
        <f t="shared" si="8"/>
        <v>873.04474354311162</v>
      </c>
      <c r="B131" s="112">
        <v>599.89474354311164</v>
      </c>
      <c r="C131" s="114">
        <v>74.140668429202407</v>
      </c>
      <c r="F131" s="119"/>
      <c r="G131" s="114"/>
    </row>
    <row r="132" spans="1:10" x14ac:dyDescent="0.25">
      <c r="A132" s="112"/>
      <c r="B132" s="112"/>
      <c r="C132" s="114"/>
      <c r="F132" s="119"/>
      <c r="G132" s="114"/>
    </row>
    <row r="133" spans="1:10" x14ac:dyDescent="0.25">
      <c r="F133" s="119"/>
      <c r="G133" s="114"/>
    </row>
    <row r="134" spans="1:10" x14ac:dyDescent="0.25">
      <c r="F134" s="119"/>
      <c r="G134" s="114"/>
    </row>
    <row r="135" spans="1:10" x14ac:dyDescent="0.25">
      <c r="F135" s="119"/>
      <c r="G135" s="114"/>
    </row>
    <row r="136" spans="1:10" x14ac:dyDescent="0.25">
      <c r="F136" s="119"/>
      <c r="G136" s="114"/>
    </row>
    <row r="137" spans="1:10" x14ac:dyDescent="0.25">
      <c r="F137" s="119"/>
      <c r="G137" s="114"/>
    </row>
    <row r="138" spans="1:10" x14ac:dyDescent="0.25">
      <c r="F138" s="119"/>
      <c r="G138" s="114"/>
    </row>
    <row r="139" spans="1:10" x14ac:dyDescent="0.25">
      <c r="F139" s="119"/>
      <c r="G139" s="114"/>
    </row>
    <row r="140" spans="1:10" x14ac:dyDescent="0.25">
      <c r="F140" s="119"/>
      <c r="G140" s="114"/>
    </row>
    <row r="141" spans="1:10" x14ac:dyDescent="0.25">
      <c r="F141" s="119"/>
      <c r="G141" s="114"/>
    </row>
    <row r="142" spans="1:10" x14ac:dyDescent="0.25">
      <c r="F142" s="119"/>
      <c r="G142" s="114"/>
    </row>
    <row r="143" spans="1:10" x14ac:dyDescent="0.25">
      <c r="F143" s="119"/>
      <c r="G143" s="114"/>
    </row>
    <row r="144" spans="1:10" x14ac:dyDescent="0.25">
      <c r="F144" s="119"/>
      <c r="G144" s="114"/>
    </row>
    <row r="145" spans="6:7" x14ac:dyDescent="0.25">
      <c r="F145" s="119"/>
      <c r="G145" s="114"/>
    </row>
    <row r="146" spans="6:7" x14ac:dyDescent="0.25">
      <c r="F146" s="119"/>
      <c r="G146" s="114"/>
    </row>
    <row r="147" spans="6:7" x14ac:dyDescent="0.25">
      <c r="F147" s="119"/>
      <c r="G147" s="114"/>
    </row>
    <row r="148" spans="6:7" x14ac:dyDescent="0.25">
      <c r="F148" s="119"/>
      <c r="G148" s="114"/>
    </row>
    <row r="149" spans="6:7" x14ac:dyDescent="0.25">
      <c r="F149" s="119"/>
      <c r="G149" s="114"/>
    </row>
    <row r="150" spans="6:7" x14ac:dyDescent="0.25">
      <c r="F150" s="119"/>
      <c r="G150" s="114"/>
    </row>
    <row r="151" spans="6:7" x14ac:dyDescent="0.25">
      <c r="F151" s="119"/>
      <c r="G151" s="114"/>
    </row>
    <row r="152" spans="6:7" x14ac:dyDescent="0.25">
      <c r="F152" s="119"/>
      <c r="G152" s="114"/>
    </row>
    <row r="153" spans="6:7" x14ac:dyDescent="0.25">
      <c r="F153" s="119"/>
      <c r="G153" s="114"/>
    </row>
  </sheetData>
  <sortState ref="J40:M134">
    <sortCondition descending="1" ref="J40"/>
  </sortState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workbookViewId="0">
      <selection activeCell="E5" sqref="E5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106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27</v>
      </c>
      <c r="D5" s="137" t="s">
        <v>9</v>
      </c>
      <c r="H5" s="35" t="s">
        <v>105</v>
      </c>
    </row>
    <row r="6" spans="1:19" x14ac:dyDescent="0.25">
      <c r="A6" s="138">
        <f>B6+273.15</f>
        <v>848.15</v>
      </c>
      <c r="B6" s="148">
        <v>575</v>
      </c>
      <c r="C6" s="144">
        <f>'LSC,Egger (Solid State Ionics)'!K54</f>
        <v>139.64972465468989</v>
      </c>
      <c r="D6" s="157">
        <f t="shared" ref="D6:D11" si="0">D15*C6</f>
        <v>2.0668159248894107E-5</v>
      </c>
    </row>
    <row r="7" spans="1:19" x14ac:dyDescent="0.25">
      <c r="A7" s="138">
        <f t="shared" ref="A7:A11" si="1">B7+273.15</f>
        <v>823.15</v>
      </c>
      <c r="B7" s="139">
        <v>550</v>
      </c>
      <c r="C7" s="144">
        <f>'LSC,Egger (Solid State Ionics)'!K55</f>
        <v>237.20330197337634</v>
      </c>
      <c r="D7" s="157">
        <f t="shared" si="0"/>
        <v>2.4789744393442404E-5</v>
      </c>
      <c r="H7" s="111" t="s">
        <v>18</v>
      </c>
    </row>
    <row r="8" spans="1:19" ht="15.75" x14ac:dyDescent="0.25">
      <c r="A8" s="138">
        <f t="shared" si="1"/>
        <v>798.15</v>
      </c>
      <c r="B8" s="139">
        <v>525</v>
      </c>
      <c r="C8" s="144">
        <f>'LSC,Egger (Solid State Ionics)'!K56</f>
        <v>245.15502332913994</v>
      </c>
      <c r="D8" s="157">
        <f t="shared" si="0"/>
        <v>1.0434511035442242E-5</v>
      </c>
      <c r="G8" s="111">
        <v>1</v>
      </c>
      <c r="H8" s="35" t="s">
        <v>94</v>
      </c>
    </row>
    <row r="9" spans="1:19" ht="15.75" x14ac:dyDescent="0.25">
      <c r="A9" s="138">
        <f t="shared" si="1"/>
        <v>773.15</v>
      </c>
      <c r="B9" s="139">
        <v>500</v>
      </c>
      <c r="C9" s="144">
        <f>'LSC,Egger (Solid State Ionics)'!K58</f>
        <v>208.3201922400124</v>
      </c>
      <c r="D9" s="157">
        <f t="shared" si="0"/>
        <v>1.0865457595481857E-5</v>
      </c>
      <c r="G9" s="111">
        <v>2</v>
      </c>
      <c r="H9" s="35" t="s">
        <v>93</v>
      </c>
    </row>
    <row r="10" spans="1:19" ht="16.5" thickBot="1" x14ac:dyDescent="0.3">
      <c r="A10" s="138">
        <f t="shared" si="1"/>
        <v>723.15</v>
      </c>
      <c r="B10" s="139">
        <v>450</v>
      </c>
      <c r="C10" s="144">
        <f>'LSC,Egger (Solid State Ionics)'!K60</f>
        <v>281.16236374605825</v>
      </c>
      <c r="D10" s="157">
        <f t="shared" si="0"/>
        <v>1.0266079763315474E-5</v>
      </c>
      <c r="J10" s="35"/>
    </row>
    <row r="11" spans="1:19" ht="19.5" thickBot="1" x14ac:dyDescent="0.3">
      <c r="A11" s="141">
        <f t="shared" si="1"/>
        <v>673.15</v>
      </c>
      <c r="B11" s="149">
        <v>400</v>
      </c>
      <c r="C11" s="129">
        <f>'LSC,Egger (Solid State Ionics)'!K63</f>
        <v>393.13097610225878</v>
      </c>
      <c r="D11" s="158">
        <f t="shared" si="0"/>
        <v>5.7003991534827523E-6</v>
      </c>
      <c r="H11" s="169" t="s">
        <v>184</v>
      </c>
    </row>
    <row r="12" spans="1:19" ht="15.75" thickBot="1" x14ac:dyDescent="0.3">
      <c r="A12" s="112"/>
      <c r="B12" s="112"/>
      <c r="D12" s="114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45" t="s">
        <v>13</v>
      </c>
      <c r="B13" s="134"/>
      <c r="C13" s="134"/>
      <c r="D13" s="135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47.25" x14ac:dyDescent="0.25">
      <c r="A14" s="136" t="s">
        <v>16</v>
      </c>
      <c r="B14" s="115" t="s">
        <v>14</v>
      </c>
      <c r="C14" s="142" t="s">
        <v>189</v>
      </c>
      <c r="D14" s="137" t="s">
        <v>15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>B15+273.15</f>
        <v>848.15</v>
      </c>
      <c r="B15" s="148">
        <v>575</v>
      </c>
      <c r="C15" s="140">
        <f>D47</f>
        <v>1.0916133622061868</v>
      </c>
      <c r="D15" s="157">
        <f>($C$2*$A$2*A15)/(4*($E$2^2)*C15*D25)</f>
        <v>1.4800000000000003E-7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ref="A16:A20" si="2">B16+273.15</f>
        <v>823.15</v>
      </c>
      <c r="B16" s="139">
        <v>550</v>
      </c>
      <c r="C16" s="140">
        <f>D48</f>
        <v>0.94433309366689189</v>
      </c>
      <c r="D16" s="157">
        <f>($C$2*$A$2*A16)/(4*($E$2^2)*C16*D27)</f>
        <v>1.0450842879170713E-7</v>
      </c>
    </row>
    <row r="17" spans="1:12" x14ac:dyDescent="0.25">
      <c r="A17" s="138">
        <f t="shared" si="2"/>
        <v>798.15</v>
      </c>
      <c r="B17" s="139">
        <v>525</v>
      </c>
      <c r="C17" s="140">
        <f>D49</f>
        <v>1.0062399286414636</v>
      </c>
      <c r="D17" s="157">
        <f>($C$2*$A$2*A17)/(4*($E$2^2)*C17*D30)</f>
        <v>4.2562909353209903E-8</v>
      </c>
    </row>
    <row r="18" spans="1:12" x14ac:dyDescent="0.25">
      <c r="A18" s="138">
        <f t="shared" si="2"/>
        <v>773.15</v>
      </c>
      <c r="B18" s="139">
        <v>500</v>
      </c>
      <c r="C18" s="140">
        <f>D51</f>
        <v>0.48853926983100004</v>
      </c>
      <c r="D18" s="157">
        <f>($C$2*$A$2*A18)/(4*($E$2^2)*C18*D32)</f>
        <v>5.2157486409015089E-8</v>
      </c>
    </row>
    <row r="19" spans="1:12" x14ac:dyDescent="0.25">
      <c r="A19" s="138">
        <f t="shared" si="2"/>
        <v>723.15</v>
      </c>
      <c r="B19" s="139">
        <v>450</v>
      </c>
      <c r="C19" s="140">
        <f>D53</f>
        <v>0.15502153684693737</v>
      </c>
      <c r="D19" s="157">
        <f>($C$2*$A$2*A19)/(4*($E$2^2)*C19*D37)</f>
        <v>3.6512994223464592E-8</v>
      </c>
    </row>
    <row r="20" spans="1:12" ht="15.75" thickBot="1" x14ac:dyDescent="0.3">
      <c r="A20" s="141">
        <f t="shared" si="2"/>
        <v>673.15</v>
      </c>
      <c r="B20" s="149">
        <v>400</v>
      </c>
      <c r="C20" s="130">
        <f>D54</f>
        <v>6.2870933198161463E-2</v>
      </c>
      <c r="D20" s="158">
        <f>($C$2*$A$2*A20)/(4*($E$2^2)*C20*D42)</f>
        <v>1.4500000000000001E-8</v>
      </c>
    </row>
    <row r="21" spans="1:12" ht="15.75" thickBot="1" x14ac:dyDescent="0.3"/>
    <row r="22" spans="1:12" ht="15.75" x14ac:dyDescent="0.25">
      <c r="A22" s="133" t="s">
        <v>19</v>
      </c>
      <c r="B22" s="134"/>
      <c r="C22" s="134"/>
      <c r="D22" s="135"/>
      <c r="G22" s="119"/>
      <c r="H22" s="119"/>
    </row>
    <row r="23" spans="1:12" x14ac:dyDescent="0.25">
      <c r="A23" s="136" t="s">
        <v>16</v>
      </c>
      <c r="B23" s="115" t="s">
        <v>14</v>
      </c>
      <c r="C23" s="142"/>
      <c r="D23" s="143" t="s">
        <v>35</v>
      </c>
      <c r="G23" s="119"/>
      <c r="H23" s="114"/>
    </row>
    <row r="24" spans="1:12" x14ac:dyDescent="0.25">
      <c r="A24" s="138">
        <f>B24+273.15</f>
        <v>855.9445347941454</v>
      </c>
      <c r="B24" s="148">
        <v>582.79453479414542</v>
      </c>
      <c r="C24" s="140"/>
      <c r="D24" s="167">
        <v>0.96411000000000002</v>
      </c>
      <c r="G24" s="119"/>
      <c r="H24" s="114"/>
      <c r="K24" s="118"/>
      <c r="L24" s="118"/>
    </row>
    <row r="25" spans="1:12" x14ac:dyDescent="0.25">
      <c r="A25" s="138">
        <f t="shared" ref="A25:A42" si="3">B25+273.15</f>
        <v>846.38888183564825</v>
      </c>
      <c r="B25" s="148">
        <v>573.23888183564827</v>
      </c>
      <c r="C25" s="140"/>
      <c r="D25" s="167">
        <v>1.1716</v>
      </c>
      <c r="G25" s="119"/>
      <c r="H25" s="114"/>
      <c r="J25" s="113"/>
      <c r="K25" s="113"/>
      <c r="L25" s="113"/>
    </row>
    <row r="26" spans="1:12" x14ac:dyDescent="0.25">
      <c r="A26" s="138">
        <f t="shared" si="3"/>
        <v>836.43511354606676</v>
      </c>
      <c r="B26" s="148">
        <v>563.28511354606678</v>
      </c>
      <c r="C26" s="140"/>
      <c r="D26" s="167">
        <v>1.4947999999999999</v>
      </c>
      <c r="G26" s="119"/>
      <c r="H26" s="114"/>
      <c r="J26" s="113"/>
      <c r="K26" s="113"/>
      <c r="L26" s="113"/>
    </row>
    <row r="27" spans="1:12" x14ac:dyDescent="0.25">
      <c r="A27" s="138">
        <f t="shared" si="3"/>
        <v>827.04093025563827</v>
      </c>
      <c r="B27" s="148">
        <v>553.8909302556383</v>
      </c>
      <c r="C27" s="140"/>
      <c r="D27" s="167">
        <v>1.8613999999999999</v>
      </c>
      <c r="G27" s="119"/>
      <c r="H27" s="114"/>
      <c r="J27" s="113"/>
      <c r="K27" s="113"/>
      <c r="L27" s="113"/>
    </row>
    <row r="28" spans="1:12" x14ac:dyDescent="0.25">
      <c r="A28" s="138">
        <f t="shared" si="3"/>
        <v>817.54116319756702</v>
      </c>
      <c r="B28" s="148">
        <v>544.39116319756704</v>
      </c>
      <c r="C28" s="140"/>
      <c r="D28" s="167">
        <v>2.3749799999999999</v>
      </c>
      <c r="G28" s="119"/>
      <c r="H28" s="114"/>
      <c r="J28" s="113"/>
      <c r="K28" s="113"/>
      <c r="L28" s="113"/>
    </row>
    <row r="29" spans="1:12" x14ac:dyDescent="0.25">
      <c r="A29" s="138">
        <f t="shared" si="3"/>
        <v>807.6435384478707</v>
      </c>
      <c r="B29" s="139">
        <v>534.49353844787072</v>
      </c>
      <c r="C29" s="140"/>
      <c r="D29" s="170">
        <v>3.0301999999999998</v>
      </c>
      <c r="G29" s="119"/>
      <c r="H29" s="114"/>
      <c r="J29" s="113"/>
      <c r="K29" s="113"/>
      <c r="L29" s="113"/>
    </row>
    <row r="30" spans="1:12" x14ac:dyDescent="0.25">
      <c r="A30" s="138">
        <f t="shared" si="3"/>
        <v>796.79370214257824</v>
      </c>
      <c r="B30" s="139">
        <v>523.64370214257826</v>
      </c>
      <c r="C30" s="140"/>
      <c r="D30" s="170">
        <v>4.1589999999999998</v>
      </c>
      <c r="G30" s="119"/>
      <c r="H30" s="114"/>
      <c r="J30" s="113"/>
      <c r="K30" s="113"/>
      <c r="L30" s="113"/>
    </row>
    <row r="31" spans="1:12" x14ac:dyDescent="0.25">
      <c r="A31" s="138">
        <f t="shared" si="3"/>
        <v>787.9723894474738</v>
      </c>
      <c r="B31" s="148">
        <v>514.82238944747382</v>
      </c>
      <c r="C31" s="140"/>
      <c r="D31" s="167">
        <v>5.1794000000000002</v>
      </c>
      <c r="G31" s="119"/>
      <c r="H31" s="114"/>
      <c r="J31" s="113"/>
      <c r="K31" s="113"/>
      <c r="L31" s="113"/>
    </row>
    <row r="32" spans="1:12" x14ac:dyDescent="0.25">
      <c r="A32" s="138">
        <f t="shared" si="3"/>
        <v>777.66544832413092</v>
      </c>
      <c r="B32" s="148">
        <v>504.51544832413094</v>
      </c>
      <c r="C32" s="140"/>
      <c r="D32" s="167">
        <v>6.7714999999999996</v>
      </c>
      <c r="G32" s="119"/>
      <c r="H32" s="114"/>
      <c r="J32" s="113"/>
      <c r="K32" s="113"/>
      <c r="L32" s="113"/>
    </row>
    <row r="33" spans="1:12" x14ac:dyDescent="0.25">
      <c r="A33" s="138">
        <f t="shared" si="3"/>
        <v>767.29600284820276</v>
      </c>
      <c r="B33" s="148">
        <v>494.14600284820278</v>
      </c>
      <c r="C33" s="140"/>
      <c r="D33" s="167">
        <v>8.8529</v>
      </c>
      <c r="G33" s="119"/>
      <c r="H33" s="114"/>
      <c r="J33" s="113"/>
      <c r="K33" s="113"/>
      <c r="L33" s="113"/>
    </row>
    <row r="34" spans="1:12" x14ac:dyDescent="0.25">
      <c r="A34" s="138">
        <f t="shared" si="3"/>
        <v>758.32259042996895</v>
      </c>
      <c r="B34" s="148">
        <v>485.17259042996898</v>
      </c>
      <c r="C34" s="140"/>
      <c r="D34" s="167">
        <v>11.8597</v>
      </c>
      <c r="G34" s="119"/>
      <c r="H34" s="114"/>
      <c r="J34" s="113"/>
      <c r="K34" s="113"/>
      <c r="L34" s="113"/>
    </row>
    <row r="35" spans="1:12" x14ac:dyDescent="0.25">
      <c r="A35" s="138">
        <f t="shared" si="3"/>
        <v>748.99634489783682</v>
      </c>
      <c r="B35" s="139">
        <v>475.84634489783684</v>
      </c>
      <c r="C35" s="140"/>
      <c r="D35" s="167">
        <v>15.887499999999999</v>
      </c>
      <c r="G35" s="119"/>
      <c r="H35" s="114"/>
      <c r="J35" s="113"/>
      <c r="K35" s="113"/>
      <c r="L35" s="113"/>
    </row>
    <row r="36" spans="1:12" x14ac:dyDescent="0.25">
      <c r="A36" s="138">
        <f t="shared" si="3"/>
        <v>739.15293074137037</v>
      </c>
      <c r="B36" s="139">
        <v>466.00293074137039</v>
      </c>
      <c r="C36" s="140"/>
      <c r="D36" s="167">
        <v>21.2834</v>
      </c>
      <c r="G36" s="119"/>
      <c r="H36" s="114"/>
      <c r="J36" s="113"/>
      <c r="K36" s="113"/>
      <c r="L36" s="113"/>
    </row>
    <row r="37" spans="1:12" x14ac:dyDescent="0.25">
      <c r="A37" s="138">
        <f t="shared" si="3"/>
        <v>729.04364055232338</v>
      </c>
      <c r="B37" s="139">
        <v>455.8936405523234</v>
      </c>
      <c r="C37" s="140"/>
      <c r="D37" s="167">
        <v>28.511900000000001</v>
      </c>
      <c r="G37" s="119"/>
      <c r="H37" s="114"/>
      <c r="J37" s="113"/>
      <c r="K37" s="113"/>
      <c r="L37" s="113"/>
    </row>
    <row r="38" spans="1:12" x14ac:dyDescent="0.25">
      <c r="A38" s="138">
        <f t="shared" si="3"/>
        <v>718.73674829120341</v>
      </c>
      <c r="B38" s="139">
        <v>445.58674829120343</v>
      </c>
      <c r="C38" s="140"/>
      <c r="D38" s="167">
        <v>39.1374</v>
      </c>
      <c r="G38" s="119"/>
      <c r="H38" s="114"/>
      <c r="J38" s="113"/>
      <c r="K38" s="113"/>
      <c r="L38" s="113"/>
    </row>
    <row r="39" spans="1:12" x14ac:dyDescent="0.25">
      <c r="A39" s="138">
        <f t="shared" si="3"/>
        <v>708.71722182849044</v>
      </c>
      <c r="B39" s="139">
        <v>435.56722182849046</v>
      </c>
      <c r="C39" s="140"/>
      <c r="D39" s="167">
        <v>52.429600000000001</v>
      </c>
      <c r="G39" s="119"/>
      <c r="H39" s="114"/>
      <c r="J39" s="113"/>
      <c r="K39" s="113"/>
      <c r="L39" s="113"/>
    </row>
    <row r="40" spans="1:12" x14ac:dyDescent="0.25">
      <c r="A40" s="138">
        <f t="shared" si="3"/>
        <v>697.59865614594878</v>
      </c>
      <c r="B40" s="139">
        <v>424.4486561459488</v>
      </c>
      <c r="C40" s="115"/>
      <c r="D40" s="167">
        <v>81.292900000000003</v>
      </c>
      <c r="G40" s="119"/>
      <c r="H40" s="114"/>
      <c r="J40" s="113"/>
      <c r="K40" s="113"/>
      <c r="L40" s="113"/>
    </row>
    <row r="41" spans="1:12" x14ac:dyDescent="0.25">
      <c r="A41" s="138">
        <f t="shared" si="3"/>
        <v>687.49028919966509</v>
      </c>
      <c r="B41" s="139">
        <v>414.34028919966511</v>
      </c>
      <c r="C41" s="115"/>
      <c r="D41" s="167">
        <v>111.5883</v>
      </c>
      <c r="G41" s="119"/>
      <c r="H41" s="114"/>
      <c r="J41" s="113"/>
      <c r="K41" s="113"/>
      <c r="L41" s="113"/>
    </row>
    <row r="42" spans="1:12" ht="15.75" thickBot="1" x14ac:dyDescent="0.3">
      <c r="A42" s="141">
        <f t="shared" si="3"/>
        <v>678.10402115684553</v>
      </c>
      <c r="B42" s="131">
        <v>404.95402115684556</v>
      </c>
      <c r="C42" s="126"/>
      <c r="D42" s="168">
        <v>164.79013</v>
      </c>
      <c r="G42" s="119"/>
      <c r="H42" s="114"/>
    </row>
    <row r="43" spans="1:12" x14ac:dyDescent="0.25">
      <c r="D43" s="114"/>
      <c r="G43" s="119"/>
      <c r="H43" s="114"/>
    </row>
    <row r="44" spans="1:12" s="126" customFormat="1" ht="15.75" thickBot="1" x14ac:dyDescent="0.3">
      <c r="D44" s="129"/>
      <c r="G44" s="128"/>
      <c r="H44" s="129"/>
    </row>
    <row r="45" spans="1:12" ht="60" x14ac:dyDescent="0.25">
      <c r="A45" s="118" t="s">
        <v>26</v>
      </c>
      <c r="D45" s="114"/>
      <c r="G45" s="119"/>
      <c r="H45" s="114"/>
    </row>
    <row r="46" spans="1:12" ht="45" x14ac:dyDescent="0.25">
      <c r="A46" s="111" t="s">
        <v>16</v>
      </c>
      <c r="B46" s="111" t="s">
        <v>14</v>
      </c>
      <c r="C46" s="118" t="s">
        <v>87</v>
      </c>
      <c r="D46" s="118" t="s">
        <v>20</v>
      </c>
      <c r="K46" s="118"/>
    </row>
    <row r="47" spans="1:12" x14ac:dyDescent="0.25">
      <c r="A47" s="112">
        <f>B47+273.15</f>
        <v>848.15</v>
      </c>
      <c r="B47" s="117">
        <v>575</v>
      </c>
      <c r="C47" s="113">
        <f>'LSC,Berenov (Solid State Ionic)'!D18</f>
        <v>1.48E-7</v>
      </c>
      <c r="D47" s="114">
        <f>($C$2*$A$2*A47)/(4*($E$2^2)*D25*C47)</f>
        <v>1.0916133622061868</v>
      </c>
      <c r="H47" s="114"/>
      <c r="I47" s="112"/>
      <c r="J47" s="117"/>
      <c r="K47" s="114"/>
    </row>
    <row r="48" spans="1:12" x14ac:dyDescent="0.25">
      <c r="A48" s="112">
        <f t="shared" ref="A48:A54" si="4">B48+273.15</f>
        <v>823.15</v>
      </c>
      <c r="B48" s="112">
        <v>550</v>
      </c>
      <c r="C48" s="113">
        <f>'LSC,Berenov (Solid State Ionic)'!D19</f>
        <v>1.0450842879170713E-7</v>
      </c>
      <c r="D48" s="114">
        <f>($C$2*$A$2*A48)/(4*($E$2^2)*D27*C48)</f>
        <v>0.94433309366689189</v>
      </c>
      <c r="H48" s="114"/>
      <c r="I48" s="112"/>
      <c r="J48" s="117"/>
      <c r="K48" s="114"/>
    </row>
    <row r="49" spans="1:11" x14ac:dyDescent="0.25">
      <c r="A49" s="112">
        <f t="shared" si="4"/>
        <v>798.15</v>
      </c>
      <c r="B49" s="112">
        <v>525</v>
      </c>
      <c r="C49" s="113">
        <f>'LSC,Berenov (Solid State Ionic)'!D20</f>
        <v>9.5099999999999998E-8</v>
      </c>
      <c r="D49" s="114">
        <f>($C$2*$A$2*A49)/(4*($E$2^2)*D27*C49)</f>
        <v>1.0062399286414636</v>
      </c>
      <c r="H49" s="114"/>
      <c r="I49" s="112"/>
      <c r="J49" s="117"/>
      <c r="K49" s="114"/>
    </row>
    <row r="50" spans="1:11" x14ac:dyDescent="0.25">
      <c r="A50" s="112">
        <f t="shared" si="4"/>
        <v>787.15</v>
      </c>
      <c r="B50" s="112">
        <v>514</v>
      </c>
      <c r="C50" s="113">
        <f>'LSC,Berenov (Solid State Ionic)'!D20</f>
        <v>9.5099999999999998E-8</v>
      </c>
      <c r="D50" s="114">
        <f>($C$2*$A$2*A50)/(4*($E$2^2)*D31*C50)</f>
        <v>0.35664388786599427</v>
      </c>
      <c r="H50" s="114"/>
      <c r="I50" s="112"/>
      <c r="J50" s="117"/>
      <c r="K50" s="114"/>
    </row>
    <row r="51" spans="1:11" x14ac:dyDescent="0.25">
      <c r="A51" s="112">
        <f t="shared" si="4"/>
        <v>773.15</v>
      </c>
      <c r="B51" s="112">
        <v>500</v>
      </c>
      <c r="C51" s="113">
        <f>'LSC,Berenov (Solid State Ionic)'!D21</f>
        <v>5.2157486409015102E-8</v>
      </c>
      <c r="D51" s="114">
        <f>($C$2*$A$2*A51)/(4*($E$2^2)*D32*C51)</f>
        <v>0.48853926983100004</v>
      </c>
      <c r="H51" s="114"/>
      <c r="I51" s="112"/>
      <c r="J51" s="117"/>
      <c r="K51" s="113"/>
    </row>
    <row r="52" spans="1:11" x14ac:dyDescent="0.25">
      <c r="A52" s="112">
        <f t="shared" si="4"/>
        <v>758.15</v>
      </c>
      <c r="B52" s="112">
        <v>485</v>
      </c>
      <c r="C52" s="113">
        <f>'LSC,Berenov (Solid State Ionic)'!D22</f>
        <v>3.1100000000000001E-8</v>
      </c>
      <c r="D52" s="114">
        <f>($C$2*$A$2*A52)/(4*($E$2^2)*D34*C52)</f>
        <v>0.45873122422495799</v>
      </c>
      <c r="H52" s="114"/>
      <c r="I52" s="112"/>
      <c r="J52" s="117"/>
      <c r="K52" s="113"/>
    </row>
    <row r="53" spans="1:11" x14ac:dyDescent="0.25">
      <c r="A53" s="112">
        <f t="shared" si="4"/>
        <v>723.15</v>
      </c>
      <c r="B53" s="112">
        <v>450</v>
      </c>
      <c r="C53" s="113">
        <f>'LSC,Berenov (Solid State Ionic)'!D23</f>
        <v>2.66E-8</v>
      </c>
      <c r="D53" s="114">
        <f>($C$2*$A$2*A53)/(4*($E$2^2)*D38*C53)</f>
        <v>0.15502153684693737</v>
      </c>
      <c r="E53" s="113"/>
      <c r="I53" s="112"/>
      <c r="J53" s="112"/>
      <c r="K53" s="114"/>
    </row>
    <row r="54" spans="1:11" x14ac:dyDescent="0.25">
      <c r="A54" s="112">
        <f t="shared" si="4"/>
        <v>673.15</v>
      </c>
      <c r="B54" s="117">
        <v>400</v>
      </c>
      <c r="C54" s="113">
        <f>'LSC,Berenov (Solid State Ionic)'!D24</f>
        <v>1.4500000000000001E-8</v>
      </c>
      <c r="D54" s="114">
        <f>($C$2*$A$2*A54)/(4*($E$2^2)*D42*C54)</f>
        <v>6.2870933198161463E-2</v>
      </c>
      <c r="E54" s="113"/>
      <c r="I54" s="112"/>
      <c r="J54" s="112"/>
      <c r="K54" s="114"/>
    </row>
    <row r="55" spans="1:11" x14ac:dyDescent="0.25">
      <c r="A55" s="112"/>
      <c r="D55" s="114"/>
      <c r="I55" s="112"/>
      <c r="J55" s="112"/>
      <c r="K55" s="114"/>
    </row>
    <row r="56" spans="1:11" x14ac:dyDescent="0.25">
      <c r="A56" s="112"/>
      <c r="D56" s="114"/>
      <c r="E56" s="112"/>
      <c r="F56" s="119"/>
      <c r="G56" s="114"/>
      <c r="I56" s="112"/>
      <c r="J56" s="112"/>
      <c r="K56" s="114"/>
    </row>
    <row r="57" spans="1:11" x14ac:dyDescent="0.25">
      <c r="A57" s="112"/>
      <c r="D57" s="114"/>
      <c r="E57" s="112"/>
      <c r="F57" s="119"/>
      <c r="G57" s="114"/>
      <c r="I57" s="112"/>
      <c r="J57" s="112"/>
      <c r="K57" s="114"/>
    </row>
    <row r="58" spans="1:11" x14ac:dyDescent="0.25">
      <c r="A58" s="112"/>
      <c r="D58" s="114"/>
      <c r="E58" s="112"/>
      <c r="F58" s="119"/>
      <c r="G58" s="114"/>
      <c r="J58" s="113"/>
    </row>
    <row r="59" spans="1:11" x14ac:dyDescent="0.25">
      <c r="A59" s="112"/>
      <c r="D59" s="114"/>
      <c r="E59" s="112"/>
      <c r="F59" s="119"/>
      <c r="G59" s="114"/>
    </row>
    <row r="60" spans="1:11" x14ac:dyDescent="0.25">
      <c r="A60" s="112"/>
      <c r="D60" s="114"/>
      <c r="E60" s="113"/>
      <c r="F60" s="119"/>
    </row>
    <row r="61" spans="1:11" x14ac:dyDescent="0.25">
      <c r="A61" s="112"/>
      <c r="D61" s="114"/>
      <c r="E61" s="113"/>
      <c r="F61" s="119"/>
    </row>
    <row r="62" spans="1:11" x14ac:dyDescent="0.25">
      <c r="A62" s="112"/>
      <c r="D62" s="114"/>
      <c r="E62" s="113"/>
      <c r="F62" s="119"/>
    </row>
    <row r="63" spans="1:11" x14ac:dyDescent="0.25">
      <c r="A63" s="112"/>
      <c r="D63" s="114"/>
      <c r="F63" s="119"/>
      <c r="G63" s="114"/>
      <c r="H63" s="114"/>
    </row>
    <row r="64" spans="1:11" x14ac:dyDescent="0.25">
      <c r="A64" s="112"/>
      <c r="D64" s="114"/>
      <c r="F64" s="119"/>
      <c r="G64" s="114"/>
      <c r="H64" s="114"/>
    </row>
    <row r="65" spans="1:8" x14ac:dyDescent="0.25">
      <c r="A65" s="112"/>
      <c r="D65" s="114"/>
      <c r="F65" s="119"/>
      <c r="G65" s="114"/>
      <c r="H65" s="114"/>
    </row>
    <row r="66" spans="1:8" x14ac:dyDescent="0.25">
      <c r="A66" s="112"/>
      <c r="D66" s="114"/>
      <c r="F66" s="119"/>
      <c r="G66" s="114"/>
      <c r="H66" s="114"/>
    </row>
    <row r="67" spans="1:8" x14ac:dyDescent="0.25">
      <c r="A67" s="112"/>
      <c r="D67" s="114"/>
      <c r="F67" s="119"/>
      <c r="G67" s="114"/>
      <c r="H67" s="114"/>
    </row>
    <row r="68" spans="1:8" x14ac:dyDescent="0.25">
      <c r="A68" s="112"/>
      <c r="C68" s="113"/>
      <c r="D68" s="114"/>
      <c r="F68" s="119"/>
      <c r="G68" s="114"/>
      <c r="H68" s="114"/>
    </row>
    <row r="69" spans="1:8" x14ac:dyDescent="0.25">
      <c r="A69" s="112"/>
      <c r="B69" s="117"/>
      <c r="C69" s="113"/>
      <c r="D69" s="114"/>
      <c r="F69" s="119"/>
      <c r="G69" s="114"/>
      <c r="H69" s="114"/>
    </row>
    <row r="70" spans="1:8" x14ac:dyDescent="0.25">
      <c r="A70" s="112"/>
      <c r="B70" s="117"/>
      <c r="D70" s="114"/>
      <c r="F70" s="119"/>
      <c r="G70" s="114"/>
      <c r="H70" s="114"/>
    </row>
    <row r="71" spans="1:8" x14ac:dyDescent="0.25">
      <c r="A71" s="112"/>
      <c r="B71" s="117"/>
      <c r="D71" s="114"/>
      <c r="F71" s="119"/>
      <c r="G71" s="114"/>
      <c r="H71" s="114"/>
    </row>
    <row r="72" spans="1:8" x14ac:dyDescent="0.25">
      <c r="A72" s="112"/>
      <c r="B72" s="117"/>
      <c r="D72" s="114"/>
      <c r="F72" s="119"/>
      <c r="G72" s="114"/>
      <c r="H72" s="114"/>
    </row>
    <row r="73" spans="1:8" x14ac:dyDescent="0.25">
      <c r="A73" s="112"/>
      <c r="B73" s="117"/>
      <c r="D73" s="114"/>
      <c r="F73" s="119"/>
      <c r="G73" s="114"/>
      <c r="H73" s="114"/>
    </row>
    <row r="74" spans="1:8" x14ac:dyDescent="0.25">
      <c r="A74" s="112"/>
      <c r="B74" s="117"/>
      <c r="D74" s="114"/>
      <c r="F74" s="119"/>
      <c r="G74" s="114"/>
      <c r="H74" s="114"/>
    </row>
    <row r="75" spans="1:8" x14ac:dyDescent="0.25">
      <c r="A75" s="112"/>
      <c r="B75" s="117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4"/>
    </row>
    <row r="82" spans="1:8" x14ac:dyDescent="0.25">
      <c r="A82" s="112"/>
      <c r="B82" s="117"/>
      <c r="D82" s="114"/>
      <c r="F82" s="119"/>
      <c r="G82" s="114"/>
      <c r="H82" s="114"/>
    </row>
    <row r="83" spans="1:8" x14ac:dyDescent="0.25">
      <c r="A83" s="112"/>
      <c r="B83" s="117"/>
      <c r="D83" s="114"/>
      <c r="F83" s="119"/>
      <c r="G83" s="114"/>
      <c r="H83" s="114"/>
    </row>
    <row r="84" spans="1:8" x14ac:dyDescent="0.25">
      <c r="A84" s="112"/>
      <c r="B84" s="117"/>
      <c r="D84" s="114"/>
      <c r="F84" s="119"/>
      <c r="G84" s="114"/>
      <c r="H84" s="114"/>
    </row>
    <row r="85" spans="1:8" x14ac:dyDescent="0.25">
      <c r="A85" s="112"/>
      <c r="B85" s="117"/>
      <c r="D85" s="114"/>
      <c r="F85" s="119"/>
      <c r="G85" s="114"/>
      <c r="H85" s="114"/>
    </row>
    <row r="86" spans="1:8" x14ac:dyDescent="0.25">
      <c r="A86" s="112"/>
      <c r="B86" s="117"/>
      <c r="D86" s="114"/>
      <c r="F86" s="119"/>
      <c r="G86" s="114"/>
      <c r="H86" s="114"/>
    </row>
    <row r="87" spans="1:8" x14ac:dyDescent="0.25">
      <c r="A87" s="112"/>
      <c r="B87" s="117"/>
      <c r="D87" s="114"/>
      <c r="F87" s="119"/>
      <c r="G87" s="114"/>
      <c r="H87" s="114"/>
    </row>
    <row r="88" spans="1:8" x14ac:dyDescent="0.25">
      <c r="A88" s="112"/>
      <c r="B88" s="117"/>
      <c r="D88" s="114"/>
      <c r="F88" s="119"/>
      <c r="G88" s="114"/>
      <c r="H88" s="114"/>
    </row>
    <row r="89" spans="1:8" x14ac:dyDescent="0.25">
      <c r="A89" s="112"/>
      <c r="B89" s="117"/>
      <c r="D89" s="114"/>
      <c r="F89" s="119"/>
      <c r="G89" s="114"/>
      <c r="H89" s="114"/>
    </row>
    <row r="90" spans="1:8" x14ac:dyDescent="0.25">
      <c r="A90" s="112"/>
      <c r="B90" s="117"/>
      <c r="D90" s="114"/>
      <c r="F90" s="119"/>
      <c r="G90" s="114"/>
      <c r="H90" s="114"/>
    </row>
    <row r="91" spans="1:8" x14ac:dyDescent="0.25">
      <c r="A91" s="112"/>
      <c r="B91" s="117"/>
      <c r="D91" s="114"/>
      <c r="F91" s="119"/>
      <c r="G91" s="114"/>
      <c r="H91" s="114"/>
    </row>
    <row r="92" spans="1:8" x14ac:dyDescent="0.25">
      <c r="A92" s="112"/>
      <c r="B92" s="117"/>
      <c r="D92" s="114"/>
      <c r="F92" s="119"/>
      <c r="G92" s="114"/>
      <c r="H92" s="114"/>
    </row>
    <row r="93" spans="1:8" x14ac:dyDescent="0.25">
      <c r="A93" s="112"/>
      <c r="B93" s="117"/>
      <c r="D93" s="114"/>
      <c r="F93" s="119"/>
      <c r="G93" s="114"/>
      <c r="H93" s="114"/>
    </row>
    <row r="94" spans="1:8" x14ac:dyDescent="0.25">
      <c r="A94" s="112"/>
      <c r="B94" s="117"/>
      <c r="D94" s="114"/>
      <c r="F94" s="119"/>
      <c r="G94" s="114"/>
      <c r="H94" s="114"/>
    </row>
    <row r="95" spans="1:8" x14ac:dyDescent="0.25">
      <c r="A95" s="112"/>
      <c r="B95" s="117"/>
      <c r="D95" s="114"/>
      <c r="F95" s="119"/>
      <c r="G95" s="114"/>
      <c r="H95" s="114"/>
    </row>
    <row r="96" spans="1:8" x14ac:dyDescent="0.25">
      <c r="A96" s="112"/>
      <c r="B96" s="117"/>
      <c r="D96" s="114"/>
      <c r="F96" s="119"/>
      <c r="G96" s="114"/>
      <c r="H96" s="114"/>
    </row>
    <row r="97" spans="1:8" x14ac:dyDescent="0.25">
      <c r="A97" s="112"/>
      <c r="B97" s="117"/>
      <c r="D97" s="114"/>
      <c r="F97" s="119"/>
      <c r="G97" s="114"/>
      <c r="H97" s="114"/>
    </row>
    <row r="98" spans="1:8" x14ac:dyDescent="0.25">
      <c r="A98" s="112"/>
      <c r="B98" s="117"/>
      <c r="D98" s="114"/>
      <c r="F98" s="119"/>
      <c r="G98" s="114"/>
      <c r="H98" s="114"/>
    </row>
    <row r="99" spans="1:8" x14ac:dyDescent="0.25">
      <c r="A99" s="112"/>
      <c r="B99" s="117"/>
      <c r="D99" s="114"/>
      <c r="F99" s="119"/>
      <c r="G99" s="114"/>
      <c r="H99" s="114"/>
    </row>
    <row r="100" spans="1:8" x14ac:dyDescent="0.25">
      <c r="A100" s="112"/>
      <c r="B100" s="117"/>
      <c r="D100" s="114"/>
      <c r="F100" s="119"/>
      <c r="G100" s="114"/>
      <c r="H100" s="114"/>
    </row>
    <row r="101" spans="1:8" x14ac:dyDescent="0.25">
      <c r="A101" s="112"/>
      <c r="B101" s="117"/>
      <c r="D101" s="114"/>
      <c r="F101" s="119"/>
      <c r="G101" s="114"/>
      <c r="H101" s="114"/>
    </row>
    <row r="102" spans="1:8" x14ac:dyDescent="0.25">
      <c r="A102" s="112"/>
      <c r="B102" s="117"/>
      <c r="D102" s="114"/>
      <c r="F102" s="119"/>
      <c r="G102" s="114"/>
      <c r="H102" s="114"/>
    </row>
    <row r="103" spans="1:8" x14ac:dyDescent="0.25">
      <c r="A103" s="112"/>
      <c r="B103" s="117"/>
      <c r="D103" s="114"/>
      <c r="F103" s="119"/>
      <c r="G103" s="114"/>
      <c r="H103" s="114"/>
    </row>
    <row r="104" spans="1:8" x14ac:dyDescent="0.25">
      <c r="A104" s="112"/>
      <c r="B104" s="117"/>
      <c r="D104" s="114"/>
      <c r="F104" s="119"/>
      <c r="G104" s="114"/>
      <c r="H104" s="119"/>
    </row>
    <row r="105" spans="1:8" x14ac:dyDescent="0.25">
      <c r="A105" s="112"/>
      <c r="B105" s="117"/>
      <c r="D105" s="114"/>
      <c r="F105" s="119"/>
      <c r="G105" s="114"/>
    </row>
    <row r="106" spans="1:8" x14ac:dyDescent="0.25">
      <c r="A106" s="112"/>
      <c r="B106" s="117"/>
      <c r="D106" s="114"/>
      <c r="F106" s="119"/>
      <c r="G106" s="114"/>
    </row>
    <row r="107" spans="1:8" x14ac:dyDescent="0.25">
      <c r="A107" s="112"/>
      <c r="B107" s="117"/>
      <c r="D107" s="114"/>
      <c r="F107" s="119"/>
      <c r="G107" s="114"/>
    </row>
    <row r="108" spans="1:8" x14ac:dyDescent="0.25">
      <c r="A108" s="112"/>
      <c r="B108" s="117"/>
      <c r="D108" s="114"/>
      <c r="F108" s="119"/>
      <c r="G108" s="114"/>
    </row>
    <row r="109" spans="1:8" x14ac:dyDescent="0.25">
      <c r="A109" s="112"/>
      <c r="B109" s="117"/>
      <c r="D109" s="114"/>
      <c r="F109" s="119"/>
      <c r="G109" s="114"/>
    </row>
    <row r="110" spans="1:8" x14ac:dyDescent="0.25">
      <c r="A110" s="112"/>
      <c r="B110" s="117"/>
      <c r="D110" s="114"/>
      <c r="F110" s="119"/>
      <c r="G110" s="114"/>
    </row>
    <row r="111" spans="1:8" x14ac:dyDescent="0.25">
      <c r="A111" s="112"/>
      <c r="B111" s="117"/>
      <c r="D111" s="114"/>
      <c r="F111" s="119"/>
      <c r="G111" s="114"/>
    </row>
    <row r="112" spans="1:8" x14ac:dyDescent="0.25">
      <c r="A112" s="112"/>
      <c r="B112" s="112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A117" s="112"/>
      <c r="B117" s="112"/>
      <c r="D117" s="114"/>
      <c r="F117" s="119"/>
      <c r="G117" s="114"/>
    </row>
    <row r="118" spans="1:7" x14ac:dyDescent="0.25">
      <c r="A118" s="112"/>
      <c r="B118" s="112"/>
      <c r="D118" s="114"/>
      <c r="F118" s="119"/>
      <c r="G118" s="114"/>
    </row>
    <row r="119" spans="1:7" x14ac:dyDescent="0.25">
      <c r="A119" s="112"/>
      <c r="B119" s="112"/>
      <c r="D119" s="114"/>
      <c r="F119" s="119"/>
      <c r="G119" s="114"/>
    </row>
    <row r="120" spans="1:7" x14ac:dyDescent="0.25">
      <c r="A120" s="112"/>
      <c r="B120" s="112"/>
      <c r="D120" s="114"/>
      <c r="F120" s="119"/>
      <c r="G120" s="114"/>
    </row>
    <row r="121" spans="1:7" x14ac:dyDescent="0.25">
      <c r="A121" s="112"/>
      <c r="B121" s="112"/>
      <c r="D121" s="114"/>
      <c r="F121" s="119"/>
      <c r="G121" s="114"/>
    </row>
    <row r="122" spans="1:7" x14ac:dyDescent="0.25">
      <c r="A122" s="112"/>
      <c r="B122" s="112"/>
      <c r="D122" s="114"/>
      <c r="F122" s="119"/>
      <c r="G122" s="114"/>
    </row>
    <row r="123" spans="1:7" x14ac:dyDescent="0.25">
      <c r="A123" s="112"/>
      <c r="B123" s="112"/>
      <c r="D123" s="114"/>
      <c r="F123" s="119"/>
      <c r="G123" s="114"/>
    </row>
    <row r="124" spans="1:7" x14ac:dyDescent="0.25">
      <c r="A124" s="112"/>
      <c r="B124" s="112"/>
      <c r="D124" s="114"/>
      <c r="F124" s="119"/>
      <c r="G124" s="114"/>
    </row>
    <row r="125" spans="1:7" x14ac:dyDescent="0.25">
      <c r="A125" s="112"/>
      <c r="B125" s="112"/>
      <c r="D125" s="114"/>
      <c r="F125" s="119"/>
      <c r="G125" s="114"/>
    </row>
    <row r="126" spans="1:7" x14ac:dyDescent="0.25">
      <c r="A126" s="112"/>
      <c r="B126" s="112"/>
      <c r="D126" s="114"/>
      <c r="F126" s="119"/>
      <c r="G126" s="114"/>
    </row>
    <row r="127" spans="1:7" x14ac:dyDescent="0.25">
      <c r="A127" s="112"/>
      <c r="B127" s="112"/>
      <c r="D127" s="114"/>
      <c r="F127" s="119"/>
      <c r="G127" s="114"/>
    </row>
    <row r="128" spans="1:7" x14ac:dyDescent="0.25">
      <c r="A128" s="112"/>
      <c r="B128" s="112"/>
      <c r="D128" s="114"/>
      <c r="F128" s="119"/>
      <c r="G128" s="114"/>
    </row>
    <row r="129" spans="1:7" x14ac:dyDescent="0.25">
      <c r="A129" s="112"/>
      <c r="B129" s="112"/>
      <c r="D129" s="114"/>
      <c r="F129" s="119"/>
      <c r="G129" s="114"/>
    </row>
    <row r="130" spans="1:7" x14ac:dyDescent="0.25">
      <c r="A130" s="112"/>
      <c r="B130" s="112"/>
      <c r="D130" s="114"/>
      <c r="F130" s="119"/>
      <c r="G130" s="114"/>
    </row>
    <row r="131" spans="1:7" x14ac:dyDescent="0.25">
      <c r="A131" s="112"/>
      <c r="B131" s="112"/>
      <c r="D131" s="114"/>
      <c r="F131" s="119"/>
      <c r="G131" s="114"/>
    </row>
    <row r="132" spans="1:7" x14ac:dyDescent="0.25">
      <c r="A132" s="112"/>
      <c r="B132" s="112"/>
      <c r="D132" s="114"/>
      <c r="F132" s="119"/>
      <c r="G132" s="114"/>
    </row>
    <row r="133" spans="1:7" x14ac:dyDescent="0.25">
      <c r="F133" s="119"/>
      <c r="G133" s="114"/>
    </row>
    <row r="134" spans="1:7" x14ac:dyDescent="0.25">
      <c r="F134" s="119"/>
      <c r="G134" s="114"/>
    </row>
    <row r="135" spans="1:7" x14ac:dyDescent="0.25">
      <c r="F135" s="119"/>
      <c r="G135" s="114"/>
    </row>
    <row r="136" spans="1:7" x14ac:dyDescent="0.25">
      <c r="F136" s="119"/>
      <c r="G136" s="114"/>
    </row>
    <row r="137" spans="1:7" x14ac:dyDescent="0.25">
      <c r="F137" s="119"/>
      <c r="G137" s="114"/>
    </row>
    <row r="138" spans="1:7" x14ac:dyDescent="0.25">
      <c r="F138" s="119"/>
      <c r="G138" s="114"/>
    </row>
    <row r="139" spans="1:7" x14ac:dyDescent="0.25">
      <c r="F139" s="119"/>
      <c r="G139" s="114"/>
    </row>
    <row r="140" spans="1:7" x14ac:dyDescent="0.25">
      <c r="F140" s="119"/>
      <c r="G140" s="114"/>
    </row>
    <row r="141" spans="1:7" x14ac:dyDescent="0.25">
      <c r="F141" s="119"/>
      <c r="G141" s="114"/>
    </row>
    <row r="142" spans="1:7" x14ac:dyDescent="0.25">
      <c r="F142" s="119"/>
      <c r="G142" s="114"/>
    </row>
    <row r="143" spans="1:7" x14ac:dyDescent="0.25">
      <c r="F143" s="119"/>
      <c r="G143" s="114"/>
    </row>
    <row r="144" spans="1:7" x14ac:dyDescent="0.25">
      <c r="F144" s="119"/>
      <c r="G144" s="114"/>
    </row>
    <row r="145" spans="6:7" x14ac:dyDescent="0.25">
      <c r="F145" s="119"/>
      <c r="G145" s="114"/>
    </row>
    <row r="146" spans="6:7" x14ac:dyDescent="0.25">
      <c r="F146" s="119"/>
      <c r="G146" s="114"/>
    </row>
    <row r="147" spans="6:7" x14ac:dyDescent="0.25">
      <c r="F147" s="119"/>
      <c r="G147" s="114"/>
    </row>
    <row r="148" spans="6:7" x14ac:dyDescent="0.25">
      <c r="F148" s="119"/>
      <c r="G148" s="114"/>
    </row>
    <row r="149" spans="6:7" x14ac:dyDescent="0.25">
      <c r="F149" s="119"/>
      <c r="G149" s="114"/>
    </row>
    <row r="150" spans="6:7" x14ac:dyDescent="0.25">
      <c r="F150" s="119"/>
      <c r="G150" s="114"/>
    </row>
    <row r="151" spans="6:7" x14ac:dyDescent="0.25">
      <c r="F151" s="119"/>
      <c r="G151" s="114"/>
    </row>
    <row r="152" spans="6:7" x14ac:dyDescent="0.25">
      <c r="F152" s="119"/>
      <c r="G152" s="114"/>
    </row>
    <row r="153" spans="6:7" x14ac:dyDescent="0.25">
      <c r="F153" s="119"/>
      <c r="G153" s="1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1"/>
  <sheetViews>
    <sheetView workbookViewId="0">
      <selection activeCell="H19" sqref="H19"/>
    </sheetView>
  </sheetViews>
  <sheetFormatPr defaultRowHeight="15" x14ac:dyDescent="0.25"/>
  <cols>
    <col min="1" max="1" width="18.28515625" style="28" bestFit="1" customWidth="1"/>
    <col min="2" max="2" width="16.42578125" style="28" bestFit="1" customWidth="1"/>
    <col min="3" max="3" width="20" style="28" bestFit="1" customWidth="1"/>
    <col min="4" max="4" width="16.5703125" style="28" customWidth="1"/>
    <col min="5" max="5" width="18" style="28" bestFit="1" customWidth="1"/>
    <col min="6" max="6" width="16.42578125" style="28" bestFit="1" customWidth="1"/>
    <col min="7" max="7" width="16.28515625" style="28" bestFit="1" customWidth="1"/>
    <col min="8" max="8" width="16.42578125" style="28" bestFit="1" customWidth="1"/>
    <col min="9" max="9" width="26.140625" style="28" bestFit="1" customWidth="1"/>
    <col min="10" max="10" width="16.140625" style="28" customWidth="1"/>
    <col min="11" max="16384" width="9.140625" style="28"/>
  </cols>
  <sheetData>
    <row r="1" spans="1:19" x14ac:dyDescent="0.25">
      <c r="A1" s="28" t="s">
        <v>1</v>
      </c>
      <c r="C1" s="28" t="s">
        <v>3</v>
      </c>
      <c r="E1" s="28" t="s">
        <v>6</v>
      </c>
      <c r="H1" s="28" t="s">
        <v>12</v>
      </c>
    </row>
    <row r="2" spans="1:19" ht="17.25" x14ac:dyDescent="0.25">
      <c r="A2" s="32">
        <v>6.0219999999999996E+23</v>
      </c>
      <c r="B2" s="33" t="s">
        <v>2</v>
      </c>
      <c r="C2" s="32">
        <v>1.3800000000000001E-23</v>
      </c>
      <c r="D2" s="32" t="s">
        <v>4</v>
      </c>
      <c r="E2" s="93">
        <v>96485.331999999995</v>
      </c>
      <c r="F2" s="28" t="s">
        <v>7</v>
      </c>
      <c r="H2" s="28" t="s">
        <v>5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8</v>
      </c>
      <c r="D5" s="137" t="s">
        <v>9</v>
      </c>
      <c r="H5" s="2" t="s">
        <v>28</v>
      </c>
    </row>
    <row r="6" spans="1:19" x14ac:dyDescent="0.25">
      <c r="A6" s="138">
        <f>B6+273.15</f>
        <v>1273.1500000000001</v>
      </c>
      <c r="B6" s="115">
        <v>1000</v>
      </c>
      <c r="C6" s="140">
        <v>-1</v>
      </c>
      <c r="D6" s="153">
        <f>10^C6</f>
        <v>0.1</v>
      </c>
    </row>
    <row r="7" spans="1:19" x14ac:dyDescent="0.25">
      <c r="A7" s="138">
        <f t="shared" ref="A7:A12" si="0">B7+273.15</f>
        <v>1223.1500000000001</v>
      </c>
      <c r="B7" s="115">
        <v>950</v>
      </c>
      <c r="C7" s="140">
        <v>-1.8169999999999999</v>
      </c>
      <c r="D7" s="153">
        <f t="shared" ref="D7:D12" si="1">10^C7</f>
        <v>1.5240527537972913E-2</v>
      </c>
    </row>
    <row r="8" spans="1:19" ht="15.75" x14ac:dyDescent="0.25">
      <c r="A8" s="138">
        <f t="shared" si="0"/>
        <v>1173.1500000000001</v>
      </c>
      <c r="B8" s="115">
        <v>900</v>
      </c>
      <c r="C8" s="140">
        <v>-2.5249999999999999</v>
      </c>
      <c r="D8" s="153">
        <f t="shared" si="1"/>
        <v>2.9853826189179572E-3</v>
      </c>
      <c r="J8" s="2"/>
    </row>
    <row r="9" spans="1:19" ht="15.75" x14ac:dyDescent="0.25">
      <c r="A9" s="138">
        <f t="shared" si="0"/>
        <v>1123.1500000000001</v>
      </c>
      <c r="B9" s="115">
        <v>850</v>
      </c>
      <c r="C9" s="140">
        <v>-2.649</v>
      </c>
      <c r="D9" s="153">
        <f t="shared" si="1"/>
        <v>2.2438819237827648E-3</v>
      </c>
      <c r="J9" s="2"/>
    </row>
    <row r="10" spans="1:19" ht="16.5" thickBot="1" x14ac:dyDescent="0.3">
      <c r="A10" s="138">
        <f t="shared" si="0"/>
        <v>1073.1500000000001</v>
      </c>
      <c r="B10" s="115">
        <v>800</v>
      </c>
      <c r="C10" s="140">
        <v>-3.3029999999999999</v>
      </c>
      <c r="D10" s="153">
        <f t="shared" si="1"/>
        <v>4.9773708497893561E-4</v>
      </c>
      <c r="J10" s="2"/>
    </row>
    <row r="11" spans="1:19" ht="19.5" thickBot="1" x14ac:dyDescent="0.3">
      <c r="A11" s="138">
        <f t="shared" si="0"/>
        <v>1023.15</v>
      </c>
      <c r="B11" s="115">
        <v>750</v>
      </c>
      <c r="C11" s="140">
        <v>-3.3578999999999999</v>
      </c>
      <c r="D11" s="153">
        <f t="shared" si="1"/>
        <v>4.3863168482585497E-4</v>
      </c>
      <c r="H11" s="169" t="s">
        <v>184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ht="15.75" thickBot="1" x14ac:dyDescent="0.3">
      <c r="A12" s="141">
        <f t="shared" si="0"/>
        <v>973.15</v>
      </c>
      <c r="B12" s="126">
        <v>700</v>
      </c>
      <c r="C12" s="130">
        <v>-4.4550000000000001</v>
      </c>
      <c r="D12" s="154">
        <f t="shared" si="1"/>
        <v>3.5075187395256734E-5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29"/>
      <c r="B13" s="29"/>
      <c r="D13" s="31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6" t="s">
        <v>16</v>
      </c>
      <c r="B15" s="115" t="s">
        <v>14</v>
      </c>
      <c r="C15" s="115"/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1273.1500000000001</v>
      </c>
      <c r="B16" s="115">
        <v>1000</v>
      </c>
      <c r="C16" s="115"/>
      <c r="D16" s="159">
        <f t="shared" ref="D16:D22" si="2">D6/J37</f>
        <v>8.0352612218561627E-4</v>
      </c>
    </row>
    <row r="17" spans="1:4" x14ac:dyDescent="0.25">
      <c r="A17" s="138">
        <f t="shared" ref="A17:A22" si="3">B17+273.15</f>
        <v>1223.1500000000001</v>
      </c>
      <c r="B17" s="115">
        <v>950</v>
      </c>
      <c r="C17" s="115"/>
      <c r="D17" s="159">
        <f t="shared" si="2"/>
        <v>1.2186484724208681E-4</v>
      </c>
    </row>
    <row r="18" spans="1:4" x14ac:dyDescent="0.25">
      <c r="A18" s="138">
        <f t="shared" si="3"/>
        <v>1173.1500000000001</v>
      </c>
      <c r="B18" s="115">
        <v>900</v>
      </c>
      <c r="C18" s="115"/>
      <c r="D18" s="159">
        <f t="shared" si="2"/>
        <v>2.0892961308540382E-5</v>
      </c>
    </row>
    <row r="19" spans="1:4" s="36" customFormat="1" x14ac:dyDescent="0.25">
      <c r="A19" s="138">
        <f t="shared" si="3"/>
        <v>1123.1500000000001</v>
      </c>
      <c r="B19" s="115">
        <v>850</v>
      </c>
      <c r="C19" s="115"/>
      <c r="D19" s="159">
        <f t="shared" si="2"/>
        <v>1.3356043622539299E-5</v>
      </c>
    </row>
    <row r="20" spans="1:4" s="36" customFormat="1" x14ac:dyDescent="0.25">
      <c r="A20" s="138">
        <f t="shared" si="3"/>
        <v>1073.1500000000001</v>
      </c>
      <c r="B20" s="115">
        <v>800</v>
      </c>
      <c r="C20" s="115"/>
      <c r="D20" s="159">
        <f t="shared" si="2"/>
        <v>2.2233098906513997E-6</v>
      </c>
    </row>
    <row r="21" spans="1:4" x14ac:dyDescent="0.25">
      <c r="A21" s="138">
        <f t="shared" si="3"/>
        <v>1023.15</v>
      </c>
      <c r="B21" s="115">
        <v>750</v>
      </c>
      <c r="C21" s="115"/>
      <c r="D21" s="159">
        <f t="shared" si="2"/>
        <v>1.8728913896186406E-6</v>
      </c>
    </row>
    <row r="22" spans="1:4" s="36" customFormat="1" ht="15.75" thickBot="1" x14ac:dyDescent="0.3">
      <c r="A22" s="141">
        <f t="shared" si="3"/>
        <v>973.15</v>
      </c>
      <c r="B22" s="126">
        <v>700</v>
      </c>
      <c r="C22" s="126"/>
      <c r="D22" s="160">
        <f t="shared" si="2"/>
        <v>1.2470681806369866E-7</v>
      </c>
    </row>
    <row r="23" spans="1:4" ht="15.75" thickBot="1" x14ac:dyDescent="0.3"/>
    <row r="24" spans="1:4" ht="15.75" x14ac:dyDescent="0.25">
      <c r="A24" s="133" t="s">
        <v>19</v>
      </c>
      <c r="B24" s="134"/>
      <c r="C24" s="134"/>
      <c r="D24" s="135"/>
    </row>
    <row r="25" spans="1:4" x14ac:dyDescent="0.25">
      <c r="A25" s="136" t="s">
        <v>16</v>
      </c>
      <c r="B25" s="115" t="s">
        <v>14</v>
      </c>
      <c r="C25" s="142"/>
      <c r="D25" s="143" t="s">
        <v>35</v>
      </c>
    </row>
    <row r="26" spans="1:4" x14ac:dyDescent="0.25">
      <c r="A26" s="138">
        <f>B26+273.15</f>
        <v>1273.1500000000001</v>
      </c>
      <c r="B26" s="115">
        <v>1000</v>
      </c>
      <c r="C26" s="140"/>
      <c r="D26" s="159">
        <f>($C$2*A26*J37*$A$2)/(4*($E$2^2)*$E61*D6)</f>
        <v>8.8675098596803833E-3</v>
      </c>
    </row>
    <row r="27" spans="1:4" x14ac:dyDescent="0.25">
      <c r="A27" s="138">
        <f t="shared" ref="A27:A32" si="4">B27+273.15</f>
        <v>1223.1500000000001</v>
      </c>
      <c r="B27" s="115">
        <v>950</v>
      </c>
      <c r="C27" s="140"/>
      <c r="D27" s="159">
        <f>($C$2*A27*J38*$A$2)/(4*($E$2^2)*$E60*D7)</f>
        <v>5.3414658182248505E-2</v>
      </c>
    </row>
    <row r="28" spans="1:4" x14ac:dyDescent="0.25">
      <c r="A28" s="138">
        <f t="shared" si="4"/>
        <v>1173.1500000000001</v>
      </c>
      <c r="B28" s="115">
        <v>900</v>
      </c>
      <c r="C28" s="140"/>
      <c r="D28" s="159">
        <f>($C$2*A28*J39*$A$2)/(4*($E$2^2)*$E59*D8)</f>
        <v>0.28482402404555807</v>
      </c>
    </row>
    <row r="29" spans="1:4" x14ac:dyDescent="0.25">
      <c r="A29" s="138">
        <f t="shared" si="4"/>
        <v>1123.1500000000001</v>
      </c>
      <c r="B29" s="115">
        <v>850</v>
      </c>
      <c r="C29" s="144"/>
      <c r="D29" s="159">
        <f>($C$2*A29*J40*$A$2)/(4*($E$2^2)*$E58*D9)</f>
        <v>0.40745187831721719</v>
      </c>
    </row>
    <row r="30" spans="1:4" s="46" customFormat="1" x14ac:dyDescent="0.25">
      <c r="A30" s="138">
        <f t="shared" si="4"/>
        <v>1073.1500000000001</v>
      </c>
      <c r="B30" s="115">
        <v>800</v>
      </c>
      <c r="C30" s="144"/>
      <c r="D30" s="159">
        <f>($C$2*A30*J41*$A$2)/(4*($E$2^2)*$E57*D10)</f>
        <v>2.2382898368269997</v>
      </c>
    </row>
    <row r="31" spans="1:4" s="46" customFormat="1" x14ac:dyDescent="0.25">
      <c r="A31" s="138">
        <f t="shared" si="4"/>
        <v>1023.15</v>
      </c>
      <c r="B31" s="115">
        <v>750</v>
      </c>
      <c r="C31" s="144"/>
      <c r="D31" s="159">
        <f>($C$2*A31*J42*$A$2)/(4*($E$2^2)*$E56*D11)</f>
        <v>2.4288259139826316</v>
      </c>
    </row>
    <row r="32" spans="1:4" s="46" customFormat="1" ht="15.75" thickBot="1" x14ac:dyDescent="0.3">
      <c r="A32" s="141">
        <f t="shared" si="4"/>
        <v>973.15</v>
      </c>
      <c r="B32" s="126">
        <v>700</v>
      </c>
      <c r="C32" s="129"/>
      <c r="D32" s="160">
        <f>($C$2*A32*J43*$A$2)/(4*($E$2^2)*$E55*D12)</f>
        <v>32.045470635148732</v>
      </c>
    </row>
    <row r="33" spans="1:10" s="46" customFormat="1" x14ac:dyDescent="0.25">
      <c r="A33" s="47"/>
      <c r="B33" s="47"/>
      <c r="C33" s="49"/>
      <c r="D33" s="48"/>
    </row>
    <row r="34" spans="1:10" s="126" customFormat="1" ht="15.75" thickBot="1" x14ac:dyDescent="0.3"/>
    <row r="35" spans="1:10" ht="60" x14ac:dyDescent="0.25">
      <c r="A35" s="34" t="s">
        <v>26</v>
      </c>
    </row>
    <row r="36" spans="1:10" ht="32.25" x14ac:dyDescent="0.25">
      <c r="A36" s="37" t="s">
        <v>16</v>
      </c>
      <c r="B36" s="37" t="s">
        <v>14</v>
      </c>
      <c r="C36" s="118" t="s">
        <v>95</v>
      </c>
      <c r="D36" s="39" t="s">
        <v>31</v>
      </c>
      <c r="E36" s="43" t="s">
        <v>20</v>
      </c>
      <c r="G36" s="41" t="s">
        <v>16</v>
      </c>
      <c r="H36" s="41" t="s">
        <v>14</v>
      </c>
      <c r="I36" s="44" t="s">
        <v>32</v>
      </c>
      <c r="J36" s="45" t="s">
        <v>33</v>
      </c>
    </row>
    <row r="37" spans="1:10" x14ac:dyDescent="0.25">
      <c r="A37" s="11">
        <f t="shared" ref="A37:A61" si="5">B37+273.15</f>
        <v>1273.1500000000001</v>
      </c>
      <c r="B37" s="38">
        <v>1000</v>
      </c>
      <c r="C37" s="30">
        <v>0.21</v>
      </c>
      <c r="D37" s="42">
        <v>6.1999999999999999E-7</v>
      </c>
      <c r="E37" s="42">
        <f t="shared" ref="E37:E61" si="6">((C37*$C$2*$A$2*A37)/((4*($E$2)^2)*D37))</f>
        <v>9.6237522624521427E-2</v>
      </c>
      <c r="G37" s="47">
        <f>H37+273.14</f>
        <v>1273.1399999999999</v>
      </c>
      <c r="H37" s="46">
        <v>1000</v>
      </c>
      <c r="I37" s="48">
        <v>2.0950000000000002</v>
      </c>
      <c r="J37" s="48">
        <f>10^I37</f>
        <v>124.45146117713867</v>
      </c>
    </row>
    <row r="38" spans="1:10" x14ac:dyDescent="0.25">
      <c r="A38" s="11">
        <f t="shared" si="5"/>
        <v>1223.1500000000001</v>
      </c>
      <c r="B38" s="38">
        <v>950</v>
      </c>
      <c r="C38" s="40">
        <f>(9*10^-39)*(B38^12.444)</f>
        <v>0.10210218911638562</v>
      </c>
      <c r="D38" s="42">
        <f>(4*10^-44)*(B38^12.378)</f>
        <v>2.8861757780495812E-7</v>
      </c>
      <c r="E38" s="42">
        <f t="shared" si="6"/>
        <v>9.656711367434645E-2</v>
      </c>
      <c r="G38" s="47">
        <f t="shared" ref="G38:G57" si="7">H38+273.14</f>
        <v>1223.1399999999999</v>
      </c>
      <c r="H38" s="46">
        <v>950</v>
      </c>
      <c r="I38" s="48"/>
      <c r="J38" s="48">
        <f>(1*10^10)*(H38^-2.654)</f>
        <v>125.06090052119228</v>
      </c>
    </row>
    <row r="39" spans="1:10" x14ac:dyDescent="0.25">
      <c r="A39" s="11">
        <f t="shared" si="5"/>
        <v>1173.1500000000001</v>
      </c>
      <c r="B39" s="38">
        <v>900</v>
      </c>
      <c r="C39" s="40">
        <v>4.9000000000000002E-2</v>
      </c>
      <c r="D39" s="42">
        <v>1.4999999999999999E-7</v>
      </c>
      <c r="E39" s="42">
        <f t="shared" si="6"/>
        <v>8.5525499841529504E-2</v>
      </c>
      <c r="G39" s="47">
        <f t="shared" si="7"/>
        <v>1173.1399999999999</v>
      </c>
      <c r="H39" s="46">
        <v>900</v>
      </c>
      <c r="I39" s="48">
        <v>2.1549999999999998</v>
      </c>
      <c r="J39" s="48">
        <f>10^I39</f>
        <v>142.88939585111027</v>
      </c>
    </row>
    <row r="40" spans="1:10" x14ac:dyDescent="0.25">
      <c r="A40" s="11">
        <f t="shared" si="5"/>
        <v>1148.1500000000001</v>
      </c>
      <c r="B40" s="38">
        <v>875</v>
      </c>
      <c r="C40" s="40">
        <f>(9*10^-39)*(B40^12.444)</f>
        <v>3.669363370133856E-2</v>
      </c>
      <c r="D40" s="42">
        <f>(4*10^-44)*(B40^12.378)</f>
        <v>1.0428832006116505E-7</v>
      </c>
      <c r="E40" s="42">
        <f t="shared" si="6"/>
        <v>9.0155231911936529E-2</v>
      </c>
      <c r="G40" s="47">
        <f t="shared" si="7"/>
        <v>1123.1399999999999</v>
      </c>
      <c r="H40" s="46">
        <v>850</v>
      </c>
      <c r="I40" s="48"/>
      <c r="J40" s="48">
        <f>(1*10^10)*(H40^-2.654)</f>
        <v>168.00498614694925</v>
      </c>
    </row>
    <row r="41" spans="1:10" x14ac:dyDescent="0.25">
      <c r="A41" s="11">
        <f t="shared" si="5"/>
        <v>1123.1500000000001</v>
      </c>
      <c r="B41" s="38">
        <v>850</v>
      </c>
      <c r="C41" s="40">
        <f>(9*10^-39)*(B41^12.444)</f>
        <v>2.5581830733593287E-2</v>
      </c>
      <c r="D41" s="42">
        <f>(4*10^-44)*(B41^12.378)</f>
        <v>7.2846292583330114E-8</v>
      </c>
      <c r="E41" s="42">
        <f t="shared" si="6"/>
        <v>8.8023611624812689E-2</v>
      </c>
      <c r="G41" s="47">
        <f t="shared" si="7"/>
        <v>1073.1399999999999</v>
      </c>
      <c r="H41" s="46">
        <v>800</v>
      </c>
      <c r="I41" s="48">
        <v>2.35</v>
      </c>
      <c r="J41" s="48">
        <f>10^I41</f>
        <v>223.87211385683412</v>
      </c>
    </row>
    <row r="42" spans="1:10" x14ac:dyDescent="0.25">
      <c r="A42" s="11">
        <f t="shared" si="5"/>
        <v>1073.1500000000001</v>
      </c>
      <c r="B42" s="38">
        <v>800</v>
      </c>
      <c r="C42" s="40">
        <v>1.2999999999999999E-2</v>
      </c>
      <c r="D42" s="42">
        <v>3.8999999999999998E-8</v>
      </c>
      <c r="E42" s="42">
        <f t="shared" si="6"/>
        <v>7.9831893510962024E-2</v>
      </c>
      <c r="G42" s="47">
        <f t="shared" si="7"/>
        <v>1023.14</v>
      </c>
      <c r="H42" s="46">
        <v>750</v>
      </c>
      <c r="I42" s="48"/>
      <c r="J42" s="48">
        <f>(1*10^10)*(H42^-2.654)</f>
        <v>234.20027838088862</v>
      </c>
    </row>
    <row r="43" spans="1:10" x14ac:dyDescent="0.25">
      <c r="A43" s="11">
        <f t="shared" si="5"/>
        <v>1048.1500000000001</v>
      </c>
      <c r="B43" s="38">
        <v>775</v>
      </c>
      <c r="C43" s="40">
        <f t="shared" ref="C43:C61" si="8">(9*10^-39)*(B43^12.444)</f>
        <v>8.1042512268992284E-3</v>
      </c>
      <c r="D43" s="42">
        <f t="shared" ref="D43:D61" si="9">(4*10^-44)*(B43^12.378)</f>
        <v>2.3218623266510708E-8</v>
      </c>
      <c r="E43" s="42">
        <f t="shared" si="6"/>
        <v>8.1646415779241754E-2</v>
      </c>
      <c r="G43" s="47">
        <f t="shared" si="7"/>
        <v>973.14</v>
      </c>
      <c r="H43" s="46">
        <v>700</v>
      </c>
      <c r="I43" s="48"/>
      <c r="J43" s="48">
        <f t="shared" ref="J43:J57" si="10">(1*10^10)*(H43^-2.654)</f>
        <v>281.26118475207005</v>
      </c>
    </row>
    <row r="44" spans="1:10" x14ac:dyDescent="0.25">
      <c r="A44" s="11">
        <f t="shared" si="5"/>
        <v>1023.15</v>
      </c>
      <c r="B44" s="38">
        <v>750</v>
      </c>
      <c r="C44" s="40">
        <f t="shared" si="8"/>
        <v>5.3889588964374851E-3</v>
      </c>
      <c r="D44" s="42">
        <f t="shared" si="9"/>
        <v>1.5472778540458326E-8</v>
      </c>
      <c r="E44" s="42">
        <f t="shared" si="6"/>
        <v>7.9526729965448933E-2</v>
      </c>
      <c r="G44" s="47">
        <f t="shared" si="7"/>
        <v>948.14</v>
      </c>
      <c r="H44" s="46">
        <v>675</v>
      </c>
      <c r="I44" s="48"/>
      <c r="J44" s="48">
        <f t="shared" si="10"/>
        <v>309.76174837603838</v>
      </c>
    </row>
    <row r="45" spans="1:10" x14ac:dyDescent="0.25">
      <c r="A45" s="11">
        <f t="shared" si="5"/>
        <v>998.15</v>
      </c>
      <c r="B45" s="38">
        <v>725</v>
      </c>
      <c r="C45" s="40">
        <f t="shared" si="8"/>
        <v>3.5341799864840625E-3</v>
      </c>
      <c r="D45" s="42">
        <f t="shared" si="9"/>
        <v>1.0170067529624141E-8</v>
      </c>
      <c r="E45" s="42">
        <f t="shared" si="6"/>
        <v>7.7410147106395544E-2</v>
      </c>
      <c r="G45" s="47">
        <f t="shared" si="7"/>
        <v>923.14</v>
      </c>
      <c r="H45" s="46">
        <v>650</v>
      </c>
      <c r="I45" s="48"/>
      <c r="J45" s="48">
        <f t="shared" si="10"/>
        <v>342.39542370517677</v>
      </c>
    </row>
    <row r="46" spans="1:10" x14ac:dyDescent="0.25">
      <c r="A46" s="11">
        <f t="shared" si="5"/>
        <v>973.15</v>
      </c>
      <c r="B46" s="38">
        <v>700</v>
      </c>
      <c r="C46" s="40">
        <f t="shared" si="8"/>
        <v>2.2837182335339024E-3</v>
      </c>
      <c r="D46" s="42">
        <f t="shared" si="9"/>
        <v>6.5869373173325138E-9</v>
      </c>
      <c r="E46" s="42">
        <f t="shared" si="6"/>
        <v>7.5296715239057996E-2</v>
      </c>
      <c r="G46" s="47">
        <f t="shared" si="7"/>
        <v>898.14</v>
      </c>
      <c r="H46" s="46">
        <v>625</v>
      </c>
      <c r="I46" s="48"/>
      <c r="J46" s="48">
        <f t="shared" si="10"/>
        <v>379.95698598611909</v>
      </c>
    </row>
    <row r="47" spans="1:10" x14ac:dyDescent="0.25">
      <c r="A47" s="11">
        <f t="shared" si="5"/>
        <v>948.15</v>
      </c>
      <c r="B47" s="38">
        <v>675</v>
      </c>
      <c r="C47" s="40">
        <f t="shared" si="8"/>
        <v>1.4524415308248199E-3</v>
      </c>
      <c r="D47" s="42">
        <f t="shared" si="9"/>
        <v>4.1993501786435929E-9</v>
      </c>
      <c r="E47" s="42">
        <f t="shared" si="6"/>
        <v>7.318648200962688E-2</v>
      </c>
      <c r="G47" s="47">
        <f t="shared" si="7"/>
        <v>873.14</v>
      </c>
      <c r="H47" s="46">
        <v>600</v>
      </c>
      <c r="I47" s="48"/>
      <c r="J47" s="48">
        <f t="shared" si="10"/>
        <v>423.43483298251357</v>
      </c>
    </row>
    <row r="48" spans="1:10" x14ac:dyDescent="0.25">
      <c r="A48" s="11">
        <f t="shared" si="5"/>
        <v>923.15</v>
      </c>
      <c r="B48" s="38">
        <v>650</v>
      </c>
      <c r="C48" s="40">
        <f t="shared" si="8"/>
        <v>9.0810552819920755E-4</v>
      </c>
      <c r="D48" s="42">
        <f t="shared" si="9"/>
        <v>2.6320947555841193E-9</v>
      </c>
      <c r="E48" s="42">
        <f t="shared" si="6"/>
        <v>7.1079494213270783E-2</v>
      </c>
      <c r="G48" s="47">
        <f t="shared" si="7"/>
        <v>848.14</v>
      </c>
      <c r="H48" s="46">
        <v>575</v>
      </c>
      <c r="I48" s="48"/>
      <c r="J48" s="48">
        <f t="shared" si="10"/>
        <v>474.06898148437671</v>
      </c>
    </row>
    <row r="49" spans="1:10" x14ac:dyDescent="0.25">
      <c r="A49" s="11">
        <f t="shared" si="5"/>
        <v>873.15</v>
      </c>
      <c r="B49" s="38">
        <v>600</v>
      </c>
      <c r="C49" s="40">
        <f t="shared" si="8"/>
        <v>3.3539506585062118E-4</v>
      </c>
      <c r="D49" s="42">
        <f t="shared" si="9"/>
        <v>9.7727360370932849E-10</v>
      </c>
      <c r="E49" s="42">
        <f t="shared" si="6"/>
        <v>6.6875434096637251E-2</v>
      </c>
      <c r="G49" s="47">
        <f t="shared" si="7"/>
        <v>823.14</v>
      </c>
      <c r="H49" s="46">
        <v>550</v>
      </c>
      <c r="I49" s="48"/>
      <c r="J49" s="48">
        <f t="shared" si="10"/>
        <v>533.42998207212156</v>
      </c>
    </row>
    <row r="50" spans="1:10" x14ac:dyDescent="0.25">
      <c r="A50" s="11">
        <f t="shared" si="5"/>
        <v>848.15</v>
      </c>
      <c r="B50" s="38">
        <v>575</v>
      </c>
      <c r="C50" s="40">
        <f t="shared" si="8"/>
        <v>1.9749184576340812E-4</v>
      </c>
      <c r="D50" s="42">
        <f t="shared" si="9"/>
        <v>5.77070100405891E-10</v>
      </c>
      <c r="E50" s="42">
        <f t="shared" si="6"/>
        <v>6.4778444820645278E-2</v>
      </c>
      <c r="G50" s="47">
        <f t="shared" si="7"/>
        <v>798.14</v>
      </c>
      <c r="H50" s="46">
        <v>525</v>
      </c>
      <c r="I50" s="48"/>
      <c r="J50" s="48">
        <f t="shared" si="10"/>
        <v>603.5277015782716</v>
      </c>
    </row>
    <row r="51" spans="1:10" x14ac:dyDescent="0.25">
      <c r="A51" s="11">
        <f t="shared" si="5"/>
        <v>823.15</v>
      </c>
      <c r="B51" s="38">
        <v>550</v>
      </c>
      <c r="C51" s="40">
        <f t="shared" si="8"/>
        <v>1.1358364919481965E-4</v>
      </c>
      <c r="D51" s="42">
        <f t="shared" si="9"/>
        <v>3.3286594228296319E-10</v>
      </c>
      <c r="E51" s="42">
        <f t="shared" si="6"/>
        <v>6.2684864764695966E-2</v>
      </c>
      <c r="G51" s="47">
        <f t="shared" si="7"/>
        <v>773.14</v>
      </c>
      <c r="H51" s="46">
        <v>500</v>
      </c>
      <c r="I51" s="48"/>
      <c r="J51" s="48">
        <f t="shared" si="10"/>
        <v>686.96341444955533</v>
      </c>
    </row>
    <row r="52" spans="1:10" x14ac:dyDescent="0.25">
      <c r="A52" s="11">
        <f t="shared" si="5"/>
        <v>798.15</v>
      </c>
      <c r="B52" s="38">
        <v>525</v>
      </c>
      <c r="C52" s="40">
        <f t="shared" si="8"/>
        <v>6.366560655191718E-5</v>
      </c>
      <c r="D52" s="42">
        <f t="shared" si="9"/>
        <v>1.871508693734913E-10</v>
      </c>
      <c r="E52" s="42">
        <f t="shared" si="6"/>
        <v>6.0594723102735254E-2</v>
      </c>
      <c r="G52" s="47">
        <f t="shared" si="7"/>
        <v>748.14</v>
      </c>
      <c r="H52" s="46">
        <v>475</v>
      </c>
      <c r="I52" s="48"/>
      <c r="J52" s="48">
        <f t="shared" si="10"/>
        <v>787.14575929737975</v>
      </c>
    </row>
    <row r="53" spans="1:10" x14ac:dyDescent="0.25">
      <c r="A53" s="11">
        <f t="shared" si="5"/>
        <v>773.15</v>
      </c>
      <c r="B53" s="38">
        <v>500</v>
      </c>
      <c r="C53" s="40">
        <f t="shared" si="8"/>
        <v>3.4691672941888225E-5</v>
      </c>
      <c r="D53" s="42">
        <f t="shared" si="9"/>
        <v>1.0230826153147995E-10</v>
      </c>
      <c r="E53" s="42">
        <f t="shared" si="6"/>
        <v>5.8508040553202807E-2</v>
      </c>
      <c r="G53" s="47">
        <f t="shared" si="7"/>
        <v>648.14</v>
      </c>
      <c r="H53" s="46">
        <v>375</v>
      </c>
      <c r="I53" s="48"/>
      <c r="J53" s="48">
        <f t="shared" si="10"/>
        <v>1474.0798697714731</v>
      </c>
    </row>
    <row r="54" spans="1:10" x14ac:dyDescent="0.25">
      <c r="A54" s="11">
        <f t="shared" si="5"/>
        <v>748.15</v>
      </c>
      <c r="B54" s="38">
        <v>475</v>
      </c>
      <c r="C54" s="40">
        <f t="shared" si="8"/>
        <v>1.8323894709046523E-5</v>
      </c>
      <c r="D54" s="42">
        <f t="shared" si="9"/>
        <v>5.4221745130269593E-11</v>
      </c>
      <c r="E54" s="42">
        <f t="shared" si="6"/>
        <v>5.6424826421267754E-2</v>
      </c>
      <c r="G54" s="47">
        <f t="shared" si="7"/>
        <v>623.14</v>
      </c>
      <c r="H54" s="46">
        <v>350</v>
      </c>
      <c r="I54" s="48"/>
      <c r="J54" s="48">
        <f t="shared" si="10"/>
        <v>1770.2858999886346</v>
      </c>
    </row>
    <row r="55" spans="1:10" x14ac:dyDescent="0.25">
      <c r="A55" s="11">
        <f t="shared" si="5"/>
        <v>723.15</v>
      </c>
      <c r="B55" s="38">
        <v>450</v>
      </c>
      <c r="C55" s="40">
        <f t="shared" si="8"/>
        <v>9.3501597475348145E-6</v>
      </c>
      <c r="D55" s="42">
        <f t="shared" si="9"/>
        <v>2.7766713988411388E-11</v>
      </c>
      <c r="E55" s="42">
        <f t="shared" si="6"/>
        <v>5.4345074653597766E-2</v>
      </c>
      <c r="G55" s="47">
        <f t="shared" si="7"/>
        <v>598.14</v>
      </c>
      <c r="H55" s="46">
        <v>325</v>
      </c>
      <c r="I55" s="48"/>
      <c r="J55" s="48">
        <f t="shared" si="10"/>
        <v>2155.0708866572413</v>
      </c>
    </row>
    <row r="56" spans="1:10" x14ac:dyDescent="0.25">
      <c r="A56" s="11">
        <f t="shared" si="5"/>
        <v>673.15</v>
      </c>
      <c r="B56" s="38">
        <v>400</v>
      </c>
      <c r="C56" s="40">
        <f t="shared" si="8"/>
        <v>2.1591212986435195E-6</v>
      </c>
      <c r="D56" s="42">
        <f t="shared" si="9"/>
        <v>6.4618751683590131E-12</v>
      </c>
      <c r="E56" s="42">
        <f t="shared" si="6"/>
        <v>5.019582341158349E-2</v>
      </c>
      <c r="G56" s="47">
        <f t="shared" si="7"/>
        <v>573.14</v>
      </c>
      <c r="H56" s="46">
        <v>300</v>
      </c>
      <c r="I56" s="48"/>
      <c r="J56" s="48">
        <f t="shared" si="10"/>
        <v>2665.140997161614</v>
      </c>
    </row>
    <row r="57" spans="1:10" x14ac:dyDescent="0.25">
      <c r="A57" s="11">
        <f t="shared" si="5"/>
        <v>648.15</v>
      </c>
      <c r="B57" s="38">
        <v>375</v>
      </c>
      <c r="C57" s="40">
        <f t="shared" si="8"/>
        <v>9.6713612376262853E-7</v>
      </c>
      <c r="D57" s="42">
        <f t="shared" si="9"/>
        <v>2.9068259142718909E-12</v>
      </c>
      <c r="E57" s="42">
        <f t="shared" si="6"/>
        <v>4.8126176809324774E-2</v>
      </c>
      <c r="G57" s="47">
        <f t="shared" si="7"/>
        <v>548.14</v>
      </c>
      <c r="H57" s="46">
        <v>275</v>
      </c>
      <c r="I57" s="48"/>
      <c r="J57" s="48">
        <f t="shared" si="10"/>
        <v>3357.4614169597576</v>
      </c>
    </row>
    <row r="58" spans="1:10" x14ac:dyDescent="0.25">
      <c r="A58" s="11">
        <f t="shared" si="5"/>
        <v>623.15</v>
      </c>
      <c r="B58" s="38">
        <v>350</v>
      </c>
      <c r="C58" s="40">
        <f t="shared" si="8"/>
        <v>4.0985029624295583E-7</v>
      </c>
      <c r="D58" s="42">
        <f t="shared" si="9"/>
        <v>1.237468761001187E-12</v>
      </c>
      <c r="E58" s="42">
        <f t="shared" si="6"/>
        <v>4.605967439404806E-2</v>
      </c>
    </row>
    <row r="59" spans="1:10" x14ac:dyDescent="0.25">
      <c r="A59" s="11">
        <f t="shared" si="5"/>
        <v>598.15</v>
      </c>
      <c r="B59" s="38">
        <v>325</v>
      </c>
      <c r="C59" s="40">
        <f t="shared" si="8"/>
        <v>1.6297427339640581E-7</v>
      </c>
      <c r="D59" s="42">
        <f t="shared" si="9"/>
        <v>4.9448398840228099E-13</v>
      </c>
      <c r="E59" s="42">
        <f t="shared" si="6"/>
        <v>4.3996100165167362E-2</v>
      </c>
    </row>
    <row r="60" spans="1:10" x14ac:dyDescent="0.25">
      <c r="A60" s="11">
        <f t="shared" si="5"/>
        <v>573.15</v>
      </c>
      <c r="B60" s="38">
        <v>300</v>
      </c>
      <c r="C60" s="40">
        <f t="shared" si="8"/>
        <v>6.019208721935448E-8</v>
      </c>
      <c r="D60" s="42">
        <f t="shared" si="9"/>
        <v>1.8359755031509727E-13</v>
      </c>
      <c r="E60" s="42">
        <f t="shared" si="6"/>
        <v>4.1935137638511664E-2</v>
      </c>
    </row>
    <row r="61" spans="1:10" x14ac:dyDescent="0.25">
      <c r="A61" s="11">
        <f t="shared" si="5"/>
        <v>548.15</v>
      </c>
      <c r="B61" s="38">
        <v>275</v>
      </c>
      <c r="C61" s="40">
        <f t="shared" si="8"/>
        <v>2.0384429036508685E-8</v>
      </c>
      <c r="D61" s="42">
        <f t="shared" si="9"/>
        <v>6.2534556703995943E-14</v>
      </c>
      <c r="E61" s="42">
        <f t="shared" si="6"/>
        <v>3.9876327069705786E-2</v>
      </c>
    </row>
  </sheetData>
  <sortState ref="A41:E65">
    <sortCondition descending="1" ref="A41"/>
  </sortState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workbookViewId="0">
      <selection activeCell="E11" sqref="E11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108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107</v>
      </c>
    </row>
    <row r="6" spans="1:19" x14ac:dyDescent="0.25">
      <c r="A6" s="138">
        <f>B6+273.15</f>
        <v>873.07650332860419</v>
      </c>
      <c r="B6" s="148">
        <v>599.92650332860421</v>
      </c>
      <c r="C6" s="144">
        <f>'LSC,Egger (Solid State Ionics)'!K52</f>
        <v>145.40690505548707</v>
      </c>
      <c r="D6" s="157">
        <f>D13*C6</f>
        <v>3.8141515796405055E-4</v>
      </c>
    </row>
    <row r="7" spans="1:19" x14ac:dyDescent="0.25">
      <c r="A7" s="138">
        <f t="shared" ref="A7:A9" si="0">B7+273.15</f>
        <v>823.38410868670246</v>
      </c>
      <c r="B7" s="148">
        <v>550.23410868670248</v>
      </c>
      <c r="C7" s="144">
        <f>'LSC,Egger (Solid State Ionics)'!K55</f>
        <v>237.20330197337634</v>
      </c>
      <c r="D7" s="157">
        <f>D14*C7</f>
        <v>1.9298880722914928E-4</v>
      </c>
      <c r="H7" s="111" t="s">
        <v>18</v>
      </c>
    </row>
    <row r="8" spans="1:19" ht="15.75" x14ac:dyDescent="0.25">
      <c r="A8" s="138">
        <f t="shared" si="0"/>
        <v>772.72288225635089</v>
      </c>
      <c r="B8" s="148">
        <v>499.57288225635091</v>
      </c>
      <c r="C8" s="144">
        <f>'LSC,Egger (Solid State Ionics)'!K58</f>
        <v>208.3201922400124</v>
      </c>
      <c r="D8" s="157">
        <f>D15*C8</f>
        <v>6.2328478608721005E-5</v>
      </c>
      <c r="G8" s="111">
        <v>1</v>
      </c>
      <c r="H8" s="35" t="s">
        <v>93</v>
      </c>
    </row>
    <row r="9" spans="1:19" ht="16.5" thickBot="1" x14ac:dyDescent="0.3">
      <c r="A9" s="141">
        <f t="shared" si="0"/>
        <v>722.8724057916537</v>
      </c>
      <c r="B9" s="149">
        <v>449.72240579165373</v>
      </c>
      <c r="C9" s="129">
        <f>'LSC,Egger (Solid State Ionics)'!K60</f>
        <v>281.16236374605825</v>
      </c>
      <c r="D9" s="158">
        <f>D16*C9</f>
        <v>2.4511721344762788E-5</v>
      </c>
      <c r="G9" s="111">
        <v>2</v>
      </c>
      <c r="H9" s="35" t="s">
        <v>94</v>
      </c>
    </row>
    <row r="10" spans="1:19" ht="15.75" thickBot="1" x14ac:dyDescent="0.3">
      <c r="A10" s="112"/>
      <c r="B10" s="112"/>
      <c r="D10" s="114"/>
    </row>
    <row r="11" spans="1:19" ht="19.5" thickBot="1" x14ac:dyDescent="0.3">
      <c r="A11" s="133" t="s">
        <v>13</v>
      </c>
      <c r="B11" s="134"/>
      <c r="C11" s="134"/>
      <c r="D11" s="135"/>
      <c r="H11" s="169" t="s">
        <v>184</v>
      </c>
    </row>
    <row r="12" spans="1:19" ht="47.25" x14ac:dyDescent="0.25">
      <c r="A12" s="136" t="s">
        <v>16</v>
      </c>
      <c r="B12" s="115" t="s">
        <v>14</v>
      </c>
      <c r="C12" s="142" t="s">
        <v>111</v>
      </c>
      <c r="D12" s="137" t="s">
        <v>15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873.07650332860419</v>
      </c>
      <c r="B13" s="148">
        <v>599.92650332860421</v>
      </c>
      <c r="C13" s="140">
        <f>'LSC,Egger (Solid State Ionics)'!C67</f>
        <v>5.8374835889035401E-2</v>
      </c>
      <c r="D13" s="157">
        <f>($C$2*$A$2*A13)/(4*($E$2^2)*C13*D20)</f>
        <v>2.6230883452096245E-6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ref="A14:A16" si="1">B14+273.15</f>
        <v>823.38410868670246</v>
      </c>
      <c r="B14" s="148">
        <v>550.23410868670248</v>
      </c>
      <c r="C14" s="140">
        <f>'LSC,Egger (Solid State Ionics)'!C69</f>
        <v>9.3351363999339021E-2</v>
      </c>
      <c r="D14" s="157">
        <f>($C$2*$A$2*A14)/(4*($E$2^2)*C14*D21)</f>
        <v>8.1360084629349007E-7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1"/>
        <v>772.72288225635089</v>
      </c>
      <c r="B15" s="148">
        <v>499.57288225635091</v>
      </c>
      <c r="C15" s="140">
        <f>'LSC,Egger (Solid State Ionics)'!C71</f>
        <v>7.9476981953167547E-2</v>
      </c>
      <c r="D15" s="157">
        <f>($C$2*$A$2*A15)/(4*($E$2^2)*C15*D22)</f>
        <v>2.9919556975499694E-7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A16" s="141">
        <f t="shared" si="1"/>
        <v>722.8724057916537</v>
      </c>
      <c r="B16" s="149">
        <v>449.72240579165373</v>
      </c>
      <c r="C16" s="130">
        <f>'LSC,Egger (Solid State Ionics)'!C72</f>
        <v>8.0689610356642766E-2</v>
      </c>
      <c r="D16" s="158">
        <f>($C$2*$A$2*A16)/(4*($E$2^2)*C16*D23)</f>
        <v>8.7179951890365444E-8</v>
      </c>
    </row>
    <row r="17" spans="1:12" ht="15.75" thickBot="1" x14ac:dyDescent="0.3"/>
    <row r="18" spans="1:12" ht="15.75" x14ac:dyDescent="0.25">
      <c r="A18" s="133" t="s">
        <v>19</v>
      </c>
      <c r="B18" s="134"/>
      <c r="C18" s="134"/>
      <c r="D18" s="135"/>
      <c r="G18" s="119"/>
      <c r="H18" s="119"/>
    </row>
    <row r="19" spans="1:12" x14ac:dyDescent="0.25">
      <c r="A19" s="136" t="s">
        <v>16</v>
      </c>
      <c r="B19" s="115" t="s">
        <v>14</v>
      </c>
      <c r="C19" s="142"/>
      <c r="D19" s="143" t="s">
        <v>35</v>
      </c>
      <c r="G19" s="119"/>
      <c r="H19" s="114"/>
    </row>
    <row r="20" spans="1:12" x14ac:dyDescent="0.25">
      <c r="A20" s="138">
        <f>B20+273.15</f>
        <v>873.07650332860419</v>
      </c>
      <c r="B20" s="148">
        <v>599.92650332860421</v>
      </c>
      <c r="C20" s="140"/>
      <c r="D20" s="167">
        <v>1.2724800000000001</v>
      </c>
      <c r="G20" s="119"/>
      <c r="H20" s="114"/>
      <c r="K20" s="118"/>
      <c r="L20" s="118"/>
    </row>
    <row r="21" spans="1:12" x14ac:dyDescent="0.25">
      <c r="A21" s="138">
        <f t="shared" ref="A21:A23" si="2">B21+273.15</f>
        <v>823.38410868670246</v>
      </c>
      <c r="B21" s="148">
        <v>550.23410868670248</v>
      </c>
      <c r="C21" s="140"/>
      <c r="D21" s="167">
        <v>2.4194</v>
      </c>
      <c r="G21" s="119"/>
      <c r="H21" s="114"/>
      <c r="J21" s="113"/>
      <c r="K21" s="113"/>
      <c r="L21" s="113"/>
    </row>
    <row r="22" spans="1:12" x14ac:dyDescent="0.25">
      <c r="A22" s="138">
        <f t="shared" si="2"/>
        <v>772.72288225635089</v>
      </c>
      <c r="B22" s="148">
        <v>499.57288225635091</v>
      </c>
      <c r="C22" s="140"/>
      <c r="D22" s="167">
        <v>7.2521120000000003</v>
      </c>
      <c r="G22" s="119"/>
      <c r="H22" s="114"/>
      <c r="J22" s="113"/>
      <c r="K22" s="113"/>
      <c r="L22" s="113"/>
    </row>
    <row r="23" spans="1:12" ht="15.75" thickBot="1" x14ac:dyDescent="0.3">
      <c r="A23" s="141">
        <f t="shared" si="2"/>
        <v>722.8724057916537</v>
      </c>
      <c r="B23" s="149">
        <v>449.72240579165373</v>
      </c>
      <c r="C23" s="130"/>
      <c r="D23" s="168">
        <v>22.933199999999999</v>
      </c>
      <c r="G23" s="119"/>
      <c r="H23" s="114"/>
      <c r="J23" s="113"/>
      <c r="K23" s="113"/>
      <c r="L23" s="113"/>
    </row>
    <row r="24" spans="1:12" x14ac:dyDescent="0.25">
      <c r="D24" s="114"/>
      <c r="G24" s="119"/>
      <c r="H24" s="114"/>
    </row>
    <row r="25" spans="1:12" s="126" customFormat="1" ht="15.75" thickBot="1" x14ac:dyDescent="0.3">
      <c r="D25" s="129"/>
      <c r="G25" s="128"/>
      <c r="H25" s="129"/>
    </row>
    <row r="26" spans="1:12" ht="60" x14ac:dyDescent="0.25">
      <c r="A26" s="118" t="s">
        <v>26</v>
      </c>
      <c r="D26" s="114"/>
      <c r="G26" s="119"/>
      <c r="H26" s="114"/>
    </row>
    <row r="27" spans="1:12" ht="45" x14ac:dyDescent="0.25">
      <c r="A27" s="111" t="s">
        <v>16</v>
      </c>
      <c r="B27" s="111" t="s">
        <v>14</v>
      </c>
      <c r="C27" s="118" t="s">
        <v>51</v>
      </c>
      <c r="D27" s="118" t="s">
        <v>20</v>
      </c>
      <c r="K27" s="118"/>
    </row>
    <row r="28" spans="1:12" x14ac:dyDescent="0.25">
      <c r="A28" s="112">
        <f>B28+273.15</f>
        <v>873.07650332860419</v>
      </c>
      <c r="B28" s="117">
        <v>599.92650332860421</v>
      </c>
      <c r="C28" s="113">
        <f>'LSC,Berenov (Solid State Ionic)'!D17</f>
        <v>9.09E-8</v>
      </c>
      <c r="D28" s="114">
        <f>($C$2*$A$2*A28)/(4*($E$2^2)*D20*C28)</f>
        <v>1.6845143198465702</v>
      </c>
      <c r="H28" s="114"/>
      <c r="I28" s="112"/>
      <c r="J28" s="117"/>
      <c r="K28" s="114"/>
    </row>
    <row r="29" spans="1:12" x14ac:dyDescent="0.25">
      <c r="A29" s="112">
        <f t="shared" ref="A29:A31" si="3">B29+273.15</f>
        <v>823.38410868670246</v>
      </c>
      <c r="B29" s="117">
        <v>550.23410868670248</v>
      </c>
      <c r="C29" s="113">
        <f>'LSC,Berenov (Solid State Ionic)'!D19</f>
        <v>1.0450842879170713E-7</v>
      </c>
      <c r="D29" s="114">
        <f>($C$2*$A$2*A29)/(4*($E$2^2)*D21*C29)</f>
        <v>0.7267428056342633</v>
      </c>
      <c r="H29" s="114"/>
      <c r="I29" s="112"/>
      <c r="J29" s="117"/>
      <c r="K29" s="114"/>
    </row>
    <row r="30" spans="1:12" x14ac:dyDescent="0.25">
      <c r="A30" s="112">
        <f t="shared" si="3"/>
        <v>772.72288225635089</v>
      </c>
      <c r="B30" s="117">
        <v>499.57288225635091</v>
      </c>
      <c r="C30" s="113">
        <f>'LSC,Berenov (Solid State Ionic)'!D21</f>
        <v>5.2157486409015102E-8</v>
      </c>
      <c r="D30" s="114">
        <f>($C$2*$A$2*A30)/(4*($E$2^2)*D22*C30)</f>
        <v>0.45591079124118777</v>
      </c>
      <c r="H30" s="114"/>
      <c r="I30" s="112"/>
      <c r="J30" s="117"/>
      <c r="K30" s="114"/>
    </row>
    <row r="31" spans="1:12" x14ac:dyDescent="0.25">
      <c r="A31" s="112">
        <f t="shared" si="3"/>
        <v>722.8724057916537</v>
      </c>
      <c r="B31" s="117">
        <v>449.72240579165373</v>
      </c>
      <c r="C31" s="113">
        <f>'LSC,Berenov (Solid State Ionic)'!D23</f>
        <v>2.66E-8</v>
      </c>
      <c r="D31" s="114">
        <f>($C$2*$A$2*A31)/(4*($E$2^2)*D23*C31)</f>
        <v>0.26445550184001693</v>
      </c>
      <c r="H31" s="114"/>
      <c r="I31" s="112"/>
      <c r="J31" s="117"/>
      <c r="K31" s="114"/>
    </row>
    <row r="32" spans="1:12" x14ac:dyDescent="0.25">
      <c r="A32" s="112"/>
      <c r="D32" s="114"/>
      <c r="I32" s="112"/>
      <c r="J32" s="112"/>
      <c r="K32" s="114"/>
    </row>
    <row r="33" spans="1:11" x14ac:dyDescent="0.25">
      <c r="A33" s="112"/>
      <c r="D33" s="114"/>
      <c r="E33" s="112"/>
      <c r="F33" s="119"/>
      <c r="G33" s="114"/>
      <c r="I33" s="112"/>
      <c r="J33" s="112"/>
      <c r="K33" s="114"/>
    </row>
    <row r="34" spans="1:11" x14ac:dyDescent="0.25">
      <c r="A34" s="112"/>
      <c r="D34" s="114"/>
      <c r="E34" s="112"/>
      <c r="F34" s="119"/>
      <c r="G34" s="114"/>
      <c r="I34" s="112"/>
      <c r="J34" s="112"/>
      <c r="K34" s="114"/>
    </row>
    <row r="35" spans="1:11" x14ac:dyDescent="0.25">
      <c r="A35" s="112"/>
      <c r="D35" s="114"/>
      <c r="E35" s="112"/>
      <c r="F35" s="119"/>
      <c r="G35" s="114"/>
      <c r="J35" s="113"/>
    </row>
    <row r="36" spans="1:11" x14ac:dyDescent="0.25">
      <c r="A36" s="112"/>
      <c r="D36" s="114"/>
      <c r="E36" s="112"/>
      <c r="F36" s="119"/>
      <c r="G36" s="114"/>
    </row>
    <row r="37" spans="1:11" x14ac:dyDescent="0.25">
      <c r="A37" s="112"/>
      <c r="D37" s="114"/>
      <c r="E37" s="113"/>
      <c r="F37" s="119"/>
    </row>
    <row r="38" spans="1:11" x14ac:dyDescent="0.25">
      <c r="A38" s="112"/>
      <c r="D38" s="114"/>
      <c r="E38" s="113"/>
      <c r="F38" s="119"/>
    </row>
    <row r="39" spans="1:11" x14ac:dyDescent="0.25">
      <c r="A39" s="112"/>
      <c r="D39" s="114"/>
      <c r="E39" s="113"/>
      <c r="F39" s="119"/>
    </row>
    <row r="40" spans="1:11" x14ac:dyDescent="0.25">
      <c r="A40" s="112"/>
      <c r="D40" s="114"/>
      <c r="F40" s="119"/>
      <c r="G40" s="114"/>
      <c r="H40" s="114"/>
    </row>
    <row r="41" spans="1:11" x14ac:dyDescent="0.25">
      <c r="A41" s="112"/>
      <c r="D41" s="114"/>
      <c r="F41" s="119"/>
      <c r="G41" s="114"/>
      <c r="H41" s="114"/>
    </row>
    <row r="42" spans="1:11" x14ac:dyDescent="0.25">
      <c r="A42" s="112"/>
      <c r="D42" s="114"/>
      <c r="F42" s="119"/>
      <c r="G42" s="114"/>
      <c r="H42" s="114"/>
    </row>
    <row r="43" spans="1:11" x14ac:dyDescent="0.25">
      <c r="A43" s="112"/>
      <c r="D43" s="114"/>
      <c r="F43" s="119"/>
      <c r="G43" s="114"/>
      <c r="H43" s="114"/>
    </row>
    <row r="44" spans="1:11" x14ac:dyDescent="0.25">
      <c r="A44" s="112"/>
      <c r="D44" s="114"/>
      <c r="F44" s="119"/>
      <c r="G44" s="114"/>
      <c r="H44" s="114"/>
    </row>
    <row r="45" spans="1:11" x14ac:dyDescent="0.25">
      <c r="A45" s="112"/>
      <c r="C45" s="113"/>
      <c r="D45" s="114"/>
      <c r="F45" s="119"/>
      <c r="G45" s="114"/>
      <c r="H45" s="114"/>
    </row>
    <row r="46" spans="1:11" x14ac:dyDescent="0.25">
      <c r="A46" s="112"/>
      <c r="B46" s="117"/>
      <c r="C46" s="113"/>
      <c r="D46" s="114"/>
      <c r="F46" s="119"/>
      <c r="G46" s="114"/>
      <c r="H46" s="114"/>
    </row>
    <row r="47" spans="1:11" x14ac:dyDescent="0.25">
      <c r="A47" s="112"/>
      <c r="B47" s="117"/>
      <c r="D47" s="114"/>
      <c r="F47" s="119"/>
      <c r="G47" s="114"/>
      <c r="H47" s="114"/>
    </row>
    <row r="48" spans="1:11" x14ac:dyDescent="0.25">
      <c r="A48" s="112"/>
      <c r="B48" s="117"/>
      <c r="D48" s="114"/>
      <c r="F48" s="119"/>
      <c r="G48" s="114"/>
      <c r="H48" s="114"/>
    </row>
    <row r="49" spans="1:8" x14ac:dyDescent="0.25">
      <c r="A49" s="112"/>
      <c r="B49" s="117"/>
      <c r="D49" s="114"/>
      <c r="F49" s="119"/>
      <c r="G49" s="114"/>
      <c r="H49" s="114"/>
    </row>
    <row r="50" spans="1:8" x14ac:dyDescent="0.25">
      <c r="A50" s="112"/>
      <c r="B50" s="117"/>
      <c r="D50" s="114"/>
      <c r="F50" s="119"/>
      <c r="G50" s="114"/>
      <c r="H50" s="114"/>
    </row>
    <row r="51" spans="1:8" x14ac:dyDescent="0.25">
      <c r="A51" s="112"/>
      <c r="B51" s="117"/>
      <c r="D51" s="114"/>
      <c r="F51" s="119"/>
      <c r="G51" s="114"/>
      <c r="H51" s="114"/>
    </row>
    <row r="52" spans="1:8" x14ac:dyDescent="0.25">
      <c r="A52" s="112"/>
      <c r="B52" s="117"/>
      <c r="D52" s="114"/>
      <c r="F52" s="119"/>
      <c r="G52" s="114"/>
      <c r="H52" s="114"/>
    </row>
    <row r="53" spans="1:8" x14ac:dyDescent="0.25">
      <c r="A53" s="112"/>
      <c r="B53" s="117"/>
      <c r="D53" s="114"/>
      <c r="F53" s="119"/>
      <c r="G53" s="114"/>
      <c r="H53" s="114"/>
    </row>
    <row r="54" spans="1:8" x14ac:dyDescent="0.25">
      <c r="A54" s="112"/>
      <c r="B54" s="117"/>
      <c r="D54" s="114"/>
      <c r="F54" s="119"/>
      <c r="G54" s="114"/>
      <c r="H54" s="114"/>
    </row>
    <row r="55" spans="1:8" x14ac:dyDescent="0.25">
      <c r="A55" s="112"/>
      <c r="B55" s="117"/>
      <c r="D55" s="114"/>
      <c r="F55" s="119"/>
      <c r="G55" s="114"/>
      <c r="H55" s="114"/>
    </row>
    <row r="56" spans="1:8" x14ac:dyDescent="0.25">
      <c r="A56" s="112"/>
      <c r="B56" s="117"/>
      <c r="D56" s="114"/>
      <c r="F56" s="119"/>
      <c r="G56" s="114"/>
      <c r="H56" s="114"/>
    </row>
    <row r="57" spans="1:8" x14ac:dyDescent="0.25">
      <c r="A57" s="112"/>
      <c r="B57" s="117"/>
      <c r="D57" s="114"/>
      <c r="F57" s="119"/>
      <c r="G57" s="114"/>
      <c r="H57" s="114"/>
    </row>
    <row r="58" spans="1:8" x14ac:dyDescent="0.25">
      <c r="A58" s="112"/>
      <c r="B58" s="117"/>
      <c r="D58" s="114"/>
      <c r="F58" s="119"/>
      <c r="G58" s="114"/>
      <c r="H58" s="114"/>
    </row>
    <row r="59" spans="1:8" x14ac:dyDescent="0.25">
      <c r="A59" s="112"/>
      <c r="B59" s="117"/>
      <c r="D59" s="114"/>
      <c r="F59" s="119"/>
      <c r="G59" s="114"/>
      <c r="H59" s="114"/>
    </row>
    <row r="60" spans="1:8" x14ac:dyDescent="0.25">
      <c r="A60" s="112"/>
      <c r="B60" s="117"/>
      <c r="D60" s="114"/>
      <c r="F60" s="119"/>
      <c r="G60" s="114"/>
      <c r="H60" s="114"/>
    </row>
    <row r="61" spans="1:8" x14ac:dyDescent="0.25">
      <c r="A61" s="112"/>
      <c r="B61" s="117"/>
      <c r="D61" s="114"/>
      <c r="F61" s="119"/>
      <c r="G61" s="114"/>
      <c r="H61" s="114"/>
    </row>
    <row r="62" spans="1:8" x14ac:dyDescent="0.25">
      <c r="A62" s="112"/>
      <c r="B62" s="117"/>
      <c r="D62" s="114"/>
      <c r="F62" s="119"/>
      <c r="G62" s="114"/>
      <c r="H62" s="114"/>
    </row>
    <row r="63" spans="1:8" x14ac:dyDescent="0.25">
      <c r="A63" s="112"/>
      <c r="B63" s="117"/>
      <c r="D63" s="114"/>
      <c r="F63" s="119"/>
      <c r="G63" s="114"/>
      <c r="H63" s="114"/>
    </row>
    <row r="64" spans="1:8" x14ac:dyDescent="0.25">
      <c r="A64" s="112"/>
      <c r="B64" s="117"/>
      <c r="D64" s="114"/>
      <c r="F64" s="119"/>
      <c r="G64" s="114"/>
      <c r="H64" s="114"/>
    </row>
    <row r="65" spans="1:8" x14ac:dyDescent="0.25">
      <c r="A65" s="112"/>
      <c r="B65" s="117"/>
      <c r="D65" s="114"/>
      <c r="F65" s="119"/>
      <c r="G65" s="114"/>
      <c r="H65" s="114"/>
    </row>
    <row r="66" spans="1:8" x14ac:dyDescent="0.25">
      <c r="A66" s="112"/>
      <c r="B66" s="117"/>
      <c r="D66" s="114"/>
      <c r="F66" s="119"/>
      <c r="G66" s="114"/>
      <c r="H66" s="114"/>
    </row>
    <row r="67" spans="1:8" x14ac:dyDescent="0.25">
      <c r="A67" s="112"/>
      <c r="B67" s="117"/>
      <c r="D67" s="114"/>
      <c r="F67" s="119"/>
      <c r="G67" s="114"/>
      <c r="H67" s="114"/>
    </row>
    <row r="68" spans="1:8" x14ac:dyDescent="0.25">
      <c r="A68" s="112"/>
      <c r="B68" s="117"/>
      <c r="D68" s="114"/>
      <c r="F68" s="119"/>
      <c r="G68" s="114"/>
      <c r="H68" s="114"/>
    </row>
    <row r="69" spans="1:8" x14ac:dyDescent="0.25">
      <c r="A69" s="112"/>
      <c r="B69" s="117"/>
      <c r="D69" s="114"/>
      <c r="F69" s="119"/>
      <c r="G69" s="114"/>
      <c r="H69" s="114"/>
    </row>
    <row r="70" spans="1:8" x14ac:dyDescent="0.25">
      <c r="A70" s="112"/>
      <c r="B70" s="117"/>
      <c r="D70" s="114"/>
      <c r="F70" s="119"/>
      <c r="G70" s="114"/>
      <c r="H70" s="114"/>
    </row>
    <row r="71" spans="1:8" x14ac:dyDescent="0.25">
      <c r="A71" s="112"/>
      <c r="B71" s="117"/>
      <c r="D71" s="114"/>
      <c r="F71" s="119"/>
      <c r="G71" s="114"/>
      <c r="H71" s="114"/>
    </row>
    <row r="72" spans="1:8" x14ac:dyDescent="0.25">
      <c r="A72" s="112"/>
      <c r="B72" s="117"/>
      <c r="D72" s="114"/>
      <c r="F72" s="119"/>
      <c r="G72" s="114"/>
      <c r="H72" s="114"/>
    </row>
    <row r="73" spans="1:8" x14ac:dyDescent="0.25">
      <c r="A73" s="112"/>
      <c r="B73" s="117"/>
      <c r="D73" s="114"/>
      <c r="F73" s="119"/>
      <c r="G73" s="114"/>
      <c r="H73" s="114"/>
    </row>
    <row r="74" spans="1:8" x14ac:dyDescent="0.25">
      <c r="A74" s="112"/>
      <c r="B74" s="117"/>
      <c r="D74" s="114"/>
      <c r="F74" s="119"/>
      <c r="G74" s="114"/>
      <c r="H74" s="114"/>
    </row>
    <row r="75" spans="1:8" x14ac:dyDescent="0.25">
      <c r="A75" s="112"/>
      <c r="B75" s="117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9"/>
    </row>
    <row r="82" spans="1:8" x14ac:dyDescent="0.25">
      <c r="A82" s="112"/>
      <c r="B82" s="117"/>
      <c r="D82" s="114"/>
      <c r="F82" s="119"/>
      <c r="G82" s="114"/>
    </row>
    <row r="83" spans="1:8" x14ac:dyDescent="0.25">
      <c r="A83" s="112"/>
      <c r="B83" s="117"/>
      <c r="D83" s="114"/>
      <c r="F83" s="119"/>
      <c r="G83" s="114"/>
    </row>
    <row r="84" spans="1:8" x14ac:dyDescent="0.25">
      <c r="A84" s="112"/>
      <c r="B84" s="117"/>
      <c r="D84" s="114"/>
      <c r="F84" s="119"/>
      <c r="G84" s="114"/>
    </row>
    <row r="85" spans="1:8" x14ac:dyDescent="0.25">
      <c r="A85" s="112"/>
      <c r="B85" s="117"/>
      <c r="D85" s="114"/>
      <c r="F85" s="119"/>
      <c r="G85" s="114"/>
    </row>
    <row r="86" spans="1:8" x14ac:dyDescent="0.25">
      <c r="A86" s="112"/>
      <c r="B86" s="117"/>
      <c r="D86" s="114"/>
      <c r="F86" s="119"/>
      <c r="G86" s="114"/>
    </row>
    <row r="87" spans="1:8" x14ac:dyDescent="0.25">
      <c r="A87" s="112"/>
      <c r="B87" s="117"/>
      <c r="D87" s="114"/>
      <c r="F87" s="119"/>
      <c r="G87" s="114"/>
    </row>
    <row r="88" spans="1:8" x14ac:dyDescent="0.25">
      <c r="A88" s="112"/>
      <c r="B88" s="117"/>
      <c r="D88" s="114"/>
      <c r="F88" s="119"/>
      <c r="G88" s="114"/>
    </row>
    <row r="89" spans="1:8" x14ac:dyDescent="0.25">
      <c r="A89" s="112"/>
      <c r="B89" s="112"/>
      <c r="D89" s="114"/>
      <c r="F89" s="119"/>
      <c r="G89" s="114"/>
    </row>
    <row r="90" spans="1:8" x14ac:dyDescent="0.25">
      <c r="A90" s="112"/>
      <c r="B90" s="112"/>
      <c r="D90" s="114"/>
      <c r="F90" s="119"/>
      <c r="G90" s="114"/>
    </row>
    <row r="91" spans="1:8" x14ac:dyDescent="0.25">
      <c r="A91" s="112"/>
      <c r="B91" s="112"/>
      <c r="D91" s="114"/>
      <c r="F91" s="119"/>
      <c r="G91" s="114"/>
    </row>
    <row r="92" spans="1:8" x14ac:dyDescent="0.25">
      <c r="A92" s="112"/>
      <c r="B92" s="112"/>
      <c r="D92" s="114"/>
      <c r="F92" s="119"/>
      <c r="G92" s="114"/>
    </row>
    <row r="93" spans="1:8" x14ac:dyDescent="0.25">
      <c r="A93" s="112"/>
      <c r="B93" s="112"/>
      <c r="D93" s="114"/>
      <c r="F93" s="119"/>
      <c r="G93" s="114"/>
    </row>
    <row r="94" spans="1:8" x14ac:dyDescent="0.25">
      <c r="A94" s="112"/>
      <c r="B94" s="112"/>
      <c r="D94" s="114"/>
      <c r="F94" s="119"/>
      <c r="G94" s="114"/>
    </row>
    <row r="95" spans="1:8" x14ac:dyDescent="0.25">
      <c r="A95" s="112"/>
      <c r="B95" s="112"/>
      <c r="D95" s="114"/>
      <c r="F95" s="119"/>
      <c r="G95" s="114"/>
    </row>
    <row r="96" spans="1:8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F110" s="119"/>
      <c r="G110" s="114"/>
    </row>
    <row r="111" spans="1:7" x14ac:dyDescent="0.25">
      <c r="F111" s="119"/>
      <c r="G111" s="114"/>
    </row>
    <row r="112" spans="1:7" x14ac:dyDescent="0.25"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  <row r="122" spans="6:7" x14ac:dyDescent="0.25">
      <c r="F122" s="119"/>
      <c r="G122" s="114"/>
    </row>
    <row r="123" spans="6:7" x14ac:dyDescent="0.25">
      <c r="F123" s="119"/>
      <c r="G123" s="114"/>
    </row>
    <row r="124" spans="6:7" x14ac:dyDescent="0.25">
      <c r="F124" s="119"/>
      <c r="G124" s="114"/>
    </row>
    <row r="125" spans="6:7" x14ac:dyDescent="0.25">
      <c r="F125" s="119"/>
      <c r="G125" s="114"/>
    </row>
    <row r="126" spans="6:7" x14ac:dyDescent="0.25">
      <c r="F126" s="119"/>
      <c r="G126" s="114"/>
    </row>
    <row r="127" spans="6:7" x14ac:dyDescent="0.25">
      <c r="F127" s="119"/>
      <c r="G127" s="114"/>
    </row>
    <row r="128" spans="6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workbookViewId="0">
      <selection activeCell="C12" sqref="C1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112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110</v>
      </c>
    </row>
    <row r="6" spans="1:19" x14ac:dyDescent="0.25">
      <c r="A6" s="138">
        <f>B6+273.15</f>
        <v>973.15</v>
      </c>
      <c r="B6" s="148">
        <v>700</v>
      </c>
      <c r="C6" s="144">
        <f>'LSC,Egger (Solid State Ionics)'!K47</f>
        <v>118.83906119027662</v>
      </c>
      <c r="D6" s="157">
        <f>D13*C6</f>
        <v>1.4381656000000001E-3</v>
      </c>
    </row>
    <row r="7" spans="1:19" x14ac:dyDescent="0.25">
      <c r="A7" s="138">
        <f t="shared" ref="A7:A9" si="0">B7+273.15</f>
        <v>923.15</v>
      </c>
      <c r="B7" s="148">
        <v>650</v>
      </c>
      <c r="C7" s="144">
        <f>'LSC,Egger (Solid State Ionics)'!K50</f>
        <v>144.61848635235731</v>
      </c>
      <c r="D7" s="157">
        <f>D14*C7</f>
        <v>8.1253395938065537E-4</v>
      </c>
      <c r="H7" s="111" t="s">
        <v>18</v>
      </c>
    </row>
    <row r="8" spans="1:19" ht="15.75" x14ac:dyDescent="0.25">
      <c r="A8" s="138">
        <f t="shared" si="0"/>
        <v>873.15</v>
      </c>
      <c r="B8" s="148">
        <v>600</v>
      </c>
      <c r="C8" s="144">
        <f>'LSC,Egger (Solid State Ionics)'!K52</f>
        <v>145.40690505548707</v>
      </c>
      <c r="D8" s="157">
        <f>D15*C8</f>
        <v>2.938515661702386E-4</v>
      </c>
      <c r="G8" s="111">
        <v>1</v>
      </c>
      <c r="H8" s="35" t="s">
        <v>93</v>
      </c>
    </row>
    <row r="9" spans="1:19" ht="16.5" thickBot="1" x14ac:dyDescent="0.3">
      <c r="A9" s="141">
        <f t="shared" si="0"/>
        <v>823.15</v>
      </c>
      <c r="B9" s="149">
        <v>550</v>
      </c>
      <c r="C9" s="129">
        <f>'LSC,Egger (Solid State Ionics)'!K55</f>
        <v>237.20330197337634</v>
      </c>
      <c r="D9" s="158">
        <f>D16*C9</f>
        <v>8.1634201469045112E-5</v>
      </c>
      <c r="J9" s="35"/>
    </row>
    <row r="10" spans="1:19" ht="15.75" thickBot="1" x14ac:dyDescent="0.3">
      <c r="A10" s="112"/>
      <c r="B10" s="112"/>
      <c r="D10" s="114"/>
    </row>
    <row r="11" spans="1:19" ht="19.5" thickBot="1" x14ac:dyDescent="0.3">
      <c r="A11" s="133" t="s">
        <v>13</v>
      </c>
      <c r="B11" s="134"/>
      <c r="C11" s="134"/>
      <c r="D11" s="135"/>
      <c r="H11" s="169" t="s">
        <v>184</v>
      </c>
    </row>
    <row r="12" spans="1:19" ht="47.25" x14ac:dyDescent="0.25">
      <c r="A12" s="136" t="s">
        <v>16</v>
      </c>
      <c r="B12" s="115" t="s">
        <v>14</v>
      </c>
      <c r="C12" s="142" t="s">
        <v>111</v>
      </c>
      <c r="D12" s="137" t="s">
        <v>15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973.15</v>
      </c>
      <c r="B13" s="148">
        <v>700</v>
      </c>
      <c r="C13" s="140">
        <f>'LSC,Egger (Solid State Ionics)'!C63</f>
        <v>8.9729936875813515E-2</v>
      </c>
      <c r="D13" s="157">
        <f>($C$2*$A$2*A13)/(4*($E$2^2)*C13*D20)</f>
        <v>1.2101792E-5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ref="A14:A16" si="1">B14+273.15</f>
        <v>923.15</v>
      </c>
      <c r="B14" s="148">
        <v>650</v>
      </c>
      <c r="C14" s="140">
        <f>'LSC,Egger (Solid State Ionics)'!C65</f>
        <v>7.3734944973804617E-2</v>
      </c>
      <c r="D14" s="157">
        <f>($C$2*$A$2*A14)/(4*($E$2^2)*C14*D21)</f>
        <v>5.6184653834707411E-6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1"/>
        <v>873.15</v>
      </c>
      <c r="B15" s="148">
        <v>600</v>
      </c>
      <c r="C15" s="140">
        <f>'LSC,Egger (Solid State Ionics)'!C67</f>
        <v>5.8374835889035401E-2</v>
      </c>
      <c r="D15" s="157">
        <f>($C$2*$A$2*A15)/(4*($E$2^2)*C15*D22)</f>
        <v>2.0208914154255967E-6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A16" s="141">
        <f t="shared" si="1"/>
        <v>823.15</v>
      </c>
      <c r="B16" s="149">
        <v>550</v>
      </c>
      <c r="C16" s="130">
        <f>'LSC,Egger (Solid State Ionics)'!C69</f>
        <v>9.3351363999339021E-2</v>
      </c>
      <c r="D16" s="158">
        <f>($C$2*$A$2*A16)/(4*($E$2^2)*C16*D23)</f>
        <v>3.4415288821825812E-7</v>
      </c>
    </row>
    <row r="17" spans="1:12" ht="15.75" thickBot="1" x14ac:dyDescent="0.3"/>
    <row r="18" spans="1:12" ht="15.75" x14ac:dyDescent="0.25">
      <c r="A18" s="133" t="s">
        <v>19</v>
      </c>
      <c r="B18" s="134"/>
      <c r="C18" s="134"/>
      <c r="D18" s="135"/>
      <c r="G18" s="119"/>
      <c r="H18" s="119"/>
    </row>
    <row r="19" spans="1:12" x14ac:dyDescent="0.25">
      <c r="A19" s="136" t="s">
        <v>16</v>
      </c>
      <c r="B19" s="115" t="s">
        <v>14</v>
      </c>
      <c r="C19" s="142"/>
      <c r="D19" s="143" t="s">
        <v>35</v>
      </c>
      <c r="G19" s="119"/>
      <c r="H19" s="114"/>
    </row>
    <row r="20" spans="1:12" x14ac:dyDescent="0.25">
      <c r="A20" s="138">
        <f>B20+273.15</f>
        <v>973.15</v>
      </c>
      <c r="B20" s="148">
        <v>700</v>
      </c>
      <c r="C20" s="140"/>
      <c r="D20" s="167">
        <v>0.2</v>
      </c>
      <c r="G20" s="119"/>
      <c r="H20" s="114"/>
      <c r="K20" s="118"/>
      <c r="L20" s="118"/>
    </row>
    <row r="21" spans="1:12" x14ac:dyDescent="0.25">
      <c r="A21" s="138">
        <f t="shared" ref="A21:A23" si="2">B21+273.15</f>
        <v>923.15</v>
      </c>
      <c r="B21" s="148">
        <v>650</v>
      </c>
      <c r="C21" s="140"/>
      <c r="D21" s="167">
        <v>0.49730000000000002</v>
      </c>
      <c r="G21" s="119"/>
      <c r="H21" s="114"/>
      <c r="J21" s="113"/>
      <c r="K21" s="113"/>
      <c r="L21" s="113"/>
    </row>
    <row r="22" spans="1:12" x14ac:dyDescent="0.25">
      <c r="A22" s="138">
        <f t="shared" si="2"/>
        <v>873.15</v>
      </c>
      <c r="B22" s="148">
        <v>600</v>
      </c>
      <c r="C22" s="140"/>
      <c r="D22" s="167">
        <v>1.6517999999999999</v>
      </c>
      <c r="G22" s="119"/>
      <c r="H22" s="114"/>
      <c r="J22" s="113"/>
      <c r="K22" s="113"/>
      <c r="L22" s="113"/>
    </row>
    <row r="23" spans="1:12" ht="15.75" thickBot="1" x14ac:dyDescent="0.3">
      <c r="A23" s="141">
        <f t="shared" si="2"/>
        <v>823.15</v>
      </c>
      <c r="B23" s="149">
        <v>550</v>
      </c>
      <c r="C23" s="130"/>
      <c r="D23" s="168">
        <v>5.718</v>
      </c>
      <c r="G23" s="119"/>
      <c r="H23" s="114"/>
      <c r="J23" s="113"/>
      <c r="K23" s="113"/>
      <c r="L23" s="113"/>
    </row>
    <row r="24" spans="1:12" x14ac:dyDescent="0.25">
      <c r="D24" s="114"/>
      <c r="G24" s="119"/>
      <c r="H24" s="114"/>
    </row>
    <row r="25" spans="1:12" x14ac:dyDescent="0.25">
      <c r="D25" s="114"/>
      <c r="G25" s="119"/>
      <c r="H25" s="114"/>
    </row>
    <row r="26" spans="1:12" x14ac:dyDescent="0.25">
      <c r="A26" s="118"/>
      <c r="D26" s="114"/>
      <c r="G26" s="119"/>
      <c r="H26" s="114"/>
    </row>
    <row r="27" spans="1:12" x14ac:dyDescent="0.25">
      <c r="C27" s="118"/>
      <c r="D27" s="118"/>
      <c r="K27" s="118"/>
    </row>
    <row r="28" spans="1:12" x14ac:dyDescent="0.25">
      <c r="A28" s="112"/>
      <c r="B28" s="117"/>
      <c r="C28" s="113"/>
      <c r="D28" s="114"/>
      <c r="H28" s="114"/>
      <c r="I28" s="112"/>
      <c r="J28" s="117"/>
      <c r="K28" s="114"/>
    </row>
    <row r="29" spans="1:12" x14ac:dyDescent="0.25">
      <c r="A29" s="112"/>
      <c r="B29" s="112"/>
      <c r="C29" s="113"/>
      <c r="D29" s="114"/>
      <c r="H29" s="114"/>
      <c r="I29" s="112"/>
      <c r="J29" s="117"/>
      <c r="K29" s="114"/>
    </row>
    <row r="30" spans="1:12" x14ac:dyDescent="0.25">
      <c r="A30" s="112"/>
      <c r="B30" s="112"/>
      <c r="C30" s="113"/>
      <c r="D30" s="114"/>
      <c r="H30" s="114"/>
      <c r="I30" s="112"/>
      <c r="J30" s="117"/>
      <c r="K30" s="114"/>
    </row>
    <row r="31" spans="1:12" x14ac:dyDescent="0.25">
      <c r="A31" s="112"/>
      <c r="B31" s="112"/>
      <c r="C31" s="113"/>
      <c r="D31" s="114"/>
      <c r="H31" s="114"/>
      <c r="I31" s="112"/>
      <c r="J31" s="117"/>
      <c r="K31" s="114"/>
    </row>
    <row r="32" spans="1:12" x14ac:dyDescent="0.25">
      <c r="A32" s="112"/>
      <c r="D32" s="114"/>
      <c r="I32" s="112"/>
      <c r="J32" s="112"/>
      <c r="K32" s="114"/>
    </row>
    <row r="33" spans="1:11" x14ac:dyDescent="0.25">
      <c r="A33" s="112"/>
      <c r="D33" s="114"/>
      <c r="E33" s="112"/>
      <c r="F33" s="119"/>
      <c r="G33" s="114"/>
      <c r="I33" s="112"/>
      <c r="J33" s="112"/>
      <c r="K33" s="114"/>
    </row>
    <row r="34" spans="1:11" x14ac:dyDescent="0.25">
      <c r="A34" s="112"/>
      <c r="D34" s="114"/>
      <c r="E34" s="112"/>
      <c r="F34" s="119"/>
      <c r="G34" s="114"/>
      <c r="I34" s="112"/>
      <c r="J34" s="112"/>
      <c r="K34" s="114"/>
    </row>
    <row r="35" spans="1:11" x14ac:dyDescent="0.25">
      <c r="A35" s="112"/>
      <c r="D35" s="114"/>
      <c r="E35" s="112"/>
      <c r="F35" s="119"/>
      <c r="G35" s="114"/>
      <c r="J35" s="113"/>
    </row>
    <row r="36" spans="1:11" x14ac:dyDescent="0.25">
      <c r="A36" s="112"/>
      <c r="D36" s="114"/>
      <c r="E36" s="112"/>
      <c r="F36" s="119"/>
      <c r="G36" s="114"/>
    </row>
    <row r="37" spans="1:11" x14ac:dyDescent="0.25">
      <c r="A37" s="112"/>
      <c r="D37" s="114"/>
      <c r="E37" s="113"/>
      <c r="F37" s="119"/>
    </row>
    <row r="38" spans="1:11" x14ac:dyDescent="0.25">
      <c r="A38" s="112"/>
      <c r="D38" s="114"/>
      <c r="E38" s="113"/>
      <c r="F38" s="119"/>
    </row>
    <row r="39" spans="1:11" x14ac:dyDescent="0.25">
      <c r="A39" s="112"/>
      <c r="D39" s="114"/>
      <c r="E39" s="113"/>
      <c r="F39" s="119"/>
    </row>
    <row r="40" spans="1:11" x14ac:dyDescent="0.25">
      <c r="A40" s="112"/>
      <c r="D40" s="114"/>
      <c r="F40" s="119"/>
      <c r="G40" s="114"/>
      <c r="H40" s="114"/>
    </row>
    <row r="41" spans="1:11" x14ac:dyDescent="0.25">
      <c r="A41" s="112"/>
      <c r="D41" s="114"/>
      <c r="F41" s="119"/>
      <c r="G41" s="114"/>
      <c r="H41" s="114"/>
    </row>
    <row r="42" spans="1:11" x14ac:dyDescent="0.25">
      <c r="A42" s="112"/>
      <c r="D42" s="114"/>
      <c r="F42" s="119"/>
      <c r="G42" s="114"/>
      <c r="H42" s="114"/>
    </row>
    <row r="43" spans="1:11" x14ac:dyDescent="0.25">
      <c r="A43" s="112"/>
      <c r="D43" s="114"/>
      <c r="F43" s="119"/>
      <c r="G43" s="114"/>
      <c r="H43" s="114"/>
    </row>
    <row r="44" spans="1:11" x14ac:dyDescent="0.25">
      <c r="A44" s="112"/>
      <c r="D44" s="114"/>
      <c r="F44" s="119"/>
      <c r="G44" s="114"/>
      <c r="H44" s="114"/>
    </row>
    <row r="45" spans="1:11" x14ac:dyDescent="0.25">
      <c r="A45" s="112"/>
      <c r="C45" s="113"/>
      <c r="D45" s="114"/>
      <c r="F45" s="119"/>
      <c r="G45" s="114"/>
      <c r="H45" s="114"/>
    </row>
    <row r="46" spans="1:11" x14ac:dyDescent="0.25">
      <c r="A46" s="112"/>
      <c r="B46" s="117"/>
      <c r="C46" s="113"/>
      <c r="D46" s="114"/>
      <c r="F46" s="119"/>
      <c r="G46" s="114"/>
      <c r="H46" s="114"/>
    </row>
    <row r="47" spans="1:11" x14ac:dyDescent="0.25">
      <c r="A47" s="112"/>
      <c r="B47" s="117"/>
      <c r="D47" s="114"/>
      <c r="F47" s="119"/>
      <c r="G47" s="114"/>
      <c r="H47" s="114"/>
    </row>
    <row r="48" spans="1:11" x14ac:dyDescent="0.25">
      <c r="A48" s="112"/>
      <c r="B48" s="117"/>
      <c r="D48" s="114"/>
      <c r="F48" s="119"/>
      <c r="G48" s="114"/>
      <c r="H48" s="114"/>
    </row>
    <row r="49" spans="1:8" x14ac:dyDescent="0.25">
      <c r="A49" s="112"/>
      <c r="B49" s="117"/>
      <c r="D49" s="114"/>
      <c r="F49" s="119"/>
      <c r="G49" s="114"/>
      <c r="H49" s="114"/>
    </row>
    <row r="50" spans="1:8" x14ac:dyDescent="0.25">
      <c r="A50" s="112"/>
      <c r="B50" s="117"/>
      <c r="D50" s="114"/>
      <c r="F50" s="119"/>
      <c r="G50" s="114"/>
      <c r="H50" s="114"/>
    </row>
    <row r="51" spans="1:8" x14ac:dyDescent="0.25">
      <c r="A51" s="112"/>
      <c r="B51" s="117"/>
      <c r="D51" s="114"/>
      <c r="F51" s="119"/>
      <c r="G51" s="114"/>
      <c r="H51" s="114"/>
    </row>
    <row r="52" spans="1:8" x14ac:dyDescent="0.25">
      <c r="A52" s="112"/>
      <c r="B52" s="117"/>
      <c r="D52" s="114"/>
      <c r="F52" s="119"/>
      <c r="G52" s="114"/>
      <c r="H52" s="114"/>
    </row>
    <row r="53" spans="1:8" x14ac:dyDescent="0.25">
      <c r="A53" s="112"/>
      <c r="B53" s="117"/>
      <c r="D53" s="114"/>
      <c r="F53" s="119"/>
      <c r="G53" s="114"/>
      <c r="H53" s="114"/>
    </row>
    <row r="54" spans="1:8" x14ac:dyDescent="0.25">
      <c r="A54" s="112"/>
      <c r="B54" s="117"/>
      <c r="D54" s="114"/>
      <c r="F54" s="119"/>
      <c r="G54" s="114"/>
      <c r="H54" s="114"/>
    </row>
    <row r="55" spans="1:8" x14ac:dyDescent="0.25">
      <c r="A55" s="112"/>
      <c r="B55" s="117"/>
      <c r="D55" s="114"/>
      <c r="F55" s="119"/>
      <c r="G55" s="114"/>
      <c r="H55" s="114"/>
    </row>
    <row r="56" spans="1:8" x14ac:dyDescent="0.25">
      <c r="A56" s="112"/>
      <c r="B56" s="117"/>
      <c r="D56" s="114"/>
      <c r="F56" s="119"/>
      <c r="G56" s="114"/>
      <c r="H56" s="114"/>
    </row>
    <row r="57" spans="1:8" x14ac:dyDescent="0.25">
      <c r="A57" s="112"/>
      <c r="B57" s="117"/>
      <c r="D57" s="114"/>
      <c r="F57" s="119"/>
      <c r="G57" s="114"/>
      <c r="H57" s="114"/>
    </row>
    <row r="58" spans="1:8" x14ac:dyDescent="0.25">
      <c r="A58" s="112"/>
      <c r="B58" s="117"/>
      <c r="D58" s="114"/>
      <c r="F58" s="119"/>
      <c r="G58" s="114"/>
      <c r="H58" s="114"/>
    </row>
    <row r="59" spans="1:8" x14ac:dyDescent="0.25">
      <c r="A59" s="112"/>
      <c r="B59" s="117"/>
      <c r="D59" s="114"/>
      <c r="F59" s="119"/>
      <c r="G59" s="114"/>
      <c r="H59" s="114"/>
    </row>
    <row r="60" spans="1:8" x14ac:dyDescent="0.25">
      <c r="A60" s="112"/>
      <c r="B60" s="117"/>
      <c r="D60" s="114"/>
      <c r="F60" s="119"/>
      <c r="G60" s="114"/>
      <c r="H60" s="114"/>
    </row>
    <row r="61" spans="1:8" x14ac:dyDescent="0.25">
      <c r="A61" s="112"/>
      <c r="B61" s="117"/>
      <c r="D61" s="114"/>
      <c r="F61" s="119"/>
      <c r="G61" s="114"/>
      <c r="H61" s="114"/>
    </row>
    <row r="62" spans="1:8" x14ac:dyDescent="0.25">
      <c r="A62" s="112"/>
      <c r="B62" s="117"/>
      <c r="D62" s="114"/>
      <c r="F62" s="119"/>
      <c r="G62" s="114"/>
      <c r="H62" s="114"/>
    </row>
    <row r="63" spans="1:8" x14ac:dyDescent="0.25">
      <c r="A63" s="112"/>
      <c r="B63" s="117"/>
      <c r="D63" s="114"/>
      <c r="F63" s="119"/>
      <c r="G63" s="114"/>
      <c r="H63" s="114"/>
    </row>
    <row r="64" spans="1:8" x14ac:dyDescent="0.25">
      <c r="A64" s="112"/>
      <c r="B64" s="117"/>
      <c r="D64" s="114"/>
      <c r="F64" s="119"/>
      <c r="G64" s="114"/>
      <c r="H64" s="114"/>
    </row>
    <row r="65" spans="1:8" x14ac:dyDescent="0.25">
      <c r="A65" s="112"/>
      <c r="B65" s="117"/>
      <c r="D65" s="114"/>
      <c r="F65" s="119"/>
      <c r="G65" s="114"/>
      <c r="H65" s="114"/>
    </row>
    <row r="66" spans="1:8" x14ac:dyDescent="0.25">
      <c r="A66" s="112"/>
      <c r="B66" s="117"/>
      <c r="D66" s="114"/>
      <c r="F66" s="119"/>
      <c r="G66" s="114"/>
      <c r="H66" s="114"/>
    </row>
    <row r="67" spans="1:8" x14ac:dyDescent="0.25">
      <c r="A67" s="112"/>
      <c r="B67" s="117"/>
      <c r="D67" s="114"/>
      <c r="F67" s="119"/>
      <c r="G67" s="114"/>
      <c r="H67" s="114"/>
    </row>
    <row r="68" spans="1:8" x14ac:dyDescent="0.25">
      <c r="A68" s="112"/>
      <c r="B68" s="117"/>
      <c r="D68" s="114"/>
      <c r="F68" s="119"/>
      <c r="G68" s="114"/>
      <c r="H68" s="114"/>
    </row>
    <row r="69" spans="1:8" x14ac:dyDescent="0.25">
      <c r="A69" s="112"/>
      <c r="B69" s="117"/>
      <c r="D69" s="114"/>
      <c r="F69" s="119"/>
      <c r="G69" s="114"/>
      <c r="H69" s="114"/>
    </row>
    <row r="70" spans="1:8" x14ac:dyDescent="0.25">
      <c r="A70" s="112"/>
      <c r="B70" s="117"/>
      <c r="D70" s="114"/>
      <c r="F70" s="119"/>
      <c r="G70" s="114"/>
      <c r="H70" s="114"/>
    </row>
    <row r="71" spans="1:8" x14ac:dyDescent="0.25">
      <c r="A71" s="112"/>
      <c r="B71" s="117"/>
      <c r="D71" s="114"/>
      <c r="F71" s="119"/>
      <c r="G71" s="114"/>
      <c r="H71" s="114"/>
    </row>
    <row r="72" spans="1:8" x14ac:dyDescent="0.25">
      <c r="A72" s="112"/>
      <c r="B72" s="117"/>
      <c r="D72" s="114"/>
      <c r="F72" s="119"/>
      <c r="G72" s="114"/>
      <c r="H72" s="114"/>
    </row>
    <row r="73" spans="1:8" x14ac:dyDescent="0.25">
      <c r="A73" s="112"/>
      <c r="B73" s="117"/>
      <c r="D73" s="114"/>
      <c r="F73" s="119"/>
      <c r="G73" s="114"/>
      <c r="H73" s="114"/>
    </row>
    <row r="74" spans="1:8" x14ac:dyDescent="0.25">
      <c r="A74" s="112"/>
      <c r="B74" s="117"/>
      <c r="D74" s="114"/>
      <c r="F74" s="119"/>
      <c r="G74" s="114"/>
      <c r="H74" s="114"/>
    </row>
    <row r="75" spans="1:8" x14ac:dyDescent="0.25">
      <c r="A75" s="112"/>
      <c r="B75" s="117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9"/>
    </row>
    <row r="82" spans="1:8" x14ac:dyDescent="0.25">
      <c r="A82" s="112"/>
      <c r="B82" s="117"/>
      <c r="D82" s="114"/>
      <c r="F82" s="119"/>
      <c r="G82" s="114"/>
    </row>
    <row r="83" spans="1:8" x14ac:dyDescent="0.25">
      <c r="A83" s="112"/>
      <c r="B83" s="117"/>
      <c r="D83" s="114"/>
      <c r="F83" s="119"/>
      <c r="G83" s="114"/>
    </row>
    <row r="84" spans="1:8" x14ac:dyDescent="0.25">
      <c r="A84" s="112"/>
      <c r="B84" s="117"/>
      <c r="D84" s="114"/>
      <c r="F84" s="119"/>
      <c r="G84" s="114"/>
    </row>
    <row r="85" spans="1:8" x14ac:dyDescent="0.25">
      <c r="A85" s="112"/>
      <c r="B85" s="117"/>
      <c r="D85" s="114"/>
      <c r="F85" s="119"/>
      <c r="G85" s="114"/>
    </row>
    <row r="86" spans="1:8" x14ac:dyDescent="0.25">
      <c r="A86" s="112"/>
      <c r="B86" s="117"/>
      <c r="D86" s="114"/>
      <c r="F86" s="119"/>
      <c r="G86" s="114"/>
    </row>
    <row r="87" spans="1:8" x14ac:dyDescent="0.25">
      <c r="A87" s="112"/>
      <c r="B87" s="117"/>
      <c r="D87" s="114"/>
      <c r="F87" s="119"/>
      <c r="G87" s="114"/>
    </row>
    <row r="88" spans="1:8" x14ac:dyDescent="0.25">
      <c r="A88" s="112"/>
      <c r="B88" s="117"/>
      <c r="D88" s="114"/>
      <c r="F88" s="119"/>
      <c r="G88" s="114"/>
    </row>
    <row r="89" spans="1:8" x14ac:dyDescent="0.25">
      <c r="A89" s="112"/>
      <c r="B89" s="112"/>
      <c r="D89" s="114"/>
      <c r="F89" s="119"/>
      <c r="G89" s="114"/>
    </row>
    <row r="90" spans="1:8" x14ac:dyDescent="0.25">
      <c r="A90" s="112"/>
      <c r="B90" s="112"/>
      <c r="D90" s="114"/>
      <c r="F90" s="119"/>
      <c r="G90" s="114"/>
    </row>
    <row r="91" spans="1:8" x14ac:dyDescent="0.25">
      <c r="A91" s="112"/>
      <c r="B91" s="112"/>
      <c r="D91" s="114"/>
      <c r="F91" s="119"/>
      <c r="G91" s="114"/>
    </row>
    <row r="92" spans="1:8" x14ac:dyDescent="0.25">
      <c r="A92" s="112"/>
      <c r="B92" s="112"/>
      <c r="D92" s="114"/>
      <c r="F92" s="119"/>
      <c r="G92" s="114"/>
    </row>
    <row r="93" spans="1:8" x14ac:dyDescent="0.25">
      <c r="A93" s="112"/>
      <c r="B93" s="112"/>
      <c r="D93" s="114"/>
      <c r="F93" s="119"/>
      <c r="G93" s="114"/>
    </row>
    <row r="94" spans="1:8" x14ac:dyDescent="0.25">
      <c r="A94" s="112"/>
      <c r="B94" s="112"/>
      <c r="D94" s="114"/>
      <c r="F94" s="119"/>
      <c r="G94" s="114"/>
    </row>
    <row r="95" spans="1:8" x14ac:dyDescent="0.25">
      <c r="A95" s="112"/>
      <c r="B95" s="112"/>
      <c r="D95" s="114"/>
      <c r="F95" s="119"/>
      <c r="G95" s="114"/>
    </row>
    <row r="96" spans="1:8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F110" s="119"/>
      <c r="G110" s="114"/>
    </row>
    <row r="111" spans="1:7" x14ac:dyDescent="0.25">
      <c r="F111" s="119"/>
      <c r="G111" s="114"/>
    </row>
    <row r="112" spans="1:7" x14ac:dyDescent="0.25"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  <row r="122" spans="6:7" x14ac:dyDescent="0.25">
      <c r="F122" s="119"/>
      <c r="G122" s="114"/>
    </row>
    <row r="123" spans="6:7" x14ac:dyDescent="0.25">
      <c r="F123" s="119"/>
      <c r="G123" s="114"/>
    </row>
    <row r="124" spans="6:7" x14ac:dyDescent="0.25">
      <c r="F124" s="119"/>
      <c r="G124" s="114"/>
    </row>
    <row r="125" spans="6:7" x14ac:dyDescent="0.25">
      <c r="F125" s="119"/>
      <c r="G125" s="114"/>
    </row>
    <row r="126" spans="6:7" x14ac:dyDescent="0.25">
      <c r="F126" s="119"/>
      <c r="G126" s="114"/>
    </row>
    <row r="127" spans="6:7" x14ac:dyDescent="0.25">
      <c r="F127" s="119"/>
      <c r="G127" s="114"/>
    </row>
    <row r="128" spans="6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"/>
  <sheetViews>
    <sheetView workbookViewId="0">
      <selection activeCell="J27" sqref="J27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114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113</v>
      </c>
    </row>
    <row r="6" spans="1:19" x14ac:dyDescent="0.25">
      <c r="A6" s="138">
        <f>B6+273.15</f>
        <v>872.90502793296093</v>
      </c>
      <c r="B6" s="148">
        <v>599.75502793296096</v>
      </c>
      <c r="C6" s="144">
        <f>'LSC,Egger (Solid State Ionics)'!K52</f>
        <v>145.40690505548707</v>
      </c>
      <c r="D6" s="157">
        <f t="shared" ref="D6:D14" si="0">D18*C6</f>
        <v>7.1147598643649828E-4</v>
      </c>
    </row>
    <row r="7" spans="1:19" x14ac:dyDescent="0.25">
      <c r="A7" s="138">
        <f t="shared" ref="A7:A14" si="1">B7+273.15</f>
        <v>848.17642069550459</v>
      </c>
      <c r="B7" s="148">
        <v>575.02642069550461</v>
      </c>
      <c r="C7" s="144">
        <f>'LSC,Egger (Solid State Ionics)'!K54</f>
        <v>139.64972465468989</v>
      </c>
      <c r="D7" s="157">
        <f t="shared" si="0"/>
        <v>3.051835257741266E-4</v>
      </c>
      <c r="H7" s="111" t="s">
        <v>18</v>
      </c>
    </row>
    <row r="8" spans="1:19" ht="15.75" x14ac:dyDescent="0.25">
      <c r="A8" s="138">
        <f t="shared" si="1"/>
        <v>823.04526748971193</v>
      </c>
      <c r="B8" s="148">
        <v>549.89526748971196</v>
      </c>
      <c r="C8" s="144">
        <f>'LSC,Egger (Solid State Ionics)'!K55</f>
        <v>237.20330197337634</v>
      </c>
      <c r="D8" s="157">
        <f t="shared" si="0"/>
        <v>2.4906346707204515E-4</v>
      </c>
      <c r="G8" s="111">
        <v>1</v>
      </c>
      <c r="H8" s="35" t="s">
        <v>93</v>
      </c>
    </row>
    <row r="9" spans="1:19" ht="15.75" x14ac:dyDescent="0.25">
      <c r="A9" s="138">
        <f t="shared" si="1"/>
        <v>798.15</v>
      </c>
      <c r="B9" s="148">
        <v>525</v>
      </c>
      <c r="C9" s="144">
        <f>'LSC,Egger (Solid State Ionics)'!K56</f>
        <v>245.15502332913994</v>
      </c>
      <c r="D9" s="157">
        <f t="shared" si="0"/>
        <v>1.3807130913897161E-4</v>
      </c>
      <c r="J9" s="35"/>
    </row>
    <row r="10" spans="1:19" ht="16.5" thickBot="1" x14ac:dyDescent="0.3">
      <c r="A10" s="138">
        <f t="shared" si="1"/>
        <v>773.15</v>
      </c>
      <c r="B10" s="148">
        <v>500</v>
      </c>
      <c r="C10" s="144">
        <f>'LSC,Egger (Solid State Ionics)'!K58</f>
        <v>208.3201922400124</v>
      </c>
      <c r="D10" s="157">
        <f t="shared" si="0"/>
        <v>6.770406247800404E-5</v>
      </c>
      <c r="J10" s="35"/>
    </row>
    <row r="11" spans="1:19" ht="19.5" thickBot="1" x14ac:dyDescent="0.3">
      <c r="A11" s="138">
        <f t="shared" si="1"/>
        <v>748.15</v>
      </c>
      <c r="B11" s="148">
        <v>475</v>
      </c>
      <c r="C11" s="144">
        <f>'LSC,Egger (Solid State Ionics)'!K59</f>
        <v>228.52309682545376</v>
      </c>
      <c r="D11" s="157">
        <f t="shared" si="0"/>
        <v>4.2848080654772581E-5</v>
      </c>
      <c r="H11" s="169" t="s">
        <v>184</v>
      </c>
    </row>
    <row r="12" spans="1:19" x14ac:dyDescent="0.25">
      <c r="A12" s="138">
        <f t="shared" si="1"/>
        <v>723.15</v>
      </c>
      <c r="B12" s="148">
        <v>450</v>
      </c>
      <c r="C12" s="144">
        <f>'LSC,Egger (Solid State Ionics)'!K60</f>
        <v>281.16236374605825</v>
      </c>
      <c r="D12" s="157">
        <f t="shared" si="0"/>
        <v>2.8791026047596364E-5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si="1"/>
        <v>698.15</v>
      </c>
      <c r="B13" s="148">
        <v>425</v>
      </c>
      <c r="C13" s="144">
        <f>'LSC,Egger (Solid State Ionics)'!K62</f>
        <v>330.83016769970118</v>
      </c>
      <c r="D13" s="157">
        <f t="shared" si="0"/>
        <v>1.5135480172261329E-5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thickBot="1" x14ac:dyDescent="0.3">
      <c r="A14" s="141">
        <f t="shared" si="1"/>
        <v>673.15</v>
      </c>
      <c r="B14" s="149">
        <v>400</v>
      </c>
      <c r="C14" s="129">
        <f>'LSC,Egger (Solid State Ionics)'!K63</f>
        <v>393.13097610225878</v>
      </c>
      <c r="D14" s="158">
        <f t="shared" si="0"/>
        <v>7.4651641052057916E-6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12"/>
      <c r="B15" s="112"/>
      <c r="D15" s="114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x14ac:dyDescent="0.25">
      <c r="A16" s="133" t="s">
        <v>13</v>
      </c>
      <c r="B16" s="134"/>
      <c r="C16" s="134"/>
      <c r="D16" s="135"/>
    </row>
    <row r="17" spans="1:12" x14ac:dyDescent="0.25">
      <c r="A17" s="136" t="s">
        <v>16</v>
      </c>
      <c r="B17" s="115" t="s">
        <v>14</v>
      </c>
      <c r="C17" s="142"/>
      <c r="D17" s="137" t="s">
        <v>15</v>
      </c>
    </row>
    <row r="18" spans="1:12" x14ac:dyDescent="0.25">
      <c r="A18" s="138">
        <f>B18+273.15</f>
        <v>872.90502793296093</v>
      </c>
      <c r="B18" s="148">
        <v>599.75502793296096</v>
      </c>
      <c r="C18" s="140"/>
      <c r="D18" s="159">
        <v>4.8930000000000004E-6</v>
      </c>
    </row>
    <row r="19" spans="1:12" x14ac:dyDescent="0.25">
      <c r="A19" s="138">
        <f t="shared" ref="A19:A26" si="2">B19+273.15</f>
        <v>848.17642069550459</v>
      </c>
      <c r="B19" s="148">
        <v>575.02642069550461</v>
      </c>
      <c r="C19" s="140"/>
      <c r="D19" s="159">
        <v>2.1853500000000002E-6</v>
      </c>
    </row>
    <row r="20" spans="1:12" x14ac:dyDescent="0.25">
      <c r="A20" s="138">
        <f t="shared" si="2"/>
        <v>823.04526748971193</v>
      </c>
      <c r="B20" s="148">
        <v>549.89526748971196</v>
      </c>
      <c r="C20" s="140"/>
      <c r="D20" s="159">
        <v>1.0499999999999999E-6</v>
      </c>
    </row>
    <row r="21" spans="1:12" x14ac:dyDescent="0.25">
      <c r="A21" s="138">
        <f t="shared" si="2"/>
        <v>798.15</v>
      </c>
      <c r="B21" s="148">
        <v>525</v>
      </c>
      <c r="C21" s="140"/>
      <c r="D21" s="159">
        <v>5.6319999999999996E-7</v>
      </c>
    </row>
    <row r="22" spans="1:12" x14ac:dyDescent="0.25">
      <c r="A22" s="138">
        <f t="shared" si="2"/>
        <v>773.15</v>
      </c>
      <c r="B22" s="148">
        <v>500</v>
      </c>
      <c r="C22" s="140"/>
      <c r="D22" s="159">
        <v>3.2500000000000001E-7</v>
      </c>
    </row>
    <row r="23" spans="1:12" x14ac:dyDescent="0.25">
      <c r="A23" s="138">
        <f t="shared" si="2"/>
        <v>748.15</v>
      </c>
      <c r="B23" s="148">
        <v>475</v>
      </c>
      <c r="C23" s="140"/>
      <c r="D23" s="159">
        <v>1.875E-7</v>
      </c>
    </row>
    <row r="24" spans="1:12" x14ac:dyDescent="0.25">
      <c r="A24" s="138">
        <f t="shared" si="2"/>
        <v>723.15</v>
      </c>
      <c r="B24" s="148">
        <v>450</v>
      </c>
      <c r="C24" s="140"/>
      <c r="D24" s="159">
        <v>1.024E-7</v>
      </c>
    </row>
    <row r="25" spans="1:12" x14ac:dyDescent="0.25">
      <c r="A25" s="138">
        <f t="shared" si="2"/>
        <v>698.15</v>
      </c>
      <c r="B25" s="148">
        <v>425</v>
      </c>
      <c r="C25" s="140"/>
      <c r="D25" s="159">
        <v>4.5750000000000003E-8</v>
      </c>
    </row>
    <row r="26" spans="1:12" ht="15.75" thickBot="1" x14ac:dyDescent="0.3">
      <c r="A26" s="141">
        <f t="shared" si="2"/>
        <v>673.15</v>
      </c>
      <c r="B26" s="149">
        <v>400</v>
      </c>
      <c r="C26" s="130"/>
      <c r="D26" s="160">
        <v>1.8988999999999999E-8</v>
      </c>
    </row>
    <row r="27" spans="1:12" ht="15.75" thickBot="1" x14ac:dyDescent="0.3"/>
    <row r="28" spans="1:12" ht="15.75" x14ac:dyDescent="0.25">
      <c r="A28" s="133" t="s">
        <v>19</v>
      </c>
      <c r="B28" s="134"/>
      <c r="C28" s="134"/>
      <c r="D28" s="135"/>
      <c r="G28" s="119"/>
      <c r="H28" s="119"/>
    </row>
    <row r="29" spans="1:12" x14ac:dyDescent="0.25">
      <c r="A29" s="136" t="s">
        <v>16</v>
      </c>
      <c r="B29" s="115" t="s">
        <v>14</v>
      </c>
      <c r="C29" s="142"/>
      <c r="D29" s="143" t="s">
        <v>35</v>
      </c>
      <c r="G29" s="119"/>
      <c r="H29" s="114"/>
    </row>
    <row r="30" spans="1:12" x14ac:dyDescent="0.25">
      <c r="A30" s="138">
        <f>B30+273.15</f>
        <v>872.90502793296093</v>
      </c>
      <c r="B30" s="148">
        <v>599.75502793296096</v>
      </c>
      <c r="C30" s="140"/>
      <c r="D30" s="167">
        <v>1.6029000000000002E-2</v>
      </c>
      <c r="G30" s="119"/>
      <c r="H30" s="114"/>
      <c r="K30" s="118"/>
      <c r="L30" s="118"/>
    </row>
    <row r="31" spans="1:12" x14ac:dyDescent="0.25">
      <c r="A31" s="138">
        <f t="shared" ref="A31:A38" si="3">B31+273.15</f>
        <v>848.17642069550459</v>
      </c>
      <c r="B31" s="148">
        <v>575.02642069550461</v>
      </c>
      <c r="C31" s="140"/>
      <c r="D31" s="167">
        <v>3.4099999999999998E-2</v>
      </c>
      <c r="G31" s="119"/>
      <c r="H31" s="114"/>
      <c r="J31" s="113"/>
      <c r="K31" s="113"/>
      <c r="L31" s="113"/>
    </row>
    <row r="32" spans="1:12" x14ac:dyDescent="0.25">
      <c r="A32" s="138">
        <f t="shared" si="3"/>
        <v>823.04526748971193</v>
      </c>
      <c r="B32" s="148">
        <v>549.89526748971196</v>
      </c>
      <c r="C32" s="140"/>
      <c r="D32" s="167">
        <v>6.855E-2</v>
      </c>
      <c r="G32" s="119"/>
      <c r="H32" s="114"/>
      <c r="J32" s="113"/>
      <c r="K32" s="113"/>
      <c r="L32" s="113"/>
    </row>
    <row r="33" spans="1:12" x14ac:dyDescent="0.25">
      <c r="A33" s="138">
        <f t="shared" si="3"/>
        <v>798.15</v>
      </c>
      <c r="B33" s="148">
        <v>525</v>
      </c>
      <c r="C33" s="140"/>
      <c r="D33" s="167">
        <v>0.12307</v>
      </c>
      <c r="G33" s="119"/>
      <c r="H33" s="114"/>
      <c r="J33" s="113"/>
      <c r="K33" s="113"/>
      <c r="L33" s="113"/>
    </row>
    <row r="34" spans="1:12" x14ac:dyDescent="0.25">
      <c r="A34" s="138">
        <f t="shared" si="3"/>
        <v>773.15</v>
      </c>
      <c r="B34" s="148">
        <v>500</v>
      </c>
      <c r="C34" s="140"/>
      <c r="D34" s="167">
        <v>0.20877000000000001</v>
      </c>
      <c r="G34" s="119"/>
      <c r="H34" s="114"/>
      <c r="J34" s="113"/>
      <c r="K34" s="113"/>
      <c r="L34" s="113"/>
    </row>
    <row r="35" spans="1:12" x14ac:dyDescent="0.25">
      <c r="A35" s="138">
        <f t="shared" si="3"/>
        <v>748.15</v>
      </c>
      <c r="B35" s="148">
        <v>475</v>
      </c>
      <c r="C35" s="140"/>
      <c r="D35" s="167">
        <v>0.35410000000000003</v>
      </c>
      <c r="G35" s="119"/>
      <c r="H35" s="114"/>
      <c r="J35" s="113"/>
      <c r="K35" s="113"/>
      <c r="L35" s="113"/>
    </row>
    <row r="36" spans="1:12" x14ac:dyDescent="0.25">
      <c r="A36" s="138">
        <f t="shared" si="3"/>
        <v>723.15</v>
      </c>
      <c r="B36" s="148">
        <v>450</v>
      </c>
      <c r="C36" s="140"/>
      <c r="D36" s="167">
        <v>0.63570000000000004</v>
      </c>
      <c r="G36" s="119"/>
      <c r="H36" s="114"/>
      <c r="J36" s="113"/>
      <c r="K36" s="113"/>
      <c r="L36" s="113"/>
    </row>
    <row r="37" spans="1:12" x14ac:dyDescent="0.25">
      <c r="A37" s="138">
        <f t="shared" si="3"/>
        <v>698.15</v>
      </c>
      <c r="B37" s="148">
        <v>425</v>
      </c>
      <c r="C37" s="140"/>
      <c r="D37" s="167">
        <v>1.3271999999999999</v>
      </c>
      <c r="G37" s="119"/>
      <c r="H37" s="114"/>
      <c r="J37" s="113"/>
      <c r="K37" s="113"/>
      <c r="L37" s="113"/>
    </row>
    <row r="38" spans="1:12" ht="15.75" thickBot="1" x14ac:dyDescent="0.3">
      <c r="A38" s="141">
        <f t="shared" si="3"/>
        <v>673.15</v>
      </c>
      <c r="B38" s="149">
        <v>400</v>
      </c>
      <c r="C38" s="130"/>
      <c r="D38" s="168">
        <v>3.1621999999999999</v>
      </c>
      <c r="G38" s="119"/>
      <c r="H38" s="114"/>
      <c r="J38" s="113"/>
      <c r="K38" s="113"/>
      <c r="L38" s="113"/>
    </row>
    <row r="39" spans="1:12" x14ac:dyDescent="0.25">
      <c r="D39" s="114"/>
      <c r="G39" s="119"/>
      <c r="H39" s="114"/>
    </row>
    <row r="40" spans="1:12" s="126" customFormat="1" ht="15.75" thickBot="1" x14ac:dyDescent="0.3">
      <c r="D40" s="129"/>
      <c r="G40" s="128"/>
      <c r="H40" s="129"/>
    </row>
    <row r="41" spans="1:12" ht="60" x14ac:dyDescent="0.25">
      <c r="A41" s="118" t="s">
        <v>26</v>
      </c>
      <c r="D41" s="114"/>
      <c r="G41" s="119"/>
      <c r="H41" s="114"/>
    </row>
    <row r="42" spans="1:12" ht="17.25" x14ac:dyDescent="0.25">
      <c r="A42" s="111" t="s">
        <v>16</v>
      </c>
      <c r="B42" s="111" t="s">
        <v>14</v>
      </c>
      <c r="C42" s="118" t="s">
        <v>20</v>
      </c>
      <c r="K42" s="118"/>
    </row>
    <row r="43" spans="1:12" x14ac:dyDescent="0.25">
      <c r="A43" s="112">
        <f>B43+273.15</f>
        <v>872.90502793296093</v>
      </c>
      <c r="B43" s="117">
        <v>599.75502793296096</v>
      </c>
      <c r="C43" s="114">
        <f t="shared" ref="C43:C51" si="4">($C$2*$A$2*A43)/(4*($E$2^2)*D30*D18)</f>
        <v>2.4838342165248242</v>
      </c>
      <c r="D43" s="114"/>
      <c r="H43" s="114"/>
      <c r="I43" s="112"/>
      <c r="J43" s="117"/>
      <c r="K43" s="114"/>
    </row>
    <row r="44" spans="1:12" x14ac:dyDescent="0.25">
      <c r="A44" s="112">
        <f t="shared" ref="A44:A51" si="5">B44+273.15</f>
        <v>848.17642069550459</v>
      </c>
      <c r="B44" s="112">
        <v>575.02642069550461</v>
      </c>
      <c r="C44" s="114">
        <f t="shared" si="4"/>
        <v>2.5400839403310385</v>
      </c>
      <c r="D44" s="114"/>
      <c r="H44" s="114"/>
      <c r="I44" s="112"/>
      <c r="J44" s="117"/>
      <c r="K44" s="114"/>
    </row>
    <row r="45" spans="1:12" x14ac:dyDescent="0.25">
      <c r="A45" s="112">
        <f t="shared" si="5"/>
        <v>823.04526748971193</v>
      </c>
      <c r="B45" s="112">
        <v>549.89526748971196</v>
      </c>
      <c r="C45" s="114">
        <f t="shared" si="4"/>
        <v>2.5519033321645304</v>
      </c>
      <c r="D45" s="114"/>
      <c r="H45" s="114"/>
      <c r="I45" s="112"/>
      <c r="J45" s="117"/>
      <c r="K45" s="114"/>
    </row>
    <row r="46" spans="1:12" x14ac:dyDescent="0.25">
      <c r="A46" s="112">
        <f t="shared" si="5"/>
        <v>797.23836629913978</v>
      </c>
      <c r="B46" s="112">
        <v>524.08836629913981</v>
      </c>
      <c r="C46" s="114">
        <f t="shared" si="4"/>
        <v>2.5669097460439358</v>
      </c>
      <c r="D46" s="114"/>
      <c r="H46" s="114"/>
      <c r="I46" s="112"/>
      <c r="J46" s="117"/>
      <c r="K46" s="114"/>
    </row>
    <row r="47" spans="1:12" x14ac:dyDescent="0.25">
      <c r="A47" s="112">
        <f t="shared" si="5"/>
        <v>771.66448028397247</v>
      </c>
      <c r="B47" s="112">
        <v>498.51448028397249</v>
      </c>
      <c r="C47" s="114">
        <f t="shared" si="4"/>
        <v>2.5381326339284538</v>
      </c>
      <c r="D47" s="114"/>
      <c r="I47" s="112"/>
      <c r="J47" s="112"/>
      <c r="K47" s="114"/>
    </row>
    <row r="48" spans="1:12" x14ac:dyDescent="0.25">
      <c r="A48" s="112">
        <f t="shared" si="5"/>
        <v>746.33549273069229</v>
      </c>
      <c r="B48" s="112">
        <v>473.18549273069232</v>
      </c>
      <c r="C48" s="114">
        <f t="shared" si="4"/>
        <v>2.5086735547879284</v>
      </c>
      <c r="D48" s="114"/>
      <c r="E48" s="112"/>
      <c r="F48" s="119"/>
      <c r="G48" s="114"/>
      <c r="I48" s="112"/>
      <c r="J48" s="112"/>
      <c r="K48" s="114"/>
    </row>
    <row r="49" spans="1:11" x14ac:dyDescent="0.25">
      <c r="A49" s="112">
        <f t="shared" si="5"/>
        <v>720.63762016632325</v>
      </c>
      <c r="B49" s="112">
        <v>447.48762016632327</v>
      </c>
      <c r="C49" s="114">
        <f t="shared" si="4"/>
        <v>2.4705976121608733</v>
      </c>
      <c r="D49" s="114"/>
      <c r="E49" s="112"/>
      <c r="F49" s="119"/>
      <c r="G49" s="114"/>
      <c r="I49" s="112"/>
      <c r="J49" s="112"/>
      <c r="K49" s="114"/>
    </row>
    <row r="50" spans="1:11" x14ac:dyDescent="0.25">
      <c r="A50" s="112">
        <f t="shared" si="5"/>
        <v>695.5554009876887</v>
      </c>
      <c r="B50" s="112">
        <v>422.40540098768872</v>
      </c>
      <c r="C50" s="114">
        <f t="shared" si="4"/>
        <v>2.5564747697436228</v>
      </c>
      <c r="D50" s="114"/>
      <c r="E50" s="112"/>
      <c r="F50" s="119"/>
      <c r="G50" s="114"/>
      <c r="J50" s="113"/>
    </row>
    <row r="51" spans="1:11" x14ac:dyDescent="0.25">
      <c r="A51" s="112">
        <f t="shared" si="5"/>
        <v>667.26720715310444</v>
      </c>
      <c r="B51" s="112">
        <v>394.11720715310446</v>
      </c>
      <c r="C51" s="114">
        <f t="shared" si="4"/>
        <v>2.4799653234202799</v>
      </c>
      <c r="D51" s="114"/>
      <c r="E51" s="112"/>
      <c r="F51" s="119"/>
      <c r="G51" s="114"/>
    </row>
    <row r="52" spans="1:11" x14ac:dyDescent="0.25">
      <c r="A52" s="112"/>
      <c r="D52" s="114"/>
      <c r="E52" s="113"/>
      <c r="F52" s="119"/>
    </row>
    <row r="53" spans="1:11" x14ac:dyDescent="0.25">
      <c r="A53" s="112"/>
      <c r="D53" s="114"/>
      <c r="E53" s="113"/>
      <c r="F53" s="119"/>
    </row>
    <row r="54" spans="1:11" x14ac:dyDescent="0.25">
      <c r="A54" s="112"/>
      <c r="D54" s="114"/>
      <c r="E54" s="113"/>
      <c r="F54" s="119"/>
    </row>
    <row r="55" spans="1:11" x14ac:dyDescent="0.25">
      <c r="A55" s="112"/>
      <c r="D55" s="114"/>
      <c r="F55" s="119"/>
      <c r="G55" s="114"/>
      <c r="H55" s="114"/>
    </row>
    <row r="56" spans="1:11" x14ac:dyDescent="0.25">
      <c r="A56" s="112"/>
      <c r="D56" s="114"/>
      <c r="F56" s="119"/>
      <c r="G56" s="114"/>
      <c r="H56" s="114"/>
    </row>
    <row r="57" spans="1:11" x14ac:dyDescent="0.25">
      <c r="A57" s="112"/>
      <c r="D57" s="114"/>
      <c r="F57" s="119"/>
      <c r="G57" s="114"/>
      <c r="H57" s="114"/>
    </row>
    <row r="58" spans="1:11" x14ac:dyDescent="0.25">
      <c r="A58" s="112"/>
      <c r="D58" s="114"/>
      <c r="F58" s="119"/>
      <c r="G58" s="114"/>
      <c r="H58" s="114"/>
    </row>
    <row r="59" spans="1:11" x14ac:dyDescent="0.25">
      <c r="A59" s="112"/>
      <c r="D59" s="114"/>
      <c r="F59" s="119"/>
      <c r="G59" s="114"/>
      <c r="H59" s="114"/>
    </row>
    <row r="60" spans="1:11" x14ac:dyDescent="0.25">
      <c r="A60" s="112"/>
      <c r="C60" s="113"/>
      <c r="D60" s="114"/>
      <c r="F60" s="119"/>
      <c r="G60" s="114"/>
      <c r="H60" s="114"/>
    </row>
    <row r="61" spans="1:11" x14ac:dyDescent="0.25">
      <c r="A61" s="112"/>
      <c r="B61" s="117"/>
      <c r="C61" s="113"/>
      <c r="D61" s="114"/>
      <c r="F61" s="119"/>
      <c r="G61" s="114"/>
      <c r="H61" s="114"/>
    </row>
    <row r="62" spans="1:11" x14ac:dyDescent="0.25">
      <c r="A62" s="112"/>
      <c r="B62" s="117"/>
      <c r="D62" s="114"/>
      <c r="F62" s="119"/>
      <c r="G62" s="114"/>
      <c r="H62" s="114"/>
    </row>
    <row r="63" spans="1:11" x14ac:dyDescent="0.25">
      <c r="A63" s="112"/>
      <c r="B63" s="117"/>
      <c r="D63" s="114"/>
      <c r="F63" s="119"/>
      <c r="G63" s="114"/>
      <c r="H63" s="114"/>
    </row>
    <row r="64" spans="1:11" x14ac:dyDescent="0.25">
      <c r="A64" s="112"/>
      <c r="B64" s="117"/>
      <c r="D64" s="114"/>
      <c r="F64" s="119"/>
      <c r="G64" s="114"/>
      <c r="H64" s="114"/>
    </row>
    <row r="65" spans="1:8" x14ac:dyDescent="0.25">
      <c r="A65" s="112"/>
      <c r="B65" s="117"/>
      <c r="D65" s="114"/>
      <c r="F65" s="119"/>
      <c r="G65" s="114"/>
      <c r="H65" s="114"/>
    </row>
    <row r="66" spans="1:8" x14ac:dyDescent="0.25">
      <c r="A66" s="112"/>
      <c r="B66" s="117"/>
      <c r="D66" s="114"/>
      <c r="F66" s="119"/>
      <c r="G66" s="114"/>
      <c r="H66" s="114"/>
    </row>
    <row r="67" spans="1:8" x14ac:dyDescent="0.25">
      <c r="A67" s="112"/>
      <c r="B67" s="117"/>
      <c r="D67" s="114"/>
      <c r="F67" s="119"/>
      <c r="G67" s="114"/>
      <c r="H67" s="114"/>
    </row>
    <row r="68" spans="1:8" x14ac:dyDescent="0.25">
      <c r="A68" s="112"/>
      <c r="B68" s="117"/>
      <c r="D68" s="114"/>
      <c r="F68" s="119"/>
      <c r="G68" s="114"/>
      <c r="H68" s="114"/>
    </row>
    <row r="69" spans="1:8" x14ac:dyDescent="0.25">
      <c r="A69" s="112"/>
      <c r="B69" s="117"/>
      <c r="D69" s="114"/>
      <c r="F69" s="119"/>
      <c r="G69" s="114"/>
      <c r="H69" s="114"/>
    </row>
    <row r="70" spans="1:8" x14ac:dyDescent="0.25">
      <c r="A70" s="112"/>
      <c r="B70" s="117"/>
      <c r="D70" s="114"/>
      <c r="F70" s="119"/>
      <c r="G70" s="114"/>
      <c r="H70" s="114"/>
    </row>
    <row r="71" spans="1:8" x14ac:dyDescent="0.25">
      <c r="A71" s="112"/>
      <c r="B71" s="117"/>
      <c r="D71" s="114"/>
      <c r="F71" s="119"/>
      <c r="G71" s="114"/>
      <c r="H71" s="114"/>
    </row>
    <row r="72" spans="1:8" x14ac:dyDescent="0.25">
      <c r="A72" s="112"/>
      <c r="B72" s="117"/>
      <c r="D72" s="114"/>
      <c r="F72" s="119"/>
      <c r="G72" s="114"/>
      <c r="H72" s="114"/>
    </row>
    <row r="73" spans="1:8" x14ac:dyDescent="0.25">
      <c r="A73" s="112"/>
      <c r="B73" s="117"/>
      <c r="D73" s="114"/>
      <c r="F73" s="119"/>
      <c r="G73" s="114"/>
      <c r="H73" s="114"/>
    </row>
    <row r="74" spans="1:8" x14ac:dyDescent="0.25">
      <c r="A74" s="112"/>
      <c r="B74" s="117"/>
      <c r="D74" s="114"/>
      <c r="F74" s="119"/>
      <c r="G74" s="114"/>
      <c r="H74" s="114"/>
    </row>
    <row r="75" spans="1:8" x14ac:dyDescent="0.25">
      <c r="A75" s="112"/>
      <c r="B75" s="117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4"/>
    </row>
    <row r="82" spans="1:8" x14ac:dyDescent="0.25">
      <c r="A82" s="112"/>
      <c r="B82" s="117"/>
      <c r="D82" s="114"/>
      <c r="F82" s="119"/>
      <c r="G82" s="114"/>
      <c r="H82" s="114"/>
    </row>
    <row r="83" spans="1:8" x14ac:dyDescent="0.25">
      <c r="A83" s="112"/>
      <c r="B83" s="117"/>
      <c r="D83" s="114"/>
      <c r="F83" s="119"/>
      <c r="G83" s="114"/>
      <c r="H83" s="114"/>
    </row>
    <row r="84" spans="1:8" x14ac:dyDescent="0.25">
      <c r="A84" s="112"/>
      <c r="B84" s="117"/>
      <c r="D84" s="114"/>
      <c r="F84" s="119"/>
      <c r="G84" s="114"/>
      <c r="H84" s="114"/>
    </row>
    <row r="85" spans="1:8" x14ac:dyDescent="0.25">
      <c r="A85" s="112"/>
      <c r="B85" s="117"/>
      <c r="D85" s="114"/>
      <c r="F85" s="119"/>
      <c r="G85" s="114"/>
      <c r="H85" s="114"/>
    </row>
    <row r="86" spans="1:8" x14ac:dyDescent="0.25">
      <c r="A86" s="112"/>
      <c r="B86" s="117"/>
      <c r="D86" s="114"/>
      <c r="F86" s="119"/>
      <c r="G86" s="114"/>
      <c r="H86" s="114"/>
    </row>
    <row r="87" spans="1:8" x14ac:dyDescent="0.25">
      <c r="A87" s="112"/>
      <c r="B87" s="117"/>
      <c r="D87" s="114"/>
      <c r="F87" s="119"/>
      <c r="G87" s="114"/>
      <c r="H87" s="114"/>
    </row>
    <row r="88" spans="1:8" x14ac:dyDescent="0.25">
      <c r="A88" s="112"/>
      <c r="B88" s="117"/>
      <c r="D88" s="114"/>
      <c r="F88" s="119"/>
      <c r="G88" s="114"/>
      <c r="H88" s="114"/>
    </row>
    <row r="89" spans="1:8" x14ac:dyDescent="0.25">
      <c r="A89" s="112"/>
      <c r="B89" s="117"/>
      <c r="D89" s="114"/>
      <c r="F89" s="119"/>
      <c r="G89" s="114"/>
      <c r="H89" s="114"/>
    </row>
    <row r="90" spans="1:8" x14ac:dyDescent="0.25">
      <c r="A90" s="112"/>
      <c r="B90" s="117"/>
      <c r="D90" s="114"/>
      <c r="F90" s="119"/>
      <c r="G90" s="114"/>
      <c r="H90" s="114"/>
    </row>
    <row r="91" spans="1:8" x14ac:dyDescent="0.25">
      <c r="A91" s="112"/>
      <c r="B91" s="117"/>
      <c r="D91" s="114"/>
      <c r="F91" s="119"/>
      <c r="G91" s="114"/>
      <c r="H91" s="114"/>
    </row>
    <row r="92" spans="1:8" x14ac:dyDescent="0.25">
      <c r="A92" s="112"/>
      <c r="B92" s="117"/>
      <c r="D92" s="114"/>
      <c r="F92" s="119"/>
      <c r="G92" s="114"/>
      <c r="H92" s="114"/>
    </row>
    <row r="93" spans="1:8" x14ac:dyDescent="0.25">
      <c r="A93" s="112"/>
      <c r="B93" s="117"/>
      <c r="D93" s="114"/>
      <c r="F93" s="119"/>
      <c r="G93" s="114"/>
      <c r="H93" s="114"/>
    </row>
    <row r="94" spans="1:8" x14ac:dyDescent="0.25">
      <c r="A94" s="112"/>
      <c r="B94" s="117"/>
      <c r="D94" s="114"/>
      <c r="F94" s="119"/>
      <c r="G94" s="114"/>
      <c r="H94" s="114"/>
    </row>
    <row r="95" spans="1:8" x14ac:dyDescent="0.25">
      <c r="A95" s="112"/>
      <c r="B95" s="117"/>
      <c r="D95" s="114"/>
      <c r="F95" s="119"/>
      <c r="G95" s="114"/>
      <c r="H95" s="114"/>
    </row>
    <row r="96" spans="1:8" x14ac:dyDescent="0.25">
      <c r="A96" s="112"/>
      <c r="B96" s="117"/>
      <c r="D96" s="114"/>
      <c r="F96" s="119"/>
      <c r="G96" s="114"/>
      <c r="H96" s="119"/>
    </row>
    <row r="97" spans="1:7" x14ac:dyDescent="0.25">
      <c r="A97" s="112"/>
      <c r="B97" s="117"/>
      <c r="D97" s="114"/>
      <c r="F97" s="119"/>
      <c r="G97" s="114"/>
    </row>
    <row r="98" spans="1:7" x14ac:dyDescent="0.25">
      <c r="A98" s="112"/>
      <c r="B98" s="117"/>
      <c r="D98" s="114"/>
      <c r="F98" s="119"/>
      <c r="G98" s="114"/>
    </row>
    <row r="99" spans="1:7" x14ac:dyDescent="0.25">
      <c r="A99" s="112"/>
      <c r="B99" s="117"/>
      <c r="D99" s="114"/>
      <c r="F99" s="119"/>
      <c r="G99" s="114"/>
    </row>
    <row r="100" spans="1:7" x14ac:dyDescent="0.25">
      <c r="A100" s="112"/>
      <c r="B100" s="117"/>
      <c r="D100" s="114"/>
      <c r="F100" s="119"/>
      <c r="G100" s="114"/>
    </row>
    <row r="101" spans="1:7" x14ac:dyDescent="0.25">
      <c r="A101" s="112"/>
      <c r="B101" s="117"/>
      <c r="D101" s="114"/>
      <c r="F101" s="119"/>
      <c r="G101" s="114"/>
    </row>
    <row r="102" spans="1:7" x14ac:dyDescent="0.25">
      <c r="A102" s="112"/>
      <c r="B102" s="117"/>
      <c r="D102" s="114"/>
      <c r="F102" s="119"/>
      <c r="G102" s="114"/>
    </row>
    <row r="103" spans="1:7" x14ac:dyDescent="0.25">
      <c r="A103" s="112"/>
      <c r="B103" s="117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A111" s="112"/>
      <c r="B111" s="112"/>
      <c r="D111" s="114"/>
      <c r="F111" s="119"/>
      <c r="G111" s="114"/>
    </row>
    <row r="112" spans="1:7" x14ac:dyDescent="0.25">
      <c r="A112" s="112"/>
      <c r="B112" s="112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A117" s="112"/>
      <c r="B117" s="112"/>
      <c r="D117" s="114"/>
      <c r="F117" s="119"/>
      <c r="G117" s="114"/>
    </row>
    <row r="118" spans="1:7" x14ac:dyDescent="0.25">
      <c r="A118" s="112"/>
      <c r="B118" s="112"/>
      <c r="D118" s="114"/>
      <c r="F118" s="119"/>
      <c r="G118" s="114"/>
    </row>
    <row r="119" spans="1:7" x14ac:dyDescent="0.25">
      <c r="A119" s="112"/>
      <c r="B119" s="112"/>
      <c r="D119" s="114"/>
      <c r="F119" s="119"/>
      <c r="G119" s="114"/>
    </row>
    <row r="120" spans="1:7" x14ac:dyDescent="0.25">
      <c r="A120" s="112"/>
      <c r="B120" s="112"/>
      <c r="D120" s="114"/>
      <c r="F120" s="119"/>
      <c r="G120" s="114"/>
    </row>
    <row r="121" spans="1:7" x14ac:dyDescent="0.25">
      <c r="A121" s="112"/>
      <c r="B121" s="112"/>
      <c r="D121" s="114"/>
      <c r="F121" s="119"/>
      <c r="G121" s="114"/>
    </row>
    <row r="122" spans="1:7" x14ac:dyDescent="0.25">
      <c r="A122" s="112"/>
      <c r="B122" s="112"/>
      <c r="D122" s="114"/>
      <c r="F122" s="119"/>
      <c r="G122" s="114"/>
    </row>
    <row r="123" spans="1:7" x14ac:dyDescent="0.25">
      <c r="A123" s="112"/>
      <c r="B123" s="112"/>
      <c r="D123" s="114"/>
      <c r="F123" s="119"/>
      <c r="G123" s="114"/>
    </row>
    <row r="124" spans="1:7" x14ac:dyDescent="0.25">
      <c r="A124" s="112"/>
      <c r="B124" s="112"/>
      <c r="D124" s="114"/>
      <c r="F124" s="119"/>
      <c r="G124" s="114"/>
    </row>
    <row r="125" spans="1:7" x14ac:dyDescent="0.25">
      <c r="F125" s="119"/>
      <c r="G125" s="114"/>
    </row>
    <row r="126" spans="1:7" x14ac:dyDescent="0.25">
      <c r="F126" s="119"/>
      <c r="G126" s="114"/>
    </row>
    <row r="127" spans="1:7" x14ac:dyDescent="0.25">
      <c r="F127" s="119"/>
      <c r="G127" s="114"/>
    </row>
    <row r="128" spans="1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  <row r="134" spans="6:7" x14ac:dyDescent="0.25">
      <c r="F134" s="119"/>
      <c r="G134" s="114"/>
    </row>
    <row r="135" spans="6:7" x14ac:dyDescent="0.25">
      <c r="F135" s="119"/>
      <c r="G135" s="114"/>
    </row>
    <row r="136" spans="6:7" x14ac:dyDescent="0.25">
      <c r="F136" s="119"/>
      <c r="G136" s="114"/>
    </row>
    <row r="137" spans="6:7" x14ac:dyDescent="0.25">
      <c r="F137" s="119"/>
      <c r="G137" s="114"/>
    </row>
    <row r="138" spans="6:7" x14ac:dyDescent="0.25">
      <c r="F138" s="119"/>
      <c r="G138" s="114"/>
    </row>
    <row r="139" spans="6:7" x14ac:dyDescent="0.25">
      <c r="F139" s="119"/>
      <c r="G139" s="114"/>
    </row>
    <row r="140" spans="6:7" x14ac:dyDescent="0.25">
      <c r="F140" s="119"/>
      <c r="G140" s="114"/>
    </row>
    <row r="141" spans="6:7" x14ac:dyDescent="0.25">
      <c r="F141" s="119"/>
      <c r="G141" s="114"/>
    </row>
    <row r="142" spans="6:7" x14ac:dyDescent="0.25">
      <c r="F142" s="119"/>
      <c r="G142" s="114"/>
    </row>
    <row r="143" spans="6:7" x14ac:dyDescent="0.25">
      <c r="F143" s="119"/>
      <c r="G143" s="114"/>
    </row>
    <row r="144" spans="6:7" x14ac:dyDescent="0.25">
      <c r="F144" s="119"/>
      <c r="G144" s="114"/>
    </row>
    <row r="145" spans="6:7" x14ac:dyDescent="0.25">
      <c r="F145" s="119"/>
      <c r="G145" s="114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workbookViewId="0">
      <selection activeCell="D16" sqref="D16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122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 t="s">
        <v>193</v>
      </c>
      <c r="D5" s="137" t="s">
        <v>9</v>
      </c>
      <c r="H5" s="2" t="s">
        <v>192</v>
      </c>
    </row>
    <row r="6" spans="1:19" x14ac:dyDescent="0.25">
      <c r="A6" s="138">
        <f>B6+273.15</f>
        <v>1098.1500000000001</v>
      </c>
      <c r="B6" s="148">
        <v>825</v>
      </c>
      <c r="C6" s="144">
        <v>-3.484</v>
      </c>
      <c r="D6" s="153">
        <f>10^(C6)</f>
        <v>3.280952931131185E-4</v>
      </c>
    </row>
    <row r="7" spans="1:19" ht="15.75" thickBot="1" x14ac:dyDescent="0.3">
      <c r="A7" s="141">
        <f t="shared" ref="A7:A14" si="0">B7+273.15</f>
        <v>998.15</v>
      </c>
      <c r="B7" s="149">
        <v>725</v>
      </c>
      <c r="C7" s="129">
        <v>-4.2119999999999997</v>
      </c>
      <c r="D7" s="154">
        <f>10^(C7)</f>
        <v>6.13762005164794E-5</v>
      </c>
      <c r="H7" s="111" t="s">
        <v>18</v>
      </c>
    </row>
    <row r="8" spans="1:19" ht="16.5" thickBot="1" x14ac:dyDescent="0.3">
      <c r="A8" s="138"/>
      <c r="B8" s="148"/>
      <c r="C8" s="144"/>
      <c r="D8" s="171"/>
      <c r="G8" s="111">
        <v>1</v>
      </c>
      <c r="H8" s="35" t="s">
        <v>103</v>
      </c>
    </row>
    <row r="9" spans="1:19" ht="15.75" x14ac:dyDescent="0.25">
      <c r="A9" s="133" t="s">
        <v>13</v>
      </c>
      <c r="B9" s="134"/>
      <c r="C9" s="134"/>
      <c r="D9" s="135"/>
      <c r="J9" s="35"/>
    </row>
    <row r="10" spans="1:19" ht="75.75" thickBot="1" x14ac:dyDescent="0.3">
      <c r="A10" s="136" t="s">
        <v>16</v>
      </c>
      <c r="B10" s="115" t="s">
        <v>14</v>
      </c>
      <c r="C10" s="142" t="s">
        <v>37</v>
      </c>
      <c r="D10" s="137" t="s">
        <v>15</v>
      </c>
      <c r="J10" s="35"/>
    </row>
    <row r="11" spans="1:19" ht="19.5" thickBot="1" x14ac:dyDescent="0.3">
      <c r="A11" s="138">
        <f>B11+273.15</f>
        <v>1098.1500000000001</v>
      </c>
      <c r="B11" s="148">
        <v>825</v>
      </c>
      <c r="C11" s="140">
        <f>'LSC,Sogaard (Solid State Ionics'!C27</f>
        <v>93.187659031584744</v>
      </c>
      <c r="D11" s="157">
        <f>D6/C11</f>
        <v>3.5208019658688378E-6</v>
      </c>
      <c r="H11" s="169" t="s">
        <v>184</v>
      </c>
    </row>
    <row r="12" spans="1:19" ht="15.75" thickBot="1" x14ac:dyDescent="0.3">
      <c r="A12" s="141">
        <f>B12+273.15</f>
        <v>998.15</v>
      </c>
      <c r="B12" s="149">
        <v>725</v>
      </c>
      <c r="C12" s="130">
        <f>'LSC,Sogaard (Solid State Ionics'!C29</f>
        <v>109.3669382358818</v>
      </c>
      <c r="D12" s="158">
        <f>D7/C12</f>
        <v>5.6119519762090868E-7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38"/>
      <c r="B13" s="148"/>
      <c r="C13" s="144"/>
      <c r="D13" s="14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19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48" thickBot="1" x14ac:dyDescent="0.3">
      <c r="A15" s="136" t="s">
        <v>16</v>
      </c>
      <c r="B15" s="115" t="s">
        <v>14</v>
      </c>
      <c r="C15" s="142" t="s">
        <v>111</v>
      </c>
      <c r="D15" s="143" t="s">
        <v>35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1098.1500000000001</v>
      </c>
      <c r="B16" s="148">
        <v>825</v>
      </c>
      <c r="C16" s="140">
        <f>'LSC,Sogaard (Solid State Ionics'!G27</f>
        <v>9.9893237779100127E-2</v>
      </c>
      <c r="D16" s="157">
        <f>($C$2*$A$2*A16)/(4*($E$2^2)*D11*C16)</f>
        <v>0.69682100421975757</v>
      </c>
    </row>
    <row r="17" spans="1:12" ht="15.75" thickBot="1" x14ac:dyDescent="0.3">
      <c r="A17" s="141">
        <f>B17+273.15</f>
        <v>998.15</v>
      </c>
      <c r="B17" s="149">
        <v>725</v>
      </c>
      <c r="C17" s="130">
        <f>'LSC,Sogaard (Solid State Ionics'!G29</f>
        <v>7.779693180590122E-2</v>
      </c>
      <c r="D17" s="158">
        <f>($C$2*$A$2*A17)/(4*($E$2^2)*D12*C17)</f>
        <v>5.1021902779039392</v>
      </c>
    </row>
    <row r="19" spans="1:12" x14ac:dyDescent="0.25">
      <c r="D19" s="115"/>
    </row>
    <row r="20" spans="1:12" x14ac:dyDescent="0.25">
      <c r="A20" s="138"/>
      <c r="B20" s="148"/>
      <c r="C20" s="140"/>
      <c r="D20" s="144"/>
    </row>
    <row r="21" spans="1:12" x14ac:dyDescent="0.25">
      <c r="A21" s="138"/>
      <c r="B21" s="148"/>
      <c r="C21" s="140"/>
      <c r="D21" s="144"/>
    </row>
    <row r="22" spans="1:12" x14ac:dyDescent="0.25">
      <c r="A22" s="138"/>
      <c r="B22" s="148"/>
      <c r="C22" s="140"/>
      <c r="D22" s="144"/>
    </row>
    <row r="23" spans="1:12" x14ac:dyDescent="0.25">
      <c r="A23" s="138"/>
      <c r="B23" s="148"/>
      <c r="C23" s="140"/>
      <c r="D23" s="144"/>
    </row>
    <row r="24" spans="1:12" x14ac:dyDescent="0.25">
      <c r="A24" s="138"/>
      <c r="B24" s="148"/>
      <c r="C24" s="140"/>
      <c r="D24" s="144"/>
    </row>
    <row r="25" spans="1:12" x14ac:dyDescent="0.25">
      <c r="A25" s="138"/>
      <c r="B25" s="148"/>
      <c r="C25" s="140"/>
      <c r="D25" s="144"/>
    </row>
    <row r="26" spans="1:12" x14ac:dyDescent="0.25">
      <c r="A26" s="139"/>
      <c r="B26" s="148"/>
      <c r="C26" s="140"/>
      <c r="D26" s="144"/>
    </row>
    <row r="28" spans="1:12" x14ac:dyDescent="0.25">
      <c r="G28" s="119"/>
      <c r="H28" s="119"/>
    </row>
    <row r="29" spans="1:12" x14ac:dyDescent="0.25">
      <c r="G29" s="119"/>
      <c r="H29" s="114"/>
    </row>
    <row r="30" spans="1:12" x14ac:dyDescent="0.25">
      <c r="G30" s="119"/>
      <c r="H30" s="114"/>
      <c r="K30" s="118"/>
      <c r="L30" s="118"/>
    </row>
    <row r="31" spans="1:12" x14ac:dyDescent="0.25">
      <c r="G31" s="119"/>
      <c r="H31" s="114"/>
      <c r="J31" s="113"/>
      <c r="K31" s="113"/>
      <c r="L31" s="113"/>
    </row>
    <row r="32" spans="1:12" x14ac:dyDescent="0.25">
      <c r="A32" s="172"/>
      <c r="B32" s="148"/>
      <c r="C32" s="144"/>
      <c r="D32" s="144"/>
      <c r="G32" s="119"/>
      <c r="H32" s="114"/>
      <c r="J32" s="113"/>
      <c r="K32" s="113"/>
      <c r="L32" s="113"/>
    </row>
    <row r="33" spans="1:21" x14ac:dyDescent="0.25">
      <c r="A33" s="172"/>
      <c r="B33" s="148"/>
      <c r="C33" s="144"/>
      <c r="D33" s="144"/>
      <c r="G33" s="119"/>
      <c r="H33" s="114"/>
      <c r="J33" s="113"/>
      <c r="K33" s="113"/>
      <c r="L33" s="113"/>
    </row>
    <row r="34" spans="1:21" x14ac:dyDescent="0.25">
      <c r="A34" s="172"/>
      <c r="B34" s="148"/>
      <c r="C34" s="144"/>
      <c r="D34" s="144"/>
      <c r="G34" s="119"/>
      <c r="H34" s="114"/>
      <c r="J34" s="113"/>
      <c r="K34" s="113"/>
      <c r="L34" s="113"/>
    </row>
    <row r="35" spans="1:21" x14ac:dyDescent="0.25">
      <c r="A35" s="172"/>
      <c r="B35" s="148"/>
      <c r="C35" s="144"/>
      <c r="D35" s="144"/>
      <c r="G35" s="119"/>
      <c r="H35" s="114"/>
      <c r="J35" s="113"/>
      <c r="K35" s="113"/>
      <c r="L35" s="113"/>
    </row>
    <row r="36" spans="1:21" x14ac:dyDescent="0.25">
      <c r="A36" s="172"/>
      <c r="B36" s="148"/>
      <c r="C36" s="144"/>
      <c r="D36" s="144"/>
      <c r="G36" s="119"/>
      <c r="H36" s="114"/>
      <c r="J36" s="113"/>
      <c r="K36" s="113"/>
      <c r="L36" s="113"/>
    </row>
    <row r="37" spans="1:21" x14ac:dyDescent="0.25">
      <c r="A37" s="172"/>
      <c r="B37" s="148"/>
      <c r="C37" s="144"/>
      <c r="D37" s="144"/>
      <c r="G37" s="119"/>
      <c r="H37" s="114"/>
      <c r="J37" s="113"/>
      <c r="K37" s="113"/>
      <c r="L37" s="113"/>
    </row>
    <row r="38" spans="1:21" x14ac:dyDescent="0.25">
      <c r="A38" s="148"/>
      <c r="B38" s="148"/>
      <c r="C38" s="144"/>
      <c r="D38" s="144"/>
      <c r="G38" s="119"/>
      <c r="H38" s="114"/>
      <c r="J38" s="113"/>
      <c r="K38" s="113"/>
      <c r="L38" s="113"/>
    </row>
    <row r="39" spans="1:21" x14ac:dyDescent="0.25">
      <c r="D39" s="114"/>
      <c r="G39" s="119"/>
      <c r="H39" s="114"/>
    </row>
    <row r="40" spans="1:21" s="126" customFormat="1" ht="15.75" thickBot="1" x14ac:dyDescent="0.3">
      <c r="A40" s="115"/>
      <c r="B40" s="115"/>
      <c r="C40" s="115"/>
      <c r="D40" s="144"/>
      <c r="E40" s="115"/>
      <c r="F40" s="115"/>
      <c r="G40" s="150"/>
      <c r="H40" s="144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</row>
    <row r="41" spans="1:21" x14ac:dyDescent="0.25">
      <c r="A41" s="142"/>
      <c r="B41" s="115"/>
      <c r="C41" s="115"/>
      <c r="D41" s="144"/>
      <c r="E41" s="115"/>
      <c r="F41" s="115"/>
      <c r="G41" s="150"/>
      <c r="H41" s="144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</row>
    <row r="42" spans="1:21" x14ac:dyDescent="0.25">
      <c r="C42" s="118"/>
      <c r="K42" s="118"/>
    </row>
    <row r="43" spans="1:21" x14ac:dyDescent="0.25">
      <c r="A43" s="112"/>
      <c r="B43" s="117"/>
      <c r="C43" s="114"/>
      <c r="D43" s="114"/>
      <c r="H43" s="114"/>
      <c r="I43" s="112"/>
      <c r="J43" s="117"/>
      <c r="K43" s="114"/>
    </row>
    <row r="44" spans="1:21" x14ac:dyDescent="0.25">
      <c r="A44" s="112"/>
      <c r="B44" s="112"/>
      <c r="C44" s="114"/>
      <c r="D44" s="114"/>
      <c r="H44" s="114"/>
      <c r="I44" s="112"/>
      <c r="J44" s="117"/>
      <c r="K44" s="114"/>
    </row>
    <row r="45" spans="1:21" x14ac:dyDescent="0.25">
      <c r="A45" s="112"/>
      <c r="B45" s="112"/>
      <c r="C45" s="114"/>
      <c r="D45" s="114"/>
      <c r="H45" s="114"/>
      <c r="I45" s="112"/>
      <c r="J45" s="117"/>
      <c r="K45" s="114"/>
    </row>
    <row r="46" spans="1:21" x14ac:dyDescent="0.25">
      <c r="A46" s="112"/>
      <c r="B46" s="112"/>
      <c r="C46" s="114"/>
      <c r="D46" s="114"/>
      <c r="H46" s="114"/>
      <c r="I46" s="112"/>
      <c r="J46" s="117"/>
      <c r="K46" s="114"/>
    </row>
    <row r="47" spans="1:21" x14ac:dyDescent="0.25">
      <c r="A47" s="112"/>
      <c r="B47" s="112"/>
      <c r="C47" s="114"/>
      <c r="D47" s="114"/>
      <c r="I47" s="112"/>
      <c r="J47" s="112"/>
      <c r="K47" s="114"/>
    </row>
    <row r="48" spans="1:21" x14ac:dyDescent="0.25">
      <c r="A48" s="112"/>
      <c r="B48" s="112"/>
      <c r="C48" s="114"/>
      <c r="D48" s="114"/>
      <c r="E48" s="112"/>
      <c r="F48" s="119"/>
      <c r="G48" s="114"/>
      <c r="I48" s="112"/>
      <c r="J48" s="112"/>
      <c r="K48" s="114"/>
    </row>
    <row r="49" spans="1:11" x14ac:dyDescent="0.25">
      <c r="A49" s="112"/>
      <c r="B49" s="112"/>
      <c r="C49" s="114"/>
      <c r="D49" s="114"/>
      <c r="E49" s="112"/>
      <c r="F49" s="119"/>
      <c r="G49" s="114"/>
      <c r="I49" s="112"/>
      <c r="J49" s="112"/>
      <c r="K49" s="114"/>
    </row>
    <row r="50" spans="1:11" x14ac:dyDescent="0.25">
      <c r="A50" s="112"/>
      <c r="B50" s="112"/>
      <c r="C50" s="114"/>
      <c r="D50" s="114"/>
      <c r="E50" s="112"/>
      <c r="F50" s="119"/>
      <c r="G50" s="114"/>
      <c r="J50" s="113"/>
    </row>
    <row r="51" spans="1:11" x14ac:dyDescent="0.25">
      <c r="A51" s="112"/>
      <c r="B51" s="112"/>
      <c r="C51" s="114"/>
      <c r="D51" s="114"/>
      <c r="E51" s="112"/>
      <c r="F51" s="119"/>
      <c r="G51" s="114"/>
    </row>
    <row r="52" spans="1:11" x14ac:dyDescent="0.25">
      <c r="A52" s="112"/>
      <c r="D52" s="114"/>
      <c r="E52" s="113"/>
      <c r="F52" s="119"/>
    </row>
    <row r="53" spans="1:11" x14ac:dyDescent="0.25">
      <c r="A53" s="112"/>
      <c r="D53" s="114"/>
      <c r="E53" s="113"/>
      <c r="F53" s="119"/>
    </row>
    <row r="54" spans="1:11" x14ac:dyDescent="0.25">
      <c r="A54" s="112"/>
      <c r="D54" s="114"/>
      <c r="E54" s="113"/>
      <c r="F54" s="119"/>
    </row>
    <row r="55" spans="1:11" x14ac:dyDescent="0.25">
      <c r="A55" s="112"/>
      <c r="D55" s="114"/>
      <c r="F55" s="119"/>
      <c r="G55" s="114"/>
      <c r="H55" s="114"/>
    </row>
    <row r="56" spans="1:11" x14ac:dyDescent="0.25">
      <c r="A56" s="112"/>
      <c r="D56" s="114"/>
      <c r="F56" s="119"/>
      <c r="G56" s="114"/>
      <c r="H56" s="114"/>
    </row>
    <row r="57" spans="1:11" x14ac:dyDescent="0.25">
      <c r="A57" s="112"/>
      <c r="D57" s="114"/>
      <c r="F57" s="119"/>
      <c r="G57" s="114"/>
      <c r="H57" s="114"/>
    </row>
    <row r="58" spans="1:11" x14ac:dyDescent="0.25">
      <c r="A58" s="112"/>
      <c r="D58" s="114"/>
      <c r="F58" s="119"/>
      <c r="G58" s="114"/>
      <c r="H58" s="114"/>
    </row>
    <row r="59" spans="1:11" x14ac:dyDescent="0.25">
      <c r="A59" s="112"/>
      <c r="D59" s="114"/>
      <c r="F59" s="119"/>
      <c r="G59" s="114"/>
      <c r="H59" s="114"/>
    </row>
    <row r="60" spans="1:11" x14ac:dyDescent="0.25">
      <c r="A60" s="112"/>
      <c r="C60" s="113"/>
      <c r="D60" s="114"/>
      <c r="F60" s="119"/>
      <c r="G60" s="114"/>
      <c r="H60" s="114"/>
    </row>
    <row r="61" spans="1:11" x14ac:dyDescent="0.25">
      <c r="A61" s="112"/>
      <c r="B61" s="117"/>
      <c r="C61" s="113"/>
      <c r="D61" s="114"/>
      <c r="F61" s="119"/>
      <c r="G61" s="114"/>
      <c r="H61" s="114"/>
    </row>
    <row r="62" spans="1:11" x14ac:dyDescent="0.25">
      <c r="A62" s="112"/>
      <c r="B62" s="117"/>
      <c r="D62" s="114"/>
      <c r="F62" s="119"/>
      <c r="G62" s="114"/>
      <c r="H62" s="114"/>
    </row>
    <row r="63" spans="1:11" x14ac:dyDescent="0.25">
      <c r="A63" s="112"/>
      <c r="B63" s="117"/>
      <c r="D63" s="114"/>
      <c r="F63" s="119"/>
      <c r="G63" s="114"/>
      <c r="H63" s="114"/>
    </row>
    <row r="64" spans="1:11" x14ac:dyDescent="0.25">
      <c r="A64" s="112"/>
      <c r="B64" s="117"/>
      <c r="D64" s="114"/>
      <c r="F64" s="119"/>
      <c r="G64" s="114"/>
      <c r="H64" s="114"/>
    </row>
    <row r="65" spans="1:8" x14ac:dyDescent="0.25">
      <c r="A65" s="112"/>
      <c r="B65" s="117"/>
      <c r="D65" s="114"/>
      <c r="F65" s="119"/>
      <c r="G65" s="114"/>
      <c r="H65" s="114"/>
    </row>
    <row r="66" spans="1:8" x14ac:dyDescent="0.25">
      <c r="A66" s="112"/>
      <c r="B66" s="117"/>
      <c r="D66" s="114"/>
      <c r="F66" s="119"/>
      <c r="G66" s="114"/>
      <c r="H66" s="114"/>
    </row>
    <row r="67" spans="1:8" x14ac:dyDescent="0.25">
      <c r="A67" s="112"/>
      <c r="B67" s="117"/>
      <c r="D67" s="114"/>
      <c r="F67" s="119"/>
      <c r="G67" s="114"/>
      <c r="H67" s="114"/>
    </row>
    <row r="68" spans="1:8" x14ac:dyDescent="0.25">
      <c r="A68" s="112"/>
      <c r="B68" s="117"/>
      <c r="D68" s="114"/>
      <c r="F68" s="119"/>
      <c r="G68" s="114"/>
      <c r="H68" s="114"/>
    </row>
    <row r="69" spans="1:8" x14ac:dyDescent="0.25">
      <c r="A69" s="112"/>
      <c r="B69" s="117"/>
      <c r="D69" s="114"/>
      <c r="F69" s="119"/>
      <c r="G69" s="114"/>
      <c r="H69" s="114"/>
    </row>
    <row r="70" spans="1:8" x14ac:dyDescent="0.25">
      <c r="A70" s="112"/>
      <c r="B70" s="117"/>
      <c r="D70" s="114"/>
      <c r="F70" s="119"/>
      <c r="G70" s="114"/>
      <c r="H70" s="114"/>
    </row>
    <row r="71" spans="1:8" x14ac:dyDescent="0.25">
      <c r="A71" s="112"/>
      <c r="B71" s="117"/>
      <c r="D71" s="114"/>
      <c r="F71" s="119"/>
      <c r="G71" s="114"/>
      <c r="H71" s="114"/>
    </row>
    <row r="72" spans="1:8" x14ac:dyDescent="0.25">
      <c r="A72" s="112"/>
      <c r="B72" s="117"/>
      <c r="D72" s="114"/>
      <c r="F72" s="119"/>
      <c r="G72" s="114"/>
      <c r="H72" s="114"/>
    </row>
    <row r="73" spans="1:8" x14ac:dyDescent="0.25">
      <c r="A73" s="112"/>
      <c r="B73" s="117"/>
      <c r="D73" s="114"/>
      <c r="F73" s="119"/>
      <c r="G73" s="114"/>
      <c r="H73" s="114"/>
    </row>
    <row r="74" spans="1:8" x14ac:dyDescent="0.25">
      <c r="A74" s="112"/>
      <c r="B74" s="117"/>
      <c r="D74" s="114"/>
      <c r="F74" s="119"/>
      <c r="G74" s="114"/>
      <c r="H74" s="114"/>
    </row>
    <row r="75" spans="1:8" x14ac:dyDescent="0.25">
      <c r="A75" s="112"/>
      <c r="B75" s="117"/>
      <c r="D75" s="114"/>
      <c r="F75" s="119"/>
      <c r="G75" s="114"/>
      <c r="H75" s="114"/>
    </row>
    <row r="76" spans="1:8" x14ac:dyDescent="0.25">
      <c r="A76" s="112"/>
      <c r="B76" s="117"/>
      <c r="D76" s="114"/>
      <c r="F76" s="119"/>
      <c r="G76" s="114"/>
      <c r="H76" s="114"/>
    </row>
    <row r="77" spans="1:8" x14ac:dyDescent="0.25">
      <c r="A77" s="112"/>
      <c r="B77" s="117"/>
      <c r="D77" s="114"/>
      <c r="F77" s="119"/>
      <c r="G77" s="114"/>
      <c r="H77" s="114"/>
    </row>
    <row r="78" spans="1:8" x14ac:dyDescent="0.25">
      <c r="A78" s="112"/>
      <c r="B78" s="117"/>
      <c r="D78" s="114"/>
      <c r="F78" s="119"/>
      <c r="G78" s="114"/>
      <c r="H78" s="114"/>
    </row>
    <row r="79" spans="1:8" x14ac:dyDescent="0.25">
      <c r="A79" s="112"/>
      <c r="B79" s="117"/>
      <c r="D79" s="114"/>
      <c r="F79" s="119"/>
      <c r="G79" s="114"/>
      <c r="H79" s="114"/>
    </row>
    <row r="80" spans="1:8" x14ac:dyDescent="0.25">
      <c r="A80" s="112"/>
      <c r="B80" s="117"/>
      <c r="D80" s="114"/>
      <c r="F80" s="119"/>
      <c r="G80" s="114"/>
      <c r="H80" s="114"/>
    </row>
    <row r="81" spans="1:8" x14ac:dyDescent="0.25">
      <c r="A81" s="112"/>
      <c r="B81" s="117"/>
      <c r="D81" s="114"/>
      <c r="F81" s="119"/>
      <c r="G81" s="114"/>
      <c r="H81" s="114"/>
    </row>
    <row r="82" spans="1:8" x14ac:dyDescent="0.25">
      <c r="A82" s="112"/>
      <c r="B82" s="117"/>
      <c r="D82" s="114"/>
      <c r="F82" s="119"/>
      <c r="G82" s="114"/>
      <c r="H82" s="114"/>
    </row>
    <row r="83" spans="1:8" x14ac:dyDescent="0.25">
      <c r="A83" s="112"/>
      <c r="B83" s="117"/>
      <c r="D83" s="114"/>
      <c r="F83" s="119"/>
      <c r="G83" s="114"/>
      <c r="H83" s="114"/>
    </row>
    <row r="84" spans="1:8" x14ac:dyDescent="0.25">
      <c r="A84" s="112"/>
      <c r="B84" s="117"/>
      <c r="D84" s="114"/>
      <c r="F84" s="119"/>
      <c r="G84" s="114"/>
      <c r="H84" s="114"/>
    </row>
    <row r="85" spans="1:8" x14ac:dyDescent="0.25">
      <c r="A85" s="112"/>
      <c r="B85" s="117"/>
      <c r="D85" s="114"/>
      <c r="F85" s="119"/>
      <c r="G85" s="114"/>
      <c r="H85" s="114"/>
    </row>
    <row r="86" spans="1:8" x14ac:dyDescent="0.25">
      <c r="A86" s="112"/>
      <c r="B86" s="117"/>
      <c r="D86" s="114"/>
      <c r="F86" s="119"/>
      <c r="G86" s="114"/>
      <c r="H86" s="114"/>
    </row>
    <row r="87" spans="1:8" x14ac:dyDescent="0.25">
      <c r="A87" s="112"/>
      <c r="B87" s="117"/>
      <c r="D87" s="114"/>
      <c r="F87" s="119"/>
      <c r="G87" s="114"/>
      <c r="H87" s="114"/>
    </row>
    <row r="88" spans="1:8" x14ac:dyDescent="0.25">
      <c r="A88" s="112"/>
      <c r="B88" s="117"/>
      <c r="D88" s="114"/>
      <c r="F88" s="119"/>
      <c r="G88" s="114"/>
      <c r="H88" s="114"/>
    </row>
    <row r="89" spans="1:8" x14ac:dyDescent="0.25">
      <c r="A89" s="112"/>
      <c r="B89" s="117"/>
      <c r="D89" s="114"/>
      <c r="F89" s="119"/>
      <c r="G89" s="114"/>
      <c r="H89" s="114"/>
    </row>
    <row r="90" spans="1:8" x14ac:dyDescent="0.25">
      <c r="A90" s="112"/>
      <c r="B90" s="117"/>
      <c r="D90" s="114"/>
      <c r="F90" s="119"/>
      <c r="G90" s="114"/>
      <c r="H90" s="114"/>
    </row>
    <row r="91" spans="1:8" x14ac:dyDescent="0.25">
      <c r="A91" s="112"/>
      <c r="B91" s="117"/>
      <c r="D91" s="114"/>
      <c r="F91" s="119"/>
      <c r="G91" s="114"/>
      <c r="H91" s="114"/>
    </row>
    <row r="92" spans="1:8" x14ac:dyDescent="0.25">
      <c r="A92" s="112"/>
      <c r="B92" s="117"/>
      <c r="D92" s="114"/>
      <c r="F92" s="119"/>
      <c r="G92" s="114"/>
      <c r="H92" s="114"/>
    </row>
    <row r="93" spans="1:8" x14ac:dyDescent="0.25">
      <c r="A93" s="112"/>
      <c r="B93" s="117"/>
      <c r="D93" s="114"/>
      <c r="F93" s="119"/>
      <c r="G93" s="114"/>
      <c r="H93" s="114"/>
    </row>
    <row r="94" spans="1:8" x14ac:dyDescent="0.25">
      <c r="A94" s="112"/>
      <c r="B94" s="117"/>
      <c r="D94" s="114"/>
      <c r="F94" s="119"/>
      <c r="G94" s="114"/>
      <c r="H94" s="114"/>
    </row>
    <row r="95" spans="1:8" x14ac:dyDescent="0.25">
      <c r="A95" s="112"/>
      <c r="B95" s="117"/>
      <c r="D95" s="114"/>
      <c r="F95" s="119"/>
      <c r="G95" s="114"/>
      <c r="H95" s="114"/>
    </row>
    <row r="96" spans="1:8" x14ac:dyDescent="0.25">
      <c r="A96" s="112"/>
      <c r="B96" s="117"/>
      <c r="D96" s="114"/>
      <c r="F96" s="119"/>
      <c r="G96" s="114"/>
      <c r="H96" s="119"/>
    </row>
    <row r="97" spans="1:7" x14ac:dyDescent="0.25">
      <c r="A97" s="112"/>
      <c r="B97" s="117"/>
      <c r="D97" s="114"/>
      <c r="F97" s="119"/>
      <c r="G97" s="114"/>
    </row>
    <row r="98" spans="1:7" x14ac:dyDescent="0.25">
      <c r="A98" s="112"/>
      <c r="B98" s="117"/>
      <c r="D98" s="114"/>
      <c r="F98" s="119"/>
      <c r="G98" s="114"/>
    </row>
    <row r="99" spans="1:7" x14ac:dyDescent="0.25">
      <c r="A99" s="112"/>
      <c r="B99" s="117"/>
      <c r="D99" s="114"/>
      <c r="F99" s="119"/>
      <c r="G99" s="114"/>
    </row>
    <row r="100" spans="1:7" x14ac:dyDescent="0.25">
      <c r="A100" s="112"/>
      <c r="B100" s="117"/>
      <c r="D100" s="114"/>
      <c r="F100" s="119"/>
      <c r="G100" s="114"/>
    </row>
    <row r="101" spans="1:7" x14ac:dyDescent="0.25">
      <c r="A101" s="112"/>
      <c r="B101" s="117"/>
      <c r="D101" s="114"/>
      <c r="F101" s="119"/>
      <c r="G101" s="114"/>
    </row>
    <row r="102" spans="1:7" x14ac:dyDescent="0.25">
      <c r="A102" s="112"/>
      <c r="B102" s="117"/>
      <c r="D102" s="114"/>
      <c r="F102" s="119"/>
      <c r="G102" s="114"/>
    </row>
    <row r="103" spans="1:7" x14ac:dyDescent="0.25">
      <c r="A103" s="112"/>
      <c r="B103" s="117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A111" s="112"/>
      <c r="B111" s="112"/>
      <c r="D111" s="114"/>
      <c r="F111" s="119"/>
      <c r="G111" s="114"/>
    </row>
    <row r="112" spans="1:7" x14ac:dyDescent="0.25">
      <c r="A112" s="112"/>
      <c r="B112" s="112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A117" s="112"/>
      <c r="B117" s="112"/>
      <c r="D117" s="114"/>
      <c r="F117" s="119"/>
      <c r="G117" s="114"/>
    </row>
    <row r="118" spans="1:7" x14ac:dyDescent="0.25">
      <c r="A118" s="112"/>
      <c r="B118" s="112"/>
      <c r="D118" s="114"/>
      <c r="F118" s="119"/>
      <c r="G118" s="114"/>
    </row>
    <row r="119" spans="1:7" x14ac:dyDescent="0.25">
      <c r="A119" s="112"/>
      <c r="B119" s="112"/>
      <c r="D119" s="114"/>
      <c r="F119" s="119"/>
      <c r="G119" s="114"/>
    </row>
    <row r="120" spans="1:7" x14ac:dyDescent="0.25">
      <c r="A120" s="112"/>
      <c r="B120" s="112"/>
      <c r="D120" s="114"/>
      <c r="F120" s="119"/>
      <c r="G120" s="114"/>
    </row>
    <row r="121" spans="1:7" x14ac:dyDescent="0.25">
      <c r="A121" s="112"/>
      <c r="B121" s="112"/>
      <c r="D121" s="114"/>
      <c r="F121" s="119"/>
      <c r="G121" s="114"/>
    </row>
    <row r="122" spans="1:7" x14ac:dyDescent="0.25">
      <c r="A122" s="112"/>
      <c r="B122" s="112"/>
      <c r="D122" s="114"/>
      <c r="F122" s="119"/>
      <c r="G122" s="114"/>
    </row>
    <row r="123" spans="1:7" x14ac:dyDescent="0.25">
      <c r="A123" s="112"/>
      <c r="B123" s="112"/>
      <c r="D123" s="114"/>
      <c r="F123" s="119"/>
      <c r="G123" s="114"/>
    </row>
    <row r="124" spans="1:7" x14ac:dyDescent="0.25">
      <c r="A124" s="112"/>
      <c r="B124" s="112"/>
      <c r="D124" s="114"/>
      <c r="F124" s="119"/>
      <c r="G124" s="114"/>
    </row>
    <row r="125" spans="1:7" x14ac:dyDescent="0.25">
      <c r="F125" s="119"/>
      <c r="G125" s="114"/>
    </row>
    <row r="126" spans="1:7" x14ac:dyDescent="0.25">
      <c r="F126" s="119"/>
      <c r="G126" s="114"/>
    </row>
    <row r="127" spans="1:7" x14ac:dyDescent="0.25">
      <c r="F127" s="119"/>
      <c r="G127" s="114"/>
    </row>
    <row r="128" spans="1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  <row r="134" spans="6:7" x14ac:dyDescent="0.25">
      <c r="F134" s="119"/>
      <c r="G134" s="114"/>
    </row>
    <row r="135" spans="6:7" x14ac:dyDescent="0.25">
      <c r="F135" s="119"/>
      <c r="G135" s="114"/>
    </row>
    <row r="136" spans="6:7" x14ac:dyDescent="0.25">
      <c r="F136" s="119"/>
      <c r="G136" s="114"/>
    </row>
    <row r="137" spans="6:7" x14ac:dyDescent="0.25">
      <c r="F137" s="119"/>
      <c r="G137" s="114"/>
    </row>
    <row r="138" spans="6:7" x14ac:dyDescent="0.25">
      <c r="F138" s="119"/>
      <c r="G138" s="114"/>
    </row>
    <row r="139" spans="6:7" x14ac:dyDescent="0.25">
      <c r="F139" s="119"/>
      <c r="G139" s="114"/>
    </row>
    <row r="140" spans="6:7" x14ac:dyDescent="0.25">
      <c r="F140" s="119"/>
      <c r="G140" s="114"/>
    </row>
    <row r="141" spans="6:7" x14ac:dyDescent="0.25">
      <c r="F141" s="119"/>
      <c r="G141" s="114"/>
    </row>
    <row r="142" spans="6:7" x14ac:dyDescent="0.25">
      <c r="F142" s="119"/>
      <c r="G142" s="114"/>
    </row>
    <row r="143" spans="6:7" x14ac:dyDescent="0.25">
      <c r="F143" s="119"/>
      <c r="G143" s="114"/>
    </row>
    <row r="144" spans="6:7" x14ac:dyDescent="0.25">
      <c r="F144" s="119"/>
      <c r="G144" s="114"/>
    </row>
    <row r="145" spans="6:7" x14ac:dyDescent="0.25">
      <c r="F145" s="119"/>
      <c r="G145" s="114"/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workbookViewId="0">
      <selection activeCell="G25" sqref="G25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126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50" t="s">
        <v>8</v>
      </c>
      <c r="D5" s="137" t="s">
        <v>9</v>
      </c>
      <c r="H5" s="35" t="s">
        <v>115</v>
      </c>
    </row>
    <row r="6" spans="1:19" x14ac:dyDescent="0.25">
      <c r="A6" s="138">
        <f>B6+273.15</f>
        <v>888.57295183934605</v>
      </c>
      <c r="B6" s="148">
        <v>615.42295183934607</v>
      </c>
      <c r="C6" s="144">
        <v>-3.08</v>
      </c>
      <c r="D6" s="153">
        <f>10^C6</f>
        <v>8.3176377110267033E-4</v>
      </c>
    </row>
    <row r="7" spans="1:19" x14ac:dyDescent="0.25">
      <c r="A7" s="138">
        <f t="shared" ref="A7:A15" si="0">B7+273.15</f>
        <v>873.15</v>
      </c>
      <c r="B7" s="148">
        <v>600</v>
      </c>
      <c r="C7" s="144"/>
      <c r="D7" s="153">
        <v>8.0000000000000004E-4</v>
      </c>
    </row>
    <row r="8" spans="1:19" ht="15.75" x14ac:dyDescent="0.25">
      <c r="A8" s="138">
        <f t="shared" si="0"/>
        <v>837.17036416910844</v>
      </c>
      <c r="B8" s="148">
        <v>564.02036416910846</v>
      </c>
      <c r="C8" s="144">
        <v>-3.1398999999999999</v>
      </c>
      <c r="D8" s="153">
        <f>10^C8</f>
        <v>7.2460278682514201E-4</v>
      </c>
      <c r="J8" s="35"/>
    </row>
    <row r="9" spans="1:19" ht="15.75" x14ac:dyDescent="0.25">
      <c r="A9" s="138">
        <f t="shared" si="0"/>
        <v>823.15</v>
      </c>
      <c r="B9" s="148">
        <v>550</v>
      </c>
      <c r="C9" s="144"/>
      <c r="D9" s="153">
        <v>6.2600000000000004E-4</v>
      </c>
      <c r="J9" s="35"/>
    </row>
    <row r="10" spans="1:19" ht="16.5" thickBot="1" x14ac:dyDescent="0.3">
      <c r="A10" s="138">
        <f t="shared" si="0"/>
        <v>796.38124362895007</v>
      </c>
      <c r="B10" s="148">
        <v>523.2312436289501</v>
      </c>
      <c r="C10" s="144">
        <v>-3.36</v>
      </c>
      <c r="D10" s="153">
        <f>10^C10</f>
        <v>4.3651583224016562E-4</v>
      </c>
      <c r="J10" s="35"/>
    </row>
    <row r="11" spans="1:19" ht="19.5" thickBot="1" x14ac:dyDescent="0.3">
      <c r="A11" s="138">
        <f t="shared" si="0"/>
        <v>773.15</v>
      </c>
      <c r="B11" s="148">
        <v>500</v>
      </c>
      <c r="C11" s="144"/>
      <c r="D11" s="153">
        <v>3.7500000000000001E-4</v>
      </c>
      <c r="H11" s="169" t="s">
        <v>184</v>
      </c>
    </row>
    <row r="12" spans="1:19" x14ac:dyDescent="0.25">
      <c r="A12" s="138">
        <f t="shared" si="0"/>
        <v>748.27895839568987</v>
      </c>
      <c r="B12" s="148">
        <v>475.12895839568989</v>
      </c>
      <c r="C12" s="144">
        <v>-3.51</v>
      </c>
      <c r="D12" s="153">
        <f>10^C12</f>
        <v>3.0902954325135899E-4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si="0"/>
        <v>723.15</v>
      </c>
      <c r="B13" s="148">
        <v>450</v>
      </c>
      <c r="C13" s="144"/>
      <c r="D13" s="153">
        <v>1.8900000000000001E-4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si="0"/>
        <v>698.25088154173795</v>
      </c>
      <c r="B14" s="148">
        <v>425.10088154173798</v>
      </c>
      <c r="C14" s="144">
        <v>-4.16</v>
      </c>
      <c r="D14" s="153">
        <f>10^C14</f>
        <v>6.9183097091893571E-5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 t="shared" si="0"/>
        <v>673.15</v>
      </c>
      <c r="B15" s="131">
        <v>400</v>
      </c>
      <c r="C15" s="126"/>
      <c r="D15" s="154">
        <v>4.0000000000000003E-5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D16" s="119"/>
    </row>
    <row r="17" spans="1:12" ht="15.75" x14ac:dyDescent="0.25">
      <c r="A17" s="133" t="s">
        <v>13</v>
      </c>
      <c r="B17" s="134"/>
      <c r="C17" s="134"/>
      <c r="D17" s="135"/>
    </row>
    <row r="18" spans="1:12" x14ac:dyDescent="0.25">
      <c r="A18" s="136" t="s">
        <v>16</v>
      </c>
      <c r="B18" s="115" t="s">
        <v>14</v>
      </c>
      <c r="C18" s="142"/>
      <c r="D18" s="137" t="s">
        <v>15</v>
      </c>
    </row>
    <row r="19" spans="1:12" x14ac:dyDescent="0.25">
      <c r="A19" s="138">
        <f>B19+273.15</f>
        <v>873.15</v>
      </c>
      <c r="B19" s="148">
        <v>600</v>
      </c>
      <c r="C19" s="140"/>
      <c r="D19" s="159">
        <f>D7/J59</f>
        <v>7.3690448945085898E-7</v>
      </c>
    </row>
    <row r="20" spans="1:12" x14ac:dyDescent="0.25">
      <c r="A20" s="138">
        <f t="shared" ref="A20:A23" si="1">B20+273.15</f>
        <v>823.15</v>
      </c>
      <c r="B20" s="148">
        <v>550</v>
      </c>
      <c r="C20" s="140"/>
      <c r="D20" s="159">
        <f>D9/J60</f>
        <v>7.7605650844712271E-7</v>
      </c>
    </row>
    <row r="21" spans="1:12" x14ac:dyDescent="0.25">
      <c r="A21" s="138">
        <f t="shared" si="1"/>
        <v>773.15</v>
      </c>
      <c r="B21" s="148">
        <v>500</v>
      </c>
      <c r="C21" s="140"/>
      <c r="D21" s="159">
        <f>D11/J61</f>
        <v>5.6958278338218553E-7</v>
      </c>
    </row>
    <row r="22" spans="1:12" x14ac:dyDescent="0.25">
      <c r="A22" s="138">
        <f t="shared" si="1"/>
        <v>723.15</v>
      </c>
      <c r="B22" s="148">
        <v>450</v>
      </c>
      <c r="C22" s="140"/>
      <c r="D22" s="159">
        <f>D13/J62</f>
        <v>3.5890630127033459E-7</v>
      </c>
    </row>
    <row r="23" spans="1:12" ht="15.75" thickBot="1" x14ac:dyDescent="0.3">
      <c r="A23" s="141">
        <f t="shared" si="1"/>
        <v>673.15</v>
      </c>
      <c r="B23" s="149">
        <v>400</v>
      </c>
      <c r="C23" s="130"/>
      <c r="D23" s="160">
        <f>D15/J63</f>
        <v>9.7279319415816573E-8</v>
      </c>
    </row>
    <row r="24" spans="1:12" ht="15.75" thickBot="1" x14ac:dyDescent="0.3"/>
    <row r="25" spans="1:12" ht="15.75" x14ac:dyDescent="0.25">
      <c r="A25" s="133" t="s">
        <v>19</v>
      </c>
      <c r="B25" s="134"/>
      <c r="C25" s="134"/>
      <c r="D25" s="135"/>
      <c r="G25" s="119"/>
      <c r="H25" s="119"/>
    </row>
    <row r="26" spans="1:12" x14ac:dyDescent="0.25">
      <c r="A26" s="136" t="s">
        <v>16</v>
      </c>
      <c r="B26" s="115" t="s">
        <v>14</v>
      </c>
      <c r="C26" s="142"/>
      <c r="D26" s="143" t="s">
        <v>35</v>
      </c>
      <c r="G26" s="119"/>
      <c r="H26" s="114"/>
    </row>
    <row r="27" spans="1:12" x14ac:dyDescent="0.25">
      <c r="A27" s="138">
        <f>B27+273.15</f>
        <v>873.15</v>
      </c>
      <c r="B27" s="148">
        <v>600</v>
      </c>
      <c r="C27" s="140"/>
      <c r="D27" s="159">
        <f>($C$2*$A$2*A27)/(4*($E$2^2)*D19*J44)</f>
        <v>2.7823984104960506</v>
      </c>
      <c r="G27" s="119"/>
      <c r="H27" s="114"/>
      <c r="K27" s="118"/>
      <c r="L27" s="118"/>
    </row>
    <row r="28" spans="1:12" x14ac:dyDescent="0.25">
      <c r="A28" s="138">
        <f t="shared" ref="A28:A31" si="2">B28+273.15</f>
        <v>823.15</v>
      </c>
      <c r="B28" s="148">
        <v>550</v>
      </c>
      <c r="C28" s="140"/>
      <c r="D28" s="159">
        <f>($C$2*$A$2*A28)/(4*($E$2^2)*D20*J45)</f>
        <v>3.1100430249997126</v>
      </c>
      <c r="G28" s="119"/>
      <c r="H28" s="114"/>
      <c r="J28" s="113"/>
      <c r="K28" s="113"/>
      <c r="L28" s="113"/>
    </row>
    <row r="29" spans="1:12" x14ac:dyDescent="0.25">
      <c r="A29" s="138">
        <f t="shared" si="2"/>
        <v>773.15</v>
      </c>
      <c r="B29" s="148">
        <v>500</v>
      </c>
      <c r="C29" s="140"/>
      <c r="D29" s="159">
        <f>($C$2*$A$2*A29)/(4*($E$2^2)*D21*J46)</f>
        <v>4.4631896932839812</v>
      </c>
      <c r="G29" s="119"/>
      <c r="H29" s="114"/>
      <c r="J29" s="113"/>
      <c r="K29" s="113"/>
      <c r="L29" s="113"/>
    </row>
    <row r="30" spans="1:12" x14ac:dyDescent="0.25">
      <c r="A30" s="138">
        <f t="shared" si="2"/>
        <v>723.15</v>
      </c>
      <c r="B30" s="148">
        <v>450</v>
      </c>
      <c r="C30" s="140"/>
      <c r="D30" s="159">
        <f>($C$2*$A$2*A30)/(4*($E$2^2)*D22*J47)</f>
        <v>7.5013709995013071</v>
      </c>
      <c r="G30" s="119"/>
      <c r="H30" s="114"/>
      <c r="J30" s="113"/>
      <c r="K30" s="113"/>
      <c r="L30" s="113"/>
    </row>
    <row r="31" spans="1:12" ht="15.75" thickBot="1" x14ac:dyDescent="0.3">
      <c r="A31" s="141">
        <f t="shared" si="2"/>
        <v>673.15</v>
      </c>
      <c r="B31" s="149">
        <v>400</v>
      </c>
      <c r="C31" s="130"/>
      <c r="D31" s="160">
        <f>($C$2*$A$2*A31)/(4*($E$2^2)*D23*J48)</f>
        <v>29.509297350239741</v>
      </c>
      <c r="G31" s="119"/>
      <c r="H31" s="114"/>
      <c r="J31" s="113"/>
      <c r="K31" s="113"/>
      <c r="L31" s="113"/>
    </row>
    <row r="32" spans="1:12" x14ac:dyDescent="0.25">
      <c r="D32" s="114"/>
      <c r="G32" s="119"/>
      <c r="H32" s="114"/>
    </row>
    <row r="33" spans="1:11" s="126" customFormat="1" ht="15.75" thickBot="1" x14ac:dyDescent="0.3">
      <c r="D33" s="129"/>
      <c r="G33" s="128"/>
      <c r="H33" s="129"/>
    </row>
    <row r="34" spans="1:11" ht="60" x14ac:dyDescent="0.25">
      <c r="A34" s="118" t="s">
        <v>26</v>
      </c>
      <c r="D34" s="114"/>
      <c r="G34" s="119"/>
      <c r="H34" s="114"/>
    </row>
    <row r="35" spans="1:11" ht="30" x14ac:dyDescent="0.25">
      <c r="A35" s="119" t="s">
        <v>16</v>
      </c>
      <c r="B35" s="119" t="s">
        <v>14</v>
      </c>
      <c r="C35" s="119" t="s">
        <v>116</v>
      </c>
      <c r="D35" s="119" t="s">
        <v>97</v>
      </c>
      <c r="E35" s="120" t="s">
        <v>117</v>
      </c>
      <c r="F35" s="114" t="s">
        <v>99</v>
      </c>
      <c r="H35" s="119" t="s">
        <v>16</v>
      </c>
      <c r="I35" s="119" t="s">
        <v>14</v>
      </c>
      <c r="J35" s="118" t="s">
        <v>20</v>
      </c>
      <c r="K35" s="118"/>
    </row>
    <row r="36" spans="1:11" x14ac:dyDescent="0.25">
      <c r="A36" s="112">
        <f>B36+273.15</f>
        <v>1160.8469539375928</v>
      </c>
      <c r="B36" s="117">
        <v>887.69695393759287</v>
      </c>
      <c r="C36" s="114">
        <v>-5.7</v>
      </c>
      <c r="D36" s="114">
        <f>10^C36</f>
        <v>1.9952623149688749E-6</v>
      </c>
      <c r="E36" s="111">
        <v>0.69</v>
      </c>
      <c r="F36" s="113">
        <f>D36/E36</f>
        <v>2.8916845144476452E-6</v>
      </c>
      <c r="H36" s="117">
        <f>I36+273.15</f>
        <v>1153.1500000000001</v>
      </c>
      <c r="I36" s="112">
        <v>880</v>
      </c>
      <c r="J36" s="114">
        <f t="shared" ref="J36:J43" si="3">(0.0164)*EXP(0.0029*I36)</f>
        <v>0.21045699539293783</v>
      </c>
      <c r="K36" s="114"/>
    </row>
    <row r="37" spans="1:11" x14ac:dyDescent="0.25">
      <c r="A37" s="112">
        <f t="shared" ref="A37:A79" si="4">B37+273.15</f>
        <v>1153.7485289706256</v>
      </c>
      <c r="B37" s="112">
        <v>880.59852897062558</v>
      </c>
      <c r="C37" s="114">
        <v>-5.7621000000000002</v>
      </c>
      <c r="D37" s="114">
        <f t="shared" ref="D37:D79" si="5">10^C37</f>
        <v>1.7294181001318952E-6</v>
      </c>
      <c r="E37" s="111">
        <v>0.69</v>
      </c>
      <c r="F37" s="113">
        <f t="shared" ref="F37:F79" si="6">D37/E37</f>
        <v>2.5064030436694135E-6</v>
      </c>
      <c r="H37" s="117">
        <f t="shared" ref="H37:H48" si="7">I37+273.15</f>
        <v>1063.1500000000001</v>
      </c>
      <c r="I37" s="112">
        <v>790</v>
      </c>
      <c r="J37" s="114">
        <f t="shared" si="3"/>
        <v>0.16211100795069869</v>
      </c>
      <c r="K37" s="114"/>
    </row>
    <row r="38" spans="1:11" x14ac:dyDescent="0.25">
      <c r="A38" s="112">
        <f t="shared" si="4"/>
        <v>1143.2491139819367</v>
      </c>
      <c r="B38" s="112">
        <v>870.09911398193674</v>
      </c>
      <c r="C38" s="114">
        <v>-5.7929000000000004</v>
      </c>
      <c r="D38" s="114">
        <f t="shared" si="5"/>
        <v>1.6110165427419058E-6</v>
      </c>
      <c r="E38" s="111">
        <v>0.69</v>
      </c>
      <c r="F38" s="113">
        <f t="shared" si="6"/>
        <v>2.3348065836839214E-6</v>
      </c>
      <c r="H38" s="117">
        <f t="shared" si="7"/>
        <v>1023.15</v>
      </c>
      <c r="I38" s="112">
        <v>750</v>
      </c>
      <c r="J38" s="114">
        <f t="shared" si="3"/>
        <v>0.14435583600387675</v>
      </c>
      <c r="K38" s="114"/>
    </row>
    <row r="39" spans="1:11" x14ac:dyDescent="0.25">
      <c r="A39" s="112">
        <f t="shared" si="4"/>
        <v>1132.9390705367866</v>
      </c>
      <c r="B39" s="112">
        <v>859.78907053678665</v>
      </c>
      <c r="C39" s="114">
        <v>-5.8230000000000004</v>
      </c>
      <c r="D39" s="114">
        <f t="shared" si="5"/>
        <v>1.5031419660900199E-6</v>
      </c>
      <c r="E39" s="111">
        <v>0.69</v>
      </c>
      <c r="F39" s="113">
        <f t="shared" si="6"/>
        <v>2.1784666175217684E-6</v>
      </c>
      <c r="H39" s="117">
        <f t="shared" si="7"/>
        <v>998.15</v>
      </c>
      <c r="I39" s="112">
        <v>725</v>
      </c>
      <c r="J39" s="114">
        <f t="shared" si="3"/>
        <v>0.13426041839771435</v>
      </c>
      <c r="K39" s="114"/>
    </row>
    <row r="40" spans="1:11" x14ac:dyDescent="0.25">
      <c r="A40" s="112">
        <f t="shared" si="4"/>
        <v>1124.4799280332845</v>
      </c>
      <c r="B40" s="112">
        <v>851.32992803328455</v>
      </c>
      <c r="C40" s="114">
        <v>-5.8849999999999998</v>
      </c>
      <c r="D40" s="114">
        <f t="shared" si="5"/>
        <v>1.3031667784522985E-6</v>
      </c>
      <c r="E40" s="111">
        <v>0.69</v>
      </c>
      <c r="F40" s="113">
        <f t="shared" si="6"/>
        <v>1.8886475050033312E-6</v>
      </c>
      <c r="H40" s="117">
        <f t="shared" si="7"/>
        <v>973.15</v>
      </c>
      <c r="I40" s="112">
        <v>700</v>
      </c>
      <c r="J40" s="114">
        <f t="shared" si="3"/>
        <v>0.12487101628399157</v>
      </c>
      <c r="K40" s="114"/>
    </row>
    <row r="41" spans="1:11" x14ac:dyDescent="0.25">
      <c r="A41" s="112">
        <f t="shared" si="4"/>
        <v>1114.5786892554615</v>
      </c>
      <c r="B41" s="112">
        <v>841.42868925546156</v>
      </c>
      <c r="C41" s="114">
        <v>-5.9160000000000004</v>
      </c>
      <c r="D41" s="114">
        <f t="shared" si="5"/>
        <v>1.2133888504649738E-6</v>
      </c>
      <c r="E41" s="111">
        <v>0.69</v>
      </c>
      <c r="F41" s="113">
        <f t="shared" si="6"/>
        <v>1.7585345658912664E-6</v>
      </c>
      <c r="G41" s="114"/>
      <c r="H41" s="117">
        <f t="shared" si="7"/>
        <v>948.15</v>
      </c>
      <c r="I41" s="112">
        <v>675</v>
      </c>
      <c r="J41" s="114">
        <f t="shared" si="3"/>
        <v>0.11613825499639842</v>
      </c>
      <c r="K41" s="114"/>
    </row>
    <row r="42" spans="1:11" x14ac:dyDescent="0.25">
      <c r="A42" s="112">
        <f t="shared" si="4"/>
        <v>1106.3293099824093</v>
      </c>
      <c r="B42" s="112">
        <v>833.17930998240934</v>
      </c>
      <c r="C42" s="114">
        <v>-5.9779</v>
      </c>
      <c r="D42" s="114">
        <f t="shared" si="5"/>
        <v>1.0522041248852413E-6</v>
      </c>
      <c r="E42" s="111">
        <v>0.69</v>
      </c>
      <c r="F42" s="113">
        <f t="shared" si="6"/>
        <v>1.5249335143264368E-6</v>
      </c>
      <c r="G42" s="114"/>
      <c r="H42" s="117">
        <f t="shared" si="7"/>
        <v>923.15</v>
      </c>
      <c r="I42" s="112">
        <v>650</v>
      </c>
      <c r="J42" s="114">
        <f t="shared" si="3"/>
        <v>0.1080162128490471</v>
      </c>
      <c r="K42" s="114"/>
    </row>
    <row r="43" spans="1:11" x14ac:dyDescent="0.25">
      <c r="A43" s="112">
        <f t="shared" si="4"/>
        <v>1096.6716016888743</v>
      </c>
      <c r="B43" s="112">
        <v>823.52160168887428</v>
      </c>
      <c r="C43" s="114">
        <v>-5.9779</v>
      </c>
      <c r="D43" s="114">
        <f t="shared" si="5"/>
        <v>1.0522041248852413E-6</v>
      </c>
      <c r="E43" s="111">
        <v>0.69</v>
      </c>
      <c r="F43" s="113">
        <f t="shared" si="6"/>
        <v>1.5249335143264368E-6</v>
      </c>
      <c r="G43" s="114"/>
      <c r="H43" s="117">
        <f t="shared" si="7"/>
        <v>898.15</v>
      </c>
      <c r="I43" s="111">
        <v>625</v>
      </c>
      <c r="J43" s="114">
        <f t="shared" si="3"/>
        <v>0.10046217965486455</v>
      </c>
    </row>
    <row r="44" spans="1:11" x14ac:dyDescent="0.25">
      <c r="A44" s="112">
        <f t="shared" si="4"/>
        <v>1088.7434811484065</v>
      </c>
      <c r="B44" s="112">
        <v>815.59348114840657</v>
      </c>
      <c r="C44" s="114">
        <v>-6.0396000000000001</v>
      </c>
      <c r="D44" s="114">
        <f t="shared" si="5"/>
        <v>9.1285121933112175E-7</v>
      </c>
      <c r="E44" s="111">
        <v>0.69</v>
      </c>
      <c r="F44" s="113">
        <f t="shared" si="6"/>
        <v>1.3229727816393069E-6</v>
      </c>
      <c r="G44" s="114"/>
      <c r="H44" s="117">
        <f t="shared" si="7"/>
        <v>873.15</v>
      </c>
      <c r="I44" s="111">
        <v>600</v>
      </c>
      <c r="J44" s="114">
        <f>($C$2*$A$2*H44*K79)/(4*($E$2^2)*F78)</f>
        <v>9.5037629333963661E-2</v>
      </c>
    </row>
    <row r="45" spans="1:11" x14ac:dyDescent="0.25">
      <c r="A45" s="112">
        <f t="shared" si="4"/>
        <v>1080.9408509166378</v>
      </c>
      <c r="B45" s="112">
        <v>807.79085091663785</v>
      </c>
      <c r="C45" s="113">
        <v>-6.07</v>
      </c>
      <c r="D45" s="114">
        <f t="shared" si="5"/>
        <v>8.511380382023744E-7</v>
      </c>
      <c r="E45" s="111">
        <v>0.69</v>
      </c>
      <c r="F45" s="113">
        <f t="shared" si="6"/>
        <v>1.2335333886990935E-6</v>
      </c>
      <c r="H45" s="117">
        <f t="shared" si="7"/>
        <v>823.15</v>
      </c>
      <c r="I45" s="111">
        <v>550</v>
      </c>
      <c r="J45" s="114">
        <f>($C$2*$A$2*H45*K81)/(4*($E$2^2)*F80)</f>
        <v>7.6112589010010057E-2</v>
      </c>
    </row>
    <row r="46" spans="1:11" x14ac:dyDescent="0.25">
      <c r="A46" s="112">
        <f t="shared" si="4"/>
        <v>1073.2492621411322</v>
      </c>
      <c r="B46" s="112">
        <v>800.09926214113227</v>
      </c>
      <c r="C46" s="113">
        <v>-6.1321000000000003</v>
      </c>
      <c r="D46" s="114">
        <f t="shared" si="5"/>
        <v>7.3773434096102844E-7</v>
      </c>
      <c r="E46" s="111">
        <v>0.69</v>
      </c>
      <c r="F46" s="113">
        <f t="shared" si="6"/>
        <v>1.0691802042913457E-6</v>
      </c>
      <c r="H46" s="117">
        <f t="shared" si="7"/>
        <v>773.15</v>
      </c>
      <c r="I46" s="111">
        <v>500</v>
      </c>
      <c r="J46" s="114">
        <f>($C$2*$A$2*H46*K83)/(4*($E$2^2)*F81)</f>
        <v>6.7873276746155939E-2</v>
      </c>
    </row>
    <row r="47" spans="1:11" x14ac:dyDescent="0.25">
      <c r="A47" s="112">
        <f t="shared" si="4"/>
        <v>1064.1490319436257</v>
      </c>
      <c r="B47" s="112">
        <v>790.99903194362571</v>
      </c>
      <c r="C47" s="113">
        <v>-6.1629899999999997</v>
      </c>
      <c r="D47" s="114">
        <f t="shared" si="5"/>
        <v>6.8708426053184958E-7</v>
      </c>
      <c r="E47" s="111">
        <v>0.69</v>
      </c>
      <c r="F47" s="113">
        <f t="shared" si="6"/>
        <v>9.9577429062586902E-7</v>
      </c>
      <c r="H47" s="117">
        <f t="shared" si="7"/>
        <v>723.15</v>
      </c>
      <c r="I47" s="111">
        <v>450</v>
      </c>
      <c r="J47" s="114">
        <f>($C$2*$A$2*H47*K85)/(4*($E$2^2)*F82)</f>
        <v>5.9943751233051783E-2</v>
      </c>
    </row>
    <row r="48" spans="1:11" x14ac:dyDescent="0.25">
      <c r="A48" s="112">
        <f t="shared" si="4"/>
        <v>1058.2010582010582</v>
      </c>
      <c r="B48" s="112">
        <v>785.05105820105825</v>
      </c>
      <c r="C48" s="113">
        <v>-6.1938000000000004</v>
      </c>
      <c r="D48" s="114">
        <f t="shared" si="5"/>
        <v>6.4002951210836974E-7</v>
      </c>
      <c r="E48" s="111">
        <v>0.69</v>
      </c>
      <c r="F48" s="113">
        <f t="shared" si="6"/>
        <v>9.2757900305560844E-7</v>
      </c>
      <c r="G48" s="114"/>
      <c r="H48" s="117">
        <f t="shared" si="7"/>
        <v>673.15</v>
      </c>
      <c r="I48" s="111">
        <v>400</v>
      </c>
      <c r="J48" s="114">
        <f>($C$2*$A$2*H48*K87)/(4*($E$2^2)*F83)</f>
        <v>5.2332286837851287E-2</v>
      </c>
    </row>
    <row r="49" spans="1:10" x14ac:dyDescent="0.25">
      <c r="A49" s="112">
        <f t="shared" si="4"/>
        <v>1049.3344596189868</v>
      </c>
      <c r="B49" s="112">
        <v>776.18445961898681</v>
      </c>
      <c r="C49" s="113">
        <v>-6.2246600000000001</v>
      </c>
      <c r="D49" s="114">
        <f t="shared" si="5"/>
        <v>5.9612865745967798E-7</v>
      </c>
      <c r="E49" s="111">
        <v>0.69</v>
      </c>
      <c r="F49" s="113">
        <f t="shared" si="6"/>
        <v>8.6395457602851884E-7</v>
      </c>
      <c r="G49" s="114"/>
      <c r="H49" s="114"/>
    </row>
    <row r="50" spans="1:10" x14ac:dyDescent="0.25">
      <c r="A50" s="112">
        <f t="shared" si="4"/>
        <v>1042.0807852287132</v>
      </c>
      <c r="B50" s="112">
        <v>768.93078522871326</v>
      </c>
      <c r="C50" s="113">
        <v>-6.2554999999999996</v>
      </c>
      <c r="D50" s="114">
        <f t="shared" si="5"/>
        <v>5.5526461711956291E-7</v>
      </c>
      <c r="E50" s="111">
        <v>0.69</v>
      </c>
      <c r="F50" s="113">
        <f t="shared" si="6"/>
        <v>8.0473132915878684E-7</v>
      </c>
      <c r="G50" s="114"/>
      <c r="H50" s="114"/>
    </row>
    <row r="51" spans="1:10" x14ac:dyDescent="0.25">
      <c r="A51" s="112">
        <f t="shared" si="4"/>
        <v>1034.9288486416558</v>
      </c>
      <c r="B51" s="112">
        <v>761.77884864165583</v>
      </c>
      <c r="C51" s="113">
        <v>-6.3170000000000002</v>
      </c>
      <c r="D51" s="114">
        <f t="shared" si="5"/>
        <v>4.8194779762512667E-7</v>
      </c>
      <c r="E51" s="111">
        <v>0.69</v>
      </c>
      <c r="F51" s="113">
        <f t="shared" si="6"/>
        <v>6.9847506902192275E-7</v>
      </c>
      <c r="G51" s="114"/>
      <c r="H51" s="114"/>
    </row>
    <row r="52" spans="1:10" ht="30" x14ac:dyDescent="0.25">
      <c r="A52" s="112">
        <f t="shared" si="4"/>
        <v>1026.4727317518809</v>
      </c>
      <c r="B52" s="112">
        <v>753.32273175188095</v>
      </c>
      <c r="C52" s="113">
        <v>-6.3479999999999999</v>
      </c>
      <c r="D52" s="114">
        <f t="shared" si="5"/>
        <v>4.4874538993313135E-7</v>
      </c>
      <c r="E52" s="111">
        <v>0.69</v>
      </c>
      <c r="F52" s="113">
        <f t="shared" si="6"/>
        <v>6.5035563758424834E-7</v>
      </c>
      <c r="G52" s="114"/>
      <c r="H52" s="119" t="s">
        <v>16</v>
      </c>
      <c r="I52" s="119" t="s">
        <v>14</v>
      </c>
      <c r="J52" s="118" t="s">
        <v>40</v>
      </c>
    </row>
    <row r="53" spans="1:10" x14ac:dyDescent="0.25">
      <c r="A53" s="112">
        <f t="shared" si="4"/>
        <v>1018.1516068468659</v>
      </c>
      <c r="B53" s="112">
        <v>745.00160684686591</v>
      </c>
      <c r="C53" s="113">
        <v>-6.4089999999999998</v>
      </c>
      <c r="D53" s="114">
        <f t="shared" si="5"/>
        <v>3.8994198667654333E-7</v>
      </c>
      <c r="E53" s="111">
        <v>0.69</v>
      </c>
      <c r="F53" s="113">
        <f t="shared" si="6"/>
        <v>5.6513331402397594E-7</v>
      </c>
      <c r="G53" s="114"/>
      <c r="H53" s="117">
        <f>I53+273.15</f>
        <v>1023.15</v>
      </c>
      <c r="I53" s="119">
        <v>750</v>
      </c>
      <c r="J53" s="114">
        <f t="shared" ref="J53:J57" si="8">(29.233)*EXP(0.0066*I53)</f>
        <v>4126.9677203165329</v>
      </c>
    </row>
    <row r="54" spans="1:10" x14ac:dyDescent="0.25">
      <c r="A54" s="112">
        <f t="shared" si="4"/>
        <v>1011.3268608414239</v>
      </c>
      <c r="B54" s="117">
        <v>738.17686084142395</v>
      </c>
      <c r="C54" s="113">
        <v>-6.4713000000000003</v>
      </c>
      <c r="D54" s="114">
        <f t="shared" si="5"/>
        <v>3.3783138992905756E-7</v>
      </c>
      <c r="E54" s="111">
        <v>0.69</v>
      </c>
      <c r="F54" s="113">
        <f t="shared" si="6"/>
        <v>4.896107100421125E-7</v>
      </c>
      <c r="G54" s="114"/>
      <c r="H54" s="117">
        <f t="shared" ref="H54:H63" si="9">I54+273.15</f>
        <v>998.15</v>
      </c>
      <c r="I54" s="119">
        <v>725</v>
      </c>
      <c r="J54" s="114">
        <f t="shared" si="8"/>
        <v>3499.229947030447</v>
      </c>
    </row>
    <row r="55" spans="1:10" x14ac:dyDescent="0.25">
      <c r="A55" s="112">
        <f t="shared" si="4"/>
        <v>1004.5909807821745</v>
      </c>
      <c r="B55" s="117">
        <v>731.44098078217451</v>
      </c>
      <c r="C55" s="113">
        <v>-6.4713000000000003</v>
      </c>
      <c r="D55" s="114">
        <f t="shared" si="5"/>
        <v>3.3783138992905756E-7</v>
      </c>
      <c r="E55" s="111">
        <v>0.69</v>
      </c>
      <c r="F55" s="113">
        <f t="shared" si="6"/>
        <v>4.896107100421125E-7</v>
      </c>
      <c r="G55" s="114"/>
      <c r="H55" s="117">
        <f t="shared" si="9"/>
        <v>973.15</v>
      </c>
      <c r="I55" s="119">
        <v>700</v>
      </c>
      <c r="J55" s="114">
        <f t="shared" si="8"/>
        <v>2966.9750412430076</v>
      </c>
    </row>
    <row r="56" spans="1:10" x14ac:dyDescent="0.25">
      <c r="A56" s="112">
        <f t="shared" si="4"/>
        <v>997.93427604857948</v>
      </c>
      <c r="B56" s="117">
        <v>724.7842760485795</v>
      </c>
      <c r="C56" s="113">
        <v>-6.5330000000000004</v>
      </c>
      <c r="D56" s="114">
        <f t="shared" si="5"/>
        <v>2.9308932452503149E-7</v>
      </c>
      <c r="E56" s="111">
        <v>0.69</v>
      </c>
      <c r="F56" s="113">
        <f t="shared" si="6"/>
        <v>4.2476713699279927E-7</v>
      </c>
      <c r="G56" s="114"/>
      <c r="H56" s="117">
        <f t="shared" si="9"/>
        <v>948.15</v>
      </c>
      <c r="I56" s="119">
        <v>675</v>
      </c>
      <c r="J56" s="114">
        <f t="shared" si="8"/>
        <v>2515.67945765593</v>
      </c>
    </row>
    <row r="57" spans="1:10" x14ac:dyDescent="0.25">
      <c r="A57" s="112">
        <f t="shared" si="4"/>
        <v>992.68391951318767</v>
      </c>
      <c r="B57" s="117">
        <v>719.5339195131877</v>
      </c>
      <c r="C57" s="113">
        <v>-6.5637999999999996</v>
      </c>
      <c r="D57" s="114">
        <f t="shared" si="5"/>
        <v>2.7302348129400701E-7</v>
      </c>
      <c r="E57" s="111">
        <v>0.69</v>
      </c>
      <c r="F57" s="113">
        <f t="shared" si="6"/>
        <v>3.9568620477392322E-7</v>
      </c>
      <c r="G57" s="114"/>
      <c r="H57" s="117">
        <f t="shared" si="9"/>
        <v>923.15</v>
      </c>
      <c r="I57" s="119">
        <v>650</v>
      </c>
      <c r="J57" s="114">
        <f t="shared" si="8"/>
        <v>2133.0287736497662</v>
      </c>
    </row>
    <row r="58" spans="1:10" x14ac:dyDescent="0.25">
      <c r="A58" s="112">
        <f t="shared" si="4"/>
        <v>986.19329388560152</v>
      </c>
      <c r="B58" s="117">
        <v>713.04329388560154</v>
      </c>
      <c r="C58" s="113">
        <v>-6.5946999999999996</v>
      </c>
      <c r="D58" s="114">
        <f t="shared" si="5"/>
        <v>2.5427285536899973E-7</v>
      </c>
      <c r="E58" s="111">
        <v>0.69</v>
      </c>
      <c r="F58" s="113">
        <f t="shared" si="6"/>
        <v>3.6851138459275329E-7</v>
      </c>
      <c r="G58" s="114"/>
      <c r="H58" s="117">
        <f t="shared" si="9"/>
        <v>898.15</v>
      </c>
      <c r="I58" s="119">
        <v>625</v>
      </c>
      <c r="J58" s="114">
        <f>(29.233)*EXP(0.0066*I58)</f>
        <v>1808.5816678160045</v>
      </c>
    </row>
    <row r="59" spans="1:10" x14ac:dyDescent="0.25">
      <c r="A59" s="112">
        <f t="shared" si="4"/>
        <v>978.56933163714643</v>
      </c>
      <c r="B59" s="117">
        <v>705.41933163714646</v>
      </c>
      <c r="C59" s="113">
        <v>-6.6255499999999996</v>
      </c>
      <c r="D59" s="114">
        <f t="shared" si="5"/>
        <v>2.3683724471328788E-7</v>
      </c>
      <c r="E59" s="111">
        <v>0.69</v>
      </c>
      <c r="F59" s="113">
        <f t="shared" si="6"/>
        <v>3.4324238364244623E-7</v>
      </c>
      <c r="G59" s="114"/>
      <c r="H59" s="117">
        <f t="shared" si="9"/>
        <v>873.15</v>
      </c>
      <c r="I59" s="119">
        <v>600</v>
      </c>
      <c r="J59" s="114">
        <f>K67/F78</f>
        <v>1085.6223723052085</v>
      </c>
    </row>
    <row r="60" spans="1:10" x14ac:dyDescent="0.25">
      <c r="A60" s="112">
        <f t="shared" si="4"/>
        <v>970.96805515098549</v>
      </c>
      <c r="B60" s="117">
        <v>697.81805515098551</v>
      </c>
      <c r="C60" s="113">
        <v>-6.6872199999999999</v>
      </c>
      <c r="D60" s="114">
        <f t="shared" si="5"/>
        <v>2.0548494098539555E-7</v>
      </c>
      <c r="E60" s="111">
        <v>0.69</v>
      </c>
      <c r="F60" s="113">
        <f t="shared" si="6"/>
        <v>2.9780426229767473E-7</v>
      </c>
      <c r="G60" s="114"/>
      <c r="H60" s="117">
        <f t="shared" si="9"/>
        <v>823.15</v>
      </c>
      <c r="I60" s="119">
        <v>550</v>
      </c>
      <c r="J60" s="114">
        <f>K69/F80</f>
        <v>806.64229110405438</v>
      </c>
    </row>
    <row r="61" spans="1:10" x14ac:dyDescent="0.25">
      <c r="A61" s="112">
        <f t="shared" si="4"/>
        <v>964.78533526290403</v>
      </c>
      <c r="B61" s="117">
        <v>691.63533526290405</v>
      </c>
      <c r="C61" s="113">
        <v>-6.7488000000000001</v>
      </c>
      <c r="D61" s="114">
        <f t="shared" si="5"/>
        <v>1.783199772232913E-7</v>
      </c>
      <c r="E61" s="111">
        <v>0.69</v>
      </c>
      <c r="F61" s="113">
        <f t="shared" si="6"/>
        <v>2.5843474959897293E-7</v>
      </c>
      <c r="G61" s="114"/>
      <c r="H61" s="117">
        <f t="shared" si="9"/>
        <v>773.15</v>
      </c>
      <c r="I61" s="119">
        <v>500</v>
      </c>
      <c r="J61" s="114">
        <f>K71/F81</f>
        <v>658.37664153619255</v>
      </c>
    </row>
    <row r="62" spans="1:10" x14ac:dyDescent="0.25">
      <c r="A62" s="112">
        <f t="shared" si="4"/>
        <v>957.37755141117464</v>
      </c>
      <c r="B62" s="117">
        <v>684.22755141117466</v>
      </c>
      <c r="C62" s="113">
        <v>-6.7789999999999999</v>
      </c>
      <c r="D62" s="114">
        <f t="shared" si="5"/>
        <v>1.6634126503701661E-7</v>
      </c>
      <c r="E62" s="111">
        <v>0.69</v>
      </c>
      <c r="F62" s="113">
        <f t="shared" si="6"/>
        <v>2.4107429715509655E-7</v>
      </c>
      <c r="G62" s="114"/>
      <c r="H62" s="117">
        <f t="shared" si="9"/>
        <v>723.15</v>
      </c>
      <c r="I62" s="119">
        <v>450</v>
      </c>
      <c r="J62" s="114">
        <f>K73/F82</f>
        <v>526.5998377042755</v>
      </c>
    </row>
    <row r="63" spans="1:10" x14ac:dyDescent="0.25">
      <c r="A63" s="112">
        <f t="shared" si="4"/>
        <v>952.53517236123935</v>
      </c>
      <c r="B63" s="117">
        <v>679.38517236123937</v>
      </c>
      <c r="C63" s="113">
        <v>-6.81</v>
      </c>
      <c r="D63" s="114">
        <f t="shared" si="5"/>
        <v>1.5488166189124805E-7</v>
      </c>
      <c r="E63" s="111">
        <v>0.69</v>
      </c>
      <c r="F63" s="113">
        <f t="shared" si="6"/>
        <v>2.244661766539827E-7</v>
      </c>
      <c r="G63" s="114"/>
      <c r="H63" s="117">
        <f t="shared" si="9"/>
        <v>673.15</v>
      </c>
      <c r="I63" s="119">
        <v>400</v>
      </c>
      <c r="J63" s="114">
        <f>K75/F83</f>
        <v>411.18708724740969</v>
      </c>
    </row>
    <row r="64" spans="1:10" x14ac:dyDescent="0.25">
      <c r="A64" s="112">
        <f t="shared" si="4"/>
        <v>947.74153192941219</v>
      </c>
      <c r="B64" s="117">
        <v>674.59153192941221</v>
      </c>
      <c r="C64" s="113">
        <v>-6.9029999999999996</v>
      </c>
      <c r="D64" s="114">
        <f t="shared" si="5"/>
        <v>1.2502590302177199E-7</v>
      </c>
      <c r="E64" s="111">
        <v>0.69</v>
      </c>
      <c r="F64" s="113">
        <f t="shared" si="6"/>
        <v>1.8119696090111885E-7</v>
      </c>
      <c r="G64" s="114"/>
      <c r="H64" s="114"/>
    </row>
    <row r="65" spans="1:11" x14ac:dyDescent="0.25">
      <c r="A65" s="112">
        <f t="shared" si="4"/>
        <v>941.82355877449913</v>
      </c>
      <c r="B65" s="117">
        <v>668.67355877449916</v>
      </c>
      <c r="C65" s="113">
        <v>-6.9029999999999996</v>
      </c>
      <c r="D65" s="114">
        <f t="shared" si="5"/>
        <v>1.2502590302177199E-7</v>
      </c>
      <c r="E65" s="111">
        <v>0.69</v>
      </c>
      <c r="F65" s="113">
        <f t="shared" si="6"/>
        <v>1.8119696090111885E-7</v>
      </c>
      <c r="G65" s="114"/>
      <c r="H65" s="119" t="s">
        <v>16</v>
      </c>
      <c r="I65" s="119" t="s">
        <v>14</v>
      </c>
      <c r="J65" s="119" t="s">
        <v>118</v>
      </c>
      <c r="K65" s="119" t="s">
        <v>119</v>
      </c>
    </row>
    <row r="66" spans="1:11" x14ac:dyDescent="0.25">
      <c r="A66" s="112">
        <f t="shared" si="4"/>
        <v>937.13685946695648</v>
      </c>
      <c r="B66" s="117">
        <v>663.9868594669565</v>
      </c>
      <c r="C66" s="113">
        <v>-6.9029999999999996</v>
      </c>
      <c r="D66" s="114">
        <f t="shared" si="5"/>
        <v>1.2502590302177199E-7</v>
      </c>
      <c r="E66" s="111">
        <v>0.69</v>
      </c>
      <c r="F66" s="113">
        <f t="shared" si="6"/>
        <v>1.8119696090111885E-7</v>
      </c>
      <c r="G66" s="114"/>
      <c r="H66" s="117">
        <f>I66+273.15</f>
        <v>887.88656361263281</v>
      </c>
      <c r="I66" s="112">
        <v>614.73656361263284</v>
      </c>
      <c r="J66" s="113">
        <v>-4.05</v>
      </c>
      <c r="K66" s="113">
        <f>10^J66</f>
        <v>8.912509381337452E-5</v>
      </c>
    </row>
    <row r="67" spans="1:11" x14ac:dyDescent="0.25">
      <c r="A67" s="112">
        <f t="shared" si="4"/>
        <v>932.49831217805502</v>
      </c>
      <c r="B67" s="117">
        <v>659.34831217805504</v>
      </c>
      <c r="C67" s="113">
        <v>-6.9329999999999998</v>
      </c>
      <c r="D67" s="114">
        <f t="shared" si="5"/>
        <v>1.1668096170609606E-7</v>
      </c>
      <c r="E67" s="111">
        <v>0.69</v>
      </c>
      <c r="F67" s="113">
        <f t="shared" si="6"/>
        <v>1.6910284305231314E-7</v>
      </c>
      <c r="G67" s="114"/>
      <c r="H67" s="117">
        <f t="shared" ref="H67:H75" si="10">I67+273.15</f>
        <v>873.15</v>
      </c>
      <c r="I67" s="112">
        <v>600</v>
      </c>
      <c r="J67" s="113"/>
      <c r="K67" s="113">
        <v>6.7799999999999995E-5</v>
      </c>
    </row>
    <row r="68" spans="1:11" x14ac:dyDescent="0.25">
      <c r="A68" s="112">
        <f t="shared" si="4"/>
        <v>927.91062364873017</v>
      </c>
      <c r="B68" s="117">
        <v>654.76062364873019</v>
      </c>
      <c r="C68" s="113">
        <v>-6.9640000000000004</v>
      </c>
      <c r="D68" s="114">
        <f t="shared" si="5"/>
        <v>1.0864256236170614E-7</v>
      </c>
      <c r="E68" s="111">
        <v>0.69</v>
      </c>
      <c r="F68" s="113">
        <f t="shared" si="6"/>
        <v>1.5745298893000891E-7</v>
      </c>
      <c r="G68" s="114"/>
      <c r="H68" s="117">
        <f t="shared" si="10"/>
        <v>837.17036416910844</v>
      </c>
      <c r="I68" s="112">
        <v>564.02036416910846</v>
      </c>
      <c r="J68" s="113">
        <v>-4.54</v>
      </c>
      <c r="K68" s="113">
        <f>10^J68</f>
        <v>2.8840315031266029E-5</v>
      </c>
    </row>
    <row r="69" spans="1:11" x14ac:dyDescent="0.25">
      <c r="A69" s="112">
        <f t="shared" si="4"/>
        <v>923.36103416435833</v>
      </c>
      <c r="B69" s="117">
        <v>650.21103416435835</v>
      </c>
      <c r="C69" s="113">
        <v>-6.9954999999999998</v>
      </c>
      <c r="D69" s="114">
        <f t="shared" si="5"/>
        <v>1.0104155005282105E-7</v>
      </c>
      <c r="E69" s="111">
        <v>0.69</v>
      </c>
      <c r="F69" s="113">
        <f t="shared" si="6"/>
        <v>1.4643702906205951E-7</v>
      </c>
      <c r="G69" s="114"/>
      <c r="H69" s="117">
        <f t="shared" si="10"/>
        <v>823.15</v>
      </c>
      <c r="I69" s="112">
        <v>550</v>
      </c>
      <c r="J69" s="113"/>
      <c r="K69" s="113">
        <v>2.4000000000000001E-5</v>
      </c>
    </row>
    <row r="70" spans="1:11" x14ac:dyDescent="0.25">
      <c r="A70" s="112">
        <f t="shared" si="4"/>
        <v>917.73850876669724</v>
      </c>
      <c r="B70" s="117">
        <v>644.58850876669726</v>
      </c>
      <c r="C70" s="113">
        <v>-7.0570000000000004</v>
      </c>
      <c r="D70" s="114">
        <f t="shared" si="5"/>
        <v>8.7700082114363349E-8</v>
      </c>
      <c r="E70" s="111">
        <v>0.69</v>
      </c>
      <c r="F70" s="113">
        <f t="shared" si="6"/>
        <v>1.2710156828168601E-7</v>
      </c>
      <c r="G70" s="114"/>
      <c r="H70" s="117">
        <f t="shared" si="10"/>
        <v>796.87624511913305</v>
      </c>
      <c r="I70" s="112">
        <v>523.72624511913307</v>
      </c>
      <c r="J70" s="113">
        <v>-4.78</v>
      </c>
      <c r="K70" s="113">
        <f>10^J70</f>
        <v>1.6595869074375568E-5</v>
      </c>
    </row>
    <row r="71" spans="1:11" x14ac:dyDescent="0.25">
      <c r="A71" s="112">
        <f t="shared" si="4"/>
        <v>913.29205253255884</v>
      </c>
      <c r="B71" s="117">
        <v>640.14205253255886</v>
      </c>
      <c r="C71" s="113">
        <v>-7.1189</v>
      </c>
      <c r="D71" s="114">
        <f t="shared" si="5"/>
        <v>7.6050136869270024E-8</v>
      </c>
      <c r="E71" s="111">
        <v>0.69</v>
      </c>
      <c r="F71" s="113">
        <f t="shared" si="6"/>
        <v>1.1021758966560874E-7</v>
      </c>
      <c r="G71" s="114"/>
      <c r="H71" s="117">
        <f t="shared" si="10"/>
        <v>773.15</v>
      </c>
      <c r="I71" s="112">
        <v>500</v>
      </c>
      <c r="J71" s="113"/>
      <c r="K71" s="113">
        <v>7.6599999999999995E-6</v>
      </c>
    </row>
    <row r="72" spans="1:11" x14ac:dyDescent="0.25">
      <c r="A72" s="112">
        <f t="shared" si="4"/>
        <v>906.70051681929465</v>
      </c>
      <c r="B72" s="117">
        <v>633.55051681929467</v>
      </c>
      <c r="C72" s="113">
        <v>-7.1189</v>
      </c>
      <c r="D72" s="114">
        <f t="shared" si="5"/>
        <v>7.6050136869270024E-8</v>
      </c>
      <c r="E72" s="111">
        <v>0.69</v>
      </c>
      <c r="F72" s="113">
        <f t="shared" si="6"/>
        <v>1.1021758966560874E-7</v>
      </c>
      <c r="G72" s="114"/>
      <c r="H72" s="117">
        <f t="shared" si="10"/>
        <v>747.38415545590431</v>
      </c>
      <c r="I72" s="112">
        <v>474.23415545590433</v>
      </c>
      <c r="J72" s="113">
        <v>-5.45</v>
      </c>
      <c r="K72" s="113">
        <f>10^J72</f>
        <v>3.5481338923357504E-6</v>
      </c>
    </row>
    <row r="73" spans="1:11" x14ac:dyDescent="0.25">
      <c r="A73" s="112">
        <f t="shared" si="4"/>
        <v>900.25207057976229</v>
      </c>
      <c r="B73" s="117">
        <v>627.10207057976231</v>
      </c>
      <c r="C73" s="113">
        <v>-7.149</v>
      </c>
      <c r="D73" s="114">
        <f t="shared" si="5"/>
        <v>7.0957776796338727E-8</v>
      </c>
      <c r="E73" s="111">
        <v>0.69</v>
      </c>
      <c r="F73" s="113">
        <f t="shared" si="6"/>
        <v>1.0283735767585323E-7</v>
      </c>
      <c r="G73" s="114"/>
      <c r="H73" s="117">
        <f t="shared" si="10"/>
        <v>723.15</v>
      </c>
      <c r="I73" s="112">
        <v>450</v>
      </c>
      <c r="J73" s="113"/>
      <c r="K73" s="113">
        <v>2.17E-6</v>
      </c>
    </row>
    <row r="74" spans="1:11" x14ac:dyDescent="0.25">
      <c r="A74" s="112">
        <f t="shared" si="4"/>
        <v>894.85858997131982</v>
      </c>
      <c r="B74" s="117">
        <v>621.70858997131984</v>
      </c>
      <c r="C74" s="113">
        <v>-7.2110000000000003</v>
      </c>
      <c r="D74" s="114">
        <f t="shared" si="5"/>
        <v>6.151768727098663E-8</v>
      </c>
      <c r="E74" s="111">
        <v>0.69</v>
      </c>
      <c r="F74" s="113">
        <f t="shared" si="6"/>
        <v>8.9156068508676282E-8</v>
      </c>
      <c r="G74" s="114"/>
      <c r="H74" s="117">
        <f t="shared" si="10"/>
        <v>697.86592599829714</v>
      </c>
      <c r="I74" s="112">
        <v>424.71592599829717</v>
      </c>
      <c r="J74" s="113">
        <v>-5.96</v>
      </c>
      <c r="K74" s="113">
        <f>10^J74</f>
        <v>1.0964781961431832E-6</v>
      </c>
    </row>
    <row r="75" spans="1:11" x14ac:dyDescent="0.25">
      <c r="A75" s="112">
        <f t="shared" si="4"/>
        <v>890.63056644104029</v>
      </c>
      <c r="B75" s="117">
        <v>617.48056644104031</v>
      </c>
      <c r="C75" s="113">
        <v>-7.2422000000000004</v>
      </c>
      <c r="D75" s="114">
        <f t="shared" si="5"/>
        <v>5.7253230939417372E-8</v>
      </c>
      <c r="E75" s="111">
        <v>0.69</v>
      </c>
      <c r="F75" s="113">
        <f t="shared" si="6"/>
        <v>8.2975697013648375E-8</v>
      </c>
      <c r="G75" s="114"/>
      <c r="H75" s="117">
        <f t="shared" si="10"/>
        <v>673.15</v>
      </c>
      <c r="I75" s="112">
        <v>400</v>
      </c>
      <c r="J75" s="113"/>
      <c r="K75" s="113">
        <v>5.3099999999999998E-7</v>
      </c>
    </row>
    <row r="76" spans="1:11" x14ac:dyDescent="0.25">
      <c r="A76" s="112">
        <f t="shared" si="4"/>
        <v>885.40237110754993</v>
      </c>
      <c r="B76" s="117">
        <v>612.25237110754995</v>
      </c>
      <c r="C76" s="113">
        <v>-7.3029999999999999</v>
      </c>
      <c r="D76" s="114">
        <f t="shared" si="5"/>
        <v>4.9773708497893602E-8</v>
      </c>
      <c r="E76" s="111">
        <v>0.69</v>
      </c>
      <c r="F76" s="113">
        <f t="shared" si="6"/>
        <v>7.2135809417237114E-8</v>
      </c>
      <c r="G76" s="114"/>
      <c r="H76" s="114"/>
    </row>
    <row r="77" spans="1:11" ht="49.5" x14ac:dyDescent="0.25">
      <c r="A77" s="112">
        <f t="shared" si="4"/>
        <v>880.23519884513132</v>
      </c>
      <c r="B77" s="117">
        <v>607.08519884513134</v>
      </c>
      <c r="C77" s="113">
        <v>-7.3348000000000004</v>
      </c>
      <c r="D77" s="114">
        <f t="shared" si="5"/>
        <v>4.6259400476615989E-8</v>
      </c>
      <c r="E77" s="111">
        <v>0.69</v>
      </c>
      <c r="F77" s="113">
        <f t="shared" si="6"/>
        <v>6.7042609386399991E-8</v>
      </c>
      <c r="G77" s="114"/>
      <c r="H77" s="119" t="s">
        <v>16</v>
      </c>
      <c r="I77" s="119" t="s">
        <v>14</v>
      </c>
      <c r="J77" s="121" t="s">
        <v>120</v>
      </c>
      <c r="K77" s="121" t="s">
        <v>121</v>
      </c>
    </row>
    <row r="78" spans="1:11" x14ac:dyDescent="0.25">
      <c r="A78" s="112">
        <f t="shared" si="4"/>
        <v>875.11803154450456</v>
      </c>
      <c r="B78" s="117">
        <v>601.96803154450458</v>
      </c>
      <c r="C78" s="113">
        <v>-7.3655999999999997</v>
      </c>
      <c r="D78" s="114">
        <f t="shared" si="5"/>
        <v>4.3092332281862601E-8</v>
      </c>
      <c r="E78" s="111">
        <v>0.69</v>
      </c>
      <c r="F78" s="113">
        <f t="shared" si="6"/>
        <v>6.2452655480960292E-8</v>
      </c>
      <c r="G78" s="114"/>
      <c r="H78" s="117">
        <f>I78+273.15</f>
        <v>892.55431192988101</v>
      </c>
      <c r="I78" s="112">
        <v>619.40431192988103</v>
      </c>
      <c r="J78" s="113">
        <v>34.551000000000002</v>
      </c>
      <c r="K78" s="113">
        <f>J78/H78</f>
        <v>3.8710249379999999E-2</v>
      </c>
    </row>
    <row r="79" spans="1:11" x14ac:dyDescent="0.25">
      <c r="A79" s="112">
        <f t="shared" si="4"/>
        <v>873.15</v>
      </c>
      <c r="B79" s="117">
        <v>600</v>
      </c>
      <c r="C79" s="113">
        <v>-7.3963999999999999</v>
      </c>
      <c r="D79" s="114">
        <f t="shared" si="5"/>
        <v>4.0142091820432065E-8</v>
      </c>
      <c r="E79" s="111">
        <v>0.69</v>
      </c>
      <c r="F79" s="113">
        <f t="shared" si="6"/>
        <v>5.8176944667292854E-8</v>
      </c>
      <c r="G79" s="114"/>
      <c r="H79" s="117">
        <f t="shared" ref="H79:H91" si="11">I79+273.15</f>
        <v>873.15</v>
      </c>
      <c r="I79" s="112">
        <v>600</v>
      </c>
      <c r="J79" s="113"/>
      <c r="K79" s="114">
        <f>(4*10^-31)*(I79^10.396)</f>
        <v>3.0459333099205808E-2</v>
      </c>
    </row>
    <row r="80" spans="1:11" x14ac:dyDescent="0.25">
      <c r="A80" s="112"/>
      <c r="B80" s="119">
        <v>550</v>
      </c>
      <c r="D80" s="114"/>
      <c r="F80" s="114">
        <f>(3*10^-35)*(B80^9.8514)</f>
        <v>2.9752965180081382E-8</v>
      </c>
      <c r="G80" s="114"/>
      <c r="H80" s="117">
        <f t="shared" si="11"/>
        <v>837.80160857908845</v>
      </c>
      <c r="I80" s="112">
        <v>564.65160857908847</v>
      </c>
      <c r="J80" s="113">
        <v>11.9377</v>
      </c>
      <c r="K80" s="114">
        <f t="shared" ref="K80:K91" si="12">J80/H80</f>
        <v>1.424883872E-2</v>
      </c>
    </row>
    <row r="81" spans="1:11" x14ac:dyDescent="0.25">
      <c r="A81" s="112"/>
      <c r="B81" s="119">
        <v>500</v>
      </c>
      <c r="D81" s="114"/>
      <c r="F81" s="114">
        <f t="shared" ref="F81:F83" si="13">(3*10^-35)*(B81^9.8514)</f>
        <v>1.1634677655220109E-8</v>
      </c>
      <c r="G81" s="114"/>
      <c r="H81" s="117">
        <f t="shared" si="11"/>
        <v>823.15</v>
      </c>
      <c r="I81" s="112">
        <v>550</v>
      </c>
      <c r="J81" s="113"/>
      <c r="K81" s="114">
        <f>(4*10^-31)*(I81^10.396)</f>
        <v>1.2327372270667672E-2</v>
      </c>
    </row>
    <row r="82" spans="1:11" x14ac:dyDescent="0.25">
      <c r="A82" s="112"/>
      <c r="B82" s="119">
        <v>450</v>
      </c>
      <c r="D82" s="114"/>
      <c r="F82" s="114">
        <f t="shared" si="13"/>
        <v>4.12077605162236E-9</v>
      </c>
      <c r="G82" s="114"/>
      <c r="H82" s="117">
        <f t="shared" si="11"/>
        <v>795.35512606378745</v>
      </c>
      <c r="I82" s="112">
        <v>522.20512606378747</v>
      </c>
      <c r="J82" s="113">
        <v>6.3094999999999999</v>
      </c>
      <c r="K82" s="114">
        <f t="shared" si="12"/>
        <v>7.9329343500000003E-3</v>
      </c>
    </row>
    <row r="83" spans="1:11" x14ac:dyDescent="0.25">
      <c r="A83" s="112"/>
      <c r="B83" s="119">
        <v>400</v>
      </c>
      <c r="D83" s="114"/>
      <c r="F83" s="114">
        <f t="shared" si="13"/>
        <v>1.2913829652449648E-9</v>
      </c>
      <c r="G83" s="114"/>
      <c r="H83" s="117">
        <f t="shared" si="11"/>
        <v>773.15</v>
      </c>
      <c r="I83" s="112">
        <v>500</v>
      </c>
      <c r="J83" s="113"/>
      <c r="K83" s="114">
        <f>(4*10^-31)*(I83^10.396)</f>
        <v>4.576696952272463E-3</v>
      </c>
    </row>
    <row r="84" spans="1:11" x14ac:dyDescent="0.25">
      <c r="A84" s="112"/>
      <c r="B84" s="117"/>
      <c r="D84" s="114"/>
      <c r="F84" s="119"/>
      <c r="G84" s="114"/>
      <c r="H84" s="117">
        <f t="shared" si="11"/>
        <v>746.20183267170103</v>
      </c>
      <c r="I84" s="112">
        <v>473.05183267170105</v>
      </c>
      <c r="J84" s="113">
        <v>1.6420399999999999</v>
      </c>
      <c r="K84" s="114">
        <f t="shared" si="12"/>
        <v>2.2005306447999999E-3</v>
      </c>
    </row>
    <row r="85" spans="1:11" x14ac:dyDescent="0.25">
      <c r="A85" s="112"/>
      <c r="B85" s="117"/>
      <c r="D85" s="114"/>
      <c r="F85" s="119"/>
      <c r="G85" s="114"/>
      <c r="H85" s="117">
        <f t="shared" si="11"/>
        <v>723.15</v>
      </c>
      <c r="I85" s="112">
        <v>450</v>
      </c>
      <c r="J85" s="113"/>
      <c r="K85" s="114">
        <f>(4*10^-31)*(I85^10.396)</f>
        <v>1.5305844068030728E-3</v>
      </c>
    </row>
    <row r="86" spans="1:11" x14ac:dyDescent="0.25">
      <c r="A86" s="112"/>
      <c r="B86" s="117"/>
      <c r="D86" s="114"/>
      <c r="F86" s="119"/>
      <c r="G86" s="114"/>
      <c r="H86" s="117">
        <f t="shared" si="11"/>
        <v>696.54374991293207</v>
      </c>
      <c r="I86" s="112">
        <v>423.39374991293209</v>
      </c>
      <c r="J86" s="113">
        <v>0.52849999999999997</v>
      </c>
      <c r="K86" s="114">
        <f t="shared" si="12"/>
        <v>7.5874630999999988E-4</v>
      </c>
    </row>
    <row r="87" spans="1:11" x14ac:dyDescent="0.25">
      <c r="A87" s="112"/>
      <c r="B87" s="117"/>
      <c r="D87" s="114"/>
      <c r="F87" s="119"/>
      <c r="G87" s="114"/>
      <c r="H87" s="117">
        <f t="shared" si="11"/>
        <v>673.15</v>
      </c>
      <c r="I87" s="112">
        <v>400</v>
      </c>
      <c r="J87" s="113"/>
      <c r="K87" s="114">
        <f>(4*10^-31)*(I87^10.396)</f>
        <v>4.4985822069708303E-4</v>
      </c>
    </row>
    <row r="88" spans="1:11" x14ac:dyDescent="0.25">
      <c r="A88" s="112"/>
      <c r="B88" s="117"/>
      <c r="D88" s="114"/>
      <c r="F88" s="119"/>
      <c r="G88" s="114"/>
      <c r="H88" s="117">
        <f t="shared" si="11"/>
        <v>459.87583352494823</v>
      </c>
      <c r="I88" s="112">
        <v>186.72583352494826</v>
      </c>
      <c r="J88" s="113">
        <v>1.64E-6</v>
      </c>
      <c r="K88" s="114">
        <f t="shared" si="12"/>
        <v>3.5661800000000002E-9</v>
      </c>
    </row>
    <row r="89" spans="1:11" x14ac:dyDescent="0.25">
      <c r="A89" s="112"/>
      <c r="B89" s="117"/>
      <c r="D89" s="114"/>
      <c r="F89" s="119"/>
      <c r="G89" s="114"/>
      <c r="H89" s="117">
        <f t="shared" si="11"/>
        <v>433.8394793926247</v>
      </c>
      <c r="I89" s="112">
        <v>160.68947939262472</v>
      </c>
      <c r="J89" s="113">
        <v>1.15E-6</v>
      </c>
      <c r="K89" s="114">
        <f t="shared" si="12"/>
        <v>2.6507500000000002E-9</v>
      </c>
    </row>
    <row r="90" spans="1:11" x14ac:dyDescent="0.25">
      <c r="A90" s="112"/>
      <c r="B90" s="117"/>
      <c r="D90" s="114"/>
      <c r="F90" s="119"/>
      <c r="G90" s="114"/>
      <c r="H90" s="117">
        <f t="shared" si="11"/>
        <v>411.64290801015937</v>
      </c>
      <c r="I90" s="112">
        <v>138.4929080101594</v>
      </c>
      <c r="J90" s="113">
        <v>1.5290000000000001E-6</v>
      </c>
      <c r="K90" s="114">
        <f t="shared" si="12"/>
        <v>3.7143844100000002E-9</v>
      </c>
    </row>
    <row r="91" spans="1:11" x14ac:dyDescent="0.25">
      <c r="A91" s="112"/>
      <c r="B91" s="117"/>
      <c r="D91" s="114"/>
      <c r="F91" s="119"/>
      <c r="G91" s="114"/>
      <c r="H91" s="117">
        <f t="shared" si="11"/>
        <v>389.19592122674555</v>
      </c>
      <c r="I91" s="112">
        <v>116.04592122674558</v>
      </c>
      <c r="J91" s="113">
        <v>1.036E-7</v>
      </c>
      <c r="K91" s="113">
        <f t="shared" si="12"/>
        <v>2.6618984E-10</v>
      </c>
    </row>
    <row r="92" spans="1:11" x14ac:dyDescent="0.25">
      <c r="A92" s="112"/>
      <c r="B92" s="117"/>
      <c r="D92" s="114"/>
      <c r="F92" s="119"/>
      <c r="G92" s="114"/>
    </row>
    <row r="93" spans="1:11" x14ac:dyDescent="0.25">
      <c r="A93" s="112"/>
      <c r="B93" s="117"/>
      <c r="D93" s="114"/>
      <c r="F93" s="119"/>
      <c r="G93" s="114"/>
    </row>
    <row r="94" spans="1:11" x14ac:dyDescent="0.25">
      <c r="A94" s="112"/>
      <c r="B94" s="117"/>
      <c r="D94" s="114"/>
      <c r="F94" s="119"/>
      <c r="G94" s="114"/>
    </row>
    <row r="95" spans="1:11" x14ac:dyDescent="0.25">
      <c r="A95" s="112"/>
      <c r="B95" s="117"/>
      <c r="D95" s="114"/>
      <c r="F95" s="119"/>
      <c r="G95" s="114"/>
    </row>
    <row r="96" spans="1:11" x14ac:dyDescent="0.25">
      <c r="A96" s="112"/>
      <c r="B96" s="117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A111" s="112"/>
      <c r="B111" s="112"/>
      <c r="D111" s="114"/>
      <c r="F111" s="119"/>
      <c r="G111" s="114"/>
    </row>
    <row r="112" spans="1:7" x14ac:dyDescent="0.25">
      <c r="A112" s="112"/>
      <c r="B112" s="112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A117" s="112"/>
      <c r="B117" s="112"/>
      <c r="D117" s="114"/>
      <c r="F117" s="119"/>
      <c r="G117" s="114"/>
    </row>
    <row r="118" spans="1:7" x14ac:dyDescent="0.25">
      <c r="F118" s="119"/>
      <c r="G118" s="114"/>
    </row>
    <row r="119" spans="1:7" x14ac:dyDescent="0.25">
      <c r="F119" s="119"/>
      <c r="G119" s="114"/>
    </row>
    <row r="120" spans="1:7" x14ac:dyDescent="0.25">
      <c r="F120" s="119"/>
      <c r="G120" s="114"/>
    </row>
    <row r="121" spans="1:7" x14ac:dyDescent="0.25">
      <c r="F121" s="119"/>
      <c r="G121" s="114"/>
    </row>
    <row r="122" spans="1:7" x14ac:dyDescent="0.25">
      <c r="F122" s="119"/>
      <c r="G122" s="114"/>
    </row>
    <row r="123" spans="1:7" x14ac:dyDescent="0.25">
      <c r="F123" s="119"/>
      <c r="G123" s="114"/>
    </row>
    <row r="124" spans="1:7" x14ac:dyDescent="0.25">
      <c r="F124" s="119"/>
      <c r="G124" s="114"/>
    </row>
    <row r="125" spans="1:7" x14ac:dyDescent="0.25">
      <c r="F125" s="119"/>
      <c r="G125" s="114"/>
    </row>
    <row r="126" spans="1:7" x14ac:dyDescent="0.25">
      <c r="F126" s="119"/>
      <c r="G126" s="114"/>
    </row>
    <row r="127" spans="1:7" x14ac:dyDescent="0.25">
      <c r="F127" s="119"/>
      <c r="G127" s="114"/>
    </row>
    <row r="128" spans="1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  <row r="134" spans="6:7" x14ac:dyDescent="0.25">
      <c r="F134" s="119"/>
      <c r="G134" s="114"/>
    </row>
    <row r="135" spans="6:7" x14ac:dyDescent="0.25">
      <c r="F135" s="119"/>
      <c r="G135" s="114"/>
    </row>
    <row r="136" spans="6:7" x14ac:dyDescent="0.25">
      <c r="F136" s="119"/>
      <c r="G136" s="114"/>
    </row>
    <row r="137" spans="6:7" x14ac:dyDescent="0.25">
      <c r="F137" s="119"/>
      <c r="G137" s="114"/>
    </row>
    <row r="138" spans="6:7" x14ac:dyDescent="0.25">
      <c r="F138" s="119"/>
      <c r="G138" s="114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128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50"/>
      <c r="D5" s="137" t="s">
        <v>9</v>
      </c>
      <c r="H5" s="35" t="s">
        <v>123</v>
      </c>
    </row>
    <row r="6" spans="1:19" x14ac:dyDescent="0.25">
      <c r="A6" s="138">
        <f>B6+273.15</f>
        <v>1156.8718186024989</v>
      </c>
      <c r="B6" s="148">
        <v>883.72181860249896</v>
      </c>
      <c r="C6" s="144"/>
      <c r="D6" s="157">
        <f>K35*D13</f>
        <v>2.2783493841853587E-3</v>
      </c>
    </row>
    <row r="7" spans="1:19" x14ac:dyDescent="0.25">
      <c r="A7" s="138">
        <f t="shared" ref="A7:A9" si="0">B7+273.15</f>
        <v>1063.1511800978099</v>
      </c>
      <c r="B7" s="148">
        <v>790.00118009780988</v>
      </c>
      <c r="C7" s="144"/>
      <c r="D7" s="157">
        <f>K36*D14</f>
        <v>3.7665496224842353E-3</v>
      </c>
      <c r="H7" s="111" t="s">
        <v>18</v>
      </c>
    </row>
    <row r="8" spans="1:19" ht="15.75" x14ac:dyDescent="0.25">
      <c r="A8" s="138">
        <f t="shared" si="0"/>
        <v>973.61503261610369</v>
      </c>
      <c r="B8" s="148">
        <v>700.46503261610371</v>
      </c>
      <c r="C8" s="144"/>
      <c r="D8" s="157">
        <f>K37*D17</f>
        <v>1.9950588720344274E-3</v>
      </c>
      <c r="G8" s="111">
        <v>1</v>
      </c>
      <c r="H8" s="35" t="s">
        <v>115</v>
      </c>
    </row>
    <row r="9" spans="1:19" ht="16.5" thickBot="1" x14ac:dyDescent="0.3">
      <c r="A9" s="141">
        <f t="shared" si="0"/>
        <v>873.15</v>
      </c>
      <c r="B9" s="149">
        <v>600</v>
      </c>
      <c r="C9" s="129"/>
      <c r="D9" s="158">
        <f>K38*D21</f>
        <v>1.1898667784485896E-3</v>
      </c>
      <c r="G9" s="111">
        <v>2</v>
      </c>
      <c r="H9" s="35" t="s">
        <v>125</v>
      </c>
    </row>
    <row r="10" spans="1:19" ht="15.75" thickBot="1" x14ac:dyDescent="0.3">
      <c r="D10" s="119"/>
    </row>
    <row r="11" spans="1:19" ht="19.5" thickBot="1" x14ac:dyDescent="0.3">
      <c r="A11" s="133" t="s">
        <v>13</v>
      </c>
      <c r="B11" s="134"/>
      <c r="C11" s="134"/>
      <c r="D11" s="135"/>
      <c r="H11" s="169" t="s">
        <v>184</v>
      </c>
    </row>
    <row r="12" spans="1:19" x14ac:dyDescent="0.25">
      <c r="A12" s="136" t="s">
        <v>16</v>
      </c>
      <c r="B12" s="115" t="s">
        <v>14</v>
      </c>
      <c r="C12" s="115" t="s">
        <v>39</v>
      </c>
      <c r="D12" s="137" t="s">
        <v>15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1156.8718186024989</v>
      </c>
      <c r="B13" s="148">
        <v>883.72181860249896</v>
      </c>
      <c r="C13" s="140">
        <v>-4.2374999999999998</v>
      </c>
      <c r="D13" s="155">
        <f>10^C13</f>
        <v>5.7876198834912042E-5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ref="A14:A23" si="1">B14+273.15</f>
        <v>1063.1511800978099</v>
      </c>
      <c r="B14" s="148">
        <v>790.00118009780988</v>
      </c>
      <c r="C14" s="140">
        <v>-4.2762000000000002</v>
      </c>
      <c r="D14" s="155">
        <f>10^C14</f>
        <v>5.2941958101742725E-5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1"/>
        <v>1023.15</v>
      </c>
      <c r="B15" s="148">
        <v>750</v>
      </c>
      <c r="C15" s="140"/>
      <c r="D15" s="155">
        <f>(6*10^-27)*(B15^7.5048)</f>
        <v>2.2641803650926143E-5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1"/>
        <v>998.15</v>
      </c>
      <c r="B16" s="148">
        <v>725</v>
      </c>
      <c r="C16" s="140"/>
      <c r="D16" s="155">
        <f>(6*10^-27)*(B16^7.5048)</f>
        <v>1.7555609907915547E-5</v>
      </c>
    </row>
    <row r="17" spans="1:12" x14ac:dyDescent="0.25">
      <c r="A17" s="138">
        <f t="shared" si="1"/>
        <v>973.61503261610369</v>
      </c>
      <c r="B17" s="148">
        <v>700.46503261610371</v>
      </c>
      <c r="C17" s="140">
        <v>-4.8756000000000004</v>
      </c>
      <c r="D17" s="155">
        <f>10^C17</f>
        <v>1.3316803762699786E-5</v>
      </c>
    </row>
    <row r="18" spans="1:12" x14ac:dyDescent="0.25">
      <c r="A18" s="138">
        <f t="shared" si="1"/>
        <v>948.15</v>
      </c>
      <c r="B18" s="148">
        <v>675</v>
      </c>
      <c r="C18" s="140"/>
      <c r="D18" s="155">
        <f>(6*10^-27)*(B18^7.5048)</f>
        <v>1.0268575597131875E-5</v>
      </c>
    </row>
    <row r="19" spans="1:12" x14ac:dyDescent="0.25">
      <c r="A19" s="138">
        <f t="shared" si="1"/>
        <v>923.15</v>
      </c>
      <c r="B19" s="148">
        <v>650</v>
      </c>
      <c r="C19" s="140"/>
      <c r="D19" s="155">
        <f>(6*10^-27)*(B19^7.5048)</f>
        <v>7.7357675151609995E-6</v>
      </c>
    </row>
    <row r="20" spans="1:12" x14ac:dyDescent="0.25">
      <c r="A20" s="138">
        <f t="shared" si="1"/>
        <v>898.15</v>
      </c>
      <c r="B20" s="148">
        <v>625</v>
      </c>
      <c r="C20" s="140"/>
      <c r="D20" s="155">
        <f>(6*10^-27)*(B20^7.5048)</f>
        <v>5.7633050139260677E-6</v>
      </c>
    </row>
    <row r="21" spans="1:12" x14ac:dyDescent="0.25">
      <c r="A21" s="138">
        <f t="shared" si="1"/>
        <v>868.96072297532146</v>
      </c>
      <c r="B21" s="148">
        <v>595.81072297532148</v>
      </c>
      <c r="C21" s="140">
        <v>-5.4363999999999999</v>
      </c>
      <c r="D21" s="155">
        <f>10^C21</f>
        <v>3.6610022854654276E-6</v>
      </c>
    </row>
    <row r="22" spans="1:12" x14ac:dyDescent="0.25">
      <c r="A22" s="138">
        <f t="shared" si="1"/>
        <v>823.15</v>
      </c>
      <c r="B22" s="148">
        <v>550</v>
      </c>
      <c r="C22" s="140"/>
      <c r="D22" s="155">
        <f>(6*10^-27)*(B22^7.5048)</f>
        <v>2.2081326658641116E-6</v>
      </c>
    </row>
    <row r="23" spans="1:12" ht="15.75" thickBot="1" x14ac:dyDescent="0.3">
      <c r="A23" s="141">
        <f t="shared" si="1"/>
        <v>773.15</v>
      </c>
      <c r="B23" s="149">
        <v>500</v>
      </c>
      <c r="C23" s="130"/>
      <c r="D23" s="156">
        <f>(6*10^-27)*(B23^7.5048)</f>
        <v>1.0798945239871815E-6</v>
      </c>
    </row>
    <row r="24" spans="1:12" ht="15.75" thickBot="1" x14ac:dyDescent="0.3"/>
    <row r="25" spans="1:12" ht="15.75" x14ac:dyDescent="0.25">
      <c r="A25" s="133" t="s">
        <v>19</v>
      </c>
      <c r="B25" s="134"/>
      <c r="C25" s="134"/>
      <c r="D25" s="135"/>
      <c r="G25" s="119"/>
      <c r="H25" s="119"/>
    </row>
    <row r="26" spans="1:12" ht="47.25" x14ac:dyDescent="0.25">
      <c r="A26" s="136" t="s">
        <v>16</v>
      </c>
      <c r="B26" s="115" t="s">
        <v>14</v>
      </c>
      <c r="C26" s="142" t="s">
        <v>111</v>
      </c>
      <c r="D26" s="143" t="s">
        <v>35</v>
      </c>
      <c r="G26" s="119"/>
      <c r="H26" s="114"/>
    </row>
    <row r="27" spans="1:12" x14ac:dyDescent="0.25">
      <c r="A27" s="138">
        <f>B27+273.15</f>
        <v>1156.8718186024989</v>
      </c>
      <c r="B27" s="148">
        <v>883.72181860249896</v>
      </c>
      <c r="C27" s="140">
        <f>'SSC,Yeh (Solid State Ionics)'!J36</f>
        <v>0.21045699539293783</v>
      </c>
      <c r="D27" s="157">
        <f>($C$2*$A$2*A27)/(4*($E$2^2)*D13*C27)</f>
        <v>2.119625477656881E-2</v>
      </c>
      <c r="G27" s="119"/>
      <c r="H27" s="114"/>
      <c r="K27" s="118"/>
      <c r="L27" s="118"/>
    </row>
    <row r="28" spans="1:12" x14ac:dyDescent="0.25">
      <c r="A28" s="138">
        <f t="shared" ref="A28:A30" si="2">B28+273.15</f>
        <v>1063.1511800978099</v>
      </c>
      <c r="B28" s="148">
        <v>790.00118009780988</v>
      </c>
      <c r="C28" s="140">
        <f>'SSC,Yeh (Solid State Ionics)'!J37</f>
        <v>0.16211100795069869</v>
      </c>
      <c r="D28" s="157">
        <f>($C$2*$A$2*A28)/(4*($E$2^2)*D14*C28)</f>
        <v>2.7645202445619264E-2</v>
      </c>
      <c r="G28" s="119"/>
      <c r="H28" s="114"/>
      <c r="J28" s="113"/>
      <c r="K28" s="113"/>
      <c r="L28" s="113"/>
    </row>
    <row r="29" spans="1:12" x14ac:dyDescent="0.25">
      <c r="A29" s="138">
        <f t="shared" si="2"/>
        <v>973.61503261610369</v>
      </c>
      <c r="B29" s="148">
        <v>700.46503261610371</v>
      </c>
      <c r="C29" s="140">
        <f>'SSC,Yeh (Solid State Ionics)'!J40</f>
        <v>0.12487101628399157</v>
      </c>
      <c r="D29" s="157">
        <f>($C$2*$A$2*A29)/(4*($E$2^2)*D17*C29)</f>
        <v>0.13066608517084946</v>
      </c>
      <c r="G29" s="119"/>
      <c r="H29" s="114"/>
      <c r="J29" s="113"/>
      <c r="K29" s="113"/>
      <c r="L29" s="113"/>
    </row>
    <row r="30" spans="1:12" ht="15.75" thickBot="1" x14ac:dyDescent="0.3">
      <c r="A30" s="141">
        <f t="shared" si="2"/>
        <v>868.96072297532146</v>
      </c>
      <c r="B30" s="149">
        <v>595.81072297532148</v>
      </c>
      <c r="C30" s="130">
        <f>'SSC,Yeh (Solid State Ionics)'!J44</f>
        <v>9.5037629333963661E-2</v>
      </c>
      <c r="D30" s="158">
        <f>($C$2*$A$2*A30)/(4*($E$2^2)*D21*C30)</f>
        <v>0.55736771292170806</v>
      </c>
      <c r="G30" s="119"/>
      <c r="H30" s="114"/>
      <c r="J30" s="113"/>
      <c r="K30" s="113"/>
      <c r="L30" s="113"/>
    </row>
    <row r="31" spans="1:12" x14ac:dyDescent="0.25">
      <c r="D31" s="114"/>
      <c r="G31" s="119"/>
      <c r="H31" s="114"/>
    </row>
    <row r="32" spans="1:12" s="126" customFormat="1" ht="15.75" thickBot="1" x14ac:dyDescent="0.3">
      <c r="D32" s="129"/>
      <c r="G32" s="128"/>
      <c r="H32" s="129"/>
    </row>
    <row r="33" spans="1:11" ht="60" x14ac:dyDescent="0.25">
      <c r="A33" s="118" t="s">
        <v>26</v>
      </c>
      <c r="D33" s="114"/>
      <c r="G33" s="119"/>
      <c r="H33" s="114"/>
    </row>
    <row r="34" spans="1:11" ht="45" x14ac:dyDescent="0.25">
      <c r="A34" s="111" t="s">
        <v>16</v>
      </c>
      <c r="B34" s="111" t="s">
        <v>14</v>
      </c>
      <c r="C34" s="111" t="s">
        <v>116</v>
      </c>
      <c r="D34" s="111" t="s">
        <v>97</v>
      </c>
      <c r="E34" s="118" t="s">
        <v>117</v>
      </c>
      <c r="F34" s="111" t="s">
        <v>99</v>
      </c>
      <c r="H34" s="119" t="s">
        <v>16</v>
      </c>
      <c r="I34" s="119" t="s">
        <v>14</v>
      </c>
      <c r="J34" s="118" t="s">
        <v>124</v>
      </c>
      <c r="K34" s="118" t="s">
        <v>40</v>
      </c>
    </row>
    <row r="35" spans="1:11" x14ac:dyDescent="0.25">
      <c r="A35" s="112">
        <f>B35+273.15</f>
        <v>1156.6042100393245</v>
      </c>
      <c r="B35" s="117">
        <v>883.45421003932449</v>
      </c>
      <c r="C35" s="114">
        <v>-5.774</v>
      </c>
      <c r="D35" s="114">
        <f>10^C35</f>
        <v>1.682674061070466E-6</v>
      </c>
      <c r="E35" s="111">
        <v>0.69</v>
      </c>
      <c r="F35" s="113">
        <f>D35/E35</f>
        <v>2.4386580595224148E-6</v>
      </c>
      <c r="H35" s="117">
        <f>I35+273.15</f>
        <v>1156.8718186024989</v>
      </c>
      <c r="I35" s="117">
        <v>883.72181860249896</v>
      </c>
      <c r="J35" s="113">
        <f>'SSC,Fu (Power Sources)'!C31</f>
        <v>9.5999999999999989E-5</v>
      </c>
      <c r="K35" s="114">
        <f>J35/F35</f>
        <v>39.365912586695558</v>
      </c>
    </row>
    <row r="36" spans="1:11" x14ac:dyDescent="0.25">
      <c r="A36" s="112">
        <f t="shared" ref="A36:A38" si="3">B36+273.15</f>
        <v>1062.5231098776399</v>
      </c>
      <c r="B36" s="112">
        <v>789.37310987763988</v>
      </c>
      <c r="C36" s="114">
        <v>-6.1212</v>
      </c>
      <c r="D36" s="114">
        <f t="shared" ref="D36:D38" si="4">10^C36</f>
        <v>7.5648444083328102E-7</v>
      </c>
      <c r="E36" s="111">
        <v>0.69</v>
      </c>
      <c r="F36" s="113">
        <f t="shared" ref="F36:F38" si="5">D36/E36</f>
        <v>1.096354262077219E-6</v>
      </c>
      <c r="H36" s="117">
        <f>I36+273.15</f>
        <v>1063.1511800978099</v>
      </c>
      <c r="I36" s="117">
        <v>790.00118009780988</v>
      </c>
      <c r="J36" s="113">
        <f>'SSC,Fu (Power Sources)'!C32</f>
        <v>7.7999999999999985E-5</v>
      </c>
      <c r="K36" s="114">
        <f t="shared" ref="K36:K38" si="6">J36/F36</f>
        <v>71.144886920233674</v>
      </c>
    </row>
    <row r="37" spans="1:11" x14ac:dyDescent="0.25">
      <c r="A37" s="112">
        <f t="shared" si="3"/>
        <v>974.47841043081701</v>
      </c>
      <c r="B37" s="112">
        <v>701.32841043081703</v>
      </c>
      <c r="C37" s="114">
        <v>-6.7767999999999997</v>
      </c>
      <c r="D37" s="114">
        <f t="shared" si="4"/>
        <v>1.6718603572044651E-7</v>
      </c>
      <c r="E37" s="111">
        <v>0.69</v>
      </c>
      <c r="F37" s="113">
        <f t="shared" si="5"/>
        <v>2.4229860249340077E-7</v>
      </c>
      <c r="H37" s="117">
        <f>I37+273.15</f>
        <v>973.61503261610369</v>
      </c>
      <c r="I37" s="117">
        <v>700.46503261610371</v>
      </c>
      <c r="J37" s="113">
        <f>'SSC,Fu (Power Sources)'!C33</f>
        <v>3.6300000000000001E-5</v>
      </c>
      <c r="K37" s="114">
        <f t="shared" si="6"/>
        <v>149.81514390281581</v>
      </c>
    </row>
    <row r="38" spans="1:11" x14ac:dyDescent="0.25">
      <c r="A38" s="112">
        <f t="shared" si="3"/>
        <v>866.7464073361416</v>
      </c>
      <c r="B38" s="112">
        <v>593.59640733614162</v>
      </c>
      <c r="C38" s="114">
        <v>-7.4325000000000001</v>
      </c>
      <c r="D38" s="114">
        <f t="shared" si="4"/>
        <v>3.6940264435828213E-8</v>
      </c>
      <c r="E38" s="111">
        <v>0.69</v>
      </c>
      <c r="F38" s="113">
        <f t="shared" si="5"/>
        <v>5.3536615124388719E-8</v>
      </c>
      <c r="H38" s="117">
        <f>I38+273.15</f>
        <v>868.96072297532146</v>
      </c>
      <c r="I38" s="117">
        <v>595.81072297532148</v>
      </c>
      <c r="J38" s="113">
        <f>'SSC,Fu (Power Sources)'!C35</f>
        <v>1.7399999999999999E-5</v>
      </c>
      <c r="K38" s="114">
        <f t="shared" si="6"/>
        <v>325.01120886279926</v>
      </c>
    </row>
    <row r="39" spans="1:11" x14ac:dyDescent="0.25">
      <c r="A39" s="112"/>
      <c r="B39" s="112"/>
      <c r="C39" s="114"/>
      <c r="D39" s="114"/>
      <c r="F39" s="113"/>
      <c r="H39" s="117"/>
      <c r="I39" s="119"/>
      <c r="J39" s="114"/>
      <c r="K39" s="114"/>
    </row>
    <row r="40" spans="1:11" x14ac:dyDescent="0.25">
      <c r="A40" s="112"/>
      <c r="B40" s="112"/>
      <c r="C40" s="114"/>
      <c r="D40" s="114"/>
      <c r="F40" s="113"/>
      <c r="G40" s="114"/>
      <c r="H40" s="117"/>
      <c r="I40" s="119"/>
      <c r="J40" s="114"/>
      <c r="K40" s="114"/>
    </row>
    <row r="41" spans="1:11" x14ac:dyDescent="0.25">
      <c r="A41" s="112"/>
      <c r="B41" s="112"/>
      <c r="C41" s="114"/>
      <c r="D41" s="114"/>
      <c r="F41" s="113"/>
      <c r="G41" s="114"/>
      <c r="H41" s="117"/>
      <c r="I41" s="119"/>
      <c r="J41" s="114"/>
      <c r="K41" s="114"/>
    </row>
    <row r="42" spans="1:11" x14ac:dyDescent="0.25">
      <c r="A42" s="112"/>
      <c r="B42" s="112"/>
      <c r="C42" s="114"/>
      <c r="D42" s="114"/>
      <c r="F42" s="113"/>
      <c r="G42" s="114"/>
      <c r="H42" s="117"/>
      <c r="I42" s="119"/>
      <c r="J42" s="114"/>
    </row>
    <row r="43" spans="1:11" x14ac:dyDescent="0.25">
      <c r="A43" s="112"/>
      <c r="B43" s="112"/>
      <c r="C43" s="114"/>
      <c r="D43" s="114"/>
      <c r="F43" s="113"/>
      <c r="G43" s="114"/>
      <c r="H43" s="117"/>
      <c r="I43" s="119"/>
      <c r="J43" s="114"/>
    </row>
    <row r="44" spans="1:11" x14ac:dyDescent="0.25">
      <c r="A44" s="112"/>
      <c r="B44" s="112"/>
      <c r="C44" s="113"/>
      <c r="D44" s="114"/>
      <c r="F44" s="113"/>
      <c r="H44" s="117"/>
      <c r="I44" s="119"/>
      <c r="J44" s="114"/>
    </row>
    <row r="45" spans="1:11" x14ac:dyDescent="0.25">
      <c r="A45" s="112"/>
      <c r="B45" s="112"/>
      <c r="C45" s="113"/>
      <c r="D45" s="114"/>
      <c r="F45" s="113"/>
      <c r="H45" s="117"/>
      <c r="I45" s="119"/>
      <c r="J45" s="114"/>
    </row>
    <row r="46" spans="1:11" x14ac:dyDescent="0.25">
      <c r="A46" s="112"/>
      <c r="B46" s="112"/>
      <c r="C46" s="113"/>
      <c r="D46" s="114"/>
      <c r="F46" s="113"/>
      <c r="H46" s="117"/>
      <c r="J46" s="114"/>
    </row>
    <row r="47" spans="1:11" x14ac:dyDescent="0.25">
      <c r="A47" s="112"/>
      <c r="B47" s="112"/>
      <c r="C47" s="113"/>
      <c r="D47" s="114"/>
      <c r="F47" s="113"/>
      <c r="G47" s="114"/>
      <c r="H47" s="117"/>
      <c r="J47" s="114"/>
    </row>
    <row r="48" spans="1:11" x14ac:dyDescent="0.25">
      <c r="A48" s="112"/>
      <c r="B48" s="112"/>
      <c r="C48" s="113"/>
      <c r="D48" s="114"/>
      <c r="F48" s="113"/>
      <c r="G48" s="114"/>
      <c r="H48" s="114"/>
    </row>
    <row r="49" spans="1:11" x14ac:dyDescent="0.25">
      <c r="A49" s="112"/>
      <c r="B49" s="112"/>
      <c r="C49" s="113"/>
      <c r="D49" s="114"/>
      <c r="F49" s="113"/>
      <c r="G49" s="114"/>
      <c r="H49" s="114"/>
    </row>
    <row r="50" spans="1:11" x14ac:dyDescent="0.25">
      <c r="A50" s="112"/>
      <c r="B50" s="112"/>
      <c r="C50" s="113"/>
      <c r="D50" s="114"/>
      <c r="F50" s="113"/>
      <c r="G50" s="114"/>
      <c r="H50" s="114"/>
    </row>
    <row r="51" spans="1:11" x14ac:dyDescent="0.25">
      <c r="A51" s="112"/>
      <c r="B51" s="112"/>
      <c r="C51" s="113"/>
      <c r="D51" s="114"/>
      <c r="F51" s="113"/>
      <c r="G51" s="114"/>
    </row>
    <row r="52" spans="1:11" x14ac:dyDescent="0.25">
      <c r="A52" s="112"/>
      <c r="B52" s="112"/>
      <c r="C52" s="113"/>
      <c r="D52" s="114"/>
      <c r="F52" s="113"/>
      <c r="G52" s="114"/>
    </row>
    <row r="53" spans="1:11" x14ac:dyDescent="0.25">
      <c r="A53" s="112"/>
      <c r="B53" s="117"/>
      <c r="C53" s="113"/>
      <c r="D53" s="114"/>
      <c r="F53" s="113"/>
      <c r="G53" s="114"/>
    </row>
    <row r="54" spans="1:11" x14ac:dyDescent="0.25">
      <c r="A54" s="112"/>
      <c r="B54" s="117"/>
      <c r="C54" s="113"/>
      <c r="D54" s="114"/>
      <c r="F54" s="113"/>
      <c r="G54" s="114"/>
    </row>
    <row r="55" spans="1:11" x14ac:dyDescent="0.25">
      <c r="A55" s="112"/>
      <c r="B55" s="117"/>
      <c r="C55" s="113"/>
      <c r="D55" s="114"/>
      <c r="F55" s="113"/>
      <c r="G55" s="114"/>
    </row>
    <row r="56" spans="1:11" x14ac:dyDescent="0.25">
      <c r="A56" s="112"/>
      <c r="B56" s="117"/>
      <c r="C56" s="113"/>
      <c r="D56" s="114"/>
      <c r="F56" s="113"/>
      <c r="G56" s="114"/>
    </row>
    <row r="57" spans="1:11" x14ac:dyDescent="0.25">
      <c r="A57" s="112"/>
      <c r="B57" s="117"/>
      <c r="C57" s="113"/>
      <c r="D57" s="114"/>
      <c r="F57" s="113"/>
      <c r="G57" s="114"/>
    </row>
    <row r="58" spans="1:11" x14ac:dyDescent="0.25">
      <c r="A58" s="112"/>
      <c r="B58" s="117"/>
      <c r="C58" s="113"/>
      <c r="D58" s="114"/>
      <c r="F58" s="113"/>
      <c r="G58" s="114"/>
    </row>
    <row r="59" spans="1:11" x14ac:dyDescent="0.25">
      <c r="A59" s="112"/>
      <c r="B59" s="117"/>
      <c r="C59" s="113"/>
      <c r="D59" s="114"/>
      <c r="F59" s="113"/>
      <c r="G59" s="114"/>
    </row>
    <row r="60" spans="1:11" x14ac:dyDescent="0.25">
      <c r="A60" s="112"/>
      <c r="B60" s="117"/>
      <c r="C60" s="113"/>
      <c r="D60" s="114"/>
      <c r="F60" s="113"/>
      <c r="G60" s="114"/>
    </row>
    <row r="61" spans="1:11" x14ac:dyDescent="0.25">
      <c r="A61" s="112"/>
      <c r="B61" s="117"/>
      <c r="C61" s="113"/>
      <c r="D61" s="114"/>
      <c r="F61" s="113"/>
      <c r="G61" s="114"/>
    </row>
    <row r="62" spans="1:11" x14ac:dyDescent="0.25">
      <c r="A62" s="112"/>
      <c r="B62" s="117"/>
      <c r="C62" s="113"/>
      <c r="D62" s="114"/>
      <c r="F62" s="113"/>
      <c r="G62" s="114"/>
    </row>
    <row r="63" spans="1:11" x14ac:dyDescent="0.25">
      <c r="A63" s="112"/>
      <c r="B63" s="117"/>
      <c r="C63" s="113"/>
      <c r="D63" s="114"/>
      <c r="F63" s="113"/>
      <c r="G63" s="114"/>
      <c r="H63" s="114"/>
    </row>
    <row r="64" spans="1:11" x14ac:dyDescent="0.25">
      <c r="A64" s="112"/>
      <c r="B64" s="117"/>
      <c r="C64" s="113"/>
      <c r="D64" s="114"/>
      <c r="F64" s="113"/>
      <c r="G64" s="114"/>
      <c r="H64" s="119"/>
      <c r="I64" s="119"/>
      <c r="J64" s="119"/>
      <c r="K64" s="119"/>
    </row>
    <row r="65" spans="1:11" x14ac:dyDescent="0.25">
      <c r="A65" s="112"/>
      <c r="B65" s="117"/>
      <c r="C65" s="113"/>
      <c r="D65" s="114"/>
      <c r="F65" s="113"/>
      <c r="G65" s="114"/>
      <c r="H65" s="117"/>
      <c r="I65" s="112"/>
      <c r="J65" s="113"/>
      <c r="K65" s="113"/>
    </row>
    <row r="66" spans="1:11" x14ac:dyDescent="0.25">
      <c r="A66" s="112"/>
      <c r="B66" s="117"/>
      <c r="C66" s="113"/>
      <c r="D66" s="114"/>
      <c r="F66" s="113"/>
      <c r="G66" s="114"/>
      <c r="H66" s="117"/>
      <c r="I66" s="112"/>
      <c r="J66" s="113"/>
      <c r="K66" s="113"/>
    </row>
    <row r="67" spans="1:11" x14ac:dyDescent="0.25">
      <c r="A67" s="112"/>
      <c r="B67" s="117"/>
      <c r="C67" s="113"/>
      <c r="D67" s="114"/>
      <c r="F67" s="113"/>
      <c r="G67" s="114"/>
      <c r="H67" s="117"/>
      <c r="I67" s="112"/>
      <c r="J67" s="113"/>
      <c r="K67" s="113"/>
    </row>
    <row r="68" spans="1:11" x14ac:dyDescent="0.25">
      <c r="A68" s="112"/>
      <c r="B68" s="117"/>
      <c r="C68" s="113"/>
      <c r="D68" s="114"/>
      <c r="F68" s="113"/>
      <c r="G68" s="114"/>
      <c r="H68" s="117"/>
      <c r="I68" s="112"/>
      <c r="J68" s="113"/>
      <c r="K68" s="113"/>
    </row>
    <row r="69" spans="1:11" x14ac:dyDescent="0.25">
      <c r="A69" s="112"/>
      <c r="B69" s="117"/>
      <c r="C69" s="113"/>
      <c r="D69" s="114"/>
      <c r="F69" s="113"/>
      <c r="G69" s="114"/>
      <c r="H69" s="117"/>
      <c r="I69" s="112"/>
      <c r="J69" s="113"/>
      <c r="K69" s="113"/>
    </row>
    <row r="70" spans="1:11" x14ac:dyDescent="0.25">
      <c r="A70" s="112"/>
      <c r="B70" s="117"/>
      <c r="C70" s="113"/>
      <c r="D70" s="114"/>
      <c r="F70" s="113"/>
      <c r="G70" s="114"/>
      <c r="H70" s="117"/>
      <c r="I70" s="112"/>
      <c r="J70" s="113"/>
      <c r="K70" s="113"/>
    </row>
    <row r="71" spans="1:11" x14ac:dyDescent="0.25">
      <c r="A71" s="112"/>
      <c r="B71" s="117"/>
      <c r="C71" s="113"/>
      <c r="D71" s="114"/>
      <c r="F71" s="113"/>
      <c r="G71" s="114"/>
      <c r="H71" s="117"/>
      <c r="I71" s="112"/>
      <c r="J71" s="113"/>
      <c r="K71" s="113"/>
    </row>
    <row r="72" spans="1:11" x14ac:dyDescent="0.25">
      <c r="A72" s="112"/>
      <c r="B72" s="117"/>
      <c r="C72" s="113"/>
      <c r="D72" s="114"/>
      <c r="F72" s="113"/>
      <c r="G72" s="114"/>
      <c r="H72" s="117"/>
      <c r="I72" s="112"/>
      <c r="J72" s="113"/>
      <c r="K72" s="113"/>
    </row>
    <row r="73" spans="1:11" x14ac:dyDescent="0.25">
      <c r="A73" s="112"/>
      <c r="B73" s="117"/>
      <c r="C73" s="113"/>
      <c r="D73" s="114"/>
      <c r="F73" s="113"/>
      <c r="G73" s="114"/>
      <c r="H73" s="117"/>
      <c r="I73" s="112"/>
      <c r="J73" s="113"/>
      <c r="K73" s="113"/>
    </row>
    <row r="74" spans="1:11" x14ac:dyDescent="0.25">
      <c r="A74" s="112"/>
      <c r="B74" s="117"/>
      <c r="C74" s="113"/>
      <c r="D74" s="114"/>
      <c r="F74" s="113"/>
      <c r="G74" s="114"/>
      <c r="H74" s="117"/>
      <c r="I74" s="112"/>
      <c r="J74" s="113"/>
      <c r="K74" s="113"/>
    </row>
    <row r="75" spans="1:11" x14ac:dyDescent="0.25">
      <c r="A75" s="112"/>
      <c r="B75" s="117"/>
      <c r="C75" s="113"/>
      <c r="D75" s="114"/>
      <c r="F75" s="113"/>
      <c r="G75" s="114"/>
      <c r="H75" s="114"/>
    </row>
    <row r="76" spans="1:11" x14ac:dyDescent="0.25">
      <c r="A76" s="112"/>
      <c r="B76" s="117"/>
      <c r="C76" s="113"/>
      <c r="D76" s="114"/>
      <c r="F76" s="113"/>
      <c r="G76" s="114"/>
      <c r="H76" s="119"/>
      <c r="I76" s="119"/>
      <c r="J76" s="121"/>
      <c r="K76" s="121"/>
    </row>
    <row r="77" spans="1:11" x14ac:dyDescent="0.25">
      <c r="A77" s="112"/>
      <c r="B77" s="117"/>
      <c r="C77" s="113"/>
      <c r="D77" s="114"/>
      <c r="F77" s="113"/>
      <c r="G77" s="114"/>
      <c r="H77" s="117"/>
      <c r="I77" s="112"/>
      <c r="J77" s="113"/>
      <c r="K77" s="113"/>
    </row>
    <row r="78" spans="1:11" x14ac:dyDescent="0.25">
      <c r="A78" s="112"/>
      <c r="B78" s="117"/>
      <c r="C78" s="113"/>
      <c r="D78" s="114"/>
      <c r="F78" s="113"/>
      <c r="G78" s="114"/>
      <c r="H78" s="117"/>
      <c r="I78" s="112"/>
      <c r="J78" s="113"/>
      <c r="K78" s="114"/>
    </row>
    <row r="79" spans="1:11" x14ac:dyDescent="0.25">
      <c r="A79" s="112"/>
      <c r="B79" s="119"/>
      <c r="D79" s="114"/>
      <c r="F79" s="114"/>
      <c r="G79" s="114"/>
      <c r="H79" s="117"/>
      <c r="I79" s="112"/>
      <c r="J79" s="113"/>
      <c r="K79" s="114"/>
    </row>
    <row r="80" spans="1:11" x14ac:dyDescent="0.25">
      <c r="A80" s="112"/>
      <c r="B80" s="119"/>
      <c r="D80" s="114"/>
      <c r="F80" s="114"/>
      <c r="G80" s="114"/>
      <c r="H80" s="117"/>
      <c r="I80" s="112"/>
      <c r="J80" s="113"/>
      <c r="K80" s="114"/>
    </row>
    <row r="81" spans="1:11" x14ac:dyDescent="0.25">
      <c r="A81" s="112"/>
      <c r="B81" s="119"/>
      <c r="D81" s="114"/>
      <c r="F81" s="114"/>
      <c r="G81" s="114"/>
      <c r="H81" s="117"/>
      <c r="I81" s="112"/>
      <c r="J81" s="113"/>
      <c r="K81" s="114"/>
    </row>
    <row r="82" spans="1:11" x14ac:dyDescent="0.25">
      <c r="A82" s="112"/>
      <c r="B82" s="119"/>
      <c r="D82" s="114"/>
      <c r="F82" s="114"/>
      <c r="G82" s="114"/>
      <c r="H82" s="117"/>
      <c r="I82" s="112"/>
      <c r="J82" s="113"/>
      <c r="K82" s="114"/>
    </row>
    <row r="83" spans="1:11" x14ac:dyDescent="0.25">
      <c r="A83" s="112"/>
      <c r="B83" s="117"/>
      <c r="D83" s="114"/>
      <c r="F83" s="119"/>
      <c r="G83" s="114"/>
      <c r="H83" s="117"/>
      <c r="I83" s="112"/>
      <c r="J83" s="113"/>
      <c r="K83" s="114"/>
    </row>
    <row r="84" spans="1:11" x14ac:dyDescent="0.25">
      <c r="A84" s="112"/>
      <c r="B84" s="117"/>
      <c r="D84" s="114"/>
      <c r="F84" s="119"/>
      <c r="G84" s="114"/>
      <c r="H84" s="117"/>
      <c r="I84" s="112"/>
      <c r="J84" s="113"/>
      <c r="K84" s="114"/>
    </row>
    <row r="85" spans="1:11" x14ac:dyDescent="0.25">
      <c r="A85" s="112"/>
      <c r="B85" s="117"/>
      <c r="D85" s="114"/>
      <c r="F85" s="119"/>
      <c r="G85" s="114"/>
      <c r="H85" s="117"/>
      <c r="I85" s="112"/>
      <c r="J85" s="113"/>
      <c r="K85" s="114"/>
    </row>
    <row r="86" spans="1:11" x14ac:dyDescent="0.25">
      <c r="A86" s="112"/>
      <c r="B86" s="117"/>
      <c r="D86" s="114"/>
      <c r="F86" s="119"/>
      <c r="G86" s="114"/>
      <c r="H86" s="117"/>
      <c r="I86" s="112"/>
      <c r="J86" s="113"/>
      <c r="K86" s="114"/>
    </row>
    <row r="87" spans="1:11" x14ac:dyDescent="0.25">
      <c r="A87" s="112"/>
      <c r="B87" s="117"/>
      <c r="D87" s="114"/>
      <c r="F87" s="119"/>
      <c r="G87" s="114"/>
      <c r="H87" s="117"/>
      <c r="I87" s="112"/>
      <c r="J87" s="113"/>
      <c r="K87" s="114"/>
    </row>
    <row r="88" spans="1:11" x14ac:dyDescent="0.25">
      <c r="A88" s="112"/>
      <c r="B88" s="117"/>
      <c r="D88" s="114"/>
      <c r="F88" s="119"/>
      <c r="G88" s="114"/>
      <c r="H88" s="117"/>
      <c r="I88" s="112"/>
      <c r="J88" s="113"/>
      <c r="K88" s="114"/>
    </row>
    <row r="89" spans="1:11" x14ac:dyDescent="0.25">
      <c r="A89" s="112"/>
      <c r="B89" s="117"/>
      <c r="D89" s="114"/>
      <c r="F89" s="119"/>
      <c r="G89" s="114"/>
      <c r="H89" s="117"/>
      <c r="I89" s="112"/>
      <c r="J89" s="113"/>
      <c r="K89" s="114"/>
    </row>
    <row r="90" spans="1:11" x14ac:dyDescent="0.25">
      <c r="A90" s="112"/>
      <c r="B90" s="117"/>
      <c r="D90" s="114"/>
      <c r="F90" s="119"/>
      <c r="G90" s="114"/>
      <c r="H90" s="117"/>
      <c r="I90" s="112"/>
      <c r="J90" s="113"/>
      <c r="K90" s="113"/>
    </row>
    <row r="91" spans="1:11" x14ac:dyDescent="0.25">
      <c r="A91" s="112"/>
      <c r="B91" s="117"/>
      <c r="D91" s="114"/>
      <c r="F91" s="119"/>
      <c r="G91" s="114"/>
    </row>
    <row r="92" spans="1:11" x14ac:dyDescent="0.25">
      <c r="A92" s="112"/>
      <c r="B92" s="117"/>
      <c r="D92" s="114"/>
      <c r="F92" s="119"/>
      <c r="G92" s="114"/>
    </row>
    <row r="93" spans="1:11" x14ac:dyDescent="0.25">
      <c r="A93" s="112"/>
      <c r="B93" s="117"/>
      <c r="D93" s="114"/>
      <c r="F93" s="119"/>
      <c r="G93" s="114"/>
    </row>
    <row r="94" spans="1:11" x14ac:dyDescent="0.25">
      <c r="A94" s="112"/>
      <c r="B94" s="117"/>
      <c r="D94" s="114"/>
      <c r="F94" s="119"/>
      <c r="G94" s="114"/>
    </row>
    <row r="95" spans="1:11" x14ac:dyDescent="0.25">
      <c r="A95" s="112"/>
      <c r="B95" s="117"/>
      <c r="D95" s="114"/>
      <c r="F95" s="119"/>
      <c r="G95" s="114"/>
    </row>
    <row r="96" spans="1:11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A111" s="112"/>
      <c r="B111" s="112"/>
      <c r="D111" s="114"/>
      <c r="F111" s="119"/>
      <c r="G111" s="114"/>
    </row>
    <row r="112" spans="1:7" x14ac:dyDescent="0.25">
      <c r="A112" s="112"/>
      <c r="B112" s="112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F117" s="119"/>
      <c r="G117" s="114"/>
    </row>
    <row r="118" spans="1:7" x14ac:dyDescent="0.25">
      <c r="F118" s="119"/>
      <c r="G118" s="114"/>
    </row>
    <row r="119" spans="1:7" x14ac:dyDescent="0.25">
      <c r="F119" s="119"/>
      <c r="G119" s="114"/>
    </row>
    <row r="120" spans="1:7" x14ac:dyDescent="0.25">
      <c r="F120" s="119"/>
      <c r="G120" s="114"/>
    </row>
    <row r="121" spans="1:7" x14ac:dyDescent="0.25">
      <c r="F121" s="119"/>
      <c r="G121" s="114"/>
    </row>
    <row r="122" spans="1:7" x14ac:dyDescent="0.25">
      <c r="F122" s="119"/>
      <c r="G122" s="114"/>
    </row>
    <row r="123" spans="1:7" x14ac:dyDescent="0.25">
      <c r="F123" s="119"/>
      <c r="G123" s="114"/>
    </row>
    <row r="124" spans="1:7" x14ac:dyDescent="0.25">
      <c r="F124" s="119"/>
      <c r="G124" s="114"/>
    </row>
    <row r="125" spans="1:7" x14ac:dyDescent="0.25">
      <c r="F125" s="119"/>
      <c r="G125" s="114"/>
    </row>
    <row r="126" spans="1:7" x14ac:dyDescent="0.25">
      <c r="F126" s="119"/>
      <c r="G126" s="114"/>
    </row>
    <row r="127" spans="1:7" x14ac:dyDescent="0.25">
      <c r="F127" s="119"/>
      <c r="G127" s="114"/>
    </row>
    <row r="128" spans="1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  <row r="134" spans="6:7" x14ac:dyDescent="0.25">
      <c r="F134" s="119"/>
      <c r="G134" s="114"/>
    </row>
    <row r="135" spans="6:7" x14ac:dyDescent="0.25">
      <c r="F135" s="119"/>
      <c r="G135" s="114"/>
    </row>
    <row r="136" spans="6:7" x14ac:dyDescent="0.25">
      <c r="F136" s="119"/>
      <c r="G136" s="114"/>
    </row>
    <row r="137" spans="6:7" x14ac:dyDescent="0.25">
      <c r="F137" s="119"/>
      <c r="G137" s="114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workbookViewId="0">
      <selection activeCell="E6" sqref="E6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49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50</v>
      </c>
    </row>
    <row r="6" spans="1:19" x14ac:dyDescent="0.25">
      <c r="A6" s="138">
        <f>B6+273.15</f>
        <v>1023.15</v>
      </c>
      <c r="B6" s="115">
        <v>750</v>
      </c>
      <c r="C6" s="140">
        <f>'SSC,Yeh (Solid State Ionics)'!J53</f>
        <v>4126.9677203165329</v>
      </c>
      <c r="D6" s="157">
        <f t="shared" ref="D6:D12" si="0">C6*D16</f>
        <v>5.0818281412190929E-3</v>
      </c>
    </row>
    <row r="7" spans="1:19" x14ac:dyDescent="0.25">
      <c r="A7" s="138">
        <f t="shared" ref="A7:A12" si="1">B7+273.15</f>
        <v>998.15</v>
      </c>
      <c r="B7" s="115">
        <v>725</v>
      </c>
      <c r="C7" s="140">
        <f>'SSC,Yeh (Solid State Ionics)'!J54</f>
        <v>3499.229947030447</v>
      </c>
      <c r="D7" s="157">
        <f t="shared" si="0"/>
        <v>3.1329469652045367E-3</v>
      </c>
      <c r="H7" s="111" t="s">
        <v>18</v>
      </c>
    </row>
    <row r="8" spans="1:19" ht="15.75" x14ac:dyDescent="0.25">
      <c r="A8" s="138">
        <f t="shared" si="1"/>
        <v>973.15</v>
      </c>
      <c r="B8" s="115">
        <v>700</v>
      </c>
      <c r="C8" s="140">
        <f>'SSC,Yeh (Solid State Ionics)'!J55</f>
        <v>2966.9750412430076</v>
      </c>
      <c r="D8" s="157">
        <f t="shared" si="0"/>
        <v>1.8721945918122227E-3</v>
      </c>
      <c r="G8" s="111">
        <v>1</v>
      </c>
      <c r="H8" s="35" t="s">
        <v>115</v>
      </c>
    </row>
    <row r="9" spans="1:19" ht="15.75" x14ac:dyDescent="0.25">
      <c r="A9" s="138">
        <f t="shared" si="1"/>
        <v>948.15</v>
      </c>
      <c r="B9" s="115">
        <v>675</v>
      </c>
      <c r="C9" s="140">
        <f>'SSC,Yeh (Solid State Ionics)'!J56</f>
        <v>2515.67945765593</v>
      </c>
      <c r="D9" s="157">
        <f t="shared" si="0"/>
        <v>1.1180525490339347E-3</v>
      </c>
      <c r="G9" s="111">
        <v>2</v>
      </c>
      <c r="H9" s="35" t="s">
        <v>123</v>
      </c>
    </row>
    <row r="10" spans="1:19" ht="16.5" thickBot="1" x14ac:dyDescent="0.3">
      <c r="A10" s="138">
        <f t="shared" si="1"/>
        <v>923.15</v>
      </c>
      <c r="B10" s="115">
        <v>650</v>
      </c>
      <c r="C10" s="140">
        <f>'SSC,Yeh (Solid State Ionics)'!J57</f>
        <v>2133.0287736497662</v>
      </c>
      <c r="D10" s="157">
        <f t="shared" si="0"/>
        <v>6.276914443590644E-4</v>
      </c>
      <c r="J10" s="2"/>
    </row>
    <row r="11" spans="1:19" ht="19.5" thickBot="1" x14ac:dyDescent="0.3">
      <c r="A11" s="138">
        <f t="shared" si="1"/>
        <v>898.15</v>
      </c>
      <c r="B11" s="115">
        <v>625</v>
      </c>
      <c r="C11" s="140">
        <f>'SSC,Yeh (Solid State Ionics)'!J58</f>
        <v>1808.5816678160045</v>
      </c>
      <c r="D11" s="157">
        <f t="shared" si="0"/>
        <v>3.6305646705809321E-4</v>
      </c>
      <c r="H11" s="169" t="s">
        <v>184</v>
      </c>
    </row>
    <row r="12" spans="1:19" ht="15.75" thickBot="1" x14ac:dyDescent="0.3">
      <c r="A12" s="141">
        <f t="shared" si="1"/>
        <v>873.15</v>
      </c>
      <c r="B12" s="126">
        <v>600</v>
      </c>
      <c r="C12" s="130">
        <f>'SSC,Yeh (Solid State Ionics)'!J59</f>
        <v>1085.6223723052085</v>
      </c>
      <c r="D12" s="158">
        <f t="shared" si="0"/>
        <v>1.4165203935236859E-4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2"/>
      <c r="D13" s="11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48" thickBot="1" x14ac:dyDescent="0.3">
      <c r="A15" s="136" t="s">
        <v>16</v>
      </c>
      <c r="B15" s="115" t="s">
        <v>14</v>
      </c>
      <c r="C15" s="142" t="s">
        <v>21</v>
      </c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1023.15</v>
      </c>
      <c r="B16" s="115">
        <v>750</v>
      </c>
      <c r="C16" s="140">
        <f>'SSC,Yeh (Solid State Ionics)'!J38</f>
        <v>0.14435583600387675</v>
      </c>
      <c r="D16" s="157">
        <f t="shared" ref="D16:D22" si="2">($C$2*$A$2*A16)/(4*($E$2^2)*D26*C16)</f>
        <v>1.2313709448711954E-6</v>
      </c>
    </row>
    <row r="17" spans="1:12" x14ac:dyDescent="0.25">
      <c r="A17" s="138">
        <f t="shared" ref="A17:A22" si="3">B17+273.15</f>
        <v>998.15</v>
      </c>
      <c r="B17" s="115">
        <v>725</v>
      </c>
      <c r="C17" s="140">
        <f>'SSC,Yeh (Solid State Ionics)'!J39</f>
        <v>0.13426041839771435</v>
      </c>
      <c r="D17" s="157">
        <f t="shared" si="2"/>
        <v>8.9532468932579038E-7</v>
      </c>
    </row>
    <row r="18" spans="1:12" x14ac:dyDescent="0.25">
      <c r="A18" s="138">
        <f t="shared" si="3"/>
        <v>973.15</v>
      </c>
      <c r="B18" s="115">
        <v>700</v>
      </c>
      <c r="C18" s="140">
        <f>'SSC,Yeh (Solid State Ionics)'!J40</f>
        <v>0.12487101628399157</v>
      </c>
      <c r="D18" s="157">
        <f t="shared" si="2"/>
        <v>6.3101123729974852E-7</v>
      </c>
    </row>
    <row r="19" spans="1:12" x14ac:dyDescent="0.25">
      <c r="A19" s="138">
        <f t="shared" si="3"/>
        <v>948.15</v>
      </c>
      <c r="B19" s="115">
        <v>675</v>
      </c>
      <c r="C19" s="140">
        <f>'SSC,Yeh (Solid State Ionics)'!J41</f>
        <v>0.11613825499639842</v>
      </c>
      <c r="D19" s="157">
        <f t="shared" si="2"/>
        <v>4.4443362831118328E-7</v>
      </c>
    </row>
    <row r="20" spans="1:12" x14ac:dyDescent="0.25">
      <c r="A20" s="138">
        <f t="shared" si="3"/>
        <v>923.15</v>
      </c>
      <c r="B20" s="115">
        <v>650</v>
      </c>
      <c r="C20" s="140">
        <f>'SSC,Yeh (Solid State Ionics)'!J42</f>
        <v>0.1080162128490471</v>
      </c>
      <c r="D20" s="157">
        <f t="shared" si="2"/>
        <v>2.9427237555967849E-7</v>
      </c>
    </row>
    <row r="21" spans="1:12" x14ac:dyDescent="0.25">
      <c r="A21" s="138">
        <f t="shared" si="3"/>
        <v>898.15</v>
      </c>
      <c r="B21" s="115">
        <v>625</v>
      </c>
      <c r="C21" s="140">
        <f>'SSC,Yeh (Solid State Ionics)'!J43</f>
        <v>0.10046217965486455</v>
      </c>
      <c r="D21" s="157">
        <f t="shared" si="2"/>
        <v>2.0074098588896493E-7</v>
      </c>
    </row>
    <row r="22" spans="1:12" ht="15.75" thickBot="1" x14ac:dyDescent="0.3">
      <c r="A22" s="141">
        <f t="shared" si="3"/>
        <v>873.15</v>
      </c>
      <c r="B22" s="126">
        <v>600</v>
      </c>
      <c r="C22" s="130">
        <f>'SSC,Yeh (Solid State Ionics)'!J44</f>
        <v>9.5037629333963661E-2</v>
      </c>
      <c r="D22" s="158">
        <f t="shared" si="2"/>
        <v>1.3048002967328771E-7</v>
      </c>
    </row>
    <row r="23" spans="1:12" ht="15.75" thickBot="1" x14ac:dyDescent="0.3">
      <c r="A23" s="112"/>
      <c r="D23" s="114"/>
    </row>
    <row r="24" spans="1:12" ht="15.75" x14ac:dyDescent="0.25">
      <c r="A24" s="133" t="s">
        <v>19</v>
      </c>
      <c r="B24" s="134"/>
      <c r="C24" s="134"/>
      <c r="D24" s="135"/>
      <c r="G24" s="119"/>
      <c r="H24" s="119"/>
    </row>
    <row r="25" spans="1:12" x14ac:dyDescent="0.25">
      <c r="A25" s="136" t="s">
        <v>16</v>
      </c>
      <c r="B25" s="115" t="s">
        <v>14</v>
      </c>
      <c r="C25" s="142"/>
      <c r="D25" s="143" t="s">
        <v>35</v>
      </c>
      <c r="G25" s="119"/>
      <c r="H25" s="114"/>
    </row>
    <row r="26" spans="1:12" x14ac:dyDescent="0.25">
      <c r="A26" s="138">
        <f t="shared" ref="A26:A32" si="4">B26+273.15</f>
        <v>1023.15</v>
      </c>
      <c r="B26" s="115">
        <v>750</v>
      </c>
      <c r="C26" s="115"/>
      <c r="D26" s="167">
        <f>C37</f>
        <v>1.2845568093749999</v>
      </c>
      <c r="G26" s="119"/>
      <c r="H26" s="114"/>
      <c r="K26" s="118"/>
      <c r="L26" s="118"/>
    </row>
    <row r="27" spans="1:12" x14ac:dyDescent="0.25">
      <c r="A27" s="138">
        <f t="shared" si="4"/>
        <v>998.15</v>
      </c>
      <c r="B27" s="115">
        <v>725</v>
      </c>
      <c r="C27" s="115"/>
      <c r="D27" s="167">
        <f>C48</f>
        <v>1.85312412202452</v>
      </c>
      <c r="G27" s="119"/>
      <c r="H27" s="114"/>
      <c r="J27" s="113"/>
      <c r="K27" s="113"/>
      <c r="L27" s="113"/>
    </row>
    <row r="28" spans="1:12" x14ac:dyDescent="0.25">
      <c r="A28" s="138">
        <f t="shared" si="4"/>
        <v>973.15</v>
      </c>
      <c r="B28" s="115">
        <v>700</v>
      </c>
      <c r="C28" s="115"/>
      <c r="D28" s="167">
        <f>C60</f>
        <v>2.7562480679696102</v>
      </c>
      <c r="G28" s="119"/>
      <c r="H28" s="114"/>
      <c r="J28" s="113"/>
      <c r="K28" s="113"/>
      <c r="L28" s="113"/>
    </row>
    <row r="29" spans="1:12" x14ac:dyDescent="0.25">
      <c r="A29" s="138">
        <f t="shared" si="4"/>
        <v>948.15</v>
      </c>
      <c r="B29" s="115">
        <v>675</v>
      </c>
      <c r="C29" s="115"/>
      <c r="D29" s="167">
        <f>C74</f>
        <v>4.0995113721182701</v>
      </c>
      <c r="G29" s="119"/>
      <c r="H29" s="114"/>
      <c r="J29" s="113"/>
      <c r="K29" s="113"/>
      <c r="L29" s="113"/>
    </row>
    <row r="30" spans="1:12" x14ac:dyDescent="0.25">
      <c r="A30" s="138">
        <f t="shared" si="4"/>
        <v>923.15</v>
      </c>
      <c r="B30" s="115">
        <v>650</v>
      </c>
      <c r="C30" s="115"/>
      <c r="D30" s="167">
        <f>C90</f>
        <v>6.4814337691964399</v>
      </c>
      <c r="G30" s="119"/>
      <c r="H30" s="114"/>
      <c r="J30" s="113"/>
      <c r="K30" s="113"/>
      <c r="L30" s="113"/>
    </row>
    <row r="31" spans="1:12" x14ac:dyDescent="0.25">
      <c r="A31" s="138">
        <f t="shared" si="4"/>
        <v>898.15</v>
      </c>
      <c r="B31" s="115">
        <v>625</v>
      </c>
      <c r="C31" s="115"/>
      <c r="D31" s="167">
        <f>C103</f>
        <v>9.9391096102978196</v>
      </c>
      <c r="G31" s="119"/>
      <c r="H31" s="114"/>
      <c r="J31" s="113"/>
      <c r="K31" s="113"/>
      <c r="L31" s="113"/>
    </row>
    <row r="32" spans="1:12" ht="15.75" thickBot="1" x14ac:dyDescent="0.3">
      <c r="A32" s="141">
        <f t="shared" si="4"/>
        <v>873.15</v>
      </c>
      <c r="B32" s="126">
        <v>600</v>
      </c>
      <c r="C32" s="126"/>
      <c r="D32" s="168">
        <f>C118</f>
        <v>15.7139899896515</v>
      </c>
      <c r="G32" s="119"/>
      <c r="H32" s="114"/>
      <c r="J32" s="113"/>
      <c r="K32" s="113"/>
      <c r="L32" s="113"/>
    </row>
    <row r="33" spans="1:12" x14ac:dyDescent="0.25">
      <c r="D33" s="113"/>
      <c r="G33" s="119"/>
      <c r="H33" s="114"/>
      <c r="J33" s="113"/>
      <c r="K33" s="113"/>
      <c r="L33" s="113"/>
    </row>
    <row r="34" spans="1:12" s="126" customFormat="1" ht="15.75" thickBot="1" x14ac:dyDescent="0.3">
      <c r="G34" s="128"/>
      <c r="H34" s="129"/>
      <c r="J34" s="130"/>
      <c r="K34" s="130"/>
      <c r="L34" s="130"/>
    </row>
    <row r="35" spans="1:12" ht="60" x14ac:dyDescent="0.25">
      <c r="A35" s="118" t="s">
        <v>26</v>
      </c>
      <c r="G35" s="119"/>
      <c r="H35" s="114"/>
    </row>
    <row r="36" spans="1:12" ht="45" x14ac:dyDescent="0.25">
      <c r="A36" s="111" t="s">
        <v>16</v>
      </c>
      <c r="B36" s="111" t="s">
        <v>14</v>
      </c>
      <c r="C36" s="118" t="s">
        <v>35</v>
      </c>
      <c r="E36" s="111" t="s">
        <v>16</v>
      </c>
      <c r="F36" s="111" t="s">
        <v>14</v>
      </c>
      <c r="G36" s="118" t="s">
        <v>51</v>
      </c>
      <c r="H36" s="118" t="s">
        <v>20</v>
      </c>
    </row>
    <row r="37" spans="1:12" x14ac:dyDescent="0.25">
      <c r="A37" s="112">
        <f>B37+273.15</f>
        <v>1022.7726727926488</v>
      </c>
      <c r="B37" s="112">
        <v>749.62267279264881</v>
      </c>
      <c r="C37" s="113">
        <v>1.2845568093749999</v>
      </c>
      <c r="E37" s="112">
        <f>F37+273.15</f>
        <v>1023.15</v>
      </c>
      <c r="F37" s="111">
        <v>750</v>
      </c>
      <c r="G37" s="113">
        <f>'SSC,Fullarton (Ionics)'!D15</f>
        <v>2.2641803650926143E-5</v>
      </c>
      <c r="H37" s="113">
        <f t="shared" ref="H37:H43" si="5">($C$2*E37*$A$2)/(4*($E$2^2)*G37*D26)</f>
        <v>7.8507695287117363E-3</v>
      </c>
      <c r="J37" s="113"/>
    </row>
    <row r="38" spans="1:12" x14ac:dyDescent="0.25">
      <c r="A38" s="112">
        <f t="shared" ref="A38:A101" si="6">B38+273.15</f>
        <v>1020.9371884346959</v>
      </c>
      <c r="B38" s="112">
        <v>747.78718843469596</v>
      </c>
      <c r="C38" s="113">
        <v>1.32439006779336</v>
      </c>
      <c r="E38" s="112">
        <f t="shared" ref="E38:E43" si="7">F38+273.15</f>
        <v>998.15</v>
      </c>
      <c r="F38" s="111">
        <v>725</v>
      </c>
      <c r="G38" s="113">
        <f>'SSC,Fullarton (Ionics)'!D16</f>
        <v>1.7555609907915547E-5</v>
      </c>
      <c r="H38" s="113">
        <f t="shared" si="5"/>
        <v>6.8471940320617959E-3</v>
      </c>
      <c r="J38" s="113"/>
    </row>
    <row r="39" spans="1:12" x14ac:dyDescent="0.25">
      <c r="A39" s="112">
        <f t="shared" si="6"/>
        <v>1019.1082802547771</v>
      </c>
      <c r="B39" s="112">
        <v>745.95828025477715</v>
      </c>
      <c r="C39" s="113">
        <v>1.3654585292519099</v>
      </c>
      <c r="E39" s="112">
        <f t="shared" si="7"/>
        <v>973.15</v>
      </c>
      <c r="F39" s="111">
        <v>700</v>
      </c>
      <c r="G39" s="113">
        <f>'SSC,Fullarton (Ionics)'!D17</f>
        <v>1.3316803762699786E-5</v>
      </c>
      <c r="H39" s="113">
        <f t="shared" si="5"/>
        <v>5.9169614490334754E-3</v>
      </c>
      <c r="J39" s="113"/>
    </row>
    <row r="40" spans="1:12" x14ac:dyDescent="0.25">
      <c r="A40" s="112">
        <f t="shared" si="6"/>
        <v>1016.6799046862589</v>
      </c>
      <c r="B40" s="112">
        <v>743.52990468625887</v>
      </c>
      <c r="C40" s="113">
        <v>1.40780049658127</v>
      </c>
      <c r="E40" s="112">
        <f t="shared" si="7"/>
        <v>948.15</v>
      </c>
      <c r="F40" s="111">
        <v>675</v>
      </c>
      <c r="G40" s="113">
        <f>'SSC,Fullarton (Ionics)'!D18</f>
        <v>1.0268575597131875E-5</v>
      </c>
      <c r="H40" s="113">
        <f t="shared" si="5"/>
        <v>5.0265731177161115E-3</v>
      </c>
      <c r="J40" s="113"/>
    </row>
    <row r="41" spans="1:12" x14ac:dyDescent="0.25">
      <c r="A41" s="112">
        <f t="shared" si="6"/>
        <v>1014.2630744849445</v>
      </c>
      <c r="B41" s="112">
        <v>741.11307448494449</v>
      </c>
      <c r="C41" s="113">
        <v>1.45145546035754</v>
      </c>
      <c r="E41" s="112">
        <f t="shared" si="7"/>
        <v>923.15</v>
      </c>
      <c r="F41" s="111">
        <v>650</v>
      </c>
      <c r="G41" s="113">
        <f>'SSC,Fullarton (Ionics)'!D19</f>
        <v>7.7357675151609995E-6</v>
      </c>
      <c r="H41" s="113">
        <f t="shared" si="5"/>
        <v>4.1089895077317884E-3</v>
      </c>
      <c r="J41" s="113"/>
    </row>
    <row r="42" spans="1:12" x14ac:dyDescent="0.25">
      <c r="A42" s="112">
        <f t="shared" si="6"/>
        <v>1012.457979038956</v>
      </c>
      <c r="B42" s="112">
        <v>739.30797903895598</v>
      </c>
      <c r="C42" s="113">
        <v>1.49646413573352</v>
      </c>
      <c r="E42" s="112">
        <f t="shared" si="7"/>
        <v>898.15</v>
      </c>
      <c r="F42" s="111">
        <v>625</v>
      </c>
      <c r="G42" s="113">
        <f>'SSC,Fullarton (Ionics)'!D20</f>
        <v>5.7633050139260677E-6</v>
      </c>
      <c r="H42" s="113">
        <f t="shared" si="5"/>
        <v>3.4991861336059636E-3</v>
      </c>
      <c r="J42" s="113"/>
    </row>
    <row r="43" spans="1:12" x14ac:dyDescent="0.25">
      <c r="A43" s="112">
        <f t="shared" si="6"/>
        <v>1010.0611560465576</v>
      </c>
      <c r="B43" s="112">
        <v>736.91115604655761</v>
      </c>
      <c r="C43" s="113">
        <v>1.49646413573352</v>
      </c>
      <c r="E43" s="112">
        <f t="shared" si="7"/>
        <v>873.15</v>
      </c>
      <c r="F43" s="111">
        <v>600</v>
      </c>
      <c r="G43" s="113">
        <f>'SSC,Fullarton (Ionics)'!D21</f>
        <v>3.6610022854654276E-6</v>
      </c>
      <c r="H43" s="113">
        <f t="shared" si="5"/>
        <v>3.3871906457982465E-3</v>
      </c>
      <c r="J43" s="113"/>
    </row>
    <row r="44" spans="1:12" x14ac:dyDescent="0.25">
      <c r="A44" s="112">
        <f t="shared" si="6"/>
        <v>1007.6756543987403</v>
      </c>
      <c r="B44" s="112">
        <v>734.52565439874036</v>
      </c>
      <c r="C44" s="113">
        <v>1.5907118337966999</v>
      </c>
      <c r="E44" s="113"/>
      <c r="H44" s="113"/>
      <c r="J44" s="113"/>
    </row>
    <row r="45" spans="1:12" x14ac:dyDescent="0.25">
      <c r="A45" s="112">
        <f t="shared" si="6"/>
        <v>1005.3013940702925</v>
      </c>
      <c r="B45" s="112">
        <v>732.15139407029255</v>
      </c>
      <c r="C45" s="113">
        <v>1.6400387573569</v>
      </c>
      <c r="E45" s="113"/>
      <c r="H45" s="113"/>
      <c r="J45" s="113"/>
    </row>
    <row r="46" spans="1:12" x14ac:dyDescent="0.25">
      <c r="A46" s="112">
        <f t="shared" si="6"/>
        <v>1002.9382957884427</v>
      </c>
      <c r="B46" s="112">
        <v>729.78829578844272</v>
      </c>
      <c r="C46" s="113">
        <v>1.6908952762443099</v>
      </c>
      <c r="E46" s="113"/>
      <c r="H46" s="113"/>
    </row>
    <row r="47" spans="1:12" x14ac:dyDescent="0.25">
      <c r="A47" s="112">
        <f t="shared" si="6"/>
        <v>1000.5862810240376</v>
      </c>
      <c r="B47" s="112">
        <v>727.43628102403761</v>
      </c>
      <c r="C47" s="113">
        <v>1.79738829779193</v>
      </c>
      <c r="E47" s="113"/>
      <c r="H47" s="114"/>
    </row>
    <row r="48" spans="1:12" x14ac:dyDescent="0.25">
      <c r="A48" s="112">
        <f t="shared" si="6"/>
        <v>997.66173031956339</v>
      </c>
      <c r="B48" s="112">
        <v>724.51173031956341</v>
      </c>
      <c r="C48" s="113">
        <v>1.85312412202452</v>
      </c>
      <c r="E48" s="113"/>
      <c r="H48" s="114"/>
    </row>
    <row r="49" spans="1:8" x14ac:dyDescent="0.25">
      <c r="A49" s="112">
        <f t="shared" si="6"/>
        <v>995.334370139969</v>
      </c>
      <c r="B49" s="112">
        <v>722.18437013996902</v>
      </c>
      <c r="C49" s="113">
        <v>1.9105882773621301</v>
      </c>
      <c r="E49" s="113"/>
      <c r="H49" s="114"/>
    </row>
    <row r="50" spans="1:8" x14ac:dyDescent="0.25">
      <c r="A50" s="112">
        <f t="shared" si="6"/>
        <v>993.01784328937151</v>
      </c>
      <c r="B50" s="112">
        <v>719.86784328937154</v>
      </c>
      <c r="C50" s="113">
        <v>2.0309176209047299</v>
      </c>
      <c r="E50" s="113"/>
      <c r="H50" s="114"/>
    </row>
    <row r="51" spans="1:8" x14ac:dyDescent="0.25">
      <c r="A51" s="112">
        <f t="shared" si="6"/>
        <v>990.71207430340564</v>
      </c>
      <c r="B51" s="112">
        <v>717.56207430340567</v>
      </c>
      <c r="C51" s="113">
        <v>2.093895035239</v>
      </c>
      <c r="E51" s="113"/>
      <c r="H51" s="114"/>
    </row>
    <row r="52" spans="1:8" x14ac:dyDescent="0.25">
      <c r="A52" s="112">
        <f t="shared" si="6"/>
        <v>988.41698841698837</v>
      </c>
      <c r="B52" s="112">
        <v>715.2669884169884</v>
      </c>
      <c r="C52" s="113">
        <v>2.1588253376054598</v>
      </c>
      <c r="E52" s="113"/>
      <c r="H52" s="114"/>
    </row>
    <row r="53" spans="1:8" x14ac:dyDescent="0.25">
      <c r="A53" s="112">
        <f t="shared" si="6"/>
        <v>986.13251155624027</v>
      </c>
      <c r="B53" s="112">
        <v>712.9825115562403</v>
      </c>
      <c r="C53" s="113">
        <v>2.2257690857724199</v>
      </c>
      <c r="E53" s="113"/>
      <c r="H53" s="114"/>
    </row>
    <row r="54" spans="1:8" x14ac:dyDescent="0.25">
      <c r="A54" s="112">
        <f t="shared" si="6"/>
        <v>984.42607190924821</v>
      </c>
      <c r="B54" s="112">
        <v>711.27607190924823</v>
      </c>
      <c r="C54" s="113">
        <v>2.2947887153646098</v>
      </c>
      <c r="E54" s="113"/>
      <c r="H54" s="114"/>
    </row>
    <row r="55" spans="1:8" x14ac:dyDescent="0.25">
      <c r="A55" s="112">
        <f t="shared" si="6"/>
        <v>982.15998465375037</v>
      </c>
      <c r="B55" s="112">
        <v>709.00998465375039</v>
      </c>
      <c r="C55" s="113">
        <v>2.3659485980942399</v>
      </c>
      <c r="E55" s="113"/>
      <c r="H55" s="114"/>
    </row>
    <row r="56" spans="1:8" x14ac:dyDescent="0.25">
      <c r="A56" s="112">
        <f t="shared" si="6"/>
        <v>979.90430622009569</v>
      </c>
      <c r="B56" s="112">
        <v>706.75430622009571</v>
      </c>
      <c r="C56" s="113">
        <v>2.4393151017978201</v>
      </c>
      <c r="E56" s="113"/>
      <c r="H56" s="114"/>
    </row>
    <row r="57" spans="1:8" x14ac:dyDescent="0.25">
      <c r="A57" s="112">
        <f t="shared" si="6"/>
        <v>977.65896505632986</v>
      </c>
      <c r="B57" s="112">
        <v>704.50896505632988</v>
      </c>
      <c r="C57" s="113">
        <v>2.5149566523346198</v>
      </c>
      <c r="E57" s="113"/>
      <c r="F57" s="119"/>
      <c r="G57" s="119"/>
      <c r="H57" s="114"/>
    </row>
    <row r="58" spans="1:8" x14ac:dyDescent="0.25">
      <c r="A58" s="112">
        <f t="shared" si="6"/>
        <v>975.98170034311852</v>
      </c>
      <c r="B58" s="112">
        <v>702.83170034311854</v>
      </c>
      <c r="C58" s="113">
        <v>2.5929437974046698</v>
      </c>
      <c r="E58" s="113"/>
      <c r="F58" s="119"/>
      <c r="G58" s="114"/>
      <c r="H58" s="114"/>
    </row>
    <row r="59" spans="1:8" x14ac:dyDescent="0.25">
      <c r="A59" s="112">
        <f t="shared" si="6"/>
        <v>973.75427919360982</v>
      </c>
      <c r="B59" s="112">
        <v>700.60427919360984</v>
      </c>
      <c r="C59" s="113">
        <v>2.6733492723455399</v>
      </c>
      <c r="E59" s="113"/>
      <c r="F59" s="119"/>
      <c r="G59" s="114"/>
      <c r="H59" s="114"/>
    </row>
    <row r="60" spans="1:8" x14ac:dyDescent="0.25">
      <c r="A60" s="112">
        <f t="shared" si="6"/>
        <v>972.09037402696026</v>
      </c>
      <c r="B60" s="112">
        <v>698.94037402696028</v>
      </c>
      <c r="C60" s="113">
        <v>2.7562480679696102</v>
      </c>
      <c r="E60" s="113"/>
      <c r="F60" s="119"/>
      <c r="G60" s="114"/>
      <c r="H60" s="114"/>
    </row>
    <row r="61" spans="1:8" x14ac:dyDescent="0.25">
      <c r="A61" s="112">
        <f t="shared" si="6"/>
        <v>970.43214556482178</v>
      </c>
      <c r="B61" s="112">
        <v>697.2821455648218</v>
      </c>
      <c r="C61" s="113">
        <v>2.92983728370438</v>
      </c>
      <c r="E61" s="113"/>
      <c r="F61" s="119"/>
      <c r="G61" s="114"/>
      <c r="H61" s="114"/>
    </row>
    <row r="62" spans="1:8" x14ac:dyDescent="0.25">
      <c r="A62" s="112">
        <f t="shared" si="6"/>
        <v>968.22995461422101</v>
      </c>
      <c r="B62" s="112">
        <v>695.07995461422104</v>
      </c>
      <c r="C62" s="113">
        <v>2.92983728370438</v>
      </c>
      <c r="E62" s="113"/>
      <c r="F62" s="119"/>
      <c r="G62" s="114"/>
      <c r="H62" s="114"/>
    </row>
    <row r="63" spans="1:8" x14ac:dyDescent="0.25">
      <c r="A63" s="112">
        <f t="shared" si="6"/>
        <v>966.03773584905662</v>
      </c>
      <c r="B63" s="112">
        <v>692.88773584905664</v>
      </c>
      <c r="C63" s="113">
        <v>3.0206896031921802</v>
      </c>
      <c r="F63" s="119"/>
      <c r="G63" s="114"/>
      <c r="H63" s="114"/>
    </row>
    <row r="64" spans="1:8" x14ac:dyDescent="0.25">
      <c r="A64" s="112">
        <f t="shared" si="6"/>
        <v>964.40007534375593</v>
      </c>
      <c r="B64" s="112">
        <v>691.25007534375595</v>
      </c>
      <c r="C64" s="113">
        <v>3.1143591931141499</v>
      </c>
      <c r="F64" s="119"/>
      <c r="G64" s="114"/>
      <c r="H64" s="114"/>
    </row>
    <row r="65" spans="1:8" x14ac:dyDescent="0.25">
      <c r="A65" s="112">
        <f t="shared" si="6"/>
        <v>962.76795787890194</v>
      </c>
      <c r="B65" s="112">
        <v>689.61795787890196</v>
      </c>
      <c r="C65" s="113">
        <v>3.3105023400723699</v>
      </c>
      <c r="F65" s="119"/>
      <c r="G65" s="114"/>
      <c r="H65" s="114"/>
    </row>
    <row r="66" spans="1:8" x14ac:dyDescent="0.25">
      <c r="A66" s="112">
        <f t="shared" si="6"/>
        <v>961.14135535948935</v>
      </c>
      <c r="B66" s="112">
        <v>687.99135535948938</v>
      </c>
      <c r="C66" s="113">
        <v>3.3105023400723699</v>
      </c>
      <c r="F66" s="119"/>
      <c r="G66" s="114"/>
      <c r="H66" s="114"/>
    </row>
    <row r="67" spans="1:8" x14ac:dyDescent="0.25">
      <c r="A67" s="112">
        <f t="shared" si="6"/>
        <v>959.52023988005988</v>
      </c>
      <c r="B67" s="112">
        <v>686.3702398800599</v>
      </c>
      <c r="C67" s="113">
        <v>3.3105023400723699</v>
      </c>
      <c r="F67" s="119"/>
      <c r="G67" s="114"/>
      <c r="H67" s="114"/>
    </row>
    <row r="68" spans="1:8" x14ac:dyDescent="0.25">
      <c r="A68" s="112">
        <f t="shared" si="6"/>
        <v>957.9045837231057</v>
      </c>
      <c r="B68" s="112">
        <v>684.75458372310572</v>
      </c>
      <c r="C68" s="113">
        <v>3.5189986331236001</v>
      </c>
      <c r="F68" s="119"/>
      <c r="G68" s="114"/>
      <c r="H68" s="114"/>
    </row>
    <row r="69" spans="1:8" x14ac:dyDescent="0.25">
      <c r="A69" s="112">
        <f t="shared" si="6"/>
        <v>956.29435935748972</v>
      </c>
      <c r="B69" s="112">
        <v>683.14435935748975</v>
      </c>
      <c r="C69" s="113">
        <v>3.6281204570118701</v>
      </c>
      <c r="F69" s="119"/>
      <c r="G69" s="114"/>
      <c r="H69" s="114"/>
    </row>
    <row r="70" spans="1:8" x14ac:dyDescent="0.25">
      <c r="A70" s="112">
        <f t="shared" si="6"/>
        <v>954.68953943688246</v>
      </c>
      <c r="B70" s="112">
        <v>681.53953943688248</v>
      </c>
      <c r="C70" s="113">
        <v>3.7406260766017398</v>
      </c>
      <c r="F70" s="119"/>
      <c r="G70" s="114"/>
      <c r="H70" s="114"/>
    </row>
    <row r="71" spans="1:8" x14ac:dyDescent="0.25">
      <c r="A71" s="112">
        <f t="shared" si="6"/>
        <v>952.55813953488371</v>
      </c>
      <c r="B71" s="112">
        <v>679.40813953488373</v>
      </c>
      <c r="C71" s="113">
        <v>3.7406260766017398</v>
      </c>
      <c r="F71" s="119"/>
      <c r="G71" s="114"/>
      <c r="H71" s="114"/>
    </row>
    <row r="72" spans="1:8" x14ac:dyDescent="0.25">
      <c r="A72" s="112">
        <f t="shared" si="6"/>
        <v>950.96582466567611</v>
      </c>
      <c r="B72" s="112">
        <v>677.81582466567613</v>
      </c>
      <c r="C72" s="113">
        <v>3.85662042116348</v>
      </c>
      <c r="F72" s="119"/>
      <c r="G72" s="114"/>
      <c r="H72" s="114"/>
    </row>
    <row r="73" spans="1:8" x14ac:dyDescent="0.25">
      <c r="A73" s="112">
        <f t="shared" si="6"/>
        <v>949.37882440200269</v>
      </c>
      <c r="B73" s="112">
        <v>676.22882440200272</v>
      </c>
      <c r="C73" s="113">
        <v>3.97621167375471</v>
      </c>
      <c r="F73" s="119"/>
      <c r="G73" s="114"/>
      <c r="H73" s="114"/>
    </row>
    <row r="74" spans="1:8" x14ac:dyDescent="0.25">
      <c r="A74" s="112">
        <f t="shared" si="6"/>
        <v>947.79711218067371</v>
      </c>
      <c r="B74" s="112">
        <v>674.64711218067373</v>
      </c>
      <c r="C74" s="113">
        <v>4.0995113721182701</v>
      </c>
      <c r="F74" s="119"/>
      <c r="G74" s="114"/>
      <c r="H74" s="114"/>
    </row>
    <row r="75" spans="1:8" x14ac:dyDescent="0.25">
      <c r="A75" s="112">
        <f t="shared" si="6"/>
        <v>946.74556213017763</v>
      </c>
      <c r="B75" s="112">
        <v>673.59556213017765</v>
      </c>
      <c r="C75" s="113">
        <v>4.2266345127087401</v>
      </c>
      <c r="F75" s="119"/>
      <c r="G75" s="114"/>
      <c r="H75" s="114"/>
    </row>
    <row r="76" spans="1:8" x14ac:dyDescent="0.25">
      <c r="A76" s="112">
        <f t="shared" si="6"/>
        <v>944.649446494465</v>
      </c>
      <c r="B76" s="112">
        <v>671.49944649446502</v>
      </c>
      <c r="C76" s="113">
        <v>4.35769965794481</v>
      </c>
      <c r="F76" s="119"/>
      <c r="G76" s="114"/>
      <c r="H76" s="114"/>
    </row>
    <row r="77" spans="1:8" x14ac:dyDescent="0.25">
      <c r="A77" s="112">
        <f t="shared" si="6"/>
        <v>942.56259204712808</v>
      </c>
      <c r="B77" s="112">
        <v>669.4125920471281</v>
      </c>
      <c r="C77" s="113">
        <v>4.6321487087472599</v>
      </c>
      <c r="F77" s="119"/>
      <c r="G77" s="114"/>
      <c r="H77" s="114"/>
    </row>
    <row r="78" spans="1:8" x14ac:dyDescent="0.25">
      <c r="A78" s="112">
        <f t="shared" si="6"/>
        <v>941.00349200514609</v>
      </c>
      <c r="B78" s="112">
        <v>667.85349200514611</v>
      </c>
      <c r="C78" s="113">
        <v>4.77578858142647</v>
      </c>
      <c r="F78" s="119"/>
      <c r="G78" s="114"/>
      <c r="H78" s="114"/>
    </row>
    <row r="79" spans="1:8" x14ac:dyDescent="0.25">
      <c r="A79" s="112">
        <f t="shared" si="6"/>
        <v>938.93269759765269</v>
      </c>
      <c r="B79" s="112">
        <v>665.78269759765271</v>
      </c>
      <c r="C79" s="113">
        <v>4.9238826317067401</v>
      </c>
      <c r="F79" s="119"/>
      <c r="G79" s="114"/>
      <c r="H79" s="114"/>
    </row>
    <row r="80" spans="1:8" x14ac:dyDescent="0.25">
      <c r="A80" s="112">
        <f t="shared" si="6"/>
        <v>937.38557305016468</v>
      </c>
      <c r="B80" s="112">
        <v>664.2355730501647</v>
      </c>
      <c r="C80" s="113">
        <v>4.9238826317067401</v>
      </c>
      <c r="F80" s="119"/>
      <c r="G80" s="114"/>
      <c r="H80" s="114"/>
    </row>
    <row r="81" spans="1:8" x14ac:dyDescent="0.25">
      <c r="A81" s="112">
        <f t="shared" si="6"/>
        <v>936.35698610095108</v>
      </c>
      <c r="B81" s="112">
        <v>663.2069861009511</v>
      </c>
      <c r="C81" s="113">
        <v>5.0765689806942298</v>
      </c>
      <c r="F81" s="119"/>
      <c r="G81" s="114"/>
      <c r="H81" s="114"/>
    </row>
    <row r="82" spans="1:8" x14ac:dyDescent="0.25">
      <c r="A82" s="112">
        <f t="shared" si="6"/>
        <v>934.30656934306569</v>
      </c>
      <c r="B82" s="112">
        <v>661.15656934306571</v>
      </c>
      <c r="C82" s="113">
        <v>5.2339900325393804</v>
      </c>
      <c r="F82" s="119"/>
      <c r="G82" s="114"/>
      <c r="H82" s="114"/>
    </row>
    <row r="83" spans="1:8" x14ac:dyDescent="0.25">
      <c r="A83" s="112">
        <f t="shared" si="6"/>
        <v>932.77464018946989</v>
      </c>
      <c r="B83" s="112">
        <v>659.62464018946991</v>
      </c>
      <c r="C83" s="113">
        <v>5.3962926072512998</v>
      </c>
      <c r="F83" s="119"/>
      <c r="G83" s="114"/>
      <c r="H83" s="114"/>
    </row>
    <row r="84" spans="1:8" x14ac:dyDescent="0.25">
      <c r="A84" s="112">
        <f t="shared" si="6"/>
        <v>931.24772644598045</v>
      </c>
      <c r="B84" s="112">
        <v>658.09772644598047</v>
      </c>
      <c r="C84" s="113">
        <v>5.3962926072512998</v>
      </c>
      <c r="F84" s="119"/>
      <c r="G84" s="114"/>
      <c r="H84" s="114"/>
    </row>
    <row r="85" spans="1:8" x14ac:dyDescent="0.25">
      <c r="A85" s="112">
        <f t="shared" si="6"/>
        <v>929.72580352278908</v>
      </c>
      <c r="B85" s="112">
        <v>656.5758035227891</v>
      </c>
      <c r="C85" s="113">
        <v>5.5636280776306597</v>
      </c>
      <c r="F85" s="119"/>
      <c r="G85" s="114"/>
      <c r="H85" s="114"/>
    </row>
    <row r="86" spans="1:8" x14ac:dyDescent="0.25">
      <c r="A86" s="112">
        <f t="shared" si="6"/>
        <v>928.20884699057285</v>
      </c>
      <c r="B86" s="112">
        <v>655.05884699057287</v>
      </c>
      <c r="C86" s="113">
        <v>5.9140268120041304</v>
      </c>
      <c r="F86" s="119"/>
      <c r="G86" s="114"/>
      <c r="H86" s="114"/>
    </row>
    <row r="87" spans="1:8" x14ac:dyDescent="0.25">
      <c r="A87" s="112">
        <f t="shared" si="6"/>
        <v>926.69683257918552</v>
      </c>
      <c r="B87" s="112">
        <v>653.54683257918555</v>
      </c>
      <c r="C87" s="113">
        <v>6.0974168781938296</v>
      </c>
      <c r="F87" s="119"/>
      <c r="G87" s="114"/>
      <c r="H87" s="114"/>
    </row>
    <row r="88" spans="1:8" x14ac:dyDescent="0.25">
      <c r="A88" s="112">
        <f t="shared" si="6"/>
        <v>925.18973617636436</v>
      </c>
      <c r="B88" s="112">
        <v>652.03973617636439</v>
      </c>
      <c r="C88" s="113">
        <v>6.0974168781938296</v>
      </c>
      <c r="F88" s="119"/>
      <c r="G88" s="114"/>
      <c r="H88" s="114"/>
    </row>
    <row r="89" spans="1:8" x14ac:dyDescent="0.25">
      <c r="A89" s="112">
        <f t="shared" si="6"/>
        <v>924.1877256317689</v>
      </c>
      <c r="B89" s="112">
        <v>651.03772563176892</v>
      </c>
      <c r="C89" s="113">
        <v>6.0974168781938296</v>
      </c>
      <c r="F89" s="119"/>
      <c r="G89" s="114"/>
      <c r="H89" s="114"/>
    </row>
    <row r="90" spans="1:8" x14ac:dyDescent="0.25">
      <c r="A90" s="112">
        <f t="shared" si="6"/>
        <v>922.68877275184718</v>
      </c>
      <c r="B90" s="112">
        <v>649.5387727518472</v>
      </c>
      <c r="C90" s="113">
        <v>6.4814337691964399</v>
      </c>
      <c r="F90" s="119"/>
      <c r="G90" s="114"/>
      <c r="H90" s="114"/>
    </row>
    <row r="91" spans="1:8" x14ac:dyDescent="0.25">
      <c r="A91" s="112">
        <f t="shared" si="6"/>
        <v>920.20129403306976</v>
      </c>
      <c r="B91" s="112">
        <v>647.05129403306978</v>
      </c>
      <c r="C91" s="113">
        <v>6.6824187504488801</v>
      </c>
      <c r="F91" s="119"/>
      <c r="G91" s="114"/>
      <c r="H91" s="114"/>
    </row>
    <row r="92" spans="1:8" x14ac:dyDescent="0.25">
      <c r="A92" s="112">
        <f t="shared" si="6"/>
        <v>918.7152341647228</v>
      </c>
      <c r="B92" s="112">
        <v>645.56523416472282</v>
      </c>
      <c r="C92" s="113">
        <v>6.88963614325215</v>
      </c>
      <c r="F92" s="119"/>
      <c r="G92" s="114"/>
      <c r="H92" s="114"/>
    </row>
    <row r="93" spans="1:8" x14ac:dyDescent="0.25">
      <c r="A93" s="112">
        <f t="shared" si="6"/>
        <v>917.23396632031518</v>
      </c>
      <c r="B93" s="112">
        <v>644.0839663203152</v>
      </c>
      <c r="C93" s="113">
        <v>7.1032792105729499</v>
      </c>
      <c r="F93" s="119"/>
      <c r="G93" s="114"/>
      <c r="H93" s="114"/>
    </row>
    <row r="94" spans="1:8" x14ac:dyDescent="0.25">
      <c r="A94" s="112">
        <f t="shared" si="6"/>
        <v>915.7574673582543</v>
      </c>
      <c r="B94" s="112">
        <v>642.60746735825433</v>
      </c>
      <c r="C94" s="113">
        <v>7.32354720833494</v>
      </c>
      <c r="F94" s="119"/>
      <c r="G94" s="114"/>
      <c r="H94" s="114"/>
    </row>
    <row r="95" spans="1:8" x14ac:dyDescent="0.25">
      <c r="A95" s="112">
        <f t="shared" si="6"/>
        <v>913.79618061752637</v>
      </c>
      <c r="B95" s="112">
        <v>640.6461806175264</v>
      </c>
      <c r="C95" s="113">
        <v>7.5506455712564398</v>
      </c>
      <c r="F95" s="119"/>
      <c r="G95" s="114"/>
      <c r="H95" s="114"/>
    </row>
    <row r="96" spans="1:8" x14ac:dyDescent="0.25">
      <c r="A96" s="112">
        <f t="shared" si="6"/>
        <v>911.84327693677653</v>
      </c>
      <c r="B96" s="112">
        <v>638.69327693677656</v>
      </c>
      <c r="C96" s="113">
        <v>7.7847861044506796</v>
      </c>
      <c r="F96" s="119"/>
      <c r="G96" s="114"/>
      <c r="H96" s="114"/>
    </row>
    <row r="97" spans="1:8" x14ac:dyDescent="0.25">
      <c r="A97" s="112">
        <f t="shared" si="6"/>
        <v>909.89870268349023</v>
      </c>
      <c r="B97" s="112">
        <v>636.74870268349025</v>
      </c>
      <c r="C97" s="113">
        <v>8.0261871809676304</v>
      </c>
      <c r="F97" s="119"/>
      <c r="G97" s="114"/>
      <c r="H97" s="114"/>
    </row>
    <row r="98" spans="1:8" x14ac:dyDescent="0.25">
      <c r="A98" s="112">
        <f t="shared" si="6"/>
        <v>907.96240468168116</v>
      </c>
      <c r="B98" s="112">
        <v>634.81240468168119</v>
      </c>
      <c r="C98" s="113">
        <v>8.27507394546131</v>
      </c>
      <c r="F98" s="119"/>
      <c r="G98" s="114"/>
      <c r="H98" s="114"/>
    </row>
    <row r="99" spans="1:8" x14ac:dyDescent="0.25">
      <c r="A99" s="112">
        <f t="shared" si="6"/>
        <v>906.03433020704301</v>
      </c>
      <c r="B99" s="112">
        <v>632.88433020704304</v>
      </c>
      <c r="C99" s="113">
        <v>8.5316785241728095</v>
      </c>
      <c r="F99" s="119"/>
      <c r="G99" s="114"/>
      <c r="H99" s="114"/>
    </row>
    <row r="100" spans="1:8" x14ac:dyDescent="0.25">
      <c r="A100" s="112">
        <f t="shared" si="6"/>
        <v>904.11442698216501</v>
      </c>
      <c r="B100" s="112">
        <v>630.96442698216504</v>
      </c>
      <c r="C100" s="113">
        <v>8.7962402414246608</v>
      </c>
      <c r="F100" s="119"/>
      <c r="G100" s="114"/>
      <c r="H100" s="114"/>
    </row>
    <row r="101" spans="1:8" x14ac:dyDescent="0.25">
      <c r="A101" s="112">
        <f t="shared" si="6"/>
        <v>902.20264317180613</v>
      </c>
      <c r="B101" s="112">
        <v>629.05264317180615</v>
      </c>
      <c r="C101" s="113">
        <v>9.06900584282862</v>
      </c>
      <c r="F101" s="119"/>
      <c r="G101" s="114"/>
      <c r="H101" s="114"/>
    </row>
    <row r="102" spans="1:8" x14ac:dyDescent="0.25">
      <c r="A102" s="112">
        <f t="shared" ref="A102:A118" si="8">B102+273.15</f>
        <v>900.7741027445461</v>
      </c>
      <c r="B102" s="112">
        <v>627.62410274454612</v>
      </c>
      <c r="C102" s="113">
        <v>9.6401741748976395</v>
      </c>
      <c r="F102" s="119"/>
      <c r="G102" s="114"/>
      <c r="H102" s="114"/>
    </row>
    <row r="103" spans="1:8" x14ac:dyDescent="0.25">
      <c r="A103" s="112">
        <f t="shared" si="8"/>
        <v>898.87640449438197</v>
      </c>
      <c r="B103" s="112">
        <v>625.726404494382</v>
      </c>
      <c r="C103" s="113">
        <v>9.9391096102978196</v>
      </c>
      <c r="F103" s="119"/>
      <c r="G103" s="114"/>
      <c r="H103" s="114"/>
    </row>
    <row r="104" spans="1:8" x14ac:dyDescent="0.25">
      <c r="A104" s="112">
        <f t="shared" si="8"/>
        <v>896.98668535388936</v>
      </c>
      <c r="B104" s="112">
        <v>623.83668535388938</v>
      </c>
      <c r="C104" s="113">
        <v>10.247314836151601</v>
      </c>
      <c r="F104" s="119"/>
      <c r="G104" s="114"/>
      <c r="H104" s="119"/>
    </row>
    <row r="105" spans="1:8" x14ac:dyDescent="0.25">
      <c r="A105" s="112">
        <f t="shared" si="8"/>
        <v>894.63568058710473</v>
      </c>
      <c r="B105" s="112">
        <v>621.48568058710475</v>
      </c>
      <c r="C105" s="113">
        <v>10.5650773025398</v>
      </c>
      <c r="F105" s="119"/>
      <c r="G105" s="114"/>
    </row>
    <row r="106" spans="1:8" x14ac:dyDescent="0.25">
      <c r="A106" s="112">
        <f t="shared" si="8"/>
        <v>893.23098394975568</v>
      </c>
      <c r="B106" s="112">
        <v>620.0809839497557</v>
      </c>
      <c r="C106" s="113">
        <v>10.8926933731804</v>
      </c>
      <c r="F106" s="119"/>
      <c r="G106" s="114"/>
    </row>
    <row r="107" spans="1:8" x14ac:dyDescent="0.25">
      <c r="A107" s="112">
        <f t="shared" si="8"/>
        <v>891.83069151715722</v>
      </c>
      <c r="B107" s="112">
        <v>618.68069151715724</v>
      </c>
      <c r="C107" s="113">
        <v>11.2304686018346</v>
      </c>
      <c r="F107" s="119"/>
      <c r="G107" s="114"/>
    </row>
    <row r="108" spans="1:8" x14ac:dyDescent="0.25">
      <c r="A108" s="112">
        <f t="shared" si="8"/>
        <v>889.97045019989582</v>
      </c>
      <c r="B108" s="112">
        <v>616.82045019989584</v>
      </c>
      <c r="C108" s="113">
        <v>11.578718017283901</v>
      </c>
      <c r="F108" s="119"/>
      <c r="G108" s="114"/>
    </row>
    <row r="109" spans="1:8" x14ac:dyDescent="0.25">
      <c r="A109" s="112">
        <f t="shared" si="8"/>
        <v>888.11795316565485</v>
      </c>
      <c r="B109" s="112">
        <v>614.96795316565488</v>
      </c>
      <c r="C109" s="113">
        <v>11.937766417144299</v>
      </c>
      <c r="F109" s="119"/>
      <c r="G109" s="114"/>
    </row>
    <row r="110" spans="1:8" x14ac:dyDescent="0.25">
      <c r="A110" s="112">
        <f t="shared" si="8"/>
        <v>886.2731521550977</v>
      </c>
      <c r="B110" s="112">
        <v>613.12315215509773</v>
      </c>
      <c r="C110" s="113">
        <v>12.3079486707915</v>
      </c>
      <c r="F110" s="119"/>
      <c r="G110" s="114"/>
    </row>
    <row r="111" spans="1:8" x14ac:dyDescent="0.25">
      <c r="A111" s="112">
        <f t="shared" si="8"/>
        <v>884.4359993090344</v>
      </c>
      <c r="B111" s="112">
        <v>611.28599930903442</v>
      </c>
      <c r="C111" s="113">
        <v>12.6896100316792</v>
      </c>
      <c r="F111" s="119"/>
      <c r="G111" s="114"/>
    </row>
    <row r="112" spans="1:8" x14ac:dyDescent="0.25">
      <c r="A112" s="112">
        <f t="shared" si="8"/>
        <v>882.60644716428203</v>
      </c>
      <c r="B112" s="112">
        <v>609.45644716428205</v>
      </c>
      <c r="C112" s="113">
        <v>13.4888049513883</v>
      </c>
      <c r="F112" s="119"/>
      <c r="G112" s="114"/>
    </row>
    <row r="113" spans="1:7" x14ac:dyDescent="0.25">
      <c r="A113" s="112">
        <f t="shared" si="8"/>
        <v>880.78444864957862</v>
      </c>
      <c r="B113" s="112">
        <v>607.63444864957864</v>
      </c>
      <c r="C113" s="113">
        <v>13.4888049513883</v>
      </c>
      <c r="F113" s="119"/>
      <c r="G113" s="114"/>
    </row>
    <row r="114" spans="1:7" x14ac:dyDescent="0.25">
      <c r="A114" s="112">
        <f t="shared" si="8"/>
        <v>879.4228787358295</v>
      </c>
      <c r="B114" s="112">
        <v>606.27287873582952</v>
      </c>
      <c r="C114" s="113">
        <v>13.907083885774201</v>
      </c>
      <c r="F114" s="119"/>
      <c r="G114" s="114"/>
    </row>
    <row r="115" spans="1:7" x14ac:dyDescent="0.25">
      <c r="A115" s="112">
        <f t="shared" si="8"/>
        <v>877.61398697291736</v>
      </c>
      <c r="B115" s="112">
        <v>604.46398697291738</v>
      </c>
      <c r="C115" s="113">
        <v>14.338333373710499</v>
      </c>
      <c r="F115" s="119"/>
      <c r="G115" s="114"/>
    </row>
    <row r="116" spans="1:7" x14ac:dyDescent="0.25">
      <c r="A116" s="112">
        <f t="shared" si="8"/>
        <v>876.71232876712327</v>
      </c>
      <c r="B116" s="112">
        <v>603.56232876712329</v>
      </c>
      <c r="C116" s="113">
        <v>15.2413653156501</v>
      </c>
      <c r="F116" s="119"/>
      <c r="G116" s="114"/>
    </row>
    <row r="117" spans="1:7" x14ac:dyDescent="0.25">
      <c r="A117" s="112">
        <f t="shared" si="8"/>
        <v>874.91455912508536</v>
      </c>
      <c r="B117" s="112">
        <v>601.76455912508538</v>
      </c>
      <c r="C117" s="113">
        <v>15.2413653156501</v>
      </c>
      <c r="F117" s="119"/>
      <c r="G117" s="114"/>
    </row>
    <row r="118" spans="1:7" x14ac:dyDescent="0.25">
      <c r="A118" s="112">
        <f t="shared" si="8"/>
        <v>873.1241473396999</v>
      </c>
      <c r="B118" s="112">
        <v>599.97414733969993</v>
      </c>
      <c r="C118" s="113">
        <v>15.7139899896515</v>
      </c>
      <c r="F118" s="119"/>
      <c r="G118" s="114"/>
    </row>
    <row r="119" spans="1:7" x14ac:dyDescent="0.25">
      <c r="A119" s="112"/>
      <c r="B119" s="112"/>
      <c r="C119" s="114"/>
      <c r="F119" s="119"/>
      <c r="G119" s="114"/>
    </row>
    <row r="120" spans="1:7" x14ac:dyDescent="0.25">
      <c r="F120" s="119"/>
      <c r="G120" s="114"/>
    </row>
    <row r="121" spans="1:7" x14ac:dyDescent="0.25">
      <c r="F121" s="119"/>
      <c r="G121" s="114"/>
    </row>
    <row r="122" spans="1:7" x14ac:dyDescent="0.25">
      <c r="F122" s="119"/>
      <c r="G122" s="114"/>
    </row>
    <row r="123" spans="1:7" x14ac:dyDescent="0.25">
      <c r="F123" s="119"/>
      <c r="G123" s="114"/>
    </row>
    <row r="124" spans="1:7" x14ac:dyDescent="0.25">
      <c r="F124" s="119"/>
      <c r="G124" s="114"/>
    </row>
    <row r="125" spans="1:7" x14ac:dyDescent="0.25">
      <c r="F125" s="119"/>
      <c r="G125" s="114"/>
    </row>
    <row r="126" spans="1:7" x14ac:dyDescent="0.25">
      <c r="F126" s="119"/>
      <c r="G126" s="114"/>
    </row>
    <row r="127" spans="1:7" x14ac:dyDescent="0.25">
      <c r="F127" s="119"/>
      <c r="G127" s="114"/>
    </row>
    <row r="128" spans="1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  <row r="134" spans="6:7" x14ac:dyDescent="0.25">
      <c r="F134" s="119"/>
      <c r="G134" s="114"/>
    </row>
    <row r="135" spans="6:7" x14ac:dyDescent="0.25">
      <c r="F135" s="119"/>
      <c r="G135" s="114"/>
    </row>
    <row r="136" spans="6:7" x14ac:dyDescent="0.25">
      <c r="F136" s="119"/>
      <c r="G136" s="114"/>
    </row>
    <row r="137" spans="6:7" x14ac:dyDescent="0.25">
      <c r="F137" s="119"/>
      <c r="G137" s="114"/>
    </row>
    <row r="138" spans="6:7" x14ac:dyDescent="0.25">
      <c r="F138" s="119"/>
      <c r="G138" s="114"/>
    </row>
    <row r="139" spans="6:7" x14ac:dyDescent="0.25">
      <c r="F139" s="119"/>
      <c r="G139" s="114"/>
    </row>
    <row r="140" spans="6:7" x14ac:dyDescent="0.25">
      <c r="F140" s="119"/>
      <c r="G140" s="114"/>
    </row>
  </sheetData>
  <sortState ref="J40:M121">
    <sortCondition descending="1" ref="J40"/>
  </sortState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129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45" x14ac:dyDescent="0.25">
      <c r="A5" s="136" t="s">
        <v>16</v>
      </c>
      <c r="B5" s="115" t="s">
        <v>14</v>
      </c>
      <c r="C5" s="142" t="s">
        <v>51</v>
      </c>
      <c r="D5" s="137" t="s">
        <v>9</v>
      </c>
      <c r="H5" s="35" t="s">
        <v>125</v>
      </c>
    </row>
    <row r="6" spans="1:19" x14ac:dyDescent="0.25">
      <c r="A6" s="138">
        <f>B6+273.15</f>
        <v>973.15</v>
      </c>
      <c r="B6" s="148">
        <v>700</v>
      </c>
      <c r="C6" s="144">
        <f>'SSC,Fullarton (Ionics)'!D17</f>
        <v>1.3316803762699786E-5</v>
      </c>
      <c r="D6" s="153">
        <f>C6*H31</f>
        <v>1.6232137607984018E-3</v>
      </c>
    </row>
    <row r="7" spans="1:19" x14ac:dyDescent="0.25">
      <c r="A7" s="138">
        <f t="shared" ref="A7:A10" si="0">B7+273.15</f>
        <v>923.15</v>
      </c>
      <c r="B7" s="148">
        <v>650</v>
      </c>
      <c r="C7" s="144">
        <f>'SSC,Fullarton (Ionics)'!D19</f>
        <v>7.7357675151609995E-6</v>
      </c>
      <c r="D7" s="153">
        <f>C7*H32</f>
        <v>1.209728695206673E-3</v>
      </c>
      <c r="H7" s="111" t="s">
        <v>18</v>
      </c>
    </row>
    <row r="8" spans="1:19" ht="15.75" x14ac:dyDescent="0.25">
      <c r="A8" s="138">
        <f t="shared" si="0"/>
        <v>873.15</v>
      </c>
      <c r="B8" s="148">
        <v>600</v>
      </c>
      <c r="C8" s="144">
        <f>'SSC,Fullarton (Ionics)'!D21</f>
        <v>3.6610022854654276E-6</v>
      </c>
      <c r="D8" s="153">
        <f>C8*H33</f>
        <v>1.0199956955636396E-3</v>
      </c>
      <c r="G8" s="111">
        <v>1</v>
      </c>
      <c r="H8" s="35" t="s">
        <v>115</v>
      </c>
    </row>
    <row r="9" spans="1:19" ht="15.75" x14ac:dyDescent="0.25">
      <c r="A9" s="138">
        <f t="shared" si="0"/>
        <v>823.15</v>
      </c>
      <c r="B9" s="148">
        <v>550</v>
      </c>
      <c r="C9" s="144">
        <f>'SSC,Fullarton (Ionics)'!D22</f>
        <v>2.2081326658641116E-6</v>
      </c>
      <c r="D9" s="153">
        <f>C9*H34</f>
        <v>6.9614185612906743E-4</v>
      </c>
      <c r="G9" s="111">
        <v>2</v>
      </c>
      <c r="H9" s="35" t="s">
        <v>123</v>
      </c>
    </row>
    <row r="10" spans="1:19" ht="15.75" thickBot="1" x14ac:dyDescent="0.3">
      <c r="A10" s="141">
        <f t="shared" si="0"/>
        <v>773.15</v>
      </c>
      <c r="B10" s="149">
        <v>500</v>
      </c>
      <c r="C10" s="129">
        <f>'SSC,Fullarton (Ionics)'!D23</f>
        <v>1.0798945239871815E-6</v>
      </c>
      <c r="D10" s="154">
        <f>C10*H35</f>
        <v>1.4479433872963045E-4</v>
      </c>
    </row>
    <row r="11" spans="1:19" ht="19.5" thickBot="1" x14ac:dyDescent="0.3">
      <c r="A11" s="112"/>
      <c r="B11" s="117"/>
      <c r="D11" s="119"/>
      <c r="H11" s="169" t="s">
        <v>184</v>
      </c>
    </row>
    <row r="12" spans="1:19" ht="15.75" x14ac:dyDescent="0.25">
      <c r="A12" s="133" t="s">
        <v>13</v>
      </c>
      <c r="B12" s="134"/>
      <c r="C12" s="134"/>
      <c r="D12" s="135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6" t="s">
        <v>16</v>
      </c>
      <c r="B13" s="115" t="s">
        <v>14</v>
      </c>
      <c r="C13" s="115"/>
      <c r="D13" s="137" t="s">
        <v>15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>B14+273.15</f>
        <v>973.15</v>
      </c>
      <c r="B14" s="148">
        <v>700</v>
      </c>
      <c r="C14" s="140"/>
      <c r="D14" s="157">
        <f>D6/H31</f>
        <v>1.3316803762699788E-5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ref="A15:A18" si="1">B15+273.15</f>
        <v>923.15</v>
      </c>
      <c r="B15" s="148">
        <v>650</v>
      </c>
      <c r="C15" s="140"/>
      <c r="D15" s="157">
        <f>D7/H32</f>
        <v>7.7357675151609995E-6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1"/>
        <v>873.15</v>
      </c>
      <c r="B16" s="148">
        <v>600</v>
      </c>
      <c r="C16" s="140"/>
      <c r="D16" s="157">
        <f>D8/H33</f>
        <v>3.661002285465428E-6</v>
      </c>
    </row>
    <row r="17" spans="1:12" x14ac:dyDescent="0.25">
      <c r="A17" s="138">
        <f t="shared" si="1"/>
        <v>823.15</v>
      </c>
      <c r="B17" s="148">
        <v>550</v>
      </c>
      <c r="C17" s="140"/>
      <c r="D17" s="157">
        <f>D9/H34</f>
        <v>2.2081326658641116E-6</v>
      </c>
    </row>
    <row r="18" spans="1:12" ht="15.75" thickBot="1" x14ac:dyDescent="0.3">
      <c r="A18" s="141">
        <f t="shared" si="1"/>
        <v>773.15</v>
      </c>
      <c r="B18" s="149">
        <v>500</v>
      </c>
      <c r="C18" s="130"/>
      <c r="D18" s="158">
        <f>D10/H35</f>
        <v>1.0798945239871815E-6</v>
      </c>
    </row>
    <row r="19" spans="1:12" ht="15.75" thickBot="1" x14ac:dyDescent="0.3"/>
    <row r="20" spans="1:12" ht="15.75" x14ac:dyDescent="0.25">
      <c r="A20" s="133" t="s">
        <v>19</v>
      </c>
      <c r="B20" s="134"/>
      <c r="C20" s="134"/>
      <c r="D20" s="135"/>
      <c r="G20" s="119"/>
      <c r="H20" s="119"/>
    </row>
    <row r="21" spans="1:12" ht="47.25" x14ac:dyDescent="0.25">
      <c r="A21" s="136" t="s">
        <v>16</v>
      </c>
      <c r="B21" s="115" t="s">
        <v>14</v>
      </c>
      <c r="C21" s="142" t="s">
        <v>111</v>
      </c>
      <c r="D21" s="143" t="s">
        <v>35</v>
      </c>
      <c r="G21" s="119"/>
      <c r="H21" s="114"/>
    </row>
    <row r="22" spans="1:12" x14ac:dyDescent="0.25">
      <c r="A22" s="138">
        <f>B22+273.15</f>
        <v>973.15</v>
      </c>
      <c r="B22" s="148">
        <v>700</v>
      </c>
      <c r="C22" s="140">
        <f>'SSC,Yeh (Solid State Ionics)'!J40</f>
        <v>0.12487101628399157</v>
      </c>
      <c r="D22" s="157">
        <f>($C$2*$A$2*A22)/(4*($E$2^2)*D14*C22)</f>
        <v>0.13060367447525884</v>
      </c>
      <c r="G22" s="119"/>
      <c r="H22" s="114"/>
      <c r="K22" s="118"/>
      <c r="L22" s="118"/>
    </row>
    <row r="23" spans="1:12" x14ac:dyDescent="0.25">
      <c r="A23" s="138">
        <f t="shared" ref="A23:A26" si="2">B23+273.15</f>
        <v>923.15</v>
      </c>
      <c r="B23" s="148">
        <v>650</v>
      </c>
      <c r="C23" s="140">
        <f>'SSC,Yeh (Solid State Ionics)'!J42</f>
        <v>0.1080162128490471</v>
      </c>
      <c r="D23" s="157">
        <f>($C$2*$A$2*A23)/(4*($E$2^2)*D15*C23)</f>
        <v>0.24655690706269393</v>
      </c>
      <c r="G23" s="119"/>
      <c r="H23" s="114"/>
      <c r="J23" s="113"/>
      <c r="K23" s="113"/>
      <c r="L23" s="113"/>
    </row>
    <row r="24" spans="1:12" x14ac:dyDescent="0.25">
      <c r="A24" s="138">
        <f t="shared" si="2"/>
        <v>873.15</v>
      </c>
      <c r="B24" s="148">
        <v>600</v>
      </c>
      <c r="C24" s="140">
        <f>'SSC,Yeh (Solid State Ionics)'!J44</f>
        <v>9.5037629333963661E-2</v>
      </c>
      <c r="D24" s="157">
        <f>($C$2*$A$2*A24)/(4*($E$2^2)*D16*C24)</f>
        <v>0.56005479381305789</v>
      </c>
      <c r="G24" s="119"/>
      <c r="H24" s="114"/>
      <c r="J24" s="113"/>
      <c r="K24" s="113"/>
      <c r="L24" s="113"/>
    </row>
    <row r="25" spans="1:12" x14ac:dyDescent="0.25">
      <c r="A25" s="138">
        <f t="shared" si="2"/>
        <v>823.15</v>
      </c>
      <c r="B25" s="148">
        <v>550</v>
      </c>
      <c r="C25" s="140">
        <f>'SSC,Yeh (Solid State Ionics)'!J45</f>
        <v>7.6112589010010057E-2</v>
      </c>
      <c r="D25" s="157">
        <f>($C$2*$A$2*A25)/(4*($E$2^2)*D17*C25)</f>
        <v>1.0930362873632409</v>
      </c>
      <c r="G25" s="119"/>
      <c r="H25" s="114"/>
      <c r="J25" s="113"/>
      <c r="K25" s="113"/>
      <c r="L25" s="113"/>
    </row>
    <row r="26" spans="1:12" ht="15.75" thickBot="1" x14ac:dyDescent="0.3">
      <c r="A26" s="141">
        <f t="shared" si="2"/>
        <v>773.15</v>
      </c>
      <c r="B26" s="149">
        <v>500</v>
      </c>
      <c r="C26" s="130">
        <f>'SSC,Yeh (Solid State Ionics)'!J46</f>
        <v>6.7873276746155939E-2</v>
      </c>
      <c r="D26" s="158">
        <f>($C$2*$A$2*A26)/(4*($E$2^2)*D18*C26)</f>
        <v>2.3540780620659474</v>
      </c>
      <c r="G26" s="119"/>
      <c r="H26" s="114"/>
    </row>
    <row r="27" spans="1:12" x14ac:dyDescent="0.25">
      <c r="A27" s="112"/>
      <c r="B27" s="117"/>
      <c r="C27" s="113"/>
      <c r="D27" s="114"/>
      <c r="G27" s="119"/>
      <c r="H27" s="114"/>
    </row>
    <row r="28" spans="1:12" s="126" customFormat="1" ht="15.75" thickBot="1" x14ac:dyDescent="0.3">
      <c r="D28" s="129"/>
      <c r="G28" s="128"/>
      <c r="H28" s="129"/>
    </row>
    <row r="29" spans="1:12" ht="60" x14ac:dyDescent="0.25">
      <c r="A29" s="118" t="s">
        <v>26</v>
      </c>
      <c r="D29" s="114"/>
      <c r="G29" s="119"/>
      <c r="H29" s="114"/>
    </row>
    <row r="30" spans="1:12" ht="45" x14ac:dyDescent="0.25">
      <c r="A30" s="111" t="s">
        <v>16</v>
      </c>
      <c r="B30" s="111" t="s">
        <v>14</v>
      </c>
      <c r="C30" s="111" t="s">
        <v>119</v>
      </c>
      <c r="E30" s="111" t="s">
        <v>16</v>
      </c>
      <c r="F30" s="111" t="s">
        <v>14</v>
      </c>
      <c r="G30" s="118" t="s">
        <v>127</v>
      </c>
      <c r="H30" s="118" t="s">
        <v>40</v>
      </c>
      <c r="I30" s="119"/>
      <c r="J30" s="118"/>
      <c r="K30" s="118"/>
    </row>
    <row r="31" spans="1:12" x14ac:dyDescent="0.25">
      <c r="A31" s="112">
        <f>B31+273.15</f>
        <v>1153.1500000000001</v>
      </c>
      <c r="B31" s="111">
        <v>880</v>
      </c>
      <c r="C31" s="113">
        <f>(2*10^-7)*B31-(8*10^-5)</f>
        <v>9.5999999999999989E-5</v>
      </c>
      <c r="D31" s="114"/>
      <c r="E31" s="111">
        <f>F31+273.15</f>
        <v>973.15</v>
      </c>
      <c r="F31" s="119">
        <v>700</v>
      </c>
      <c r="G31" s="114">
        <f>'SSC,Yeh (Solid State Ionics)'!F60</f>
        <v>2.9780426229767473E-7</v>
      </c>
      <c r="H31" s="114">
        <f>C33/G31</f>
        <v>121.89214392007523</v>
      </c>
      <c r="K31" s="114"/>
    </row>
    <row r="32" spans="1:12" x14ac:dyDescent="0.25">
      <c r="A32" s="112">
        <f t="shared" ref="A32:A37" si="3">B32+273.15</f>
        <v>1063.1500000000001</v>
      </c>
      <c r="B32" s="111">
        <v>790</v>
      </c>
      <c r="C32" s="113">
        <f>(2*10^-7)*B32-(8*10^-5)</f>
        <v>7.7999999999999985E-5</v>
      </c>
      <c r="D32" s="114"/>
      <c r="E32" s="111">
        <f t="shared" ref="E32:E35" si="4">F32+273.15</f>
        <v>923.15</v>
      </c>
      <c r="F32" s="117">
        <v>650</v>
      </c>
      <c r="G32" s="113">
        <f>'SSC,Yeh (Solid State Ionics)'!F69</f>
        <v>1.4643702906205951E-7</v>
      </c>
      <c r="H32" s="114">
        <f t="shared" ref="H32:H35" si="5">C34/G32</f>
        <v>156.38121140995739</v>
      </c>
      <c r="K32" s="114"/>
    </row>
    <row r="33" spans="1:11" x14ac:dyDescent="0.25">
      <c r="A33" s="112">
        <f t="shared" si="3"/>
        <v>973.15</v>
      </c>
      <c r="B33" s="111">
        <v>700</v>
      </c>
      <c r="C33" s="113">
        <v>3.6300000000000001E-5</v>
      </c>
      <c r="D33" s="114"/>
      <c r="E33" s="111">
        <f t="shared" si="4"/>
        <v>873.15</v>
      </c>
      <c r="F33" s="117">
        <v>600</v>
      </c>
      <c r="G33" s="113">
        <f>'SSC,Yeh (Solid State Ionics)'!F78</f>
        <v>6.2452655480960292E-8</v>
      </c>
      <c r="H33" s="114">
        <f t="shared" si="5"/>
        <v>278.61105129956678</v>
      </c>
      <c r="K33" s="114"/>
    </row>
    <row r="34" spans="1:11" x14ac:dyDescent="0.25">
      <c r="A34" s="112">
        <f t="shared" si="3"/>
        <v>923.15</v>
      </c>
      <c r="B34" s="111">
        <v>650</v>
      </c>
      <c r="C34" s="113">
        <v>2.2900000000000001E-5</v>
      </c>
      <c r="D34" s="114"/>
      <c r="E34" s="111">
        <f t="shared" si="4"/>
        <v>823.15</v>
      </c>
      <c r="F34" s="117">
        <v>550</v>
      </c>
      <c r="G34" s="113">
        <f>'SSC,Yeh (Solid State Ionics)'!F80</f>
        <v>2.9752965180081382E-8</v>
      </c>
      <c r="H34" s="114">
        <f t="shared" si="5"/>
        <v>315.2626954398346</v>
      </c>
      <c r="K34" s="114"/>
    </row>
    <row r="35" spans="1:11" x14ac:dyDescent="0.25">
      <c r="A35" s="112">
        <f>B35+273.15</f>
        <v>873.15</v>
      </c>
      <c r="B35" s="111">
        <v>600</v>
      </c>
      <c r="C35" s="113">
        <v>1.7399999999999999E-5</v>
      </c>
      <c r="D35" s="114"/>
      <c r="E35" s="111">
        <f t="shared" si="4"/>
        <v>773.15</v>
      </c>
      <c r="F35" s="117">
        <v>500</v>
      </c>
      <c r="G35" s="113">
        <f>'SSC,Yeh (Solid State Ionics)'!F81</f>
        <v>1.1634677655220109E-8</v>
      </c>
      <c r="H35" s="114">
        <f t="shared" si="5"/>
        <v>134.08192699692697</v>
      </c>
      <c r="K35" s="114"/>
    </row>
    <row r="36" spans="1:11" x14ac:dyDescent="0.25">
      <c r="A36" s="112">
        <f t="shared" si="3"/>
        <v>823.15</v>
      </c>
      <c r="B36" s="111">
        <v>550</v>
      </c>
      <c r="C36" s="113">
        <v>9.38E-6</v>
      </c>
      <c r="D36" s="114"/>
      <c r="G36" s="114"/>
      <c r="H36" s="117"/>
      <c r="I36" s="119"/>
      <c r="K36" s="114"/>
    </row>
    <row r="37" spans="1:11" x14ac:dyDescent="0.25">
      <c r="A37" s="112">
        <f t="shared" si="3"/>
        <v>773.15</v>
      </c>
      <c r="B37" s="111">
        <v>500</v>
      </c>
      <c r="C37" s="113">
        <f>0.00000156</f>
        <v>1.5600000000000001E-6</v>
      </c>
      <c r="D37" s="114"/>
      <c r="F37" s="113"/>
      <c r="G37" s="114"/>
      <c r="H37" s="117"/>
      <c r="I37" s="119"/>
      <c r="J37" s="114"/>
      <c r="K37" s="114"/>
    </row>
    <row r="38" spans="1:11" x14ac:dyDescent="0.25">
      <c r="A38" s="112"/>
      <c r="B38" s="112"/>
      <c r="C38" s="114"/>
      <c r="D38" s="114"/>
      <c r="F38" s="113"/>
      <c r="G38" s="114"/>
      <c r="H38" s="117"/>
      <c r="I38" s="119"/>
      <c r="J38" s="114"/>
    </row>
    <row r="39" spans="1:11" x14ac:dyDescent="0.25">
      <c r="A39" s="112"/>
      <c r="B39" s="112"/>
      <c r="C39" s="114"/>
      <c r="D39" s="114"/>
      <c r="F39" s="113"/>
      <c r="G39" s="114"/>
      <c r="H39" s="117"/>
      <c r="I39" s="119"/>
      <c r="J39" s="114"/>
    </row>
    <row r="40" spans="1:11" x14ac:dyDescent="0.25">
      <c r="A40" s="112"/>
      <c r="B40" s="112"/>
      <c r="C40" s="113"/>
      <c r="D40" s="114"/>
      <c r="F40" s="113"/>
      <c r="H40" s="117"/>
      <c r="I40" s="119"/>
      <c r="J40" s="114"/>
    </row>
    <row r="41" spans="1:11" x14ac:dyDescent="0.25">
      <c r="A41" s="112"/>
      <c r="B41" s="112"/>
      <c r="C41" s="113"/>
      <c r="D41" s="114"/>
      <c r="F41" s="113"/>
      <c r="H41" s="117"/>
      <c r="I41" s="119"/>
      <c r="J41" s="114"/>
    </row>
    <row r="42" spans="1:11" x14ac:dyDescent="0.25">
      <c r="A42" s="112"/>
      <c r="B42" s="112"/>
      <c r="C42" s="113"/>
      <c r="D42" s="114"/>
      <c r="F42" s="113"/>
      <c r="H42" s="117"/>
      <c r="J42" s="114"/>
    </row>
    <row r="43" spans="1:11" x14ac:dyDescent="0.25">
      <c r="A43" s="112"/>
      <c r="B43" s="112"/>
      <c r="C43" s="113"/>
      <c r="D43" s="114"/>
      <c r="F43" s="113"/>
      <c r="G43" s="114"/>
      <c r="H43" s="117"/>
      <c r="J43" s="114"/>
    </row>
    <row r="44" spans="1:11" x14ac:dyDescent="0.25">
      <c r="A44" s="112"/>
      <c r="B44" s="112"/>
      <c r="C44" s="113"/>
      <c r="D44" s="114"/>
      <c r="F44" s="113"/>
      <c r="G44" s="114"/>
      <c r="H44" s="114"/>
    </row>
    <row r="45" spans="1:11" x14ac:dyDescent="0.25">
      <c r="A45" s="112"/>
      <c r="B45" s="112"/>
      <c r="C45" s="113"/>
      <c r="D45" s="114"/>
      <c r="F45" s="113"/>
      <c r="G45" s="114"/>
      <c r="H45" s="114"/>
    </row>
    <row r="46" spans="1:11" x14ac:dyDescent="0.25">
      <c r="A46" s="112"/>
      <c r="B46" s="112"/>
      <c r="C46" s="113"/>
      <c r="D46" s="114"/>
      <c r="F46" s="113"/>
      <c r="G46" s="114"/>
      <c r="H46" s="114"/>
    </row>
    <row r="47" spans="1:11" x14ac:dyDescent="0.25">
      <c r="A47" s="112"/>
      <c r="B47" s="112"/>
      <c r="C47" s="113"/>
      <c r="D47" s="114"/>
      <c r="F47" s="113"/>
      <c r="G47" s="114"/>
    </row>
    <row r="48" spans="1:11" x14ac:dyDescent="0.25">
      <c r="A48" s="112"/>
      <c r="B48" s="112"/>
      <c r="C48" s="113"/>
      <c r="D48" s="114"/>
      <c r="F48" s="113"/>
      <c r="G48" s="114"/>
    </row>
    <row r="49" spans="1:11" x14ac:dyDescent="0.25">
      <c r="A49" s="112"/>
      <c r="B49" s="117"/>
      <c r="C49" s="113"/>
      <c r="D49" s="114"/>
      <c r="F49" s="113"/>
      <c r="G49" s="114"/>
    </row>
    <row r="50" spans="1:11" x14ac:dyDescent="0.25">
      <c r="A50" s="112"/>
      <c r="B50" s="117"/>
      <c r="C50" s="113"/>
      <c r="D50" s="114"/>
      <c r="F50" s="113"/>
      <c r="G50" s="114"/>
    </row>
    <row r="51" spans="1:11" x14ac:dyDescent="0.25">
      <c r="A51" s="112"/>
      <c r="B51" s="117"/>
      <c r="C51" s="113"/>
      <c r="D51" s="114"/>
      <c r="F51" s="113"/>
      <c r="G51" s="114"/>
    </row>
    <row r="52" spans="1:11" x14ac:dyDescent="0.25">
      <c r="A52" s="112"/>
      <c r="B52" s="117"/>
      <c r="C52" s="113"/>
      <c r="D52" s="114"/>
      <c r="F52" s="113"/>
      <c r="G52" s="114"/>
    </row>
    <row r="53" spans="1:11" x14ac:dyDescent="0.25">
      <c r="A53" s="112"/>
      <c r="B53" s="117"/>
      <c r="C53" s="113"/>
      <c r="D53" s="114"/>
      <c r="F53" s="113"/>
      <c r="G53" s="114"/>
    </row>
    <row r="54" spans="1:11" x14ac:dyDescent="0.25">
      <c r="A54" s="112"/>
      <c r="B54" s="117"/>
      <c r="C54" s="113"/>
      <c r="D54" s="114"/>
      <c r="F54" s="113"/>
      <c r="G54" s="114"/>
    </row>
    <row r="55" spans="1:11" x14ac:dyDescent="0.25">
      <c r="A55" s="112"/>
      <c r="B55" s="117"/>
      <c r="C55" s="113"/>
      <c r="D55" s="114"/>
      <c r="F55" s="113"/>
      <c r="G55" s="114"/>
    </row>
    <row r="56" spans="1:11" x14ac:dyDescent="0.25">
      <c r="A56" s="112"/>
      <c r="B56" s="117"/>
      <c r="C56" s="113"/>
      <c r="D56" s="114"/>
      <c r="F56" s="113"/>
      <c r="G56" s="114"/>
    </row>
    <row r="57" spans="1:11" x14ac:dyDescent="0.25">
      <c r="A57" s="112"/>
      <c r="B57" s="117"/>
      <c r="C57" s="113"/>
      <c r="D57" s="114"/>
      <c r="F57" s="113"/>
      <c r="G57" s="114"/>
    </row>
    <row r="58" spans="1:11" x14ac:dyDescent="0.25">
      <c r="A58" s="112"/>
      <c r="B58" s="117"/>
      <c r="C58" s="113"/>
      <c r="D58" s="114"/>
      <c r="F58" s="113"/>
      <c r="G58" s="114"/>
    </row>
    <row r="59" spans="1:11" x14ac:dyDescent="0.25">
      <c r="A59" s="112"/>
      <c r="B59" s="117"/>
      <c r="C59" s="113"/>
      <c r="D59" s="114"/>
      <c r="F59" s="113"/>
      <c r="G59" s="114"/>
      <c r="H59" s="114"/>
    </row>
    <row r="60" spans="1:11" x14ac:dyDescent="0.25">
      <c r="A60" s="112"/>
      <c r="B60" s="117"/>
      <c r="C60" s="113"/>
      <c r="D60" s="114"/>
      <c r="F60" s="113"/>
      <c r="G60" s="114"/>
      <c r="H60" s="119"/>
      <c r="I60" s="119"/>
      <c r="J60" s="119"/>
      <c r="K60" s="119"/>
    </row>
    <row r="61" spans="1:11" x14ac:dyDescent="0.25">
      <c r="A61" s="112"/>
      <c r="B61" s="117"/>
      <c r="C61" s="113"/>
      <c r="D61" s="114"/>
      <c r="F61" s="113"/>
      <c r="G61" s="114"/>
      <c r="H61" s="117"/>
      <c r="I61" s="112"/>
      <c r="J61" s="113"/>
      <c r="K61" s="113"/>
    </row>
    <row r="62" spans="1:11" x14ac:dyDescent="0.25">
      <c r="A62" s="112"/>
      <c r="B62" s="117"/>
      <c r="C62" s="113"/>
      <c r="D62" s="114"/>
      <c r="F62" s="113"/>
      <c r="G62" s="114"/>
      <c r="H62" s="117"/>
      <c r="I62" s="112"/>
      <c r="J62" s="113"/>
      <c r="K62" s="113"/>
    </row>
    <row r="63" spans="1:11" x14ac:dyDescent="0.25">
      <c r="A63" s="112"/>
      <c r="B63" s="117"/>
      <c r="C63" s="113"/>
      <c r="D63" s="114"/>
      <c r="F63" s="113"/>
      <c r="G63" s="114"/>
      <c r="H63" s="117"/>
      <c r="I63" s="112"/>
      <c r="J63" s="113"/>
      <c r="K63" s="113"/>
    </row>
    <row r="64" spans="1:11" x14ac:dyDescent="0.25">
      <c r="A64" s="112"/>
      <c r="B64" s="117"/>
      <c r="C64" s="113"/>
      <c r="D64" s="114"/>
      <c r="F64" s="113"/>
      <c r="G64" s="114"/>
      <c r="H64" s="117"/>
      <c r="I64" s="112"/>
      <c r="J64" s="113"/>
      <c r="K64" s="113"/>
    </row>
    <row r="65" spans="1:11" x14ac:dyDescent="0.25">
      <c r="A65" s="112"/>
      <c r="B65" s="117"/>
      <c r="C65" s="113"/>
      <c r="D65" s="114"/>
      <c r="F65" s="113"/>
      <c r="G65" s="114"/>
      <c r="H65" s="117"/>
      <c r="I65" s="112"/>
      <c r="J65" s="113"/>
      <c r="K65" s="113"/>
    </row>
    <row r="66" spans="1:11" x14ac:dyDescent="0.25">
      <c r="A66" s="112"/>
      <c r="B66" s="117"/>
      <c r="C66" s="113"/>
      <c r="D66" s="114"/>
      <c r="F66" s="113"/>
      <c r="G66" s="114"/>
      <c r="H66" s="117"/>
      <c r="I66" s="112"/>
      <c r="J66" s="113"/>
      <c r="K66" s="113"/>
    </row>
    <row r="67" spans="1:11" x14ac:dyDescent="0.25">
      <c r="A67" s="112"/>
      <c r="B67" s="117"/>
      <c r="C67" s="113"/>
      <c r="D67" s="114"/>
      <c r="F67" s="113"/>
      <c r="G67" s="114"/>
      <c r="H67" s="117"/>
      <c r="I67" s="112"/>
      <c r="J67" s="113"/>
      <c r="K67" s="113"/>
    </row>
    <row r="68" spans="1:11" x14ac:dyDescent="0.25">
      <c r="A68" s="112"/>
      <c r="B68" s="117"/>
      <c r="C68" s="113"/>
      <c r="D68" s="114"/>
      <c r="F68" s="113"/>
      <c r="G68" s="114"/>
      <c r="H68" s="117"/>
      <c r="I68" s="112"/>
      <c r="J68" s="113"/>
      <c r="K68" s="113"/>
    </row>
    <row r="69" spans="1:11" x14ac:dyDescent="0.25">
      <c r="A69" s="112"/>
      <c r="B69" s="117"/>
      <c r="C69" s="113"/>
      <c r="D69" s="114"/>
      <c r="F69" s="113"/>
      <c r="G69" s="114"/>
      <c r="H69" s="117"/>
      <c r="I69" s="112"/>
      <c r="J69" s="113"/>
      <c r="K69" s="113"/>
    </row>
    <row r="70" spans="1:11" x14ac:dyDescent="0.25">
      <c r="A70" s="112"/>
      <c r="B70" s="117"/>
      <c r="C70" s="113"/>
      <c r="D70" s="114"/>
      <c r="F70" s="113"/>
      <c r="G70" s="114"/>
      <c r="H70" s="117"/>
      <c r="I70" s="112"/>
      <c r="J70" s="113"/>
      <c r="K70" s="113"/>
    </row>
    <row r="71" spans="1:11" x14ac:dyDescent="0.25">
      <c r="A71" s="112"/>
      <c r="B71" s="117"/>
      <c r="C71" s="113"/>
      <c r="D71" s="114"/>
      <c r="F71" s="113"/>
      <c r="G71" s="114"/>
      <c r="H71" s="114"/>
    </row>
    <row r="72" spans="1:11" x14ac:dyDescent="0.25">
      <c r="A72" s="112"/>
      <c r="B72" s="117"/>
      <c r="C72" s="113"/>
      <c r="D72" s="114"/>
      <c r="F72" s="113"/>
      <c r="G72" s="114"/>
      <c r="H72" s="119"/>
      <c r="I72" s="119"/>
      <c r="J72" s="121"/>
      <c r="K72" s="121"/>
    </row>
    <row r="73" spans="1:11" x14ac:dyDescent="0.25">
      <c r="A73" s="112"/>
      <c r="B73" s="117"/>
      <c r="C73" s="113"/>
      <c r="D73" s="114"/>
      <c r="F73" s="113"/>
      <c r="G73" s="114"/>
      <c r="H73" s="117"/>
      <c r="I73" s="112"/>
      <c r="J73" s="113"/>
      <c r="K73" s="113"/>
    </row>
    <row r="74" spans="1:11" x14ac:dyDescent="0.25">
      <c r="A74" s="112"/>
      <c r="B74" s="117"/>
      <c r="C74" s="113"/>
      <c r="D74" s="114"/>
      <c r="F74" s="113"/>
      <c r="G74" s="114"/>
      <c r="H74" s="117"/>
      <c r="I74" s="112"/>
      <c r="J74" s="113"/>
      <c r="K74" s="114"/>
    </row>
    <row r="75" spans="1:11" x14ac:dyDescent="0.25">
      <c r="A75" s="112"/>
      <c r="B75" s="119"/>
      <c r="D75" s="114"/>
      <c r="F75" s="114"/>
      <c r="G75" s="114"/>
      <c r="H75" s="117"/>
      <c r="I75" s="112"/>
      <c r="J75" s="113"/>
      <c r="K75" s="114"/>
    </row>
    <row r="76" spans="1:11" x14ac:dyDescent="0.25">
      <c r="A76" s="112"/>
      <c r="B76" s="119"/>
      <c r="D76" s="114"/>
      <c r="F76" s="114"/>
      <c r="G76" s="114"/>
      <c r="H76" s="117"/>
      <c r="I76" s="112"/>
      <c r="J76" s="113"/>
      <c r="K76" s="114"/>
    </row>
    <row r="77" spans="1:11" x14ac:dyDescent="0.25">
      <c r="A77" s="112"/>
      <c r="B77" s="119"/>
      <c r="D77" s="114"/>
      <c r="F77" s="114"/>
      <c r="G77" s="114"/>
      <c r="H77" s="117"/>
      <c r="I77" s="112"/>
      <c r="J77" s="113"/>
      <c r="K77" s="114"/>
    </row>
    <row r="78" spans="1:11" x14ac:dyDescent="0.25">
      <c r="A78" s="112"/>
      <c r="B78" s="119"/>
      <c r="D78" s="114"/>
      <c r="F78" s="114"/>
      <c r="G78" s="114"/>
      <c r="H78" s="117"/>
      <c r="I78" s="112"/>
      <c r="J78" s="113"/>
      <c r="K78" s="114"/>
    </row>
    <row r="79" spans="1:11" x14ac:dyDescent="0.25">
      <c r="A79" s="112"/>
      <c r="B79" s="117"/>
      <c r="D79" s="114"/>
      <c r="F79" s="119"/>
      <c r="G79" s="114"/>
      <c r="H79" s="117"/>
      <c r="I79" s="112"/>
      <c r="J79" s="113"/>
      <c r="K79" s="114"/>
    </row>
    <row r="80" spans="1:11" x14ac:dyDescent="0.25">
      <c r="A80" s="112"/>
      <c r="B80" s="117"/>
      <c r="D80" s="114"/>
      <c r="F80" s="119"/>
      <c r="G80" s="114"/>
      <c r="H80" s="117"/>
      <c r="I80" s="112"/>
      <c r="J80" s="113"/>
      <c r="K80" s="114"/>
    </row>
    <row r="81" spans="1:11" x14ac:dyDescent="0.25">
      <c r="A81" s="112"/>
      <c r="B81" s="117"/>
      <c r="D81" s="114"/>
      <c r="F81" s="119"/>
      <c r="G81" s="114"/>
      <c r="H81" s="117"/>
      <c r="I81" s="112"/>
      <c r="J81" s="113"/>
      <c r="K81" s="114"/>
    </row>
    <row r="82" spans="1:11" x14ac:dyDescent="0.25">
      <c r="A82" s="112"/>
      <c r="B82" s="117"/>
      <c r="D82" s="114"/>
      <c r="F82" s="119"/>
      <c r="G82" s="114"/>
      <c r="H82" s="117"/>
      <c r="I82" s="112"/>
      <c r="J82" s="113"/>
      <c r="K82" s="114"/>
    </row>
    <row r="83" spans="1:11" x14ac:dyDescent="0.25">
      <c r="A83" s="112"/>
      <c r="B83" s="117"/>
      <c r="D83" s="114"/>
      <c r="F83" s="119"/>
      <c r="G83" s="114"/>
      <c r="H83" s="117"/>
      <c r="I83" s="112"/>
      <c r="J83" s="113"/>
      <c r="K83" s="114"/>
    </row>
    <row r="84" spans="1:11" x14ac:dyDescent="0.25">
      <c r="A84" s="112"/>
      <c r="B84" s="117"/>
      <c r="D84" s="114"/>
      <c r="F84" s="119"/>
      <c r="G84" s="114"/>
      <c r="H84" s="117"/>
      <c r="I84" s="112"/>
      <c r="J84" s="113"/>
      <c r="K84" s="114"/>
    </row>
    <row r="85" spans="1:11" x14ac:dyDescent="0.25">
      <c r="A85" s="112"/>
      <c r="B85" s="117"/>
      <c r="D85" s="114"/>
      <c r="F85" s="119"/>
      <c r="G85" s="114"/>
      <c r="H85" s="117"/>
      <c r="I85" s="112"/>
      <c r="J85" s="113"/>
      <c r="K85" s="114"/>
    </row>
    <row r="86" spans="1:11" x14ac:dyDescent="0.25">
      <c r="A86" s="112"/>
      <c r="B86" s="117"/>
      <c r="D86" s="114"/>
      <c r="F86" s="119"/>
      <c r="G86" s="114"/>
      <c r="H86" s="117"/>
      <c r="I86" s="112"/>
      <c r="J86" s="113"/>
      <c r="K86" s="113"/>
    </row>
    <row r="87" spans="1:11" x14ac:dyDescent="0.25">
      <c r="A87" s="112"/>
      <c r="B87" s="117"/>
      <c r="D87" s="114"/>
      <c r="F87" s="119"/>
      <c r="G87" s="114"/>
    </row>
    <row r="88" spans="1:11" x14ac:dyDescent="0.25">
      <c r="A88" s="112"/>
      <c r="B88" s="117"/>
      <c r="D88" s="114"/>
      <c r="F88" s="119"/>
      <c r="G88" s="114"/>
    </row>
    <row r="89" spans="1:11" x14ac:dyDescent="0.25">
      <c r="A89" s="112"/>
      <c r="B89" s="117"/>
      <c r="D89" s="114"/>
      <c r="F89" s="119"/>
      <c r="G89" s="114"/>
    </row>
    <row r="90" spans="1:11" x14ac:dyDescent="0.25">
      <c r="A90" s="112"/>
      <c r="B90" s="117"/>
      <c r="D90" s="114"/>
      <c r="F90" s="119"/>
      <c r="G90" s="114"/>
    </row>
    <row r="91" spans="1:11" x14ac:dyDescent="0.25">
      <c r="A91" s="112"/>
      <c r="B91" s="117"/>
      <c r="D91" s="114"/>
      <c r="F91" s="119"/>
      <c r="G91" s="114"/>
    </row>
    <row r="92" spans="1:11" x14ac:dyDescent="0.25">
      <c r="A92" s="112"/>
      <c r="B92" s="112"/>
      <c r="D92" s="114"/>
      <c r="F92" s="119"/>
      <c r="G92" s="114"/>
    </row>
    <row r="93" spans="1:11" x14ac:dyDescent="0.25">
      <c r="A93" s="112"/>
      <c r="B93" s="112"/>
      <c r="D93" s="114"/>
      <c r="F93" s="119"/>
      <c r="G93" s="114"/>
    </row>
    <row r="94" spans="1:11" x14ac:dyDescent="0.25">
      <c r="A94" s="112"/>
      <c r="B94" s="112"/>
      <c r="D94" s="114"/>
      <c r="F94" s="119"/>
      <c r="G94" s="114"/>
    </row>
    <row r="95" spans="1:11" x14ac:dyDescent="0.25">
      <c r="A95" s="112"/>
      <c r="B95" s="112"/>
      <c r="D95" s="114"/>
      <c r="F95" s="119"/>
      <c r="G95" s="114"/>
    </row>
    <row r="96" spans="1:11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A111" s="112"/>
      <c r="B111" s="112"/>
      <c r="D111" s="114"/>
      <c r="F111" s="119"/>
      <c r="G111" s="114"/>
    </row>
    <row r="112" spans="1:7" x14ac:dyDescent="0.25">
      <c r="A112" s="112"/>
      <c r="B112" s="112"/>
      <c r="D112" s="114"/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  <row r="122" spans="6:7" x14ac:dyDescent="0.25">
      <c r="F122" s="119"/>
      <c r="G122" s="114"/>
    </row>
    <row r="123" spans="6:7" x14ac:dyDescent="0.25">
      <c r="F123" s="119"/>
      <c r="G123" s="114"/>
    </row>
    <row r="124" spans="6:7" x14ac:dyDescent="0.25">
      <c r="F124" s="119"/>
      <c r="G124" s="114"/>
    </row>
    <row r="125" spans="6:7" x14ac:dyDescent="0.25">
      <c r="F125" s="119"/>
      <c r="G125" s="114"/>
    </row>
    <row r="126" spans="6:7" x14ac:dyDescent="0.25">
      <c r="F126" s="119"/>
      <c r="G126" s="114"/>
    </row>
    <row r="127" spans="6:7" x14ac:dyDescent="0.25">
      <c r="F127" s="119"/>
      <c r="G127" s="114"/>
    </row>
    <row r="128" spans="6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</sheetData>
  <sortState ref="I35:K39">
    <sortCondition descending="1" ref="I35"/>
  </sortState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135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130</v>
      </c>
    </row>
    <row r="6" spans="1:19" x14ac:dyDescent="0.25">
      <c r="A6" s="138">
        <f>B6+273.15</f>
        <v>1023.15</v>
      </c>
      <c r="B6" s="148">
        <v>750</v>
      </c>
      <c r="C6" s="144"/>
      <c r="D6" s="153">
        <f>(1*10^-30)*(B6^9.4319)</f>
        <v>1.3100574167522376E-3</v>
      </c>
    </row>
    <row r="7" spans="1:19" x14ac:dyDescent="0.25">
      <c r="A7" s="138">
        <f t="shared" ref="A7:A18" si="0">B7+273.15</f>
        <v>998.15</v>
      </c>
      <c r="B7" s="148">
        <v>725</v>
      </c>
      <c r="C7" s="144"/>
      <c r="D7" s="153">
        <f>(1*10^-30)*(B7^9.4319)</f>
        <v>9.5152903340117582E-4</v>
      </c>
      <c r="H7" s="111" t="s">
        <v>18</v>
      </c>
    </row>
    <row r="8" spans="1:19" ht="15.75" x14ac:dyDescent="0.25">
      <c r="A8" s="138">
        <f t="shared" si="0"/>
        <v>976.5625</v>
      </c>
      <c r="B8" s="148">
        <v>703.41250000000002</v>
      </c>
      <c r="C8" s="144"/>
      <c r="D8" s="153">
        <f>0.0006274</f>
        <v>6.2739999999999996E-4</v>
      </c>
      <c r="G8" s="111">
        <v>1</v>
      </c>
      <c r="H8" s="35" t="s">
        <v>131</v>
      </c>
    </row>
    <row r="9" spans="1:19" ht="15.75" x14ac:dyDescent="0.25">
      <c r="A9" s="138">
        <f t="shared" si="0"/>
        <v>948.15</v>
      </c>
      <c r="B9" s="148">
        <v>675</v>
      </c>
      <c r="C9" s="144"/>
      <c r="D9" s="153">
        <f>(1*10^-30)*(B9^9.4319)</f>
        <v>4.8496484180371923E-4</v>
      </c>
      <c r="J9" s="35"/>
    </row>
    <row r="10" spans="1:19" ht="15.75" thickBot="1" x14ac:dyDescent="0.3">
      <c r="A10" s="138">
        <f t="shared" si="0"/>
        <v>923.61688371663433</v>
      </c>
      <c r="B10" s="148">
        <v>650.46688371663436</v>
      </c>
      <c r="C10" s="144"/>
      <c r="D10" s="153">
        <v>4.104E-4</v>
      </c>
    </row>
    <row r="11" spans="1:19" ht="19.5" thickBot="1" x14ac:dyDescent="0.3">
      <c r="A11" s="138">
        <f t="shared" si="0"/>
        <v>898.15</v>
      </c>
      <c r="B11" s="148">
        <v>625</v>
      </c>
      <c r="C11" s="144"/>
      <c r="D11" s="153">
        <f>(1*10^-30)*(B11^9.4319)</f>
        <v>2.3467170872230726E-4</v>
      </c>
      <c r="H11" s="169" t="s">
        <v>184</v>
      </c>
    </row>
    <row r="12" spans="1:19" x14ac:dyDescent="0.25">
      <c r="A12" s="138">
        <f t="shared" si="0"/>
        <v>875.42677055064337</v>
      </c>
      <c r="B12" s="148">
        <v>602.27677055064339</v>
      </c>
      <c r="C12" s="144"/>
      <c r="D12" s="153">
        <v>1.4870000000000001E-4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si="0"/>
        <v>848.15</v>
      </c>
      <c r="B13" s="148">
        <v>575</v>
      </c>
      <c r="C13" s="144"/>
      <c r="D13" s="153">
        <f>(1*10^-30)*(B13^9.4319)</f>
        <v>1.0688361753784974E-4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si="0"/>
        <v>824.06262875978575</v>
      </c>
      <c r="B14" s="148">
        <v>550.91262875978578</v>
      </c>
      <c r="C14" s="144"/>
      <c r="D14" s="153">
        <v>6.1309999999999994E-5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0"/>
        <v>798.15</v>
      </c>
      <c r="B15" s="148">
        <v>525</v>
      </c>
      <c r="C15" s="144"/>
      <c r="D15" s="153">
        <f>(1*10^-30)*(B15^9.4319)</f>
        <v>4.5317978996085134E-5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0"/>
        <v>773.09625048318514</v>
      </c>
      <c r="B16" s="148">
        <v>499.94625048318517</v>
      </c>
      <c r="C16" s="144"/>
      <c r="D16" s="153">
        <v>2.9300000000000001E-5</v>
      </c>
    </row>
    <row r="17" spans="1:12" x14ac:dyDescent="0.25">
      <c r="A17" s="138">
        <f t="shared" si="0"/>
        <v>724.27029767509237</v>
      </c>
      <c r="B17" s="148">
        <v>451.12029767509239</v>
      </c>
      <c r="C17" s="144"/>
      <c r="D17" s="153">
        <v>9.3300000000000005E-6</v>
      </c>
    </row>
    <row r="18" spans="1:12" ht="15.75" thickBot="1" x14ac:dyDescent="0.3">
      <c r="A18" s="141">
        <f t="shared" si="0"/>
        <v>673.49137931034488</v>
      </c>
      <c r="B18" s="149">
        <v>400.34137931034491</v>
      </c>
      <c r="C18" s="129"/>
      <c r="D18" s="154">
        <v>3.6399999999999999E-6</v>
      </c>
    </row>
    <row r="19" spans="1:12" ht="15.75" thickBot="1" x14ac:dyDescent="0.3">
      <c r="A19" s="112"/>
      <c r="B19" s="117"/>
      <c r="D19" s="119"/>
    </row>
    <row r="20" spans="1:12" ht="15.75" x14ac:dyDescent="0.25">
      <c r="A20" s="133" t="s">
        <v>13</v>
      </c>
      <c r="B20" s="134"/>
      <c r="C20" s="134"/>
      <c r="D20" s="135"/>
    </row>
    <row r="21" spans="1:12" ht="75" x14ac:dyDescent="0.25">
      <c r="A21" s="136" t="s">
        <v>16</v>
      </c>
      <c r="B21" s="115" t="s">
        <v>14</v>
      </c>
      <c r="C21" s="142" t="s">
        <v>37</v>
      </c>
      <c r="D21" s="137" t="s">
        <v>15</v>
      </c>
    </row>
    <row r="22" spans="1:12" x14ac:dyDescent="0.25">
      <c r="A22" s="138">
        <f>B22+273.15</f>
        <v>973.15</v>
      </c>
      <c r="B22" s="148">
        <v>700</v>
      </c>
      <c r="C22" s="140">
        <f>'BSCF,Bucher (Solid State Ionics'!C45</f>
        <v>138</v>
      </c>
      <c r="D22" s="157">
        <f>(D8/C22)</f>
        <v>4.546376811594203E-6</v>
      </c>
    </row>
    <row r="23" spans="1:12" x14ac:dyDescent="0.25">
      <c r="A23" s="138">
        <f t="shared" ref="A23:A28" si="1">B23+273.15</f>
        <v>923.15</v>
      </c>
      <c r="B23" s="148">
        <v>650</v>
      </c>
      <c r="C23" s="140">
        <f>'BSCF,Bucher (Solid State Ionics'!C46</f>
        <v>139.1465575693758</v>
      </c>
      <c r="D23" s="157">
        <f>(D10/C23)</f>
        <v>2.9494082151143583E-6</v>
      </c>
    </row>
    <row r="24" spans="1:12" x14ac:dyDescent="0.25">
      <c r="A24" s="138">
        <f t="shared" si="1"/>
        <v>873.15</v>
      </c>
      <c r="B24" s="148">
        <v>600</v>
      </c>
      <c r="C24" s="140">
        <f>'BSCF,Bucher (Solid State Ionics'!C47</f>
        <v>125</v>
      </c>
      <c r="D24" s="157">
        <f>(D12/C24)</f>
        <v>1.1896E-6</v>
      </c>
    </row>
    <row r="25" spans="1:12" x14ac:dyDescent="0.25">
      <c r="A25" s="138">
        <f t="shared" si="1"/>
        <v>823.15</v>
      </c>
      <c r="B25" s="148">
        <v>550</v>
      </c>
      <c r="C25" s="140">
        <f>'BSCF,Bucher (Solid State Ionics'!C49</f>
        <v>169.95398920372847</v>
      </c>
      <c r="D25" s="157">
        <f>(D14/C25)</f>
        <v>3.6074469500392856E-7</v>
      </c>
    </row>
    <row r="26" spans="1:12" x14ac:dyDescent="0.25">
      <c r="A26" s="138">
        <f t="shared" si="1"/>
        <v>773.15</v>
      </c>
      <c r="B26" s="148">
        <v>500</v>
      </c>
      <c r="C26" s="140">
        <f>'BSCF,Bucher (Solid State Ionics'!C50</f>
        <v>187.82820627890331</v>
      </c>
      <c r="D26" s="157">
        <f>(D16/C26)</f>
        <v>1.559936102274909E-7</v>
      </c>
    </row>
    <row r="27" spans="1:12" x14ac:dyDescent="0.25">
      <c r="A27" s="138">
        <f t="shared" si="1"/>
        <v>723.15</v>
      </c>
      <c r="B27" s="148">
        <v>450</v>
      </c>
      <c r="C27" s="140">
        <f>'BSCF,Bucher (Solid State Ionics'!C51</f>
        <v>207.58227117375768</v>
      </c>
      <c r="D27" s="157">
        <f>(D17/C27)</f>
        <v>4.4946034876891205E-8</v>
      </c>
    </row>
    <row r="28" spans="1:12" ht="15.75" thickBot="1" x14ac:dyDescent="0.3">
      <c r="A28" s="141">
        <f t="shared" si="1"/>
        <v>673.15</v>
      </c>
      <c r="B28" s="149">
        <v>400</v>
      </c>
      <c r="C28" s="130">
        <f>'BSCF,Bucher (Solid State Ionics'!C52</f>
        <v>229.41388920932982</v>
      </c>
      <c r="D28" s="158">
        <f>(D18/C28)</f>
        <v>1.5866519732284667E-8</v>
      </c>
    </row>
    <row r="29" spans="1:12" ht="15.75" thickBot="1" x14ac:dyDescent="0.3"/>
    <row r="30" spans="1:12" ht="15.75" x14ac:dyDescent="0.25">
      <c r="A30" s="133" t="s">
        <v>19</v>
      </c>
      <c r="B30" s="134"/>
      <c r="C30" s="134"/>
      <c r="D30" s="135"/>
      <c r="G30" s="119"/>
      <c r="H30" s="119"/>
    </row>
    <row r="31" spans="1:12" ht="47.25" x14ac:dyDescent="0.25">
      <c r="A31" s="136" t="s">
        <v>16</v>
      </c>
      <c r="B31" s="115" t="s">
        <v>14</v>
      </c>
      <c r="C31" s="142" t="s">
        <v>111</v>
      </c>
      <c r="D31" s="143" t="s">
        <v>35</v>
      </c>
      <c r="G31" s="119"/>
      <c r="H31" s="114"/>
    </row>
    <row r="32" spans="1:12" x14ac:dyDescent="0.25">
      <c r="A32" s="138">
        <f>B32+273.15</f>
        <v>973.15</v>
      </c>
      <c r="B32" s="148">
        <v>700</v>
      </c>
      <c r="C32" s="140">
        <f>'BSCF,Bucher (Solid State Ionics'!H45</f>
        <v>6.6297650130548308E-2</v>
      </c>
      <c r="D32" s="157">
        <f t="shared" ref="D32:D38" si="2">($C$2*$A$2*A32)/(4*($E$2^2)*C32*D22)</f>
        <v>0.72053234076717254</v>
      </c>
      <c r="G32" s="119"/>
      <c r="H32" s="114"/>
      <c r="K32" s="118"/>
      <c r="L32" s="118"/>
    </row>
    <row r="33" spans="1:12" x14ac:dyDescent="0.25">
      <c r="A33" s="138">
        <f t="shared" ref="A33:A38" si="3">B33+273.15</f>
        <v>923.15</v>
      </c>
      <c r="B33" s="148">
        <v>650</v>
      </c>
      <c r="C33" s="140">
        <f>'BSCF,Bucher (Solid State Ionics'!H46</f>
        <v>6.6443312259546278E-2</v>
      </c>
      <c r="D33" s="157">
        <f t="shared" si="2"/>
        <v>1.0512920234706633</v>
      </c>
      <c r="G33" s="119"/>
      <c r="H33" s="114"/>
      <c r="J33" s="113"/>
      <c r="K33" s="113"/>
      <c r="L33" s="113"/>
    </row>
    <row r="34" spans="1:12" x14ac:dyDescent="0.25">
      <c r="A34" s="138">
        <f t="shared" si="3"/>
        <v>873.15</v>
      </c>
      <c r="B34" s="148">
        <v>600</v>
      </c>
      <c r="C34" s="140">
        <f>'BSCF,Bucher (Solid State Ionics'!H47</f>
        <v>6.6843342036553524E-2</v>
      </c>
      <c r="D34" s="157">
        <f t="shared" si="2"/>
        <v>2.4505693779155009</v>
      </c>
      <c r="G34" s="119"/>
      <c r="H34" s="114"/>
      <c r="J34" s="113"/>
      <c r="K34" s="113"/>
      <c r="L34" s="113"/>
    </row>
    <row r="35" spans="1:12" x14ac:dyDescent="0.25">
      <c r="A35" s="138">
        <f t="shared" si="3"/>
        <v>823.15</v>
      </c>
      <c r="B35" s="148">
        <v>550</v>
      </c>
      <c r="C35" s="140">
        <f>'BSCF,Bucher (Solid State Ionics'!H49</f>
        <v>6.7112638669889577E-2</v>
      </c>
      <c r="D35" s="157">
        <f t="shared" si="2"/>
        <v>7.5877317723687208</v>
      </c>
      <c r="G35" s="119"/>
      <c r="H35" s="114"/>
      <c r="J35" s="113"/>
      <c r="K35" s="113"/>
      <c r="L35" s="113"/>
    </row>
    <row r="36" spans="1:12" x14ac:dyDescent="0.25">
      <c r="A36" s="138">
        <f t="shared" si="3"/>
        <v>773.15</v>
      </c>
      <c r="B36" s="148">
        <v>500</v>
      </c>
      <c r="C36" s="140">
        <f>'BSCF,Bucher (Solid State Ionics'!H50</f>
        <v>6.7497529200078288E-2</v>
      </c>
      <c r="D36" s="157">
        <f t="shared" si="2"/>
        <v>16.387259486121511</v>
      </c>
      <c r="G36" s="119"/>
      <c r="H36" s="114"/>
    </row>
    <row r="37" spans="1:12" x14ac:dyDescent="0.25">
      <c r="A37" s="138">
        <f t="shared" si="3"/>
        <v>723.15</v>
      </c>
      <c r="B37" s="148">
        <v>450</v>
      </c>
      <c r="C37" s="140">
        <f>'BSCF,Bucher (Solid State Ionics'!H51</f>
        <v>6.7925575217982467E-2</v>
      </c>
      <c r="D37" s="157">
        <f t="shared" si="2"/>
        <v>52.86167695521479</v>
      </c>
      <c r="G37" s="119"/>
      <c r="H37" s="114"/>
    </row>
    <row r="38" spans="1:12" ht="15.75" thickBot="1" x14ac:dyDescent="0.3">
      <c r="A38" s="141">
        <f t="shared" si="3"/>
        <v>673.15</v>
      </c>
      <c r="B38" s="149">
        <v>400</v>
      </c>
      <c r="C38" s="130">
        <f>'BSCF,Bucher (Solid State Ionics'!H52</f>
        <v>6.8407304225116317E-2</v>
      </c>
      <c r="D38" s="158">
        <f t="shared" si="2"/>
        <v>138.40919822169766</v>
      </c>
      <c r="G38" s="119"/>
      <c r="H38" s="114"/>
    </row>
    <row r="39" spans="1:12" x14ac:dyDescent="0.25">
      <c r="D39" s="114"/>
      <c r="G39" s="119"/>
      <c r="H39" s="114"/>
    </row>
    <row r="40" spans="1:12" x14ac:dyDescent="0.25">
      <c r="A40" s="118"/>
      <c r="D40" s="114"/>
      <c r="G40" s="119"/>
      <c r="H40" s="114"/>
    </row>
    <row r="41" spans="1:12" x14ac:dyDescent="0.25">
      <c r="G41" s="118"/>
      <c r="H41" s="118"/>
      <c r="I41" s="119"/>
      <c r="J41" s="118"/>
      <c r="K41" s="118"/>
    </row>
    <row r="42" spans="1:12" x14ac:dyDescent="0.25">
      <c r="A42" s="112"/>
      <c r="C42" s="113"/>
      <c r="D42" s="114"/>
      <c r="F42" s="119"/>
      <c r="G42" s="114"/>
      <c r="H42" s="114"/>
      <c r="K42" s="114"/>
    </row>
    <row r="43" spans="1:12" x14ac:dyDescent="0.25">
      <c r="A43" s="112"/>
      <c r="C43" s="113"/>
      <c r="D43" s="114"/>
      <c r="F43" s="117"/>
      <c r="G43" s="113"/>
      <c r="H43" s="114"/>
      <c r="K43" s="114"/>
    </row>
    <row r="44" spans="1:12" x14ac:dyDescent="0.25">
      <c r="A44" s="112"/>
      <c r="C44" s="113"/>
      <c r="D44" s="114"/>
      <c r="F44" s="117"/>
      <c r="G44" s="113"/>
      <c r="H44" s="114"/>
      <c r="K44" s="114"/>
    </row>
    <row r="45" spans="1:12" x14ac:dyDescent="0.25">
      <c r="A45" s="112"/>
      <c r="C45" s="113"/>
      <c r="D45" s="114"/>
      <c r="F45" s="117"/>
      <c r="G45" s="113"/>
      <c r="H45" s="114"/>
      <c r="K45" s="114"/>
    </row>
    <row r="46" spans="1:12" x14ac:dyDescent="0.25">
      <c r="A46" s="112"/>
      <c r="C46" s="113"/>
      <c r="D46" s="114"/>
      <c r="F46" s="117"/>
      <c r="G46" s="113"/>
      <c r="H46" s="114"/>
      <c r="K46" s="114"/>
    </row>
    <row r="47" spans="1:12" x14ac:dyDescent="0.25">
      <c r="A47" s="112"/>
      <c r="C47" s="113"/>
      <c r="D47" s="114"/>
      <c r="G47" s="114"/>
      <c r="H47" s="117"/>
      <c r="I47" s="119"/>
      <c r="K47" s="114"/>
    </row>
    <row r="48" spans="1:12" x14ac:dyDescent="0.25">
      <c r="A48" s="112"/>
      <c r="C48" s="113"/>
      <c r="D48" s="114"/>
      <c r="F48" s="113"/>
      <c r="G48" s="114"/>
      <c r="H48" s="117"/>
      <c r="I48" s="119"/>
      <c r="J48" s="114"/>
      <c r="K48" s="114"/>
    </row>
    <row r="49" spans="1:10" x14ac:dyDescent="0.25">
      <c r="A49" s="112"/>
      <c r="B49" s="112"/>
      <c r="C49" s="114"/>
      <c r="D49" s="114"/>
      <c r="F49" s="113"/>
      <c r="G49" s="114"/>
      <c r="H49" s="117"/>
      <c r="I49" s="119"/>
      <c r="J49" s="114"/>
    </row>
    <row r="50" spans="1:10" x14ac:dyDescent="0.25">
      <c r="A50" s="112"/>
      <c r="B50" s="112"/>
      <c r="C50" s="114"/>
      <c r="D50" s="114"/>
      <c r="F50" s="113"/>
      <c r="G50" s="114"/>
      <c r="H50" s="117"/>
      <c r="I50" s="119"/>
      <c r="J50" s="114"/>
    </row>
    <row r="51" spans="1:10" x14ac:dyDescent="0.25">
      <c r="A51" s="112"/>
      <c r="B51" s="112"/>
      <c r="C51" s="113"/>
      <c r="D51" s="114"/>
      <c r="F51" s="113"/>
      <c r="H51" s="117"/>
      <c r="I51" s="119"/>
      <c r="J51" s="114"/>
    </row>
    <row r="52" spans="1:10" x14ac:dyDescent="0.25">
      <c r="A52" s="112"/>
      <c r="B52" s="112"/>
      <c r="C52" s="113"/>
      <c r="D52" s="114"/>
      <c r="F52" s="113"/>
      <c r="H52" s="117"/>
      <c r="I52" s="119"/>
      <c r="J52" s="114"/>
    </row>
    <row r="53" spans="1:10" x14ac:dyDescent="0.25">
      <c r="A53" s="112"/>
      <c r="B53" s="112"/>
      <c r="C53" s="113"/>
      <c r="D53" s="114"/>
      <c r="F53" s="113"/>
      <c r="H53" s="117"/>
      <c r="J53" s="114"/>
    </row>
    <row r="54" spans="1:10" x14ac:dyDescent="0.25">
      <c r="A54" s="112"/>
      <c r="B54" s="112"/>
      <c r="C54" s="113"/>
      <c r="D54" s="114"/>
      <c r="F54" s="113"/>
      <c r="G54" s="114"/>
      <c r="H54" s="117"/>
      <c r="J54" s="114"/>
    </row>
    <row r="55" spans="1:10" x14ac:dyDescent="0.25">
      <c r="A55" s="112"/>
      <c r="B55" s="112"/>
      <c r="C55" s="113"/>
      <c r="D55" s="114"/>
      <c r="F55" s="113"/>
      <c r="G55" s="114"/>
      <c r="H55" s="114"/>
    </row>
    <row r="56" spans="1:10" x14ac:dyDescent="0.25">
      <c r="A56" s="112"/>
      <c r="B56" s="112"/>
      <c r="C56" s="113"/>
      <c r="D56" s="114"/>
      <c r="F56" s="113"/>
      <c r="G56" s="114"/>
      <c r="H56" s="114"/>
    </row>
    <row r="57" spans="1:10" x14ac:dyDescent="0.25">
      <c r="A57" s="112"/>
      <c r="B57" s="112"/>
      <c r="C57" s="113"/>
      <c r="D57" s="114"/>
      <c r="F57" s="113"/>
      <c r="G57" s="114"/>
      <c r="H57" s="114"/>
    </row>
    <row r="58" spans="1:10" x14ac:dyDescent="0.25">
      <c r="A58" s="112"/>
      <c r="B58" s="112"/>
      <c r="C58" s="113"/>
      <c r="D58" s="114"/>
      <c r="F58" s="113"/>
      <c r="G58" s="114"/>
    </row>
    <row r="59" spans="1:10" x14ac:dyDescent="0.25">
      <c r="A59" s="112"/>
      <c r="B59" s="112"/>
      <c r="C59" s="113"/>
      <c r="D59" s="114"/>
      <c r="F59" s="113"/>
      <c r="G59" s="114"/>
    </row>
    <row r="60" spans="1:10" x14ac:dyDescent="0.25">
      <c r="A60" s="112"/>
      <c r="B60" s="117"/>
      <c r="C60" s="113"/>
      <c r="D60" s="114"/>
      <c r="F60" s="113"/>
      <c r="G60" s="114"/>
    </row>
    <row r="61" spans="1:10" x14ac:dyDescent="0.25">
      <c r="A61" s="112"/>
      <c r="B61" s="117"/>
      <c r="C61" s="113"/>
      <c r="D61" s="114"/>
      <c r="F61" s="113"/>
      <c r="G61" s="114"/>
    </row>
    <row r="62" spans="1:10" x14ac:dyDescent="0.25">
      <c r="A62" s="112"/>
      <c r="B62" s="117"/>
      <c r="C62" s="113"/>
      <c r="D62" s="114"/>
      <c r="F62" s="113"/>
      <c r="G62" s="114"/>
    </row>
    <row r="63" spans="1:10" x14ac:dyDescent="0.25">
      <c r="A63" s="112"/>
      <c r="B63" s="117"/>
      <c r="C63" s="113"/>
      <c r="D63" s="114"/>
      <c r="F63" s="113"/>
      <c r="G63" s="114"/>
    </row>
    <row r="64" spans="1:10" x14ac:dyDescent="0.25">
      <c r="A64" s="112"/>
      <c r="B64" s="117"/>
      <c r="C64" s="113"/>
      <c r="D64" s="114"/>
      <c r="F64" s="113"/>
      <c r="G64" s="114"/>
    </row>
    <row r="65" spans="1:11" x14ac:dyDescent="0.25">
      <c r="A65" s="112"/>
      <c r="B65" s="117"/>
      <c r="C65" s="113"/>
      <c r="D65" s="114"/>
      <c r="F65" s="113"/>
      <c r="G65" s="114"/>
    </row>
    <row r="66" spans="1:11" x14ac:dyDescent="0.25">
      <c r="A66" s="112"/>
      <c r="B66" s="117"/>
      <c r="C66" s="113"/>
      <c r="D66" s="114"/>
      <c r="F66" s="113"/>
      <c r="G66" s="114"/>
    </row>
    <row r="67" spans="1:11" x14ac:dyDescent="0.25">
      <c r="A67" s="112"/>
      <c r="B67" s="117"/>
      <c r="C67" s="113"/>
      <c r="D67" s="114"/>
      <c r="F67" s="113"/>
      <c r="G67" s="114"/>
    </row>
    <row r="68" spans="1:11" x14ac:dyDescent="0.25">
      <c r="A68" s="112"/>
      <c r="B68" s="117"/>
      <c r="C68" s="113"/>
      <c r="D68" s="114"/>
      <c r="F68" s="113"/>
      <c r="G68" s="114"/>
    </row>
    <row r="69" spans="1:11" x14ac:dyDescent="0.25">
      <c r="A69" s="112"/>
      <c r="B69" s="117"/>
      <c r="C69" s="113"/>
      <c r="D69" s="114"/>
      <c r="F69" s="113"/>
      <c r="G69" s="114"/>
    </row>
    <row r="70" spans="1:11" x14ac:dyDescent="0.25">
      <c r="A70" s="112"/>
      <c r="B70" s="117"/>
      <c r="C70" s="113"/>
      <c r="D70" s="114"/>
      <c r="F70" s="113"/>
      <c r="G70" s="114"/>
      <c r="H70" s="114"/>
    </row>
    <row r="71" spans="1:11" x14ac:dyDescent="0.25">
      <c r="A71" s="112"/>
      <c r="B71" s="117"/>
      <c r="C71" s="113"/>
      <c r="D71" s="114"/>
      <c r="F71" s="113"/>
      <c r="G71" s="114"/>
      <c r="H71" s="119"/>
      <c r="I71" s="119"/>
      <c r="J71" s="119"/>
      <c r="K71" s="119"/>
    </row>
    <row r="72" spans="1:11" x14ac:dyDescent="0.25">
      <c r="A72" s="112"/>
      <c r="B72" s="117"/>
      <c r="C72" s="113"/>
      <c r="D72" s="114"/>
      <c r="F72" s="113"/>
      <c r="G72" s="114"/>
      <c r="H72" s="117"/>
      <c r="I72" s="112"/>
      <c r="J72" s="113"/>
      <c r="K72" s="113"/>
    </row>
    <row r="73" spans="1:11" x14ac:dyDescent="0.25">
      <c r="A73" s="112"/>
      <c r="B73" s="117"/>
      <c r="C73" s="113"/>
      <c r="D73" s="114"/>
      <c r="F73" s="113"/>
      <c r="G73" s="114"/>
      <c r="H73" s="117"/>
      <c r="I73" s="112"/>
      <c r="J73" s="113"/>
      <c r="K73" s="113"/>
    </row>
    <row r="74" spans="1:11" x14ac:dyDescent="0.25">
      <c r="A74" s="112"/>
      <c r="B74" s="117"/>
      <c r="C74" s="113"/>
      <c r="D74" s="114"/>
      <c r="F74" s="113"/>
      <c r="G74" s="114"/>
      <c r="H74" s="117"/>
      <c r="I74" s="112"/>
      <c r="J74" s="113"/>
      <c r="K74" s="113"/>
    </row>
    <row r="75" spans="1:11" x14ac:dyDescent="0.25">
      <c r="A75" s="112"/>
      <c r="B75" s="117"/>
      <c r="C75" s="113"/>
      <c r="D75" s="114"/>
      <c r="F75" s="113"/>
      <c r="G75" s="114"/>
      <c r="H75" s="117"/>
      <c r="I75" s="112"/>
      <c r="J75" s="113"/>
      <c r="K75" s="113"/>
    </row>
    <row r="76" spans="1:11" x14ac:dyDescent="0.25">
      <c r="A76" s="112"/>
      <c r="B76" s="117"/>
      <c r="C76" s="113"/>
      <c r="D76" s="114"/>
      <c r="F76" s="113"/>
      <c r="G76" s="114"/>
      <c r="H76" s="117"/>
      <c r="I76" s="112"/>
      <c r="J76" s="113"/>
      <c r="K76" s="113"/>
    </row>
    <row r="77" spans="1:11" x14ac:dyDescent="0.25">
      <c r="A77" s="112"/>
      <c r="B77" s="117"/>
      <c r="C77" s="113"/>
      <c r="D77" s="114"/>
      <c r="F77" s="113"/>
      <c r="G77" s="114"/>
      <c r="H77" s="117"/>
      <c r="I77" s="112"/>
      <c r="J77" s="113"/>
      <c r="K77" s="113"/>
    </row>
    <row r="78" spans="1:11" x14ac:dyDescent="0.25">
      <c r="A78" s="112"/>
      <c r="B78" s="117"/>
      <c r="C78" s="113"/>
      <c r="D78" s="114"/>
      <c r="F78" s="113"/>
      <c r="G78" s="114"/>
      <c r="H78" s="117"/>
      <c r="I78" s="112"/>
      <c r="J78" s="113"/>
      <c r="K78" s="113"/>
    </row>
    <row r="79" spans="1:11" x14ac:dyDescent="0.25">
      <c r="A79" s="112"/>
      <c r="B79" s="117"/>
      <c r="C79" s="113"/>
      <c r="D79" s="114"/>
      <c r="F79" s="113"/>
      <c r="G79" s="114"/>
      <c r="H79" s="117"/>
      <c r="I79" s="112"/>
      <c r="J79" s="113"/>
      <c r="K79" s="113"/>
    </row>
    <row r="80" spans="1:11" x14ac:dyDescent="0.25">
      <c r="A80" s="112"/>
      <c r="B80" s="117"/>
      <c r="C80" s="113"/>
      <c r="D80" s="114"/>
      <c r="F80" s="113"/>
      <c r="G80" s="114"/>
      <c r="H80" s="117"/>
      <c r="I80" s="112"/>
      <c r="J80" s="113"/>
      <c r="K80" s="113"/>
    </row>
    <row r="81" spans="1:11" x14ac:dyDescent="0.25">
      <c r="A81" s="112"/>
      <c r="B81" s="117"/>
      <c r="C81" s="113"/>
      <c r="D81" s="114"/>
      <c r="F81" s="113"/>
      <c r="G81" s="114"/>
      <c r="H81" s="117"/>
      <c r="I81" s="112"/>
      <c r="J81" s="113"/>
      <c r="K81" s="113"/>
    </row>
    <row r="82" spans="1:11" x14ac:dyDescent="0.25">
      <c r="A82" s="112"/>
      <c r="B82" s="117"/>
      <c r="C82" s="113"/>
      <c r="D82" s="114"/>
      <c r="F82" s="113"/>
      <c r="G82" s="114"/>
      <c r="H82" s="114"/>
    </row>
    <row r="83" spans="1:11" x14ac:dyDescent="0.25">
      <c r="A83" s="112"/>
      <c r="B83" s="117"/>
      <c r="C83" s="113"/>
      <c r="D83" s="114"/>
      <c r="F83" s="113"/>
      <c r="G83" s="114"/>
      <c r="H83" s="119"/>
      <c r="I83" s="119"/>
      <c r="J83" s="121"/>
      <c r="K83" s="121"/>
    </row>
    <row r="84" spans="1:11" x14ac:dyDescent="0.25">
      <c r="A84" s="112"/>
      <c r="B84" s="117"/>
      <c r="C84" s="113"/>
      <c r="D84" s="114"/>
      <c r="F84" s="113"/>
      <c r="G84" s="114"/>
      <c r="H84" s="117"/>
      <c r="I84" s="112"/>
      <c r="J84" s="113"/>
      <c r="K84" s="113"/>
    </row>
    <row r="85" spans="1:11" x14ac:dyDescent="0.25">
      <c r="A85" s="112"/>
      <c r="B85" s="117"/>
      <c r="C85" s="113"/>
      <c r="D85" s="114"/>
      <c r="F85" s="113"/>
      <c r="G85" s="114"/>
      <c r="H85" s="117"/>
      <c r="I85" s="112"/>
      <c r="J85" s="113"/>
      <c r="K85" s="114"/>
    </row>
    <row r="86" spans="1:11" x14ac:dyDescent="0.25">
      <c r="A86" s="112"/>
      <c r="B86" s="119"/>
      <c r="D86" s="114"/>
      <c r="F86" s="114"/>
      <c r="G86" s="114"/>
      <c r="H86" s="117"/>
      <c r="I86" s="112"/>
      <c r="J86" s="113"/>
      <c r="K86" s="114"/>
    </row>
    <row r="87" spans="1:11" x14ac:dyDescent="0.25">
      <c r="A87" s="112"/>
      <c r="B87" s="119"/>
      <c r="D87" s="114"/>
      <c r="F87" s="114"/>
      <c r="G87" s="114"/>
      <c r="H87" s="117"/>
      <c r="I87" s="112"/>
      <c r="J87" s="113"/>
      <c r="K87" s="114"/>
    </row>
    <row r="88" spans="1:11" x14ac:dyDescent="0.25">
      <c r="A88" s="112"/>
      <c r="B88" s="119"/>
      <c r="D88" s="114"/>
      <c r="F88" s="114"/>
      <c r="G88" s="114"/>
      <c r="H88" s="117"/>
      <c r="I88" s="112"/>
      <c r="J88" s="113"/>
      <c r="K88" s="114"/>
    </row>
    <row r="89" spans="1:11" x14ac:dyDescent="0.25">
      <c r="A89" s="112"/>
      <c r="B89" s="119"/>
      <c r="D89" s="114"/>
      <c r="F89" s="114"/>
      <c r="G89" s="114"/>
      <c r="H89" s="117"/>
      <c r="I89" s="112"/>
      <c r="J89" s="113"/>
      <c r="K89" s="114"/>
    </row>
    <row r="90" spans="1:11" x14ac:dyDescent="0.25">
      <c r="A90" s="112"/>
      <c r="B90" s="117"/>
      <c r="D90" s="114"/>
      <c r="F90" s="119"/>
      <c r="G90" s="114"/>
      <c r="H90" s="117"/>
      <c r="I90" s="112"/>
      <c r="J90" s="113"/>
      <c r="K90" s="114"/>
    </row>
    <row r="91" spans="1:11" x14ac:dyDescent="0.25">
      <c r="A91" s="112"/>
      <c r="B91" s="117"/>
      <c r="D91" s="114"/>
      <c r="F91" s="119"/>
      <c r="G91" s="114"/>
      <c r="H91" s="117"/>
      <c r="I91" s="112"/>
      <c r="J91" s="113"/>
      <c r="K91" s="114"/>
    </row>
    <row r="92" spans="1:11" x14ac:dyDescent="0.25">
      <c r="A92" s="112"/>
      <c r="B92" s="117"/>
      <c r="D92" s="114"/>
      <c r="F92" s="119"/>
      <c r="G92" s="114"/>
      <c r="H92" s="117"/>
      <c r="I92" s="112"/>
      <c r="J92" s="113"/>
      <c r="K92" s="114"/>
    </row>
    <row r="93" spans="1:11" x14ac:dyDescent="0.25">
      <c r="A93" s="112"/>
      <c r="B93" s="117"/>
      <c r="D93" s="114"/>
      <c r="F93" s="119"/>
      <c r="G93" s="114"/>
      <c r="H93" s="117"/>
      <c r="I93" s="112"/>
      <c r="J93" s="113"/>
      <c r="K93" s="114"/>
    </row>
    <row r="94" spans="1:11" x14ac:dyDescent="0.25">
      <c r="A94" s="112"/>
      <c r="B94" s="117"/>
      <c r="D94" s="114"/>
      <c r="F94" s="119"/>
      <c r="G94" s="114"/>
      <c r="H94" s="117"/>
      <c r="I94" s="112"/>
      <c r="J94" s="113"/>
      <c r="K94" s="114"/>
    </row>
    <row r="95" spans="1:11" x14ac:dyDescent="0.25">
      <c r="A95" s="112"/>
      <c r="B95" s="117"/>
      <c r="D95" s="114"/>
      <c r="F95" s="119"/>
      <c r="G95" s="114"/>
      <c r="H95" s="117"/>
      <c r="I95" s="112"/>
      <c r="J95" s="113"/>
      <c r="K95" s="114"/>
    </row>
    <row r="96" spans="1:11" x14ac:dyDescent="0.25">
      <c r="A96" s="112"/>
      <c r="B96" s="117"/>
      <c r="D96" s="114"/>
      <c r="F96" s="119"/>
      <c r="G96" s="114"/>
      <c r="H96" s="117"/>
      <c r="I96" s="112"/>
      <c r="J96" s="113"/>
      <c r="K96" s="114"/>
    </row>
    <row r="97" spans="1:11" x14ac:dyDescent="0.25">
      <c r="A97" s="112"/>
      <c r="B97" s="117"/>
      <c r="D97" s="114"/>
      <c r="F97" s="119"/>
      <c r="G97" s="114"/>
      <c r="H97" s="117"/>
      <c r="I97" s="112"/>
      <c r="J97" s="113"/>
      <c r="K97" s="113"/>
    </row>
    <row r="98" spans="1:11" x14ac:dyDescent="0.25">
      <c r="A98" s="112"/>
      <c r="B98" s="117"/>
      <c r="D98" s="114"/>
      <c r="F98" s="119"/>
      <c r="G98" s="114"/>
    </row>
    <row r="99" spans="1:11" x14ac:dyDescent="0.25">
      <c r="A99" s="112"/>
      <c r="B99" s="117"/>
      <c r="D99" s="114"/>
      <c r="F99" s="119"/>
      <c r="G99" s="114"/>
    </row>
    <row r="100" spans="1:11" x14ac:dyDescent="0.25">
      <c r="A100" s="112"/>
      <c r="B100" s="117"/>
      <c r="D100" s="114"/>
      <c r="F100" s="119"/>
      <c r="G100" s="114"/>
    </row>
    <row r="101" spans="1:11" x14ac:dyDescent="0.25">
      <c r="A101" s="112"/>
      <c r="B101" s="117"/>
      <c r="D101" s="114"/>
      <c r="F101" s="119"/>
      <c r="G101" s="114"/>
    </row>
    <row r="102" spans="1:11" x14ac:dyDescent="0.25">
      <c r="A102" s="112"/>
      <c r="B102" s="117"/>
      <c r="D102" s="114"/>
      <c r="F102" s="119"/>
      <c r="G102" s="114"/>
    </row>
    <row r="103" spans="1:11" x14ac:dyDescent="0.25">
      <c r="A103" s="112"/>
      <c r="B103" s="112"/>
      <c r="D103" s="114"/>
      <c r="F103" s="119"/>
      <c r="G103" s="114"/>
    </row>
    <row r="104" spans="1:11" x14ac:dyDescent="0.25">
      <c r="A104" s="112"/>
      <c r="B104" s="112"/>
      <c r="D104" s="114"/>
      <c r="F104" s="119"/>
      <c r="G104" s="114"/>
    </row>
    <row r="105" spans="1:11" x14ac:dyDescent="0.25">
      <c r="A105" s="112"/>
      <c r="B105" s="112"/>
      <c r="D105" s="114"/>
      <c r="F105" s="119"/>
      <c r="G105" s="114"/>
    </row>
    <row r="106" spans="1:11" x14ac:dyDescent="0.25">
      <c r="A106" s="112"/>
      <c r="B106" s="112"/>
      <c r="D106" s="114"/>
      <c r="F106" s="119"/>
      <c r="G106" s="114"/>
    </row>
    <row r="107" spans="1:11" x14ac:dyDescent="0.25">
      <c r="A107" s="112"/>
      <c r="B107" s="112"/>
      <c r="D107" s="114"/>
      <c r="F107" s="119"/>
      <c r="G107" s="114"/>
    </row>
    <row r="108" spans="1:11" x14ac:dyDescent="0.25">
      <c r="A108" s="112"/>
      <c r="B108" s="112"/>
      <c r="D108" s="114"/>
      <c r="F108" s="119"/>
      <c r="G108" s="114"/>
    </row>
    <row r="109" spans="1:11" x14ac:dyDescent="0.25">
      <c r="A109" s="112"/>
      <c r="B109" s="112"/>
      <c r="D109" s="114"/>
      <c r="F109" s="119"/>
      <c r="G109" s="114"/>
    </row>
    <row r="110" spans="1:11" x14ac:dyDescent="0.25">
      <c r="A110" s="112"/>
      <c r="B110" s="112"/>
      <c r="D110" s="114"/>
      <c r="F110" s="119"/>
      <c r="G110" s="114"/>
    </row>
    <row r="111" spans="1:11" x14ac:dyDescent="0.25">
      <c r="A111" s="112"/>
      <c r="B111" s="112"/>
      <c r="D111" s="114"/>
      <c r="F111" s="119"/>
      <c r="G111" s="114"/>
    </row>
    <row r="112" spans="1:11" x14ac:dyDescent="0.25">
      <c r="A112" s="112"/>
      <c r="B112" s="112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A117" s="112"/>
      <c r="B117" s="112"/>
      <c r="D117" s="114"/>
      <c r="F117" s="119"/>
      <c r="G117" s="114"/>
    </row>
    <row r="118" spans="1:7" x14ac:dyDescent="0.25">
      <c r="A118" s="112"/>
      <c r="B118" s="112"/>
      <c r="D118" s="114"/>
      <c r="F118" s="119"/>
      <c r="G118" s="114"/>
    </row>
    <row r="119" spans="1:7" x14ac:dyDescent="0.25">
      <c r="A119" s="112"/>
      <c r="B119" s="112"/>
      <c r="D119" s="114"/>
      <c r="F119" s="119"/>
      <c r="G119" s="114"/>
    </row>
    <row r="120" spans="1:7" x14ac:dyDescent="0.25">
      <c r="A120" s="112"/>
      <c r="B120" s="112"/>
      <c r="D120" s="114"/>
      <c r="F120" s="119"/>
      <c r="G120" s="114"/>
    </row>
    <row r="121" spans="1:7" x14ac:dyDescent="0.25">
      <c r="A121" s="112"/>
      <c r="B121" s="112"/>
      <c r="D121" s="114"/>
      <c r="F121" s="119"/>
      <c r="G121" s="114"/>
    </row>
    <row r="122" spans="1:7" x14ac:dyDescent="0.25">
      <c r="A122" s="112"/>
      <c r="B122" s="112"/>
      <c r="D122" s="114"/>
      <c r="F122" s="119"/>
      <c r="G122" s="114"/>
    </row>
    <row r="123" spans="1:7" x14ac:dyDescent="0.25">
      <c r="A123" s="112"/>
      <c r="B123" s="112"/>
      <c r="D123" s="114"/>
      <c r="F123" s="119"/>
      <c r="G123" s="114"/>
    </row>
    <row r="124" spans="1:7" x14ac:dyDescent="0.25">
      <c r="F124" s="119"/>
      <c r="G124" s="114"/>
    </row>
    <row r="125" spans="1:7" x14ac:dyDescent="0.25">
      <c r="F125" s="119"/>
      <c r="G125" s="114"/>
    </row>
    <row r="126" spans="1:7" x14ac:dyDescent="0.25">
      <c r="F126" s="119"/>
      <c r="G126" s="114"/>
    </row>
    <row r="127" spans="1:7" x14ac:dyDescent="0.25">
      <c r="F127" s="119"/>
      <c r="G127" s="114"/>
    </row>
    <row r="128" spans="1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  <row r="134" spans="6:7" x14ac:dyDescent="0.25">
      <c r="F134" s="119"/>
      <c r="G134" s="114"/>
    </row>
    <row r="135" spans="6:7" x14ac:dyDescent="0.25">
      <c r="F135" s="119"/>
      <c r="G135" s="114"/>
    </row>
    <row r="136" spans="6:7" x14ac:dyDescent="0.25">
      <c r="F136" s="119"/>
      <c r="G136" s="114"/>
    </row>
    <row r="137" spans="6:7" x14ac:dyDescent="0.25">
      <c r="F137" s="119"/>
      <c r="G137" s="114"/>
    </row>
    <row r="138" spans="6:7" x14ac:dyDescent="0.25">
      <c r="F138" s="119"/>
      <c r="G138" s="114"/>
    </row>
    <row r="139" spans="6:7" x14ac:dyDescent="0.25">
      <c r="F139" s="119"/>
      <c r="G139" s="114"/>
    </row>
    <row r="140" spans="6:7" x14ac:dyDescent="0.25">
      <c r="F140" s="119"/>
      <c r="G140" s="114"/>
    </row>
    <row r="141" spans="6:7" x14ac:dyDescent="0.25">
      <c r="F141" s="119"/>
      <c r="G141" s="114"/>
    </row>
    <row r="142" spans="6:7" x14ac:dyDescent="0.25">
      <c r="F142" s="119"/>
      <c r="G142" s="114"/>
    </row>
    <row r="143" spans="6:7" x14ac:dyDescent="0.25">
      <c r="F143" s="119"/>
      <c r="G143" s="114"/>
    </row>
    <row r="144" spans="6:7" x14ac:dyDescent="0.25">
      <c r="F144" s="119"/>
      <c r="G144" s="114"/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136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132</v>
      </c>
    </row>
    <row r="6" spans="1:19" x14ac:dyDescent="0.25">
      <c r="A6" s="138">
        <f>B6+273.15</f>
        <v>973.15</v>
      </c>
      <c r="B6" s="148">
        <v>700</v>
      </c>
      <c r="C6" s="144"/>
      <c r="D6" s="157">
        <f>D12*D31</f>
        <v>1.8815447191011232E-3</v>
      </c>
    </row>
    <row r="7" spans="1:19" x14ac:dyDescent="0.25">
      <c r="A7" s="138">
        <f t="shared" ref="A7:A8" si="0">B7+273.15</f>
        <v>872.76789610570961</v>
      </c>
      <c r="B7" s="148">
        <v>599.61789610570963</v>
      </c>
      <c r="C7" s="144"/>
      <c r="D7" s="157">
        <f>D14*D32</f>
        <v>1.2057158878504673E-4</v>
      </c>
      <c r="H7" s="111" t="s">
        <v>18</v>
      </c>
    </row>
    <row r="8" spans="1:19" ht="16.5" thickBot="1" x14ac:dyDescent="0.3">
      <c r="A8" s="141">
        <f t="shared" si="0"/>
        <v>773.15</v>
      </c>
      <c r="B8" s="149">
        <v>500</v>
      </c>
      <c r="C8" s="129"/>
      <c r="D8" s="158">
        <f>D16*D33</f>
        <v>4.1984485690167414E-6</v>
      </c>
      <c r="G8" s="111">
        <v>1</v>
      </c>
      <c r="H8" s="35" t="s">
        <v>131</v>
      </c>
    </row>
    <row r="9" spans="1:19" ht="16.5" thickBot="1" x14ac:dyDescent="0.3">
      <c r="A9" s="112"/>
      <c r="B9" s="117"/>
      <c r="D9" s="119"/>
      <c r="G9" s="111">
        <v>2</v>
      </c>
      <c r="H9" s="35" t="s">
        <v>133</v>
      </c>
    </row>
    <row r="10" spans="1:19" ht="16.5" thickBot="1" x14ac:dyDescent="0.3">
      <c r="A10" s="133" t="s">
        <v>13</v>
      </c>
      <c r="B10" s="134"/>
      <c r="C10" s="134"/>
      <c r="D10" s="135"/>
    </row>
    <row r="11" spans="1:19" ht="19.5" thickBot="1" x14ac:dyDescent="0.3">
      <c r="A11" s="136" t="s">
        <v>16</v>
      </c>
      <c r="B11" s="115" t="s">
        <v>14</v>
      </c>
      <c r="C11" s="142"/>
      <c r="D11" s="137" t="s">
        <v>15</v>
      </c>
      <c r="H11" s="169" t="s">
        <v>184</v>
      </c>
    </row>
    <row r="12" spans="1:19" x14ac:dyDescent="0.25">
      <c r="A12" s="138">
        <f>B12+273.15</f>
        <v>973.15</v>
      </c>
      <c r="B12" s="148">
        <v>700</v>
      </c>
      <c r="C12" s="140"/>
      <c r="D12" s="155">
        <v>1.2899999999999999E-4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ref="A13:A18" si="1">B13+273.15</f>
        <v>923.15</v>
      </c>
      <c r="B13" s="148">
        <v>650</v>
      </c>
      <c r="C13" s="140"/>
      <c r="D13" s="155">
        <f>(3*10^-50)*(B13^16.09)</f>
        <v>5.4562864600134194E-5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si="1"/>
        <v>873.15</v>
      </c>
      <c r="B14" s="148">
        <v>600</v>
      </c>
      <c r="C14" s="140"/>
      <c r="D14" s="155">
        <v>1.4800000000000001E-5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1"/>
        <v>823.15</v>
      </c>
      <c r="B15" s="148">
        <v>550</v>
      </c>
      <c r="C15" s="140"/>
      <c r="D15" s="155">
        <f>(3*10^-50)*(B15^16.09)</f>
        <v>3.7115637864586801E-6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1"/>
        <v>772.8572532653219</v>
      </c>
      <c r="B16" s="148">
        <v>499.70725326532192</v>
      </c>
      <c r="C16" s="140"/>
      <c r="D16" s="155">
        <v>1.065E-6</v>
      </c>
    </row>
    <row r="17" spans="1:12" x14ac:dyDescent="0.25">
      <c r="A17" s="138">
        <f t="shared" si="1"/>
        <v>723.15</v>
      </c>
      <c r="B17" s="148">
        <v>450</v>
      </c>
      <c r="C17" s="140"/>
      <c r="D17" s="155">
        <v>2.9799999999999999E-7</v>
      </c>
    </row>
    <row r="18" spans="1:12" ht="15.75" thickBot="1" x14ac:dyDescent="0.3">
      <c r="A18" s="141">
        <f t="shared" si="1"/>
        <v>673.17401548300234</v>
      </c>
      <c r="B18" s="149">
        <v>400.02401548300236</v>
      </c>
      <c r="C18" s="130"/>
      <c r="D18" s="156">
        <v>9.5844000000000001E-9</v>
      </c>
    </row>
    <row r="19" spans="1:12" ht="15.75" thickBot="1" x14ac:dyDescent="0.3"/>
    <row r="20" spans="1:12" ht="15.75" x14ac:dyDescent="0.25">
      <c r="A20" s="133" t="s">
        <v>19</v>
      </c>
      <c r="B20" s="134"/>
      <c r="C20" s="134"/>
      <c r="D20" s="135"/>
      <c r="G20" s="119"/>
      <c r="H20" s="119"/>
    </row>
    <row r="21" spans="1:12" ht="47.25" x14ac:dyDescent="0.25">
      <c r="A21" s="136" t="s">
        <v>16</v>
      </c>
      <c r="B21" s="115" t="s">
        <v>14</v>
      </c>
      <c r="C21" s="142" t="s">
        <v>109</v>
      </c>
      <c r="D21" s="143" t="s">
        <v>35</v>
      </c>
      <c r="G21" s="119"/>
      <c r="H21" s="114"/>
    </row>
    <row r="22" spans="1:12" x14ac:dyDescent="0.25">
      <c r="A22" s="138">
        <f>B22+273.15</f>
        <v>973.15</v>
      </c>
      <c r="B22" s="148">
        <v>700</v>
      </c>
      <c r="C22" s="140">
        <f>'BSCF,Bucher (Solid State Ionics'!H45</f>
        <v>6.6297650130548308E-2</v>
      </c>
      <c r="D22" s="157">
        <f>($C$2*$A$2*A22)/(4*($E$2^2)*C22*D12)</f>
        <v>2.5393887798973381E-2</v>
      </c>
      <c r="G22" s="119"/>
      <c r="H22" s="114"/>
      <c r="K22" s="118"/>
      <c r="L22" s="118"/>
    </row>
    <row r="23" spans="1:12" x14ac:dyDescent="0.25">
      <c r="A23" s="138">
        <f t="shared" ref="A23:A26" si="2">B23+273.15</f>
        <v>872.76789610570961</v>
      </c>
      <c r="B23" s="148">
        <v>599.61789610570963</v>
      </c>
      <c r="C23" s="140">
        <v>7.0002323759791124E-2</v>
      </c>
      <c r="D23" s="157">
        <f>($C$2*$A$2*A23)/(4*($E$2^2)*C23*D14)</f>
        <v>0.18800172998735257</v>
      </c>
      <c r="G23" s="119"/>
      <c r="H23" s="114"/>
      <c r="J23" s="113"/>
      <c r="K23" s="113"/>
      <c r="L23" s="113"/>
    </row>
    <row r="24" spans="1:12" x14ac:dyDescent="0.25">
      <c r="A24" s="138">
        <f t="shared" si="2"/>
        <v>773.15</v>
      </c>
      <c r="B24" s="148">
        <v>500</v>
      </c>
      <c r="C24" s="140">
        <v>7.0607049608355094E-2</v>
      </c>
      <c r="D24" s="157">
        <f>($C$2*$A$2*A24)/(4*($E$2^2)*C24*D16)</f>
        <v>2.2945807359058699</v>
      </c>
      <c r="G24" s="119"/>
      <c r="H24" s="114"/>
      <c r="J24" s="113"/>
      <c r="K24" s="113"/>
      <c r="L24" s="113"/>
    </row>
    <row r="25" spans="1:12" x14ac:dyDescent="0.25">
      <c r="A25" s="138">
        <f t="shared" si="2"/>
        <v>723.15</v>
      </c>
      <c r="B25" s="148">
        <v>450</v>
      </c>
      <c r="C25" s="140">
        <v>7.0947061111808679E-2</v>
      </c>
      <c r="D25" s="157">
        <f>($C$2*$A$2*A25)/(4*($E$2^2)*C25*D17)</f>
        <v>7.6333464079120281</v>
      </c>
      <c r="G25" s="119"/>
      <c r="H25" s="114"/>
      <c r="J25" s="113"/>
      <c r="K25" s="113"/>
      <c r="L25" s="113"/>
    </row>
    <row r="26" spans="1:12" ht="15.75" thickBot="1" x14ac:dyDescent="0.3">
      <c r="A26" s="141">
        <f t="shared" si="2"/>
        <v>673.15588944087665</v>
      </c>
      <c r="B26" s="149">
        <v>400.00588944087667</v>
      </c>
      <c r="C26" s="130">
        <v>7.1164490861618801E-2</v>
      </c>
      <c r="D26" s="158">
        <f>($C$2*$A$2*A26)/(4*($E$2^2)*C26*D18)</f>
        <v>220.25441765303484</v>
      </c>
      <c r="G26" s="119"/>
      <c r="H26" s="114"/>
    </row>
    <row r="27" spans="1:12" x14ac:dyDescent="0.25">
      <c r="A27" s="112"/>
      <c r="B27" s="117"/>
      <c r="C27" s="113"/>
      <c r="D27" s="114"/>
      <c r="G27" s="119"/>
      <c r="H27" s="114"/>
    </row>
    <row r="28" spans="1:12" s="126" customFormat="1" ht="15.75" thickBot="1" x14ac:dyDescent="0.3">
      <c r="D28" s="129"/>
      <c r="G28" s="128"/>
      <c r="H28" s="129"/>
    </row>
    <row r="29" spans="1:12" ht="60" x14ac:dyDescent="0.25">
      <c r="A29" s="118" t="s">
        <v>26</v>
      </c>
      <c r="D29" s="114"/>
      <c r="G29" s="119"/>
      <c r="H29" s="114"/>
    </row>
    <row r="30" spans="1:12" ht="45" x14ac:dyDescent="0.25">
      <c r="A30" s="111" t="s">
        <v>16</v>
      </c>
      <c r="B30" s="111" t="s">
        <v>14</v>
      </c>
      <c r="C30" s="118" t="s">
        <v>134</v>
      </c>
      <c r="D30" s="118" t="s">
        <v>40</v>
      </c>
      <c r="F30" s="119" t="s">
        <v>16</v>
      </c>
      <c r="G30" s="119" t="s">
        <v>14</v>
      </c>
      <c r="H30" s="119" t="s">
        <v>97</v>
      </c>
      <c r="I30" s="121" t="s">
        <v>117</v>
      </c>
      <c r="J30" s="119" t="s">
        <v>99</v>
      </c>
      <c r="K30" s="118"/>
    </row>
    <row r="31" spans="1:12" x14ac:dyDescent="0.25">
      <c r="A31" s="112">
        <f>B31+273.15</f>
        <v>973.15</v>
      </c>
      <c r="B31" s="111">
        <v>700</v>
      </c>
      <c r="C31" s="113">
        <f>'BSCF,Bucher (Solid State Ionics'!C60</f>
        <v>1.1287999999999999E-5</v>
      </c>
      <c r="D31" s="114">
        <f>C31/J31</f>
        <v>14.585617977528088</v>
      </c>
      <c r="F31" s="117">
        <f>G31+273.15</f>
        <v>973.15</v>
      </c>
      <c r="G31" s="117">
        <v>700</v>
      </c>
      <c r="H31" s="114">
        <v>5.3399999999999999E-7</v>
      </c>
      <c r="I31" s="111">
        <v>0.69</v>
      </c>
      <c r="J31" s="113">
        <f>H31/I31</f>
        <v>7.7391304347826095E-7</v>
      </c>
      <c r="K31" s="114"/>
    </row>
    <row r="32" spans="1:12" x14ac:dyDescent="0.25">
      <c r="A32" s="112">
        <f t="shared" ref="A32:A33" si="3">B32+273.15</f>
        <v>873.15</v>
      </c>
      <c r="B32" s="111">
        <v>600</v>
      </c>
      <c r="C32" s="113">
        <f>'BSCF,Bucher (Solid State Ionics'!C64</f>
        <v>3.7900000000000001E-6</v>
      </c>
      <c r="D32" s="114">
        <f>C32/J32</f>
        <v>8.1467289719626166</v>
      </c>
      <c r="F32" s="117">
        <f t="shared" ref="F32:F35" si="4">G32+273.15</f>
        <v>872.76789610570961</v>
      </c>
      <c r="G32" s="112">
        <v>599.61789610570963</v>
      </c>
      <c r="H32" s="114">
        <v>3.2099999999999998E-7</v>
      </c>
      <c r="I32" s="111">
        <v>0.69</v>
      </c>
      <c r="J32" s="113">
        <f t="shared" ref="J32:J35" si="5">H32/I32</f>
        <v>4.6521739130434782E-7</v>
      </c>
      <c r="K32" s="114"/>
    </row>
    <row r="33" spans="1:11" x14ac:dyDescent="0.25">
      <c r="A33" s="112">
        <f t="shared" si="3"/>
        <v>773.15</v>
      </c>
      <c r="B33" s="111">
        <v>500</v>
      </c>
      <c r="C33" s="113">
        <f>'BSCF,Bucher (Solid State Ionics'!C68</f>
        <v>6.9131425032459126E-7</v>
      </c>
      <c r="D33" s="114">
        <f>C33/J33</f>
        <v>3.9422052291237013</v>
      </c>
      <c r="F33" s="117">
        <f t="shared" si="4"/>
        <v>773.15</v>
      </c>
      <c r="G33" s="112">
        <v>500</v>
      </c>
      <c r="H33" s="114">
        <v>1.2100000000000001E-7</v>
      </c>
      <c r="I33" s="111">
        <v>0.69</v>
      </c>
      <c r="J33" s="113">
        <f t="shared" si="5"/>
        <v>1.7536231884057974E-7</v>
      </c>
      <c r="K33" s="114"/>
    </row>
    <row r="34" spans="1:11" x14ac:dyDescent="0.25">
      <c r="A34" s="112"/>
      <c r="C34" s="113"/>
      <c r="D34" s="114"/>
      <c r="F34" s="117">
        <f t="shared" si="4"/>
        <v>723.15</v>
      </c>
      <c r="G34" s="112">
        <v>450</v>
      </c>
      <c r="H34" s="114">
        <v>7.2699999999999996E-8</v>
      </c>
      <c r="I34" s="111">
        <v>0.69</v>
      </c>
      <c r="J34" s="113">
        <f t="shared" si="5"/>
        <v>1.0536231884057971E-7</v>
      </c>
      <c r="K34" s="114"/>
    </row>
    <row r="35" spans="1:11" x14ac:dyDescent="0.25">
      <c r="A35" s="112"/>
      <c r="C35" s="113"/>
      <c r="D35" s="114"/>
      <c r="F35" s="117">
        <f t="shared" si="4"/>
        <v>673.15588944087665</v>
      </c>
      <c r="G35" s="112">
        <v>400.00588944087667</v>
      </c>
      <c r="H35" s="114">
        <v>4.3700000000000001E-8</v>
      </c>
      <c r="I35" s="111">
        <v>0.69</v>
      </c>
      <c r="J35" s="113">
        <f t="shared" si="5"/>
        <v>6.3333333333333345E-8</v>
      </c>
      <c r="K35" s="114"/>
    </row>
    <row r="36" spans="1:11" x14ac:dyDescent="0.25">
      <c r="A36" s="112"/>
      <c r="C36" s="113"/>
      <c r="D36" s="114"/>
      <c r="G36" s="114"/>
      <c r="H36" s="117"/>
      <c r="I36" s="119"/>
      <c r="K36" s="114"/>
    </row>
    <row r="37" spans="1:11" x14ac:dyDescent="0.25">
      <c r="A37" s="112"/>
      <c r="C37" s="113"/>
      <c r="D37" s="114"/>
      <c r="F37" s="113"/>
      <c r="G37" s="114"/>
      <c r="H37" s="117"/>
      <c r="I37" s="119"/>
      <c r="J37" s="114"/>
      <c r="K37" s="114"/>
    </row>
    <row r="38" spans="1:11" x14ac:dyDescent="0.25">
      <c r="A38" s="112"/>
      <c r="B38" s="112"/>
      <c r="C38" s="114"/>
      <c r="D38" s="114"/>
      <c r="F38" s="113"/>
      <c r="G38" s="114"/>
      <c r="H38" s="117"/>
      <c r="I38" s="119"/>
      <c r="J38" s="114"/>
    </row>
    <row r="39" spans="1:11" x14ac:dyDescent="0.25">
      <c r="A39" s="112"/>
      <c r="B39" s="112"/>
      <c r="C39" s="114"/>
      <c r="D39" s="114"/>
      <c r="F39" s="113"/>
      <c r="G39" s="114"/>
      <c r="H39" s="117"/>
      <c r="I39" s="119"/>
      <c r="J39" s="114"/>
    </row>
    <row r="40" spans="1:11" x14ac:dyDescent="0.25">
      <c r="A40" s="112"/>
      <c r="B40" s="112"/>
      <c r="C40" s="113"/>
      <c r="D40" s="114"/>
      <c r="F40" s="113"/>
      <c r="H40" s="117"/>
      <c r="I40" s="119"/>
      <c r="J40" s="114"/>
    </row>
    <row r="41" spans="1:11" x14ac:dyDescent="0.25">
      <c r="A41" s="112"/>
      <c r="B41" s="112"/>
      <c r="C41" s="113"/>
      <c r="D41" s="114"/>
      <c r="F41" s="113"/>
      <c r="H41" s="117"/>
      <c r="I41" s="119"/>
      <c r="J41" s="114"/>
    </row>
    <row r="42" spans="1:11" x14ac:dyDescent="0.25">
      <c r="A42" s="112"/>
      <c r="B42" s="112"/>
      <c r="C42" s="113"/>
      <c r="D42" s="114"/>
      <c r="F42" s="113"/>
      <c r="H42" s="117"/>
      <c r="J42" s="114"/>
    </row>
    <row r="43" spans="1:11" x14ac:dyDescent="0.25">
      <c r="A43" s="112"/>
      <c r="B43" s="112"/>
      <c r="C43" s="113"/>
      <c r="D43" s="114"/>
      <c r="F43" s="113"/>
      <c r="G43" s="114"/>
      <c r="H43" s="117"/>
      <c r="J43" s="114"/>
    </row>
    <row r="44" spans="1:11" x14ac:dyDescent="0.25">
      <c r="A44" s="112"/>
      <c r="B44" s="112"/>
      <c r="C44" s="113"/>
      <c r="D44" s="114"/>
      <c r="F44" s="113"/>
      <c r="G44" s="114"/>
      <c r="H44" s="114"/>
    </row>
    <row r="45" spans="1:11" x14ac:dyDescent="0.25">
      <c r="A45" s="112"/>
      <c r="B45" s="112"/>
      <c r="C45" s="113"/>
      <c r="D45" s="114"/>
      <c r="F45" s="113"/>
      <c r="G45" s="114"/>
      <c r="H45" s="114"/>
    </row>
    <row r="46" spans="1:11" x14ac:dyDescent="0.25">
      <c r="A46" s="112"/>
      <c r="B46" s="112"/>
      <c r="C46" s="113"/>
      <c r="D46" s="114"/>
      <c r="F46" s="113"/>
      <c r="G46" s="114"/>
      <c r="H46" s="114"/>
    </row>
    <row r="47" spans="1:11" x14ac:dyDescent="0.25">
      <c r="A47" s="112"/>
      <c r="B47" s="112"/>
      <c r="C47" s="113"/>
      <c r="D47" s="114"/>
      <c r="F47" s="113"/>
      <c r="G47" s="114"/>
    </row>
    <row r="48" spans="1:11" x14ac:dyDescent="0.25">
      <c r="A48" s="112"/>
      <c r="B48" s="112"/>
      <c r="C48" s="113"/>
      <c r="D48" s="114"/>
      <c r="F48" s="113"/>
      <c r="G48" s="114"/>
    </row>
    <row r="49" spans="1:11" x14ac:dyDescent="0.25">
      <c r="A49" s="112"/>
      <c r="B49" s="117"/>
      <c r="C49" s="113"/>
      <c r="D49" s="114"/>
      <c r="F49" s="113"/>
      <c r="G49" s="114"/>
    </row>
    <row r="50" spans="1:11" x14ac:dyDescent="0.25">
      <c r="A50" s="112"/>
      <c r="B50" s="117"/>
      <c r="C50" s="113"/>
      <c r="D50" s="114"/>
      <c r="F50" s="113"/>
      <c r="G50" s="114"/>
    </row>
    <row r="51" spans="1:11" x14ac:dyDescent="0.25">
      <c r="A51" s="112"/>
      <c r="B51" s="117"/>
      <c r="C51" s="113"/>
      <c r="D51" s="114"/>
      <c r="F51" s="113"/>
      <c r="G51" s="114"/>
    </row>
    <row r="52" spans="1:11" x14ac:dyDescent="0.25">
      <c r="A52" s="112"/>
      <c r="B52" s="117"/>
      <c r="C52" s="113"/>
      <c r="D52" s="114"/>
      <c r="F52" s="113"/>
      <c r="G52" s="114"/>
    </row>
    <row r="53" spans="1:11" x14ac:dyDescent="0.25">
      <c r="A53" s="112"/>
      <c r="B53" s="117"/>
      <c r="C53" s="113"/>
      <c r="D53" s="114"/>
      <c r="F53" s="113"/>
      <c r="G53" s="114"/>
    </row>
    <row r="54" spans="1:11" x14ac:dyDescent="0.25">
      <c r="A54" s="112"/>
      <c r="B54" s="117"/>
      <c r="C54" s="113"/>
      <c r="D54" s="114"/>
      <c r="F54" s="113"/>
      <c r="G54" s="114"/>
    </row>
    <row r="55" spans="1:11" x14ac:dyDescent="0.25">
      <c r="A55" s="112"/>
      <c r="B55" s="117"/>
      <c r="C55" s="113"/>
      <c r="D55" s="114"/>
      <c r="F55" s="113"/>
      <c r="G55" s="114"/>
    </row>
    <row r="56" spans="1:11" x14ac:dyDescent="0.25">
      <c r="A56" s="112"/>
      <c r="B56" s="117"/>
      <c r="C56" s="113"/>
      <c r="D56" s="114"/>
      <c r="F56" s="113"/>
      <c r="G56" s="114"/>
    </row>
    <row r="57" spans="1:11" x14ac:dyDescent="0.25">
      <c r="A57" s="112"/>
      <c r="B57" s="117"/>
      <c r="C57" s="113"/>
      <c r="D57" s="114"/>
      <c r="F57" s="113"/>
      <c r="G57" s="114"/>
    </row>
    <row r="58" spans="1:11" x14ac:dyDescent="0.25">
      <c r="A58" s="112"/>
      <c r="B58" s="117"/>
      <c r="C58" s="113"/>
      <c r="D58" s="114"/>
      <c r="F58" s="113"/>
      <c r="G58" s="114"/>
    </row>
    <row r="59" spans="1:11" x14ac:dyDescent="0.25">
      <c r="A59" s="112"/>
      <c r="B59" s="117"/>
      <c r="C59" s="113"/>
      <c r="D59" s="114"/>
      <c r="F59" s="113"/>
      <c r="G59" s="114"/>
      <c r="H59" s="114"/>
    </row>
    <row r="60" spans="1:11" x14ac:dyDescent="0.25">
      <c r="A60" s="112"/>
      <c r="B60" s="117"/>
      <c r="C60" s="113"/>
      <c r="D60" s="114"/>
      <c r="F60" s="113"/>
      <c r="G60" s="114"/>
      <c r="H60" s="119"/>
      <c r="I60" s="119"/>
      <c r="J60" s="119"/>
      <c r="K60" s="119"/>
    </row>
    <row r="61" spans="1:11" x14ac:dyDescent="0.25">
      <c r="A61" s="112"/>
      <c r="B61" s="117"/>
      <c r="C61" s="113"/>
      <c r="D61" s="114"/>
      <c r="F61" s="113"/>
      <c r="G61" s="114"/>
      <c r="H61" s="117"/>
      <c r="I61" s="112"/>
      <c r="J61" s="113"/>
      <c r="K61" s="113"/>
    </row>
    <row r="62" spans="1:11" x14ac:dyDescent="0.25">
      <c r="A62" s="112"/>
      <c r="B62" s="117"/>
      <c r="C62" s="113"/>
      <c r="D62" s="114"/>
      <c r="F62" s="113"/>
      <c r="G62" s="114"/>
      <c r="H62" s="117"/>
      <c r="I62" s="112"/>
      <c r="J62" s="113"/>
      <c r="K62" s="113"/>
    </row>
    <row r="63" spans="1:11" x14ac:dyDescent="0.25">
      <c r="A63" s="112"/>
      <c r="B63" s="117"/>
      <c r="C63" s="113"/>
      <c r="D63" s="114"/>
      <c r="F63" s="113"/>
      <c r="G63" s="114"/>
      <c r="H63" s="117"/>
      <c r="I63" s="112"/>
      <c r="J63" s="113"/>
      <c r="K63" s="113"/>
    </row>
    <row r="64" spans="1:11" x14ac:dyDescent="0.25">
      <c r="A64" s="112"/>
      <c r="B64" s="117"/>
      <c r="C64" s="113"/>
      <c r="D64" s="114"/>
      <c r="F64" s="113"/>
      <c r="G64" s="114"/>
      <c r="H64" s="117"/>
      <c r="I64" s="112"/>
      <c r="J64" s="113"/>
      <c r="K64" s="113"/>
    </row>
    <row r="65" spans="1:11" x14ac:dyDescent="0.25">
      <c r="A65" s="112"/>
      <c r="B65" s="117"/>
      <c r="C65" s="113"/>
      <c r="D65" s="114"/>
      <c r="F65" s="113"/>
      <c r="G65" s="114"/>
      <c r="H65" s="117"/>
      <c r="I65" s="112"/>
      <c r="J65" s="113"/>
      <c r="K65" s="113"/>
    </row>
    <row r="66" spans="1:11" x14ac:dyDescent="0.25">
      <c r="A66" s="112"/>
      <c r="B66" s="117"/>
      <c r="C66" s="113"/>
      <c r="D66" s="114"/>
      <c r="F66" s="113"/>
      <c r="G66" s="114"/>
      <c r="H66" s="117"/>
      <c r="I66" s="112"/>
      <c r="J66" s="113"/>
      <c r="K66" s="113"/>
    </row>
    <row r="67" spans="1:11" x14ac:dyDescent="0.25">
      <c r="A67" s="112"/>
      <c r="B67" s="117"/>
      <c r="C67" s="113"/>
      <c r="D67" s="114"/>
      <c r="F67" s="113"/>
      <c r="G67" s="114"/>
      <c r="H67" s="117"/>
      <c r="I67" s="112"/>
      <c r="J67" s="113"/>
      <c r="K67" s="113"/>
    </row>
    <row r="68" spans="1:11" x14ac:dyDescent="0.25">
      <c r="A68" s="112"/>
      <c r="B68" s="117"/>
      <c r="C68" s="113"/>
      <c r="D68" s="114"/>
      <c r="F68" s="113"/>
      <c r="G68" s="114"/>
      <c r="H68" s="117"/>
      <c r="I68" s="112"/>
      <c r="J68" s="113"/>
      <c r="K68" s="113"/>
    </row>
    <row r="69" spans="1:11" x14ac:dyDescent="0.25">
      <c r="A69" s="112"/>
      <c r="B69" s="117"/>
      <c r="C69" s="113"/>
      <c r="D69" s="114"/>
      <c r="F69" s="113"/>
      <c r="G69" s="114"/>
      <c r="H69" s="117"/>
      <c r="I69" s="112"/>
      <c r="J69" s="113"/>
      <c r="K69" s="113"/>
    </row>
    <row r="70" spans="1:11" x14ac:dyDescent="0.25">
      <c r="A70" s="112"/>
      <c r="B70" s="117"/>
      <c r="C70" s="113"/>
      <c r="D70" s="114"/>
      <c r="F70" s="113"/>
      <c r="G70" s="114"/>
      <c r="H70" s="117"/>
      <c r="I70" s="112"/>
      <c r="J70" s="113"/>
      <c r="K70" s="113"/>
    </row>
    <row r="71" spans="1:11" x14ac:dyDescent="0.25">
      <c r="A71" s="112"/>
      <c r="B71" s="117"/>
      <c r="C71" s="113"/>
      <c r="D71" s="114"/>
      <c r="F71" s="113"/>
      <c r="G71" s="114"/>
      <c r="H71" s="114"/>
    </row>
    <row r="72" spans="1:11" x14ac:dyDescent="0.25">
      <c r="A72" s="112"/>
      <c r="B72" s="117"/>
      <c r="C72" s="113"/>
      <c r="D72" s="114"/>
      <c r="F72" s="113"/>
      <c r="G72" s="114"/>
      <c r="H72" s="119"/>
      <c r="I72" s="119"/>
      <c r="J72" s="121"/>
      <c r="K72" s="121"/>
    </row>
    <row r="73" spans="1:11" x14ac:dyDescent="0.25">
      <c r="A73" s="112"/>
      <c r="B73" s="117"/>
      <c r="C73" s="113"/>
      <c r="D73" s="114"/>
      <c r="F73" s="113"/>
      <c r="G73" s="114"/>
      <c r="H73" s="117"/>
      <c r="I73" s="112"/>
      <c r="J73" s="113"/>
      <c r="K73" s="113"/>
    </row>
    <row r="74" spans="1:11" x14ac:dyDescent="0.25">
      <c r="A74" s="112"/>
      <c r="B74" s="117"/>
      <c r="C74" s="113"/>
      <c r="D74" s="114"/>
      <c r="F74" s="113"/>
      <c r="G74" s="114"/>
      <c r="H74" s="117"/>
      <c r="I74" s="112"/>
      <c r="J74" s="113"/>
      <c r="K74" s="114"/>
    </row>
    <row r="75" spans="1:11" x14ac:dyDescent="0.25">
      <c r="A75" s="112"/>
      <c r="B75" s="119"/>
      <c r="D75" s="114"/>
      <c r="F75" s="114"/>
      <c r="G75" s="114"/>
      <c r="H75" s="117"/>
      <c r="I75" s="112"/>
      <c r="J75" s="113"/>
      <c r="K75" s="114"/>
    </row>
    <row r="76" spans="1:11" x14ac:dyDescent="0.25">
      <c r="A76" s="112"/>
      <c r="B76" s="119"/>
      <c r="D76" s="114"/>
      <c r="F76" s="114"/>
      <c r="G76" s="114"/>
      <c r="H76" s="117"/>
      <c r="I76" s="112"/>
      <c r="J76" s="113"/>
      <c r="K76" s="114"/>
    </row>
    <row r="77" spans="1:11" x14ac:dyDescent="0.25">
      <c r="A77" s="112"/>
      <c r="B77" s="119"/>
      <c r="D77" s="114"/>
      <c r="F77" s="114"/>
      <c r="G77" s="114"/>
      <c r="H77" s="117"/>
      <c r="I77" s="112"/>
      <c r="J77" s="113"/>
      <c r="K77" s="114"/>
    </row>
    <row r="78" spans="1:11" x14ac:dyDescent="0.25">
      <c r="A78" s="112"/>
      <c r="B78" s="119"/>
      <c r="D78" s="114"/>
      <c r="F78" s="114"/>
      <c r="G78" s="114"/>
      <c r="H78" s="117"/>
      <c r="I78" s="112"/>
      <c r="J78" s="113"/>
      <c r="K78" s="114"/>
    </row>
    <row r="79" spans="1:11" x14ac:dyDescent="0.25">
      <c r="A79" s="112"/>
      <c r="B79" s="117"/>
      <c r="D79" s="114"/>
      <c r="F79" s="119"/>
      <c r="G79" s="114"/>
      <c r="H79" s="117"/>
      <c r="I79" s="112"/>
      <c r="J79" s="113"/>
      <c r="K79" s="114"/>
    </row>
    <row r="80" spans="1:11" x14ac:dyDescent="0.25">
      <c r="A80" s="112"/>
      <c r="B80" s="117"/>
      <c r="D80" s="114"/>
      <c r="F80" s="119"/>
      <c r="G80" s="114"/>
      <c r="H80" s="117"/>
      <c r="I80" s="112"/>
      <c r="J80" s="113"/>
      <c r="K80" s="114"/>
    </row>
    <row r="81" spans="1:11" x14ac:dyDescent="0.25">
      <c r="A81" s="112"/>
      <c r="B81" s="117"/>
      <c r="D81" s="114"/>
      <c r="F81" s="119"/>
      <c r="G81" s="114"/>
      <c r="H81" s="117"/>
      <c r="I81" s="112"/>
      <c r="J81" s="113"/>
      <c r="K81" s="114"/>
    </row>
    <row r="82" spans="1:11" x14ac:dyDescent="0.25">
      <c r="A82" s="112"/>
      <c r="B82" s="117"/>
      <c r="D82" s="114"/>
      <c r="F82" s="119"/>
      <c r="G82" s="114"/>
      <c r="H82" s="117"/>
      <c r="I82" s="112"/>
      <c r="J82" s="113"/>
      <c r="K82" s="114"/>
    </row>
    <row r="83" spans="1:11" x14ac:dyDescent="0.25">
      <c r="A83" s="112"/>
      <c r="B83" s="117"/>
      <c r="D83" s="114"/>
      <c r="F83" s="119"/>
      <c r="G83" s="114"/>
      <c r="H83" s="117"/>
      <c r="I83" s="112"/>
      <c r="J83" s="113"/>
      <c r="K83" s="114"/>
    </row>
    <row r="84" spans="1:11" x14ac:dyDescent="0.25">
      <c r="A84" s="112"/>
      <c r="B84" s="117"/>
      <c r="D84" s="114"/>
      <c r="F84" s="119"/>
      <c r="G84" s="114"/>
      <c r="H84" s="117"/>
      <c r="I84" s="112"/>
      <c r="J84" s="113"/>
      <c r="K84" s="114"/>
    </row>
    <row r="85" spans="1:11" x14ac:dyDescent="0.25">
      <c r="A85" s="112"/>
      <c r="B85" s="117"/>
      <c r="D85" s="114"/>
      <c r="F85" s="119"/>
      <c r="G85" s="114"/>
      <c r="H85" s="117"/>
      <c r="I85" s="112"/>
      <c r="J85" s="113"/>
      <c r="K85" s="114"/>
    </row>
    <row r="86" spans="1:11" x14ac:dyDescent="0.25">
      <c r="A86" s="112"/>
      <c r="B86" s="117"/>
      <c r="D86" s="114"/>
      <c r="F86" s="119"/>
      <c r="G86" s="114"/>
      <c r="H86" s="117"/>
      <c r="I86" s="112"/>
      <c r="J86" s="113"/>
      <c r="K86" s="113"/>
    </row>
    <row r="87" spans="1:11" x14ac:dyDescent="0.25">
      <c r="A87" s="112"/>
      <c r="B87" s="117"/>
      <c r="D87" s="114"/>
      <c r="F87" s="119"/>
      <c r="G87" s="114"/>
    </row>
    <row r="88" spans="1:11" x14ac:dyDescent="0.25">
      <c r="A88" s="112"/>
      <c r="B88" s="117"/>
      <c r="D88" s="114"/>
      <c r="F88" s="119"/>
      <c r="G88" s="114"/>
    </row>
    <row r="89" spans="1:11" x14ac:dyDescent="0.25">
      <c r="A89" s="112"/>
      <c r="B89" s="117"/>
      <c r="D89" s="114"/>
      <c r="F89" s="119"/>
      <c r="G89" s="114"/>
    </row>
    <row r="90" spans="1:11" x14ac:dyDescent="0.25">
      <c r="A90" s="112"/>
      <c r="B90" s="117"/>
      <c r="D90" s="114"/>
      <c r="F90" s="119"/>
      <c r="G90" s="114"/>
    </row>
    <row r="91" spans="1:11" x14ac:dyDescent="0.25">
      <c r="A91" s="112"/>
      <c r="B91" s="117"/>
      <c r="D91" s="114"/>
      <c r="F91" s="119"/>
      <c r="G91" s="114"/>
    </row>
    <row r="92" spans="1:11" x14ac:dyDescent="0.25">
      <c r="A92" s="112"/>
      <c r="B92" s="112"/>
      <c r="D92" s="114"/>
      <c r="F92" s="119"/>
      <c r="G92" s="114"/>
    </row>
    <row r="93" spans="1:11" x14ac:dyDescent="0.25">
      <c r="A93" s="112"/>
      <c r="B93" s="112"/>
      <c r="D93" s="114"/>
      <c r="F93" s="119"/>
      <c r="G93" s="114"/>
    </row>
    <row r="94" spans="1:11" x14ac:dyDescent="0.25">
      <c r="A94" s="112"/>
      <c r="B94" s="112"/>
      <c r="D94" s="114"/>
      <c r="F94" s="119"/>
      <c r="G94" s="114"/>
    </row>
    <row r="95" spans="1:11" x14ac:dyDescent="0.25">
      <c r="A95" s="112"/>
      <c r="B95" s="112"/>
      <c r="D95" s="114"/>
      <c r="F95" s="119"/>
      <c r="G95" s="114"/>
    </row>
    <row r="96" spans="1:11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A111" s="112"/>
      <c r="B111" s="112"/>
      <c r="D111" s="114"/>
      <c r="F111" s="119"/>
      <c r="G111" s="114"/>
    </row>
    <row r="112" spans="1:7" x14ac:dyDescent="0.25">
      <c r="A112" s="112"/>
      <c r="B112" s="112"/>
      <c r="D112" s="114"/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  <row r="122" spans="6:7" x14ac:dyDescent="0.25">
      <c r="F122" s="119"/>
      <c r="G122" s="114"/>
    </row>
    <row r="123" spans="6:7" x14ac:dyDescent="0.25">
      <c r="F123" s="119"/>
      <c r="G123" s="114"/>
    </row>
    <row r="124" spans="6:7" x14ac:dyDescent="0.25">
      <c r="F124" s="119"/>
      <c r="G124" s="114"/>
    </row>
    <row r="125" spans="6:7" x14ac:dyDescent="0.25">
      <c r="F125" s="119"/>
      <c r="G125" s="114"/>
    </row>
    <row r="126" spans="6:7" x14ac:dyDescent="0.25">
      <c r="F126" s="119"/>
      <c r="G126" s="114"/>
    </row>
    <row r="127" spans="6:7" x14ac:dyDescent="0.25">
      <c r="F127" s="119"/>
      <c r="G127" s="114"/>
    </row>
    <row r="128" spans="6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51"/>
  <sheetViews>
    <sheetView workbookViewId="0">
      <selection activeCell="F20" sqref="F20"/>
    </sheetView>
  </sheetViews>
  <sheetFormatPr defaultRowHeight="15" x14ac:dyDescent="0.25"/>
  <cols>
    <col min="1" max="1" width="18.28515625" style="46" bestFit="1" customWidth="1"/>
    <col min="2" max="2" width="16.42578125" style="46" bestFit="1" customWidth="1"/>
    <col min="3" max="3" width="20" style="46" bestFit="1" customWidth="1"/>
    <col min="4" max="4" width="16.5703125" style="46" customWidth="1"/>
    <col min="5" max="5" width="18" style="46" bestFit="1" customWidth="1"/>
    <col min="6" max="6" width="16.42578125" style="46" bestFit="1" customWidth="1"/>
    <col min="7" max="7" width="16.28515625" style="46" bestFit="1" customWidth="1"/>
    <col min="8" max="8" width="16.42578125" style="46" bestFit="1" customWidth="1"/>
    <col min="9" max="9" width="26.140625" style="46" bestFit="1" customWidth="1"/>
    <col min="10" max="10" width="16.140625" style="46" customWidth="1"/>
    <col min="11" max="16384" width="9.140625" style="46"/>
  </cols>
  <sheetData>
    <row r="1" spans="1:19" x14ac:dyDescent="0.25">
      <c r="A1" s="46" t="s">
        <v>1</v>
      </c>
      <c r="C1" s="46" t="s">
        <v>3</v>
      </c>
      <c r="E1" s="46" t="s">
        <v>6</v>
      </c>
      <c r="H1" s="46" t="s">
        <v>12</v>
      </c>
    </row>
    <row r="2" spans="1:19" ht="17.25" x14ac:dyDescent="0.25">
      <c r="A2" s="50">
        <v>6.0219999999999996E+23</v>
      </c>
      <c r="B2" s="51" t="s">
        <v>2</v>
      </c>
      <c r="C2" s="50">
        <v>1.3800000000000001E-23</v>
      </c>
      <c r="D2" s="50" t="s">
        <v>4</v>
      </c>
      <c r="E2" s="93">
        <v>96485.331999999995</v>
      </c>
      <c r="F2" s="46" t="s">
        <v>7</v>
      </c>
      <c r="H2" s="46" t="s">
        <v>42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/>
      <c r="D5" s="137" t="s">
        <v>9</v>
      </c>
      <c r="H5" s="35" t="s">
        <v>36</v>
      </c>
    </row>
    <row r="6" spans="1:19" x14ac:dyDescent="0.25">
      <c r="A6" s="138">
        <f>B6+273.15</f>
        <v>797.92615799831606</v>
      </c>
      <c r="B6" s="139">
        <v>524.77615799831608</v>
      </c>
      <c r="C6" s="115"/>
      <c r="D6" s="163">
        <v>1.0404E-6</v>
      </c>
    </row>
    <row r="7" spans="1:19" x14ac:dyDescent="0.25">
      <c r="A7" s="138">
        <f t="shared" ref="A7:A8" si="0">B7+273.15</f>
        <v>772.66884842593834</v>
      </c>
      <c r="B7" s="139">
        <v>499.51884842593836</v>
      </c>
      <c r="C7" s="115"/>
      <c r="D7" s="163">
        <v>4.7030000000000002E-7</v>
      </c>
      <c r="H7" s="46" t="s">
        <v>18</v>
      </c>
    </row>
    <row r="8" spans="1:19" ht="16.5" thickBot="1" x14ac:dyDescent="0.3">
      <c r="A8" s="141">
        <f t="shared" si="0"/>
        <v>747.98483535544801</v>
      </c>
      <c r="B8" s="131">
        <v>474.83483535544804</v>
      </c>
      <c r="C8" s="126"/>
      <c r="D8" s="164">
        <v>1.7433E-7</v>
      </c>
      <c r="G8" s="46">
        <v>1</v>
      </c>
      <c r="H8" s="2" t="s">
        <v>28</v>
      </c>
    </row>
    <row r="9" spans="1:19" ht="15.75" thickBot="1" x14ac:dyDescent="0.3"/>
    <row r="10" spans="1:19" ht="16.5" thickBot="1" x14ac:dyDescent="0.3">
      <c r="A10" s="133" t="s">
        <v>13</v>
      </c>
      <c r="B10" s="134"/>
      <c r="C10" s="134"/>
      <c r="D10" s="135"/>
    </row>
    <row r="11" spans="1:19" ht="75.75" thickBot="1" x14ac:dyDescent="0.3">
      <c r="A11" s="136" t="s">
        <v>16</v>
      </c>
      <c r="B11" s="115" t="s">
        <v>14</v>
      </c>
      <c r="C11" s="142" t="s">
        <v>37</v>
      </c>
      <c r="D11" s="137" t="s">
        <v>15</v>
      </c>
      <c r="H11" s="169" t="s">
        <v>184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25">
      <c r="A12" s="138">
        <f>B12+273.15</f>
        <v>797.92615799831606</v>
      </c>
      <c r="B12" s="139">
        <v>524.77615799831608</v>
      </c>
      <c r="C12" s="140">
        <f>'LSF,Sogaard (Solid State Chem)'!J50</f>
        <v>603.5277015782716</v>
      </c>
      <c r="D12" s="157">
        <f>D6/C12</f>
        <v>1.7238645339381666E-9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ref="A13:A14" si="1">B13+273.15</f>
        <v>772.66884842593834</v>
      </c>
      <c r="B13" s="139">
        <v>499.51884842593836</v>
      </c>
      <c r="C13" s="140">
        <f>'LSF,Sogaard (Solid State Chem)'!J51</f>
        <v>686.96341444955533</v>
      </c>
      <c r="D13" s="157">
        <f>D7/C13</f>
        <v>6.8460705491403545E-10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thickBot="1" x14ac:dyDescent="0.3">
      <c r="A14" s="141">
        <f t="shared" si="1"/>
        <v>747.98483535544801</v>
      </c>
      <c r="B14" s="131">
        <v>474.83483535544804</v>
      </c>
      <c r="C14" s="130">
        <f>'LSF,Sogaard (Solid State Chem)'!J52</f>
        <v>787.14575929737975</v>
      </c>
      <c r="D14" s="158">
        <f>D8/C14</f>
        <v>2.2147105277631177E-10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47"/>
      <c r="B15" s="47"/>
      <c r="D15" s="49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x14ac:dyDescent="0.25">
      <c r="A16" s="133" t="s">
        <v>19</v>
      </c>
      <c r="B16" s="134"/>
      <c r="C16" s="134"/>
      <c r="D16" s="135"/>
    </row>
    <row r="17" spans="1:10" ht="47.25" x14ac:dyDescent="0.25">
      <c r="A17" s="136" t="s">
        <v>16</v>
      </c>
      <c r="B17" s="115" t="s">
        <v>14</v>
      </c>
      <c r="C17" s="142" t="s">
        <v>21</v>
      </c>
      <c r="D17" s="143" t="s">
        <v>35</v>
      </c>
    </row>
    <row r="18" spans="1:10" x14ac:dyDescent="0.25">
      <c r="A18" s="138">
        <f>B18+273.15</f>
        <v>797.92615799831606</v>
      </c>
      <c r="B18" s="139">
        <v>524.77615799831608</v>
      </c>
      <c r="C18" s="140">
        <f>'LSF,Sogaard (Solid State Chem)'!E52</f>
        <v>6.0594723102735254E-2</v>
      </c>
      <c r="D18" s="157">
        <f>($C$2*A18*$A$2)/(4*($E$2^2)*$C18*D12)</f>
        <v>1704.7551757941171</v>
      </c>
    </row>
    <row r="19" spans="1:10" x14ac:dyDescent="0.25">
      <c r="A19" s="138">
        <f t="shared" ref="A19:A20" si="2">B19+273.15</f>
        <v>772.66884842593834</v>
      </c>
      <c r="B19" s="139">
        <v>499.51884842593836</v>
      </c>
      <c r="C19" s="140">
        <f>'LSF,Sogaard (Solid State Chem)'!E53</f>
        <v>5.8508040553202807E-2</v>
      </c>
      <c r="D19" s="157">
        <f>($C$2*A19*$A$2)/(4*($E$2^2)*$C19*D13)</f>
        <v>4305.0057349522376</v>
      </c>
    </row>
    <row r="20" spans="1:10" ht="15.75" thickBot="1" x14ac:dyDescent="0.3">
      <c r="A20" s="141">
        <f t="shared" si="2"/>
        <v>747.98483535544801</v>
      </c>
      <c r="B20" s="131">
        <v>474.83483535544804</v>
      </c>
      <c r="C20" s="130">
        <f>'LSF,Sogaard (Solid State Chem)'!E54</f>
        <v>5.6424826421267754E-2</v>
      </c>
      <c r="D20" s="158">
        <f>($C$2*A20*$A$2)/(4*($E$2^2)*$C20*D14)</f>
        <v>13358.043283141795</v>
      </c>
    </row>
    <row r="21" spans="1:10" x14ac:dyDescent="0.25">
      <c r="A21" s="47"/>
      <c r="B21" s="47"/>
      <c r="C21" s="49"/>
      <c r="D21" s="48"/>
    </row>
    <row r="22" spans="1:10" x14ac:dyDescent="0.25">
      <c r="A22" s="47"/>
      <c r="B22" s="47"/>
      <c r="C22" s="49"/>
      <c r="D22" s="48"/>
    </row>
    <row r="25" spans="1:10" x14ac:dyDescent="0.25">
      <c r="A25" s="52"/>
    </row>
    <row r="26" spans="1:10" x14ac:dyDescent="0.25">
      <c r="E26" s="52"/>
      <c r="J26" s="52"/>
    </row>
    <row r="27" spans="1:10" x14ac:dyDescent="0.25">
      <c r="A27" s="11"/>
      <c r="C27" s="48"/>
      <c r="D27" s="48"/>
      <c r="E27" s="48"/>
      <c r="G27" s="47"/>
      <c r="I27" s="48"/>
      <c r="J27" s="48"/>
    </row>
    <row r="28" spans="1:10" x14ac:dyDescent="0.25">
      <c r="A28" s="11"/>
      <c r="C28" s="48"/>
      <c r="D28" s="48"/>
      <c r="E28" s="48"/>
      <c r="G28" s="47"/>
      <c r="I28" s="48"/>
      <c r="J28" s="48"/>
    </row>
    <row r="29" spans="1:10" x14ac:dyDescent="0.25">
      <c r="A29" s="11"/>
      <c r="C29" s="48"/>
      <c r="D29" s="48"/>
      <c r="E29" s="48"/>
      <c r="G29" s="47"/>
      <c r="I29" s="48"/>
      <c r="J29" s="48"/>
    </row>
    <row r="30" spans="1:10" x14ac:dyDescent="0.25">
      <c r="A30" s="11"/>
      <c r="C30" s="48"/>
      <c r="D30" s="48"/>
      <c r="E30" s="48"/>
      <c r="G30" s="47"/>
      <c r="I30" s="48"/>
      <c r="J30" s="48"/>
    </row>
    <row r="31" spans="1:10" x14ac:dyDescent="0.25">
      <c r="A31" s="11"/>
      <c r="C31" s="48"/>
      <c r="D31" s="48"/>
      <c r="E31" s="48"/>
      <c r="G31" s="47"/>
      <c r="I31" s="48"/>
      <c r="J31" s="48"/>
    </row>
    <row r="32" spans="1:10" x14ac:dyDescent="0.25">
      <c r="A32" s="11"/>
      <c r="C32" s="48"/>
      <c r="D32" s="48"/>
      <c r="E32" s="48"/>
      <c r="G32" s="47"/>
      <c r="I32" s="48"/>
      <c r="J32" s="48"/>
    </row>
    <row r="33" spans="1:10" x14ac:dyDescent="0.25">
      <c r="A33" s="11"/>
      <c r="C33" s="48"/>
      <c r="D33" s="48"/>
      <c r="E33" s="48"/>
      <c r="G33" s="47"/>
      <c r="I33" s="48"/>
      <c r="J33" s="48"/>
    </row>
    <row r="34" spans="1:10" x14ac:dyDescent="0.25">
      <c r="A34" s="11"/>
      <c r="C34" s="48"/>
      <c r="D34" s="48"/>
      <c r="E34" s="48"/>
      <c r="G34" s="47"/>
      <c r="I34" s="48"/>
      <c r="J34" s="48"/>
    </row>
    <row r="35" spans="1:10" x14ac:dyDescent="0.25">
      <c r="A35" s="11"/>
      <c r="C35" s="48"/>
      <c r="D35" s="48"/>
      <c r="E35" s="48"/>
      <c r="G35" s="47"/>
      <c r="I35" s="48"/>
      <c r="J35" s="48"/>
    </row>
    <row r="36" spans="1:10" x14ac:dyDescent="0.25">
      <c r="A36" s="11"/>
      <c r="C36" s="48"/>
      <c r="D36" s="48"/>
      <c r="E36" s="48"/>
      <c r="G36" s="47"/>
      <c r="I36" s="48"/>
      <c r="J36" s="48"/>
    </row>
    <row r="37" spans="1:10" x14ac:dyDescent="0.25">
      <c r="A37" s="11"/>
      <c r="C37" s="48"/>
      <c r="D37" s="48"/>
      <c r="E37" s="48"/>
      <c r="G37" s="47"/>
      <c r="I37" s="48"/>
      <c r="J37" s="48"/>
    </row>
    <row r="38" spans="1:10" x14ac:dyDescent="0.25">
      <c r="A38" s="11"/>
      <c r="C38" s="48"/>
      <c r="D38" s="48"/>
      <c r="E38" s="48"/>
      <c r="G38" s="47"/>
      <c r="I38" s="48"/>
      <c r="J38" s="48"/>
    </row>
    <row r="39" spans="1:10" x14ac:dyDescent="0.25">
      <c r="A39" s="11"/>
      <c r="C39" s="48"/>
      <c r="D39" s="48"/>
      <c r="E39" s="48"/>
      <c r="G39" s="47"/>
      <c r="I39" s="48"/>
      <c r="J39" s="48"/>
    </row>
    <row r="40" spans="1:10" x14ac:dyDescent="0.25">
      <c r="A40" s="11"/>
      <c r="C40" s="48"/>
      <c r="D40" s="48"/>
      <c r="E40" s="48"/>
      <c r="G40" s="47"/>
      <c r="I40" s="48"/>
      <c r="J40" s="48"/>
    </row>
    <row r="41" spans="1:10" x14ac:dyDescent="0.25">
      <c r="A41" s="11"/>
      <c r="C41" s="48"/>
      <c r="D41" s="48"/>
      <c r="E41" s="48"/>
      <c r="G41" s="47"/>
      <c r="I41" s="48"/>
      <c r="J41" s="48"/>
    </row>
    <row r="42" spans="1:10" x14ac:dyDescent="0.25">
      <c r="A42" s="11"/>
      <c r="C42" s="48"/>
      <c r="D42" s="48"/>
      <c r="E42" s="48"/>
      <c r="G42" s="47"/>
      <c r="I42" s="48"/>
      <c r="J42" s="48"/>
    </row>
    <row r="43" spans="1:10" x14ac:dyDescent="0.25">
      <c r="A43" s="11"/>
      <c r="C43" s="48"/>
      <c r="D43" s="48"/>
      <c r="E43" s="48"/>
      <c r="G43" s="47"/>
      <c r="I43" s="48"/>
      <c r="J43" s="48"/>
    </row>
    <row r="44" spans="1:10" x14ac:dyDescent="0.25">
      <c r="A44" s="11"/>
      <c r="C44" s="48"/>
      <c r="D44" s="48"/>
      <c r="E44" s="48"/>
      <c r="G44" s="47"/>
      <c r="I44" s="48"/>
      <c r="J44" s="48"/>
    </row>
    <row r="45" spans="1:10" x14ac:dyDescent="0.25">
      <c r="A45" s="11"/>
      <c r="C45" s="48"/>
      <c r="D45" s="48"/>
      <c r="E45" s="48"/>
      <c r="G45" s="47"/>
      <c r="I45" s="48"/>
      <c r="J45" s="48"/>
    </row>
    <row r="46" spans="1:10" x14ac:dyDescent="0.25">
      <c r="A46" s="11"/>
      <c r="C46" s="48"/>
      <c r="D46" s="48"/>
      <c r="E46" s="48"/>
      <c r="G46" s="47"/>
      <c r="I46" s="48"/>
      <c r="J46" s="48"/>
    </row>
    <row r="47" spans="1:10" x14ac:dyDescent="0.25">
      <c r="A47" s="11"/>
      <c r="C47" s="48"/>
      <c r="D47" s="48"/>
      <c r="E47" s="48"/>
      <c r="G47" s="47"/>
      <c r="I47" s="48"/>
      <c r="J47" s="48"/>
    </row>
    <row r="48" spans="1:10" x14ac:dyDescent="0.25">
      <c r="A48" s="11"/>
      <c r="C48" s="48"/>
      <c r="D48" s="48"/>
      <c r="E48" s="48"/>
    </row>
    <row r="49" spans="1:5" x14ac:dyDescent="0.25">
      <c r="A49" s="11"/>
      <c r="C49" s="48"/>
      <c r="D49" s="48"/>
      <c r="E49" s="48"/>
    </row>
    <row r="50" spans="1:5" x14ac:dyDescent="0.25">
      <c r="A50" s="11"/>
      <c r="C50" s="48"/>
      <c r="D50" s="48"/>
      <c r="E50" s="48"/>
    </row>
    <row r="51" spans="1:5" x14ac:dyDescent="0.25">
      <c r="A51" s="11"/>
      <c r="C51" s="48"/>
      <c r="D51" s="48"/>
      <c r="E51" s="48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138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137</v>
      </c>
    </row>
    <row r="6" spans="1:19" ht="15.75" thickBot="1" x14ac:dyDescent="0.3">
      <c r="A6" s="141">
        <f>B6+273.15</f>
        <v>873.15</v>
      </c>
      <c r="B6" s="149">
        <v>600</v>
      </c>
      <c r="C6" s="129"/>
      <c r="D6" s="154">
        <v>5.0000000000000002E-5</v>
      </c>
    </row>
    <row r="7" spans="1:19" x14ac:dyDescent="0.25">
      <c r="A7" s="112"/>
      <c r="B7" s="117"/>
      <c r="C7" s="114"/>
      <c r="D7" s="114"/>
      <c r="H7" s="111" t="s">
        <v>18</v>
      </c>
    </row>
    <row r="8" spans="1:19" ht="16.5" thickBot="1" x14ac:dyDescent="0.3">
      <c r="A8" s="112"/>
      <c r="B8" s="117"/>
      <c r="C8" s="114"/>
      <c r="D8" s="114"/>
      <c r="G8" s="111">
        <v>1</v>
      </c>
      <c r="H8" s="35" t="s">
        <v>131</v>
      </c>
    </row>
    <row r="9" spans="1:19" ht="15.75" x14ac:dyDescent="0.25">
      <c r="A9" s="133" t="s">
        <v>13</v>
      </c>
      <c r="B9" s="134"/>
      <c r="C9" s="134"/>
      <c r="D9" s="135"/>
    </row>
    <row r="10" spans="1:19" ht="75.75" thickBot="1" x14ac:dyDescent="0.3">
      <c r="A10" s="136" t="s">
        <v>16</v>
      </c>
      <c r="B10" s="115" t="s">
        <v>14</v>
      </c>
      <c r="C10" s="142" t="s">
        <v>37</v>
      </c>
      <c r="D10" s="137" t="s">
        <v>15</v>
      </c>
    </row>
    <row r="11" spans="1:19" ht="19.5" thickBot="1" x14ac:dyDescent="0.3">
      <c r="A11" s="141">
        <f>B11+273.15</f>
        <v>873.15</v>
      </c>
      <c r="B11" s="149">
        <v>600</v>
      </c>
      <c r="C11" s="130">
        <f>'BSCF,Bucher (Solid State Ionics'!C47</f>
        <v>125</v>
      </c>
      <c r="D11" s="158">
        <f>D6/C11</f>
        <v>4.0000000000000003E-7</v>
      </c>
      <c r="H11" s="169" t="s">
        <v>184</v>
      </c>
    </row>
    <row r="12" spans="1:19" ht="15.75" thickBot="1" x14ac:dyDescent="0.3"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19</v>
      </c>
      <c r="B13" s="134"/>
      <c r="C13" s="134"/>
      <c r="D13" s="135"/>
      <c r="G13" s="119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47.25" x14ac:dyDescent="0.25">
      <c r="A14" s="136" t="s">
        <v>16</v>
      </c>
      <c r="B14" s="115" t="s">
        <v>14</v>
      </c>
      <c r="C14" s="142" t="s">
        <v>111</v>
      </c>
      <c r="D14" s="143" t="s">
        <v>35</v>
      </c>
      <c r="G14" s="119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>B15+273.15</f>
        <v>873.15</v>
      </c>
      <c r="B15" s="149">
        <v>600</v>
      </c>
      <c r="C15" s="130">
        <f>'BSCF,Bucher (Solid State Ionics'!H47</f>
        <v>6.6843342036553524E-2</v>
      </c>
      <c r="D15" s="158">
        <f>($C$2*$A$2*A15)/(4*($E$2^2)*C15*D11)</f>
        <v>7.2879933299206989</v>
      </c>
      <c r="G15" s="119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D16" s="114"/>
      <c r="G16" s="119"/>
      <c r="H16" s="114"/>
    </row>
    <row r="17" spans="1:11" x14ac:dyDescent="0.25">
      <c r="A17" s="118"/>
      <c r="D17" s="114"/>
      <c r="G17" s="119"/>
      <c r="H17" s="114"/>
    </row>
    <row r="18" spans="1:11" x14ac:dyDescent="0.25">
      <c r="C18" s="118"/>
      <c r="D18" s="118"/>
      <c r="F18" s="119"/>
      <c r="G18" s="119"/>
      <c r="H18" s="119"/>
      <c r="I18" s="121"/>
      <c r="J18" s="119"/>
      <c r="K18" s="118"/>
    </row>
    <row r="19" spans="1:11" x14ac:dyDescent="0.25">
      <c r="A19" s="112"/>
      <c r="C19" s="113"/>
      <c r="D19" s="114"/>
      <c r="F19" s="117"/>
      <c r="G19" s="117"/>
      <c r="H19" s="114"/>
      <c r="J19" s="113"/>
      <c r="K19" s="114"/>
    </row>
    <row r="20" spans="1:11" x14ac:dyDescent="0.25">
      <c r="A20" s="112"/>
      <c r="C20" s="113"/>
      <c r="D20" s="114"/>
      <c r="F20" s="117"/>
      <c r="G20" s="112"/>
      <c r="H20" s="114"/>
      <c r="J20" s="113"/>
      <c r="K20" s="114"/>
    </row>
    <row r="21" spans="1:11" x14ac:dyDescent="0.25">
      <c r="A21" s="112"/>
      <c r="C21" s="113"/>
      <c r="D21" s="114"/>
      <c r="F21" s="117"/>
      <c r="G21" s="112"/>
      <c r="H21" s="114"/>
      <c r="J21" s="113"/>
      <c r="K21" s="114"/>
    </row>
    <row r="22" spans="1:11" x14ac:dyDescent="0.25">
      <c r="A22" s="112"/>
      <c r="C22" s="113"/>
      <c r="D22" s="114"/>
      <c r="F22" s="117"/>
      <c r="G22" s="112"/>
      <c r="H22" s="114"/>
      <c r="J22" s="113"/>
      <c r="K22" s="114"/>
    </row>
    <row r="23" spans="1:11" x14ac:dyDescent="0.25">
      <c r="A23" s="112"/>
      <c r="C23" s="113"/>
      <c r="D23" s="114"/>
      <c r="F23" s="117"/>
      <c r="G23" s="112"/>
      <c r="H23" s="114"/>
      <c r="J23" s="113"/>
      <c r="K23" s="114"/>
    </row>
    <row r="24" spans="1:11" x14ac:dyDescent="0.25">
      <c r="A24" s="112"/>
      <c r="C24" s="113"/>
      <c r="D24" s="114"/>
      <c r="G24" s="114"/>
      <c r="H24" s="117"/>
      <c r="I24" s="119"/>
      <c r="K24" s="114"/>
    </row>
    <row r="25" spans="1:11" x14ac:dyDescent="0.25">
      <c r="A25" s="112"/>
      <c r="C25" s="113"/>
      <c r="D25" s="114"/>
      <c r="F25" s="113"/>
      <c r="G25" s="114"/>
      <c r="H25" s="117"/>
      <c r="I25" s="119"/>
      <c r="J25" s="114"/>
      <c r="K25" s="114"/>
    </row>
    <row r="26" spans="1:11" x14ac:dyDescent="0.25">
      <c r="A26" s="112"/>
      <c r="B26" s="112"/>
      <c r="C26" s="114"/>
      <c r="D26" s="114"/>
      <c r="F26" s="113"/>
      <c r="G26" s="114"/>
      <c r="H26" s="117"/>
      <c r="I26" s="119"/>
      <c r="J26" s="114"/>
    </row>
    <row r="27" spans="1:11" x14ac:dyDescent="0.25">
      <c r="A27" s="112"/>
      <c r="B27" s="112"/>
      <c r="C27" s="114"/>
      <c r="D27" s="114"/>
      <c r="F27" s="113"/>
      <c r="G27" s="114"/>
      <c r="H27" s="117"/>
      <c r="I27" s="119"/>
      <c r="J27" s="114"/>
    </row>
    <row r="28" spans="1:11" x14ac:dyDescent="0.25">
      <c r="A28" s="112"/>
      <c r="B28" s="112"/>
      <c r="C28" s="113"/>
      <c r="D28" s="114"/>
      <c r="F28" s="113"/>
      <c r="H28" s="117"/>
      <c r="I28" s="119"/>
      <c r="J28" s="114"/>
    </row>
    <row r="29" spans="1:11" x14ac:dyDescent="0.25">
      <c r="A29" s="112"/>
      <c r="B29" s="112"/>
      <c r="C29" s="113"/>
      <c r="D29" s="114"/>
      <c r="F29" s="113"/>
      <c r="H29" s="117"/>
      <c r="I29" s="119"/>
      <c r="J29" s="114"/>
    </row>
    <row r="30" spans="1:11" x14ac:dyDescent="0.25">
      <c r="A30" s="112"/>
      <c r="B30" s="112"/>
      <c r="C30" s="113"/>
      <c r="D30" s="114"/>
      <c r="F30" s="113"/>
      <c r="H30" s="117"/>
      <c r="J30" s="114"/>
    </row>
    <row r="31" spans="1:11" x14ac:dyDescent="0.25">
      <c r="A31" s="112"/>
      <c r="B31" s="112"/>
      <c r="C31" s="113"/>
      <c r="D31" s="114"/>
      <c r="F31" s="113"/>
      <c r="G31" s="114"/>
      <c r="H31" s="117"/>
      <c r="J31" s="114"/>
    </row>
    <row r="32" spans="1:11" x14ac:dyDescent="0.25">
      <c r="A32" s="112"/>
      <c r="B32" s="112"/>
      <c r="C32" s="113"/>
      <c r="D32" s="114"/>
      <c r="F32" s="113"/>
      <c r="G32" s="114"/>
      <c r="H32" s="114"/>
    </row>
    <row r="33" spans="1:11" x14ac:dyDescent="0.25">
      <c r="A33" s="112"/>
      <c r="B33" s="112"/>
      <c r="C33" s="113"/>
      <c r="D33" s="114"/>
      <c r="F33" s="113"/>
      <c r="G33" s="114"/>
      <c r="H33" s="114"/>
    </row>
    <row r="34" spans="1:11" x14ac:dyDescent="0.25">
      <c r="A34" s="112"/>
      <c r="B34" s="112"/>
      <c r="C34" s="113"/>
      <c r="D34" s="114"/>
      <c r="F34" s="113"/>
      <c r="G34" s="114"/>
      <c r="H34" s="114"/>
    </row>
    <row r="35" spans="1:11" x14ac:dyDescent="0.25">
      <c r="A35" s="112"/>
      <c r="B35" s="112"/>
      <c r="C35" s="113"/>
      <c r="D35" s="114"/>
      <c r="F35" s="113"/>
      <c r="G35" s="114"/>
    </row>
    <row r="36" spans="1:11" x14ac:dyDescent="0.25">
      <c r="A36" s="112"/>
      <c r="B36" s="112"/>
      <c r="C36" s="113"/>
      <c r="D36" s="114"/>
      <c r="F36" s="113"/>
      <c r="G36" s="114"/>
    </row>
    <row r="37" spans="1:11" x14ac:dyDescent="0.25">
      <c r="A37" s="112"/>
      <c r="B37" s="117"/>
      <c r="C37" s="113"/>
      <c r="D37" s="114"/>
      <c r="F37" s="113"/>
      <c r="G37" s="114"/>
    </row>
    <row r="38" spans="1:11" x14ac:dyDescent="0.25">
      <c r="A38" s="112"/>
      <c r="B38" s="117"/>
      <c r="C38" s="113"/>
      <c r="D38" s="114"/>
      <c r="F38" s="113"/>
      <c r="G38" s="114"/>
    </row>
    <row r="39" spans="1:11" x14ac:dyDescent="0.25">
      <c r="A39" s="112"/>
      <c r="B39" s="117"/>
      <c r="C39" s="113"/>
      <c r="D39" s="114"/>
      <c r="F39" s="113"/>
      <c r="G39" s="114"/>
    </row>
    <row r="40" spans="1:11" x14ac:dyDescent="0.25">
      <c r="A40" s="112"/>
      <c r="B40" s="117"/>
      <c r="C40" s="113"/>
      <c r="D40" s="114"/>
      <c r="F40" s="113"/>
      <c r="G40" s="114"/>
    </row>
    <row r="41" spans="1:11" x14ac:dyDescent="0.25">
      <c r="A41" s="112"/>
      <c r="B41" s="117"/>
      <c r="C41" s="113"/>
      <c r="D41" s="114"/>
      <c r="F41" s="113"/>
      <c r="G41" s="114"/>
    </row>
    <row r="42" spans="1:11" x14ac:dyDescent="0.25">
      <c r="A42" s="112"/>
      <c r="B42" s="117"/>
      <c r="C42" s="113"/>
      <c r="D42" s="114"/>
      <c r="F42" s="113"/>
      <c r="G42" s="114"/>
    </row>
    <row r="43" spans="1:11" x14ac:dyDescent="0.25">
      <c r="A43" s="112"/>
      <c r="B43" s="117"/>
      <c r="C43" s="113"/>
      <c r="D43" s="114"/>
      <c r="F43" s="113"/>
      <c r="G43" s="114"/>
    </row>
    <row r="44" spans="1:11" x14ac:dyDescent="0.25">
      <c r="A44" s="112"/>
      <c r="B44" s="117"/>
      <c r="C44" s="113"/>
      <c r="D44" s="114"/>
      <c r="F44" s="113"/>
      <c r="G44" s="114"/>
    </row>
    <row r="45" spans="1:11" x14ac:dyDescent="0.25">
      <c r="A45" s="112"/>
      <c r="B45" s="117"/>
      <c r="C45" s="113"/>
      <c r="D45" s="114"/>
      <c r="F45" s="113"/>
      <c r="G45" s="114"/>
    </row>
    <row r="46" spans="1:11" x14ac:dyDescent="0.25">
      <c r="A46" s="112"/>
      <c r="B46" s="117"/>
      <c r="C46" s="113"/>
      <c r="D46" s="114"/>
      <c r="F46" s="113"/>
      <c r="G46" s="114"/>
    </row>
    <row r="47" spans="1:11" x14ac:dyDescent="0.25">
      <c r="A47" s="112"/>
      <c r="B47" s="117"/>
      <c r="C47" s="113"/>
      <c r="D47" s="114"/>
      <c r="F47" s="113"/>
      <c r="G47" s="114"/>
      <c r="H47" s="114"/>
    </row>
    <row r="48" spans="1:11" x14ac:dyDescent="0.25">
      <c r="A48" s="112"/>
      <c r="B48" s="117"/>
      <c r="C48" s="113"/>
      <c r="D48" s="114"/>
      <c r="F48" s="113"/>
      <c r="G48" s="114"/>
      <c r="H48" s="119"/>
      <c r="I48" s="119"/>
      <c r="J48" s="119"/>
      <c r="K48" s="119"/>
    </row>
    <row r="49" spans="1:11" x14ac:dyDescent="0.25">
      <c r="A49" s="112"/>
      <c r="B49" s="117"/>
      <c r="C49" s="113"/>
      <c r="D49" s="114"/>
      <c r="F49" s="113"/>
      <c r="G49" s="114"/>
      <c r="H49" s="117"/>
      <c r="I49" s="112"/>
      <c r="J49" s="113"/>
      <c r="K49" s="113"/>
    </row>
    <row r="50" spans="1:11" x14ac:dyDescent="0.25">
      <c r="A50" s="112"/>
      <c r="B50" s="117"/>
      <c r="C50" s="113"/>
      <c r="D50" s="114"/>
      <c r="F50" s="113"/>
      <c r="G50" s="114"/>
      <c r="H50" s="117"/>
      <c r="I50" s="112"/>
      <c r="J50" s="113"/>
      <c r="K50" s="113"/>
    </row>
    <row r="51" spans="1:11" x14ac:dyDescent="0.25">
      <c r="A51" s="112"/>
      <c r="B51" s="117"/>
      <c r="C51" s="113"/>
      <c r="D51" s="114"/>
      <c r="F51" s="113"/>
      <c r="G51" s="114"/>
      <c r="H51" s="117"/>
      <c r="I51" s="112"/>
      <c r="J51" s="113"/>
      <c r="K51" s="113"/>
    </row>
    <row r="52" spans="1:11" x14ac:dyDescent="0.25">
      <c r="A52" s="112"/>
      <c r="B52" s="117"/>
      <c r="C52" s="113"/>
      <c r="D52" s="114"/>
      <c r="F52" s="113"/>
      <c r="G52" s="114"/>
      <c r="H52" s="117"/>
      <c r="I52" s="112"/>
      <c r="J52" s="113"/>
      <c r="K52" s="113"/>
    </row>
    <row r="53" spans="1:11" x14ac:dyDescent="0.25">
      <c r="A53" s="112"/>
      <c r="B53" s="117"/>
      <c r="C53" s="113"/>
      <c r="D53" s="114"/>
      <c r="F53" s="113"/>
      <c r="G53" s="114"/>
      <c r="H53" s="117"/>
      <c r="I53" s="112"/>
      <c r="J53" s="113"/>
      <c r="K53" s="113"/>
    </row>
    <row r="54" spans="1:11" x14ac:dyDescent="0.25">
      <c r="A54" s="112"/>
      <c r="B54" s="117"/>
      <c r="C54" s="113"/>
      <c r="D54" s="114"/>
      <c r="F54" s="113"/>
      <c r="G54" s="114"/>
      <c r="H54" s="117"/>
      <c r="I54" s="112"/>
      <c r="J54" s="113"/>
      <c r="K54" s="113"/>
    </row>
    <row r="55" spans="1:11" x14ac:dyDescent="0.25">
      <c r="A55" s="112"/>
      <c r="B55" s="117"/>
      <c r="C55" s="113"/>
      <c r="D55" s="114"/>
      <c r="F55" s="113"/>
      <c r="G55" s="114"/>
      <c r="H55" s="117"/>
      <c r="I55" s="112"/>
      <c r="J55" s="113"/>
      <c r="K55" s="113"/>
    </row>
    <row r="56" spans="1:11" x14ac:dyDescent="0.25">
      <c r="A56" s="112"/>
      <c r="B56" s="117"/>
      <c r="C56" s="113"/>
      <c r="D56" s="114"/>
      <c r="F56" s="113"/>
      <c r="G56" s="114"/>
      <c r="H56" s="117"/>
      <c r="I56" s="112"/>
      <c r="J56" s="113"/>
      <c r="K56" s="113"/>
    </row>
    <row r="57" spans="1:11" x14ac:dyDescent="0.25">
      <c r="A57" s="112"/>
      <c r="B57" s="117"/>
      <c r="C57" s="113"/>
      <c r="D57" s="114"/>
      <c r="F57" s="113"/>
      <c r="G57" s="114"/>
      <c r="H57" s="117"/>
      <c r="I57" s="112"/>
      <c r="J57" s="113"/>
      <c r="K57" s="113"/>
    </row>
    <row r="58" spans="1:11" x14ac:dyDescent="0.25">
      <c r="A58" s="112"/>
      <c r="B58" s="117"/>
      <c r="C58" s="113"/>
      <c r="D58" s="114"/>
      <c r="F58" s="113"/>
      <c r="G58" s="114"/>
      <c r="H58" s="117"/>
      <c r="I58" s="112"/>
      <c r="J58" s="113"/>
      <c r="K58" s="113"/>
    </row>
    <row r="59" spans="1:11" x14ac:dyDescent="0.25">
      <c r="A59" s="112"/>
      <c r="B59" s="117"/>
      <c r="C59" s="113"/>
      <c r="D59" s="114"/>
      <c r="F59" s="113"/>
      <c r="G59" s="114"/>
      <c r="H59" s="114"/>
    </row>
    <row r="60" spans="1:11" x14ac:dyDescent="0.25">
      <c r="A60" s="112"/>
      <c r="B60" s="117"/>
      <c r="C60" s="113"/>
      <c r="D60" s="114"/>
      <c r="F60" s="113"/>
      <c r="G60" s="114"/>
      <c r="H60" s="119"/>
      <c r="I60" s="119"/>
      <c r="J60" s="121"/>
      <c r="K60" s="121"/>
    </row>
    <row r="61" spans="1:11" x14ac:dyDescent="0.25">
      <c r="A61" s="112"/>
      <c r="B61" s="117"/>
      <c r="C61" s="113"/>
      <c r="D61" s="114"/>
      <c r="F61" s="113"/>
      <c r="G61" s="114"/>
      <c r="H61" s="117"/>
      <c r="I61" s="112"/>
      <c r="J61" s="113"/>
      <c r="K61" s="113"/>
    </row>
    <row r="62" spans="1:11" x14ac:dyDescent="0.25">
      <c r="A62" s="112"/>
      <c r="B62" s="117"/>
      <c r="C62" s="113"/>
      <c r="D62" s="114"/>
      <c r="F62" s="113"/>
      <c r="G62" s="114"/>
      <c r="H62" s="117"/>
      <c r="I62" s="112"/>
      <c r="J62" s="113"/>
      <c r="K62" s="114"/>
    </row>
    <row r="63" spans="1:11" x14ac:dyDescent="0.25">
      <c r="A63" s="112"/>
      <c r="B63" s="119"/>
      <c r="D63" s="114"/>
      <c r="F63" s="114"/>
      <c r="G63" s="114"/>
      <c r="H63" s="117"/>
      <c r="I63" s="112"/>
      <c r="J63" s="113"/>
      <c r="K63" s="114"/>
    </row>
    <row r="64" spans="1:11" x14ac:dyDescent="0.25">
      <c r="A64" s="112"/>
      <c r="B64" s="119"/>
      <c r="D64" s="114"/>
      <c r="F64" s="114"/>
      <c r="G64" s="114"/>
      <c r="H64" s="117"/>
      <c r="I64" s="112"/>
      <c r="J64" s="113"/>
      <c r="K64" s="114"/>
    </row>
    <row r="65" spans="1:11" x14ac:dyDescent="0.25">
      <c r="A65" s="112"/>
      <c r="B65" s="119"/>
      <c r="D65" s="114"/>
      <c r="F65" s="114"/>
      <c r="G65" s="114"/>
      <c r="H65" s="117"/>
      <c r="I65" s="112"/>
      <c r="J65" s="113"/>
      <c r="K65" s="114"/>
    </row>
    <row r="66" spans="1:11" x14ac:dyDescent="0.25">
      <c r="A66" s="112"/>
      <c r="B66" s="119"/>
      <c r="D66" s="114"/>
      <c r="F66" s="114"/>
      <c r="G66" s="114"/>
      <c r="H66" s="117"/>
      <c r="I66" s="112"/>
      <c r="J66" s="113"/>
      <c r="K66" s="114"/>
    </row>
    <row r="67" spans="1:11" x14ac:dyDescent="0.25">
      <c r="A67" s="112"/>
      <c r="B67" s="117"/>
      <c r="D67" s="114"/>
      <c r="F67" s="119"/>
      <c r="G67" s="114"/>
      <c r="H67" s="117"/>
      <c r="I67" s="112"/>
      <c r="J67" s="113"/>
      <c r="K67" s="114"/>
    </row>
    <row r="68" spans="1:11" x14ac:dyDescent="0.25">
      <c r="A68" s="112"/>
      <c r="B68" s="117"/>
      <c r="D68" s="114"/>
      <c r="F68" s="119"/>
      <c r="G68" s="114"/>
      <c r="H68" s="117"/>
      <c r="I68" s="112"/>
      <c r="J68" s="113"/>
      <c r="K68" s="114"/>
    </row>
    <row r="69" spans="1:11" x14ac:dyDescent="0.25">
      <c r="A69" s="112"/>
      <c r="B69" s="117"/>
      <c r="D69" s="114"/>
      <c r="F69" s="119"/>
      <c r="G69" s="114"/>
      <c r="H69" s="117"/>
      <c r="I69" s="112"/>
      <c r="J69" s="113"/>
      <c r="K69" s="114"/>
    </row>
    <row r="70" spans="1:11" x14ac:dyDescent="0.25">
      <c r="A70" s="112"/>
      <c r="B70" s="117"/>
      <c r="D70" s="114"/>
      <c r="F70" s="119"/>
      <c r="G70" s="114"/>
      <c r="H70" s="117"/>
      <c r="I70" s="112"/>
      <c r="J70" s="113"/>
      <c r="K70" s="114"/>
    </row>
    <row r="71" spans="1:11" x14ac:dyDescent="0.25">
      <c r="A71" s="112"/>
      <c r="B71" s="117"/>
      <c r="D71" s="114"/>
      <c r="F71" s="119"/>
      <c r="G71" s="114"/>
      <c r="H71" s="117"/>
      <c r="I71" s="112"/>
      <c r="J71" s="113"/>
      <c r="K71" s="114"/>
    </row>
    <row r="72" spans="1:11" x14ac:dyDescent="0.25">
      <c r="A72" s="112"/>
      <c r="B72" s="117"/>
      <c r="D72" s="114"/>
      <c r="F72" s="119"/>
      <c r="G72" s="114"/>
      <c r="H72" s="117"/>
      <c r="I72" s="112"/>
      <c r="J72" s="113"/>
      <c r="K72" s="114"/>
    </row>
    <row r="73" spans="1:11" x14ac:dyDescent="0.25">
      <c r="A73" s="112"/>
      <c r="B73" s="117"/>
      <c r="D73" s="114"/>
      <c r="F73" s="119"/>
      <c r="G73" s="114"/>
      <c r="H73" s="117"/>
      <c r="I73" s="112"/>
      <c r="J73" s="113"/>
      <c r="K73" s="114"/>
    </row>
    <row r="74" spans="1:11" x14ac:dyDescent="0.25">
      <c r="A74" s="112"/>
      <c r="B74" s="117"/>
      <c r="D74" s="114"/>
      <c r="F74" s="119"/>
      <c r="G74" s="114"/>
      <c r="H74" s="117"/>
      <c r="I74" s="112"/>
      <c r="J74" s="113"/>
      <c r="K74" s="113"/>
    </row>
    <row r="75" spans="1:11" x14ac:dyDescent="0.25">
      <c r="A75" s="112"/>
      <c r="B75" s="117"/>
      <c r="D75" s="114"/>
      <c r="F75" s="119"/>
      <c r="G75" s="114"/>
    </row>
    <row r="76" spans="1:11" x14ac:dyDescent="0.25">
      <c r="A76" s="112"/>
      <c r="B76" s="117"/>
      <c r="D76" s="114"/>
      <c r="F76" s="119"/>
      <c r="G76" s="114"/>
    </row>
    <row r="77" spans="1:11" x14ac:dyDescent="0.25">
      <c r="A77" s="112"/>
      <c r="B77" s="117"/>
      <c r="D77" s="114"/>
      <c r="F77" s="119"/>
      <c r="G77" s="114"/>
    </row>
    <row r="78" spans="1:11" x14ac:dyDescent="0.25">
      <c r="A78" s="112"/>
      <c r="B78" s="117"/>
      <c r="D78" s="114"/>
      <c r="F78" s="119"/>
      <c r="G78" s="114"/>
    </row>
    <row r="79" spans="1:11" x14ac:dyDescent="0.25">
      <c r="A79" s="112"/>
      <c r="B79" s="117"/>
      <c r="D79" s="114"/>
      <c r="F79" s="119"/>
      <c r="G79" s="114"/>
    </row>
    <row r="80" spans="1:11" x14ac:dyDescent="0.25">
      <c r="A80" s="112"/>
      <c r="B80" s="112"/>
      <c r="D80" s="114"/>
      <c r="F80" s="119"/>
      <c r="G80" s="114"/>
    </row>
    <row r="81" spans="1:7" x14ac:dyDescent="0.25">
      <c r="A81" s="112"/>
      <c r="B81" s="112"/>
      <c r="D81" s="114"/>
      <c r="F81" s="119"/>
      <c r="G81" s="114"/>
    </row>
    <row r="82" spans="1:7" x14ac:dyDescent="0.25">
      <c r="A82" s="112"/>
      <c r="B82" s="112"/>
      <c r="D82" s="114"/>
      <c r="F82" s="119"/>
      <c r="G82" s="114"/>
    </row>
    <row r="83" spans="1:7" x14ac:dyDescent="0.25">
      <c r="A83" s="112"/>
      <c r="B83" s="112"/>
      <c r="D83" s="114"/>
      <c r="F83" s="119"/>
      <c r="G83" s="114"/>
    </row>
    <row r="84" spans="1:7" x14ac:dyDescent="0.25">
      <c r="A84" s="112"/>
      <c r="B84" s="112"/>
      <c r="D84" s="114"/>
      <c r="F84" s="119"/>
      <c r="G84" s="114"/>
    </row>
    <row r="85" spans="1:7" x14ac:dyDescent="0.25">
      <c r="A85" s="112"/>
      <c r="B85" s="112"/>
      <c r="D85" s="114"/>
      <c r="F85" s="119"/>
      <c r="G85" s="114"/>
    </row>
    <row r="86" spans="1:7" x14ac:dyDescent="0.25">
      <c r="A86" s="112"/>
      <c r="B86" s="112"/>
      <c r="D86" s="114"/>
      <c r="F86" s="119"/>
      <c r="G86" s="114"/>
    </row>
    <row r="87" spans="1:7" x14ac:dyDescent="0.25">
      <c r="A87" s="112"/>
      <c r="B87" s="112"/>
      <c r="D87" s="114"/>
      <c r="F87" s="119"/>
      <c r="G87" s="114"/>
    </row>
    <row r="88" spans="1:7" x14ac:dyDescent="0.25">
      <c r="A88" s="112"/>
      <c r="B88" s="112"/>
      <c r="D88" s="114"/>
      <c r="F88" s="119"/>
      <c r="G88" s="114"/>
    </row>
    <row r="89" spans="1:7" x14ac:dyDescent="0.25">
      <c r="A89" s="112"/>
      <c r="B89" s="112"/>
      <c r="D89" s="114"/>
      <c r="F89" s="119"/>
      <c r="G89" s="114"/>
    </row>
    <row r="90" spans="1:7" x14ac:dyDescent="0.25">
      <c r="A90" s="112"/>
      <c r="B90" s="112"/>
      <c r="D90" s="114"/>
      <c r="F90" s="119"/>
      <c r="G90" s="114"/>
    </row>
    <row r="91" spans="1:7" x14ac:dyDescent="0.25">
      <c r="A91" s="112"/>
      <c r="B91" s="112"/>
      <c r="D91" s="114"/>
      <c r="F91" s="119"/>
      <c r="G91" s="114"/>
    </row>
    <row r="92" spans="1:7" x14ac:dyDescent="0.25">
      <c r="A92" s="112"/>
      <c r="B92" s="112"/>
      <c r="D92" s="114"/>
      <c r="F92" s="119"/>
      <c r="G92" s="114"/>
    </row>
    <row r="93" spans="1:7" x14ac:dyDescent="0.25">
      <c r="A93" s="112"/>
      <c r="B93" s="112"/>
      <c r="D93" s="114"/>
      <c r="F93" s="119"/>
      <c r="G93" s="114"/>
    </row>
    <row r="94" spans="1:7" x14ac:dyDescent="0.25">
      <c r="A94" s="112"/>
      <c r="B94" s="112"/>
      <c r="D94" s="114"/>
      <c r="F94" s="119"/>
      <c r="G94" s="114"/>
    </row>
    <row r="95" spans="1:7" x14ac:dyDescent="0.25">
      <c r="A95" s="112"/>
      <c r="B95" s="112"/>
      <c r="D95" s="114"/>
      <c r="F95" s="119"/>
      <c r="G95" s="114"/>
    </row>
    <row r="96" spans="1:7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F101" s="119"/>
      <c r="G101" s="114"/>
    </row>
    <row r="102" spans="1:7" x14ac:dyDescent="0.25">
      <c r="F102" s="119"/>
      <c r="G102" s="114"/>
    </row>
    <row r="103" spans="1:7" x14ac:dyDescent="0.25">
      <c r="F103" s="119"/>
      <c r="G103" s="114"/>
    </row>
    <row r="104" spans="1:7" x14ac:dyDescent="0.25">
      <c r="F104" s="119"/>
      <c r="G104" s="114"/>
    </row>
    <row r="105" spans="1:7" x14ac:dyDescent="0.25">
      <c r="F105" s="119"/>
      <c r="G105" s="114"/>
    </row>
    <row r="106" spans="1:7" x14ac:dyDescent="0.25">
      <c r="F106" s="119"/>
      <c r="G106" s="114"/>
    </row>
    <row r="107" spans="1:7" x14ac:dyDescent="0.25">
      <c r="F107" s="119"/>
      <c r="G107" s="114"/>
    </row>
    <row r="108" spans="1:7" x14ac:dyDescent="0.25">
      <c r="F108" s="119"/>
      <c r="G108" s="114"/>
    </row>
    <row r="109" spans="1:7" x14ac:dyDescent="0.25">
      <c r="F109" s="119"/>
      <c r="G109" s="114"/>
    </row>
    <row r="110" spans="1:7" x14ac:dyDescent="0.25">
      <c r="F110" s="119"/>
      <c r="G110" s="114"/>
    </row>
    <row r="111" spans="1:7" x14ac:dyDescent="0.25">
      <c r="F111" s="119"/>
      <c r="G111" s="114"/>
    </row>
    <row r="112" spans="1:7" x14ac:dyDescent="0.25"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3"/>
  <sheetViews>
    <sheetView workbookViewId="0">
      <selection activeCell="H41" sqref="H41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7.7109375" style="11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142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139</v>
      </c>
    </row>
    <row r="6" spans="1:19" x14ac:dyDescent="0.25">
      <c r="A6" s="138">
        <f>B6+273.15</f>
        <v>1173.1500000000001</v>
      </c>
      <c r="B6" s="148">
        <v>900</v>
      </c>
      <c r="C6" s="144"/>
      <c r="D6" s="153">
        <v>6.8196959866845177E-3</v>
      </c>
    </row>
    <row r="7" spans="1:19" x14ac:dyDescent="0.25">
      <c r="A7" s="138">
        <f t="shared" ref="A7:A15" si="0">B7+273.15</f>
        <v>1073.1500000000001</v>
      </c>
      <c r="B7" s="148">
        <v>800</v>
      </c>
      <c r="C7" s="144"/>
      <c r="D7" s="153">
        <v>3.4642347929702407E-3</v>
      </c>
    </row>
    <row r="8" spans="1:19" ht="15.75" x14ac:dyDescent="0.25">
      <c r="A8" s="138">
        <f t="shared" si="0"/>
        <v>998.15</v>
      </c>
      <c r="B8" s="148">
        <v>725</v>
      </c>
      <c r="C8" s="144"/>
      <c r="D8" s="153">
        <v>2.0999999999999999E-3</v>
      </c>
      <c r="J8" s="35"/>
    </row>
    <row r="9" spans="1:19" ht="15.75" x14ac:dyDescent="0.25">
      <c r="A9" s="138">
        <f t="shared" si="0"/>
        <v>973.15</v>
      </c>
      <c r="B9" s="148">
        <v>700</v>
      </c>
      <c r="C9" s="144"/>
      <c r="D9" s="153">
        <v>1.7855E-3</v>
      </c>
      <c r="J9" s="35"/>
    </row>
    <row r="10" spans="1:19" ht="16.5" thickBot="1" x14ac:dyDescent="0.3">
      <c r="A10" s="138">
        <f t="shared" si="0"/>
        <v>948.15</v>
      </c>
      <c r="B10" s="148">
        <v>675</v>
      </c>
      <c r="C10" s="144"/>
      <c r="D10" s="153">
        <v>1.3289E-3</v>
      </c>
      <c r="J10" s="35"/>
    </row>
    <row r="11" spans="1:19" ht="19.5" thickBot="1" x14ac:dyDescent="0.3">
      <c r="A11" s="138">
        <f t="shared" si="0"/>
        <v>923.55717280678255</v>
      </c>
      <c r="B11" s="148">
        <v>650.40717280678257</v>
      </c>
      <c r="C11" s="144"/>
      <c r="D11" s="153">
        <v>8.9630000000000005E-4</v>
      </c>
      <c r="H11" s="169" t="s">
        <v>184</v>
      </c>
    </row>
    <row r="12" spans="1:19" x14ac:dyDescent="0.25">
      <c r="A12" s="138">
        <f t="shared" si="0"/>
        <v>898.15</v>
      </c>
      <c r="B12" s="148">
        <v>625</v>
      </c>
      <c r="C12" s="144"/>
      <c r="D12" s="153">
        <v>9.2619999999999996E-4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si="0"/>
        <v>873.15</v>
      </c>
      <c r="B13" s="148">
        <v>600</v>
      </c>
      <c r="C13" s="144"/>
      <c r="D13" s="153">
        <v>5.5690000000000004E-4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si="0"/>
        <v>848.15</v>
      </c>
      <c r="B14" s="148">
        <v>575</v>
      </c>
      <c r="C14" s="144"/>
      <c r="D14" s="153">
        <v>7.607E-4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 t="shared" si="0"/>
        <v>823.15</v>
      </c>
      <c r="B15" s="149">
        <v>550</v>
      </c>
      <c r="C15" s="129"/>
      <c r="D15" s="154">
        <v>3.6949999999999998E-4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A16" s="112"/>
      <c r="B16" s="117"/>
      <c r="D16" s="119"/>
    </row>
    <row r="17" spans="1:12" ht="15.75" x14ac:dyDescent="0.25">
      <c r="A17" s="133" t="s">
        <v>13</v>
      </c>
      <c r="B17" s="134"/>
      <c r="C17" s="134"/>
      <c r="D17" s="135"/>
    </row>
    <row r="18" spans="1:12" x14ac:dyDescent="0.25">
      <c r="A18" s="136" t="s">
        <v>16</v>
      </c>
      <c r="B18" s="115" t="s">
        <v>14</v>
      </c>
      <c r="C18" s="142"/>
      <c r="D18" s="137" t="s">
        <v>15</v>
      </c>
    </row>
    <row r="19" spans="1:12" x14ac:dyDescent="0.25">
      <c r="A19" s="138">
        <f>B19+273.15</f>
        <v>1173.1500000000001</v>
      </c>
      <c r="B19" s="148">
        <v>900</v>
      </c>
      <c r="C19" s="140"/>
      <c r="D19" s="159">
        <f>D6/C40</f>
        <v>7.1786273544047555E-5</v>
      </c>
    </row>
    <row r="20" spans="1:12" x14ac:dyDescent="0.25">
      <c r="A20" s="138">
        <f t="shared" ref="A20:A25" si="1">B20+273.15</f>
        <v>1073.1500000000001</v>
      </c>
      <c r="B20" s="148">
        <v>800</v>
      </c>
      <c r="C20" s="140"/>
      <c r="D20" s="159">
        <f>D7/C42</f>
        <v>3.0123780808436878E-5</v>
      </c>
    </row>
    <row r="21" spans="1:12" x14ac:dyDescent="0.25">
      <c r="A21" s="138">
        <f t="shared" si="1"/>
        <v>998.15</v>
      </c>
      <c r="B21" s="148">
        <v>725</v>
      </c>
      <c r="C21" s="140"/>
      <c r="D21" s="159">
        <f>D8/C44</f>
        <v>1.7604681747253312E-5</v>
      </c>
    </row>
    <row r="22" spans="1:12" x14ac:dyDescent="0.25">
      <c r="A22" s="138">
        <f t="shared" si="1"/>
        <v>973.15</v>
      </c>
      <c r="B22" s="148">
        <v>700</v>
      </c>
      <c r="C22" s="140"/>
      <c r="D22" s="159">
        <f>D9/C45</f>
        <v>1.2938405797101449E-5</v>
      </c>
    </row>
    <row r="23" spans="1:12" x14ac:dyDescent="0.25">
      <c r="A23" s="138">
        <f t="shared" si="1"/>
        <v>873.15</v>
      </c>
      <c r="B23" s="148">
        <v>600</v>
      </c>
      <c r="C23" s="140"/>
      <c r="D23" s="159">
        <f>D13/C47</f>
        <v>4.4552000000000001E-6</v>
      </c>
    </row>
    <row r="24" spans="1:12" x14ac:dyDescent="0.25">
      <c r="A24" s="138">
        <f t="shared" si="1"/>
        <v>848.15</v>
      </c>
      <c r="B24" s="148">
        <v>575</v>
      </c>
      <c r="C24" s="140"/>
      <c r="D24" s="159">
        <f>D14/C48</f>
        <v>4.7054024842842448E-6</v>
      </c>
    </row>
    <row r="25" spans="1:12" ht="15.75" thickBot="1" x14ac:dyDescent="0.3">
      <c r="A25" s="141">
        <f t="shared" si="1"/>
        <v>823.15</v>
      </c>
      <c r="B25" s="149">
        <v>550</v>
      </c>
      <c r="C25" s="130"/>
      <c r="D25" s="160">
        <f>D15/C49</f>
        <v>2.1741178405472451E-6</v>
      </c>
    </row>
    <row r="26" spans="1:12" ht="15.75" thickBot="1" x14ac:dyDescent="0.3"/>
    <row r="27" spans="1:12" ht="15.75" x14ac:dyDescent="0.25">
      <c r="A27" s="133" t="s">
        <v>19</v>
      </c>
      <c r="B27" s="134"/>
      <c r="C27" s="134"/>
      <c r="D27" s="135"/>
      <c r="G27" s="119"/>
      <c r="H27" s="119"/>
    </row>
    <row r="28" spans="1:12" x14ac:dyDescent="0.25">
      <c r="A28" s="136" t="s">
        <v>16</v>
      </c>
      <c r="B28" s="115" t="s">
        <v>14</v>
      </c>
      <c r="C28" s="142"/>
      <c r="D28" s="143" t="s">
        <v>35</v>
      </c>
      <c r="G28" s="119"/>
      <c r="H28" s="114"/>
    </row>
    <row r="29" spans="1:12" x14ac:dyDescent="0.25">
      <c r="A29" s="138">
        <f>B29+273.15</f>
        <v>1173.1500000000001</v>
      </c>
      <c r="B29" s="148">
        <v>900</v>
      </c>
      <c r="C29" s="140"/>
      <c r="D29" s="159">
        <f>($C$2*$A$2*A29)/(4*($E$2^2)*D19*H40)</f>
        <v>5.5911813206967087E-2</v>
      </c>
      <c r="G29" s="119"/>
      <c r="H29" s="114"/>
      <c r="K29" s="118"/>
      <c r="L29" s="118"/>
    </row>
    <row r="30" spans="1:12" x14ac:dyDescent="0.25">
      <c r="A30" s="138">
        <f t="shared" ref="A30:A35" si="2">B30+273.15</f>
        <v>1073.1500000000001</v>
      </c>
      <c r="B30" s="148">
        <v>800</v>
      </c>
      <c r="C30" s="140"/>
      <c r="D30" s="159">
        <f>($C$2*$A$2*A30)/(4*($E$2^2)*D20*H42)</f>
        <v>0.12084763180454593</v>
      </c>
      <c r="G30" s="119"/>
      <c r="H30" s="114"/>
      <c r="J30" s="113"/>
      <c r="K30" s="113"/>
      <c r="L30" s="113"/>
    </row>
    <row r="31" spans="1:12" x14ac:dyDescent="0.25">
      <c r="A31" s="138">
        <f t="shared" si="2"/>
        <v>998.15</v>
      </c>
      <c r="B31" s="148">
        <v>725</v>
      </c>
      <c r="C31" s="140"/>
      <c r="D31" s="159">
        <f>($C$2*$A$2*A31)/(4*($E$2^2)*D21*H44)</f>
        <v>0.19168983895017738</v>
      </c>
      <c r="G31" s="119"/>
      <c r="H31" s="114"/>
      <c r="J31" s="113"/>
      <c r="K31" s="113"/>
      <c r="L31" s="113"/>
    </row>
    <row r="32" spans="1:12" x14ac:dyDescent="0.25">
      <c r="A32" s="138">
        <f t="shared" si="2"/>
        <v>973.15</v>
      </c>
      <c r="B32" s="148">
        <v>700</v>
      </c>
      <c r="C32" s="140"/>
      <c r="D32" s="159">
        <f>($C$2*$A$2*A32)/(4*($E$2^2)*D22*H45)</f>
        <v>0.253185096946135</v>
      </c>
      <c r="G32" s="119"/>
      <c r="H32" s="114"/>
      <c r="J32" s="113"/>
      <c r="K32" s="113"/>
      <c r="L32" s="113"/>
    </row>
    <row r="33" spans="1:11" x14ac:dyDescent="0.25">
      <c r="A33" s="138">
        <f t="shared" si="2"/>
        <v>873.15</v>
      </c>
      <c r="B33" s="148">
        <v>600</v>
      </c>
      <c r="C33" s="140"/>
      <c r="D33" s="159">
        <f>($C$2*$A$2*A33)/(4*($E$2^2)*D23*H47)</f>
        <v>0.6543359067984108</v>
      </c>
      <c r="G33" s="119"/>
      <c r="H33" s="114"/>
    </row>
    <row r="34" spans="1:11" x14ac:dyDescent="0.25">
      <c r="A34" s="138">
        <f t="shared" si="2"/>
        <v>848.15</v>
      </c>
      <c r="B34" s="148">
        <v>575</v>
      </c>
      <c r="C34" s="140"/>
      <c r="D34" s="159">
        <f>($C$2*$A$2*A34)/(4*($E$2^2)*D24*H48)</f>
        <v>0.60098985240785396</v>
      </c>
      <c r="G34" s="119"/>
      <c r="H34" s="114"/>
    </row>
    <row r="35" spans="1:11" ht="15.75" thickBot="1" x14ac:dyDescent="0.3">
      <c r="A35" s="141">
        <f t="shared" si="2"/>
        <v>823.15</v>
      </c>
      <c r="B35" s="149">
        <v>550</v>
      </c>
      <c r="C35" s="130"/>
      <c r="D35" s="160">
        <f>($C$2*$A$2*A35)/(4*($E$2^2)*D25*H49)</f>
        <v>1.2590090256127913</v>
      </c>
      <c r="G35" s="119"/>
      <c r="H35" s="114"/>
    </row>
    <row r="36" spans="1:11" x14ac:dyDescent="0.25">
      <c r="A36" s="112"/>
      <c r="B36" s="117"/>
      <c r="C36" s="113"/>
      <c r="D36" s="114"/>
      <c r="G36" s="119"/>
      <c r="H36" s="114"/>
    </row>
    <row r="37" spans="1:11" s="126" customFormat="1" ht="15.75" thickBot="1" x14ac:dyDescent="0.3">
      <c r="D37" s="129"/>
      <c r="G37" s="128"/>
      <c r="H37" s="129"/>
    </row>
    <row r="38" spans="1:11" ht="60" x14ac:dyDescent="0.25">
      <c r="A38" s="118" t="s">
        <v>26</v>
      </c>
      <c r="D38" s="114"/>
      <c r="G38" s="119"/>
      <c r="H38" s="114"/>
    </row>
    <row r="39" spans="1:11" ht="49.5" x14ac:dyDescent="0.25">
      <c r="A39" s="111" t="s">
        <v>16</v>
      </c>
      <c r="B39" s="111" t="s">
        <v>14</v>
      </c>
      <c r="C39" s="118" t="s">
        <v>40</v>
      </c>
      <c r="E39" s="119" t="s">
        <v>16</v>
      </c>
      <c r="F39" s="119" t="s">
        <v>14</v>
      </c>
      <c r="G39" s="121" t="s">
        <v>144</v>
      </c>
      <c r="H39" s="118" t="s">
        <v>20</v>
      </c>
      <c r="I39" s="121"/>
      <c r="J39" s="119"/>
      <c r="K39" s="118"/>
    </row>
    <row r="40" spans="1:11" x14ac:dyDescent="0.25">
      <c r="A40" s="112">
        <f>B40+273.15</f>
        <v>1173.1500000000001</v>
      </c>
      <c r="B40" s="112">
        <v>900</v>
      </c>
      <c r="C40" s="114">
        <v>95</v>
      </c>
      <c r="E40" s="117">
        <f>F40+273.15</f>
        <v>1173.1500000000001</v>
      </c>
      <c r="F40" s="117">
        <v>900</v>
      </c>
      <c r="G40" s="114">
        <v>38.299999999999997</v>
      </c>
      <c r="H40" s="114">
        <f>(3-G56)/G40</f>
        <v>6.522976501305483E-2</v>
      </c>
      <c r="J40" s="113"/>
      <c r="K40" s="114"/>
    </row>
    <row r="41" spans="1:11" x14ac:dyDescent="0.25">
      <c r="A41" s="112">
        <f>B41+273.15</f>
        <v>1123.1500000000001</v>
      </c>
      <c r="B41" s="112">
        <v>850</v>
      </c>
      <c r="C41" s="114">
        <f>150086*B41^(-1.08)</f>
        <v>102.93610795862959</v>
      </c>
      <c r="E41" s="117">
        <f>F41+273.15</f>
        <v>1123.1500000000001</v>
      </c>
      <c r="F41" s="117">
        <v>850</v>
      </c>
      <c r="G41" s="114">
        <v>38.299999999999997</v>
      </c>
      <c r="H41" s="114">
        <f>(3-G57)/G41</f>
        <v>6.5788511749347259E-2</v>
      </c>
      <c r="J41" s="113"/>
      <c r="K41" s="114"/>
    </row>
    <row r="42" spans="1:11" x14ac:dyDescent="0.25">
      <c r="A42" s="112">
        <f t="shared" ref="A42:A52" si="3">B42+273.15</f>
        <v>1073.1500000000001</v>
      </c>
      <c r="B42" s="112">
        <v>800</v>
      </c>
      <c r="C42" s="114">
        <v>115</v>
      </c>
      <c r="E42" s="117">
        <f t="shared" ref="E42:E52" si="4">F42+273.15</f>
        <v>1073.1500000000001</v>
      </c>
      <c r="F42" s="112">
        <v>800</v>
      </c>
      <c r="G42" s="113">
        <v>38.299999999999997</v>
      </c>
      <c r="H42" s="114">
        <f>(3-G57)/G42</f>
        <v>6.5788511749347259E-2</v>
      </c>
      <c r="J42" s="113"/>
      <c r="K42" s="114"/>
    </row>
    <row r="43" spans="1:11" x14ac:dyDescent="0.25">
      <c r="A43" s="112">
        <f t="shared" si="3"/>
        <v>1023.15</v>
      </c>
      <c r="B43" s="112">
        <v>750</v>
      </c>
      <c r="C43" s="114">
        <v>113.92356586698381</v>
      </c>
      <c r="E43" s="117">
        <f t="shared" si="4"/>
        <v>1023.15</v>
      </c>
      <c r="F43" s="112">
        <v>750</v>
      </c>
      <c r="G43" s="113"/>
      <c r="H43" s="114">
        <f>(0.098)*(F43^-0.06)</f>
        <v>6.587526873215778E-2</v>
      </c>
      <c r="J43" s="113"/>
      <c r="K43" s="114"/>
    </row>
    <row r="44" spans="1:11" x14ac:dyDescent="0.25">
      <c r="A44" s="112">
        <f t="shared" si="3"/>
        <v>998.15</v>
      </c>
      <c r="B44" s="112">
        <v>725</v>
      </c>
      <c r="C44" s="114">
        <v>119.28645062428592</v>
      </c>
      <c r="D44" s="114"/>
      <c r="E44" s="117">
        <f t="shared" si="4"/>
        <v>998.15</v>
      </c>
      <c r="F44" s="112">
        <v>725</v>
      </c>
      <c r="G44" s="113"/>
      <c r="H44" s="114">
        <f>(0.098)*(F44^-0.06)</f>
        <v>6.6009401534838127E-2</v>
      </c>
      <c r="J44" s="113"/>
      <c r="K44" s="114"/>
    </row>
    <row r="45" spans="1:11" x14ac:dyDescent="0.25">
      <c r="A45" s="112">
        <f t="shared" si="3"/>
        <v>973.15</v>
      </c>
      <c r="B45" s="112">
        <v>700</v>
      </c>
      <c r="C45" s="114">
        <v>138</v>
      </c>
      <c r="D45" s="114"/>
      <c r="E45" s="117">
        <f t="shared" si="4"/>
        <v>973.15</v>
      </c>
      <c r="F45" s="112">
        <v>700</v>
      </c>
      <c r="G45" s="113">
        <v>38.299999999999997</v>
      </c>
      <c r="H45" s="114">
        <f>(3-G58)/G45</f>
        <v>6.6297650130548308E-2</v>
      </c>
      <c r="J45" s="113"/>
      <c r="K45" s="114"/>
    </row>
    <row r="46" spans="1:11" x14ac:dyDescent="0.25">
      <c r="A46" s="112">
        <f t="shared" si="3"/>
        <v>923.15</v>
      </c>
      <c r="B46" s="112">
        <v>650</v>
      </c>
      <c r="C46" s="114">
        <v>139.1465575693758</v>
      </c>
      <c r="D46" s="114"/>
      <c r="E46" s="117">
        <f t="shared" si="4"/>
        <v>923.15</v>
      </c>
      <c r="F46" s="112">
        <v>650</v>
      </c>
      <c r="G46" s="114"/>
      <c r="H46" s="114">
        <f>(0.098)*(F46^-0.06)</f>
        <v>6.6443312259546278E-2</v>
      </c>
      <c r="I46" s="119"/>
      <c r="K46" s="114"/>
    </row>
    <row r="47" spans="1:11" x14ac:dyDescent="0.25">
      <c r="A47" s="112">
        <f t="shared" si="3"/>
        <v>873.15</v>
      </c>
      <c r="B47" s="112">
        <v>600</v>
      </c>
      <c r="C47" s="114">
        <v>125</v>
      </c>
      <c r="D47" s="114"/>
      <c r="E47" s="117">
        <f t="shared" si="4"/>
        <v>873.15</v>
      </c>
      <c r="F47" s="112">
        <v>600</v>
      </c>
      <c r="G47" s="114">
        <v>38.299999999999997</v>
      </c>
      <c r="H47" s="114">
        <f>(3-G59)/G47</f>
        <v>6.6843342036553524E-2</v>
      </c>
      <c r="I47" s="119"/>
      <c r="J47" s="114"/>
      <c r="K47" s="114"/>
    </row>
    <row r="48" spans="1:11" x14ac:dyDescent="0.25">
      <c r="A48" s="112">
        <f t="shared" si="3"/>
        <v>848.15</v>
      </c>
      <c r="B48" s="112">
        <v>575</v>
      </c>
      <c r="C48" s="114">
        <v>161.66523534186317</v>
      </c>
      <c r="D48" s="114"/>
      <c r="E48" s="117">
        <f t="shared" si="4"/>
        <v>848.15</v>
      </c>
      <c r="F48" s="112">
        <v>575</v>
      </c>
      <c r="G48" s="114"/>
      <c r="H48" s="114">
        <f>(0.098)*(F48^-0.06)</f>
        <v>6.6933880654341707E-2</v>
      </c>
      <c r="I48" s="119"/>
      <c r="J48" s="114"/>
    </row>
    <row r="49" spans="1:10" x14ac:dyDescent="0.25">
      <c r="A49" s="112">
        <f t="shared" si="3"/>
        <v>823.15</v>
      </c>
      <c r="B49" s="112">
        <v>550</v>
      </c>
      <c r="C49" s="114">
        <v>169.95398920372847</v>
      </c>
      <c r="E49" s="117">
        <f t="shared" si="4"/>
        <v>823.15</v>
      </c>
      <c r="F49" s="112">
        <v>550</v>
      </c>
      <c r="G49" s="114"/>
      <c r="H49" s="114">
        <f>(0.098)*(F49^-0.06)</f>
        <v>6.7112638669889577E-2</v>
      </c>
      <c r="I49" s="119"/>
      <c r="J49" s="114"/>
    </row>
    <row r="50" spans="1:10" x14ac:dyDescent="0.25">
      <c r="A50" s="112">
        <f t="shared" si="3"/>
        <v>773.15</v>
      </c>
      <c r="B50" s="112">
        <v>500</v>
      </c>
      <c r="C50" s="114">
        <v>187.82820627890331</v>
      </c>
      <c r="E50" s="117">
        <f t="shared" si="4"/>
        <v>773.15</v>
      </c>
      <c r="F50" s="112">
        <v>500</v>
      </c>
      <c r="H50" s="114">
        <f>(0.098)*(F50^-0.06)</f>
        <v>6.7497529200078288E-2</v>
      </c>
      <c r="I50" s="119"/>
      <c r="J50" s="114"/>
    </row>
    <row r="51" spans="1:10" x14ac:dyDescent="0.25">
      <c r="A51" s="112">
        <f t="shared" si="3"/>
        <v>723.15</v>
      </c>
      <c r="B51" s="112">
        <v>450</v>
      </c>
      <c r="C51" s="114">
        <v>207.58227117375768</v>
      </c>
      <c r="E51" s="117">
        <f t="shared" si="4"/>
        <v>723.15</v>
      </c>
      <c r="F51" s="112">
        <v>450</v>
      </c>
      <c r="H51" s="114">
        <f>(0.098)*(F51^-0.06)</f>
        <v>6.7925575217982467E-2</v>
      </c>
      <c r="I51" s="119"/>
      <c r="J51" s="114"/>
    </row>
    <row r="52" spans="1:10" x14ac:dyDescent="0.25">
      <c r="A52" s="112">
        <f t="shared" si="3"/>
        <v>673.15</v>
      </c>
      <c r="B52" s="117">
        <v>400</v>
      </c>
      <c r="C52" s="114">
        <v>229.41388920932982</v>
      </c>
      <c r="E52" s="117">
        <f t="shared" si="4"/>
        <v>673.15</v>
      </c>
      <c r="F52" s="112">
        <v>400</v>
      </c>
      <c r="H52" s="114">
        <f>(0.098)*(F52^-0.06)</f>
        <v>6.8407304225116317E-2</v>
      </c>
      <c r="J52" s="114"/>
    </row>
    <row r="53" spans="1:10" x14ac:dyDescent="0.25">
      <c r="A53" s="112"/>
      <c r="B53" s="112"/>
      <c r="F53" s="113"/>
      <c r="G53" s="114"/>
      <c r="H53" s="117"/>
      <c r="J53" s="114"/>
    </row>
    <row r="54" spans="1:10" x14ac:dyDescent="0.25">
      <c r="A54" s="112"/>
      <c r="B54" s="112"/>
      <c r="F54" s="113"/>
      <c r="G54" s="114"/>
      <c r="H54" s="114"/>
    </row>
    <row r="55" spans="1:10" ht="30" x14ac:dyDescent="0.25">
      <c r="A55" s="112" t="s">
        <v>16</v>
      </c>
      <c r="B55" s="112" t="s">
        <v>14</v>
      </c>
      <c r="C55" s="111" t="s">
        <v>140</v>
      </c>
      <c r="E55" s="119" t="s">
        <v>16</v>
      </c>
      <c r="F55" s="119" t="s">
        <v>14</v>
      </c>
      <c r="G55" s="118" t="s">
        <v>22</v>
      </c>
      <c r="H55" s="114"/>
    </row>
    <row r="56" spans="1:10" x14ac:dyDescent="0.25">
      <c r="A56" s="112">
        <f>B56+273.15</f>
        <v>1173.1500000000001</v>
      </c>
      <c r="B56" s="112">
        <v>900</v>
      </c>
      <c r="C56" s="114">
        <f>(3*10^-30)*(B56^8.6561)</f>
        <v>1.1203141999506912E-4</v>
      </c>
      <c r="E56" s="112">
        <f>F56+273.15</f>
        <v>1173.1500000000001</v>
      </c>
      <c r="F56" s="112">
        <v>900</v>
      </c>
      <c r="G56" s="114">
        <v>0.50170000000000003</v>
      </c>
      <c r="H56" s="114"/>
    </row>
    <row r="57" spans="1:10" x14ac:dyDescent="0.25">
      <c r="A57" s="112">
        <f t="shared" ref="A57:A68" si="5">B57+273.15</f>
        <v>1073.1500000000001</v>
      </c>
      <c r="B57" s="112">
        <v>800</v>
      </c>
      <c r="C57" s="114">
        <f>(3*10^-30)*(B57^8.6561)</f>
        <v>4.0416480408014206E-5</v>
      </c>
      <c r="E57" s="112">
        <f t="shared" ref="E57:E59" si="6">F57+273.15</f>
        <v>1073.1500000000001</v>
      </c>
      <c r="F57" s="112">
        <v>800</v>
      </c>
      <c r="G57" s="114">
        <v>0.4803</v>
      </c>
    </row>
    <row r="58" spans="1:10" x14ac:dyDescent="0.25">
      <c r="A58" s="112">
        <f t="shared" si="5"/>
        <v>1023.15</v>
      </c>
      <c r="B58" s="112">
        <v>750</v>
      </c>
      <c r="C58" s="114">
        <f>(3*10^-30)*(B58^8.6561)</f>
        <v>2.3117403678565648E-5</v>
      </c>
      <c r="E58" s="112">
        <f t="shared" si="6"/>
        <v>973.15</v>
      </c>
      <c r="F58" s="112">
        <v>700</v>
      </c>
      <c r="G58" s="114">
        <v>0.46079999999999999</v>
      </c>
    </row>
    <row r="59" spans="1:10" x14ac:dyDescent="0.25">
      <c r="A59" s="112">
        <f t="shared" si="5"/>
        <v>1001.1012113324657</v>
      </c>
      <c r="B59" s="117">
        <v>727.95121133246573</v>
      </c>
      <c r="C59" s="113">
        <v>1.6399999999999999E-5</v>
      </c>
      <c r="E59" s="112">
        <f t="shared" si="6"/>
        <v>873.15</v>
      </c>
      <c r="F59" s="112">
        <v>600</v>
      </c>
      <c r="G59" s="114">
        <v>0.43990000000000001</v>
      </c>
    </row>
    <row r="60" spans="1:10" x14ac:dyDescent="0.25">
      <c r="A60" s="112">
        <f t="shared" si="5"/>
        <v>975.22917885703134</v>
      </c>
      <c r="B60" s="117">
        <v>702.07917885703137</v>
      </c>
      <c r="C60" s="113">
        <v>1.1287999999999999E-5</v>
      </c>
      <c r="F60" s="113"/>
      <c r="G60" s="114"/>
    </row>
    <row r="61" spans="1:10" x14ac:dyDescent="0.25">
      <c r="A61" s="112">
        <f t="shared" si="5"/>
        <v>948.04702313234736</v>
      </c>
      <c r="B61" s="117">
        <v>674.89702313234739</v>
      </c>
      <c r="C61" s="113">
        <v>9.0699999999999996E-6</v>
      </c>
      <c r="D61" s="114"/>
      <c r="F61" s="113"/>
      <c r="G61" s="114"/>
    </row>
    <row r="62" spans="1:10" x14ac:dyDescent="0.25">
      <c r="A62" s="112">
        <f t="shared" si="5"/>
        <v>923.9599444884866</v>
      </c>
      <c r="B62" s="117">
        <v>650.80994448848662</v>
      </c>
      <c r="C62" s="113">
        <v>7.2899999999999997E-6</v>
      </c>
      <c r="D62" s="114"/>
      <c r="F62" s="113"/>
      <c r="G62" s="114"/>
    </row>
    <row r="63" spans="1:10" x14ac:dyDescent="0.25">
      <c r="A63" s="112">
        <f t="shared" si="5"/>
        <v>899.19081818271729</v>
      </c>
      <c r="B63" s="117">
        <v>626.04081818271732</v>
      </c>
      <c r="C63" s="113">
        <v>4.0779999999999997E-6</v>
      </c>
      <c r="D63" s="114"/>
      <c r="F63" s="113"/>
      <c r="G63" s="114"/>
    </row>
    <row r="64" spans="1:10" x14ac:dyDescent="0.25">
      <c r="A64" s="112">
        <f t="shared" si="5"/>
        <v>873.93489185055716</v>
      </c>
      <c r="B64" s="117">
        <v>600.78489185055719</v>
      </c>
      <c r="C64" s="113">
        <v>3.7900000000000001E-6</v>
      </c>
      <c r="D64" s="114"/>
      <c r="F64" s="113"/>
      <c r="G64" s="114"/>
    </row>
    <row r="65" spans="1:11" x14ac:dyDescent="0.25">
      <c r="A65" s="112">
        <f t="shared" si="5"/>
        <v>850.05822898868564</v>
      </c>
      <c r="B65" s="117">
        <v>576.90822898868566</v>
      </c>
      <c r="C65" s="113">
        <v>1.9139999999999998E-6</v>
      </c>
      <c r="D65" s="114"/>
      <c r="F65" s="113"/>
      <c r="G65" s="114"/>
    </row>
    <row r="66" spans="1:11" x14ac:dyDescent="0.25">
      <c r="A66" s="112">
        <f t="shared" si="5"/>
        <v>824.90554831471809</v>
      </c>
      <c r="B66" s="117">
        <v>551.75554831471811</v>
      </c>
      <c r="C66" s="113">
        <v>1.539E-6</v>
      </c>
      <c r="D66" s="114"/>
      <c r="F66" s="113"/>
      <c r="G66" s="114"/>
    </row>
    <row r="67" spans="1:11" x14ac:dyDescent="0.25">
      <c r="A67" s="112">
        <f t="shared" si="5"/>
        <v>798.15</v>
      </c>
      <c r="B67" s="117">
        <v>525</v>
      </c>
      <c r="C67" s="114">
        <f>(3*10^-30)*(B67^8.6561)</f>
        <v>1.0546107670106781E-6</v>
      </c>
      <c r="D67" s="114"/>
      <c r="F67" s="113"/>
      <c r="G67" s="114"/>
    </row>
    <row r="68" spans="1:11" x14ac:dyDescent="0.25">
      <c r="A68" s="112">
        <f t="shared" si="5"/>
        <v>773.15</v>
      </c>
      <c r="B68" s="117">
        <v>500</v>
      </c>
      <c r="C68" s="114">
        <f>(3*10^-30)*(B68^8.6561)</f>
        <v>6.9131425032459126E-7</v>
      </c>
      <c r="D68" s="114"/>
      <c r="F68" s="113"/>
      <c r="G68" s="114"/>
    </row>
    <row r="69" spans="1:11" x14ac:dyDescent="0.25">
      <c r="A69" s="112"/>
      <c r="B69" s="117"/>
      <c r="C69" s="113"/>
      <c r="D69" s="114"/>
      <c r="F69" s="113"/>
      <c r="G69" s="114"/>
      <c r="H69" s="114"/>
    </row>
    <row r="70" spans="1:11" x14ac:dyDescent="0.25">
      <c r="A70" s="112"/>
      <c r="B70" s="117"/>
      <c r="C70" s="113"/>
      <c r="D70" s="114"/>
      <c r="F70" s="113"/>
      <c r="G70" s="114"/>
      <c r="H70" s="119"/>
      <c r="I70" s="119"/>
      <c r="J70" s="119"/>
      <c r="K70" s="119"/>
    </row>
    <row r="71" spans="1:11" x14ac:dyDescent="0.25">
      <c r="A71" s="112"/>
      <c r="B71" s="117"/>
      <c r="C71" s="113"/>
      <c r="D71" s="114"/>
      <c r="F71" s="113"/>
      <c r="G71" s="114"/>
      <c r="H71" s="117"/>
      <c r="I71" s="112"/>
      <c r="J71" s="113"/>
      <c r="K71" s="113"/>
    </row>
    <row r="72" spans="1:11" x14ac:dyDescent="0.25">
      <c r="A72" s="112"/>
      <c r="B72" s="117"/>
      <c r="C72" s="113"/>
      <c r="D72" s="114"/>
      <c r="F72" s="113"/>
      <c r="G72" s="114"/>
      <c r="H72" s="117"/>
      <c r="I72" s="112"/>
      <c r="J72" s="113"/>
      <c r="K72" s="113"/>
    </row>
    <row r="73" spans="1:11" x14ac:dyDescent="0.25">
      <c r="A73" s="112"/>
      <c r="B73" s="117"/>
      <c r="C73" s="113"/>
      <c r="D73" s="114"/>
      <c r="F73" s="113"/>
      <c r="G73" s="114"/>
      <c r="H73" s="117"/>
      <c r="I73" s="112"/>
      <c r="J73" s="113"/>
      <c r="K73" s="113"/>
    </row>
    <row r="74" spans="1:11" x14ac:dyDescent="0.25">
      <c r="A74" s="112"/>
      <c r="B74" s="117"/>
      <c r="C74" s="113"/>
      <c r="D74" s="114"/>
      <c r="F74" s="113"/>
      <c r="G74" s="114"/>
      <c r="H74" s="117"/>
      <c r="I74" s="112"/>
      <c r="J74" s="113"/>
      <c r="K74" s="113"/>
    </row>
    <row r="75" spans="1:11" x14ac:dyDescent="0.25">
      <c r="A75" s="112"/>
      <c r="B75" s="117"/>
      <c r="C75" s="113"/>
      <c r="D75" s="114"/>
      <c r="F75" s="113"/>
      <c r="G75" s="114"/>
      <c r="H75" s="117"/>
      <c r="I75" s="112"/>
      <c r="J75" s="113"/>
      <c r="K75" s="113"/>
    </row>
    <row r="76" spans="1:11" x14ac:dyDescent="0.25">
      <c r="A76" s="112"/>
      <c r="B76" s="117"/>
      <c r="C76" s="113"/>
      <c r="D76" s="114"/>
      <c r="F76" s="113"/>
      <c r="G76" s="114"/>
      <c r="H76" s="117"/>
      <c r="I76" s="112"/>
      <c r="J76" s="113"/>
      <c r="K76" s="113"/>
    </row>
    <row r="77" spans="1:11" x14ac:dyDescent="0.25">
      <c r="A77" s="112"/>
      <c r="B77" s="117"/>
      <c r="C77" s="113"/>
      <c r="D77" s="114"/>
      <c r="F77" s="113"/>
      <c r="G77" s="114"/>
      <c r="H77" s="117"/>
      <c r="I77" s="112"/>
      <c r="J77" s="113"/>
      <c r="K77" s="113"/>
    </row>
    <row r="78" spans="1:11" x14ac:dyDescent="0.25">
      <c r="A78" s="112"/>
      <c r="B78" s="117"/>
      <c r="C78" s="113"/>
      <c r="D78" s="114"/>
      <c r="F78" s="113"/>
      <c r="G78" s="114"/>
      <c r="H78" s="117"/>
      <c r="I78" s="112"/>
      <c r="J78" s="113"/>
      <c r="K78" s="113"/>
    </row>
    <row r="79" spans="1:11" x14ac:dyDescent="0.25">
      <c r="A79" s="112"/>
      <c r="B79" s="117"/>
      <c r="C79" s="113"/>
      <c r="D79" s="114"/>
      <c r="F79" s="113"/>
      <c r="G79" s="114"/>
      <c r="H79" s="117"/>
      <c r="I79" s="112"/>
      <c r="J79" s="113"/>
      <c r="K79" s="113"/>
    </row>
    <row r="80" spans="1:11" x14ac:dyDescent="0.25">
      <c r="A80" s="112"/>
      <c r="B80" s="117"/>
      <c r="C80" s="113"/>
      <c r="D80" s="114"/>
      <c r="F80" s="113"/>
      <c r="G80" s="114"/>
      <c r="H80" s="117"/>
      <c r="I80" s="112"/>
      <c r="J80" s="113"/>
      <c r="K80" s="113"/>
    </row>
    <row r="81" spans="1:11" x14ac:dyDescent="0.25">
      <c r="A81" s="112"/>
      <c r="B81" s="117"/>
      <c r="C81" s="113"/>
      <c r="D81" s="114"/>
      <c r="F81" s="113"/>
      <c r="G81" s="114"/>
      <c r="H81" s="114"/>
    </row>
    <row r="82" spans="1:11" x14ac:dyDescent="0.25">
      <c r="A82" s="112"/>
      <c r="B82" s="117"/>
      <c r="C82" s="113"/>
      <c r="D82" s="114"/>
      <c r="F82" s="113"/>
      <c r="G82" s="114"/>
      <c r="H82" s="119"/>
      <c r="I82" s="119"/>
      <c r="J82" s="121"/>
      <c r="K82" s="121"/>
    </row>
    <row r="83" spans="1:11" x14ac:dyDescent="0.25">
      <c r="A83" s="112"/>
      <c r="B83" s="117"/>
      <c r="C83" s="113"/>
      <c r="D83" s="114"/>
      <c r="F83" s="113"/>
      <c r="G83" s="114"/>
      <c r="H83" s="117"/>
      <c r="I83" s="112"/>
      <c r="J83" s="113"/>
      <c r="K83" s="113"/>
    </row>
    <row r="84" spans="1:11" x14ac:dyDescent="0.25">
      <c r="A84" s="112"/>
      <c r="B84" s="117"/>
      <c r="C84" s="113"/>
      <c r="D84" s="114"/>
      <c r="F84" s="113"/>
      <c r="G84" s="114"/>
      <c r="H84" s="117"/>
      <c r="I84" s="112"/>
      <c r="J84" s="113"/>
      <c r="K84" s="114"/>
    </row>
    <row r="85" spans="1:11" x14ac:dyDescent="0.25">
      <c r="A85" s="112"/>
      <c r="B85" s="119"/>
      <c r="D85" s="114"/>
      <c r="F85" s="114"/>
      <c r="G85" s="114"/>
      <c r="H85" s="117"/>
      <c r="I85" s="112"/>
      <c r="J85" s="113"/>
      <c r="K85" s="114"/>
    </row>
    <row r="86" spans="1:11" x14ac:dyDescent="0.25">
      <c r="A86" s="112"/>
      <c r="B86" s="119"/>
      <c r="D86" s="114"/>
      <c r="F86" s="114"/>
      <c r="G86" s="114"/>
      <c r="H86" s="117"/>
      <c r="I86" s="112"/>
      <c r="J86" s="113"/>
      <c r="K86" s="114"/>
    </row>
    <row r="87" spans="1:11" x14ac:dyDescent="0.25">
      <c r="A87" s="112"/>
      <c r="B87" s="119"/>
      <c r="D87" s="114"/>
      <c r="F87" s="114"/>
      <c r="G87" s="114"/>
      <c r="H87" s="117"/>
      <c r="I87" s="112"/>
      <c r="J87" s="113"/>
      <c r="K87" s="114"/>
    </row>
    <row r="88" spans="1:11" x14ac:dyDescent="0.25">
      <c r="A88" s="112"/>
      <c r="B88" s="119"/>
      <c r="D88" s="114"/>
      <c r="F88" s="114"/>
      <c r="G88" s="114"/>
      <c r="H88" s="117"/>
      <c r="I88" s="112"/>
      <c r="J88" s="113"/>
      <c r="K88" s="114"/>
    </row>
    <row r="89" spans="1:11" x14ac:dyDescent="0.25">
      <c r="A89" s="112"/>
      <c r="B89" s="117"/>
      <c r="D89" s="114"/>
      <c r="F89" s="119"/>
      <c r="G89" s="114"/>
      <c r="H89" s="117"/>
      <c r="I89" s="112"/>
      <c r="J89" s="113"/>
      <c r="K89" s="114"/>
    </row>
    <row r="90" spans="1:11" x14ac:dyDescent="0.25">
      <c r="A90" s="112"/>
      <c r="B90" s="117"/>
      <c r="D90" s="114"/>
      <c r="F90" s="119"/>
      <c r="G90" s="114"/>
      <c r="H90" s="117"/>
      <c r="I90" s="112"/>
      <c r="J90" s="113"/>
      <c r="K90" s="114"/>
    </row>
    <row r="91" spans="1:11" x14ac:dyDescent="0.25">
      <c r="A91" s="112"/>
      <c r="B91" s="117"/>
      <c r="D91" s="114"/>
      <c r="F91" s="119"/>
      <c r="G91" s="114"/>
      <c r="H91" s="117"/>
      <c r="I91" s="112"/>
      <c r="J91" s="113"/>
      <c r="K91" s="114"/>
    </row>
    <row r="92" spans="1:11" x14ac:dyDescent="0.25">
      <c r="A92" s="112"/>
      <c r="B92" s="117"/>
      <c r="D92" s="114"/>
      <c r="F92" s="119"/>
      <c r="G92" s="114"/>
      <c r="H92" s="117"/>
      <c r="I92" s="112"/>
      <c r="J92" s="113"/>
      <c r="K92" s="114"/>
    </row>
    <row r="93" spans="1:11" x14ac:dyDescent="0.25">
      <c r="A93" s="112"/>
      <c r="B93" s="117"/>
      <c r="D93" s="114"/>
      <c r="F93" s="119"/>
      <c r="G93" s="114"/>
      <c r="H93" s="117"/>
      <c r="I93" s="112"/>
      <c r="J93" s="113"/>
      <c r="K93" s="114"/>
    </row>
    <row r="94" spans="1:11" x14ac:dyDescent="0.25">
      <c r="A94" s="112"/>
      <c r="B94" s="117"/>
      <c r="D94" s="114"/>
      <c r="F94" s="119"/>
      <c r="G94" s="114"/>
      <c r="H94" s="117"/>
      <c r="I94" s="112"/>
      <c r="J94" s="113"/>
      <c r="K94" s="114"/>
    </row>
    <row r="95" spans="1:11" x14ac:dyDescent="0.25">
      <c r="A95" s="112"/>
      <c r="B95" s="117"/>
      <c r="D95" s="114"/>
      <c r="F95" s="119"/>
      <c r="G95" s="114"/>
      <c r="H95" s="117"/>
      <c r="I95" s="112"/>
      <c r="J95" s="113"/>
      <c r="K95" s="114"/>
    </row>
    <row r="96" spans="1:11" x14ac:dyDescent="0.25">
      <c r="A96" s="112"/>
      <c r="B96" s="117"/>
      <c r="D96" s="114"/>
      <c r="F96" s="119"/>
      <c r="G96" s="114"/>
      <c r="H96" s="117"/>
      <c r="I96" s="112"/>
      <c r="J96" s="113"/>
      <c r="K96" s="113"/>
    </row>
    <row r="97" spans="1:7" x14ac:dyDescent="0.25">
      <c r="A97" s="112"/>
      <c r="B97" s="117"/>
      <c r="D97" s="114"/>
      <c r="F97" s="119"/>
      <c r="G97" s="114"/>
    </row>
    <row r="98" spans="1:7" x14ac:dyDescent="0.25">
      <c r="A98" s="112"/>
      <c r="B98" s="117"/>
      <c r="D98" s="114"/>
      <c r="F98" s="119"/>
      <c r="G98" s="114"/>
    </row>
    <row r="99" spans="1:7" x14ac:dyDescent="0.25">
      <c r="A99" s="112"/>
      <c r="B99" s="117"/>
      <c r="D99" s="114"/>
      <c r="F99" s="119"/>
      <c r="G99" s="114"/>
    </row>
    <row r="100" spans="1:7" x14ac:dyDescent="0.25">
      <c r="A100" s="112"/>
      <c r="B100" s="117"/>
      <c r="D100" s="114"/>
      <c r="F100" s="119"/>
      <c r="G100" s="114"/>
    </row>
    <row r="101" spans="1:7" x14ac:dyDescent="0.25">
      <c r="A101" s="112"/>
      <c r="B101" s="117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A111" s="112"/>
      <c r="B111" s="112"/>
      <c r="D111" s="114"/>
      <c r="F111" s="119"/>
      <c r="G111" s="114"/>
    </row>
    <row r="112" spans="1:7" x14ac:dyDescent="0.25">
      <c r="A112" s="112"/>
      <c r="B112" s="112"/>
      <c r="D112" s="114"/>
      <c r="F112" s="119"/>
      <c r="G112" s="114"/>
    </row>
    <row r="113" spans="1:7" x14ac:dyDescent="0.25">
      <c r="A113" s="112"/>
      <c r="B113" s="112"/>
      <c r="D113" s="114"/>
      <c r="F113" s="119"/>
      <c r="G113" s="114"/>
    </row>
    <row r="114" spans="1:7" x14ac:dyDescent="0.25">
      <c r="A114" s="112"/>
      <c r="B114" s="112"/>
      <c r="D114" s="114"/>
      <c r="F114" s="119"/>
      <c r="G114" s="114"/>
    </row>
    <row r="115" spans="1:7" x14ac:dyDescent="0.25">
      <c r="A115" s="112"/>
      <c r="B115" s="112"/>
      <c r="D115" s="114"/>
      <c r="F115" s="119"/>
      <c r="G115" s="114"/>
    </row>
    <row r="116" spans="1:7" x14ac:dyDescent="0.25">
      <c r="A116" s="112"/>
      <c r="B116" s="112"/>
      <c r="D116" s="114"/>
      <c r="F116" s="119"/>
      <c r="G116" s="114"/>
    </row>
    <row r="117" spans="1:7" x14ac:dyDescent="0.25">
      <c r="A117" s="112"/>
      <c r="B117" s="112"/>
      <c r="D117" s="114"/>
      <c r="F117" s="119"/>
      <c r="G117" s="114"/>
    </row>
    <row r="118" spans="1:7" x14ac:dyDescent="0.25">
      <c r="A118" s="112"/>
      <c r="B118" s="112"/>
      <c r="D118" s="114"/>
      <c r="F118" s="119"/>
      <c r="G118" s="114"/>
    </row>
    <row r="119" spans="1:7" x14ac:dyDescent="0.25">
      <c r="A119" s="112"/>
      <c r="B119" s="112"/>
      <c r="D119" s="114"/>
      <c r="F119" s="119"/>
      <c r="G119" s="114"/>
    </row>
    <row r="120" spans="1:7" x14ac:dyDescent="0.25">
      <c r="A120" s="112"/>
      <c r="B120" s="112"/>
      <c r="D120" s="114"/>
      <c r="F120" s="119"/>
      <c r="G120" s="114"/>
    </row>
    <row r="121" spans="1:7" x14ac:dyDescent="0.25">
      <c r="A121" s="112"/>
      <c r="B121" s="112"/>
      <c r="D121" s="114"/>
      <c r="F121" s="119"/>
      <c r="G121" s="114"/>
    </row>
    <row r="122" spans="1:7" x14ac:dyDescent="0.25">
      <c r="A122" s="112"/>
      <c r="B122" s="112"/>
      <c r="D122" s="114"/>
      <c r="F122" s="119"/>
      <c r="G122" s="114"/>
    </row>
    <row r="123" spans="1:7" x14ac:dyDescent="0.25">
      <c r="F123" s="119"/>
      <c r="G123" s="114"/>
    </row>
    <row r="124" spans="1:7" x14ac:dyDescent="0.25">
      <c r="F124" s="119"/>
      <c r="G124" s="114"/>
    </row>
    <row r="125" spans="1:7" x14ac:dyDescent="0.25">
      <c r="F125" s="119"/>
      <c r="G125" s="114"/>
    </row>
    <row r="126" spans="1:7" x14ac:dyDescent="0.25">
      <c r="F126" s="119"/>
      <c r="G126" s="114"/>
    </row>
    <row r="127" spans="1:7" x14ac:dyDescent="0.25">
      <c r="F127" s="119"/>
      <c r="G127" s="114"/>
    </row>
    <row r="128" spans="1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  <row r="132" spans="6:7" x14ac:dyDescent="0.25">
      <c r="F132" s="119"/>
      <c r="G132" s="114"/>
    </row>
    <row r="133" spans="6:7" x14ac:dyDescent="0.25">
      <c r="F133" s="119"/>
      <c r="G133" s="114"/>
    </row>
    <row r="134" spans="6:7" x14ac:dyDescent="0.25">
      <c r="F134" s="119"/>
      <c r="G134" s="114"/>
    </row>
    <row r="135" spans="6:7" x14ac:dyDescent="0.25">
      <c r="F135" s="119"/>
      <c r="G135" s="114"/>
    </row>
    <row r="136" spans="6:7" x14ac:dyDescent="0.25">
      <c r="F136" s="119"/>
      <c r="G136" s="114"/>
    </row>
    <row r="137" spans="6:7" x14ac:dyDescent="0.25">
      <c r="F137" s="119"/>
      <c r="G137" s="114"/>
    </row>
    <row r="138" spans="6:7" x14ac:dyDescent="0.25">
      <c r="F138" s="119"/>
      <c r="G138" s="114"/>
    </row>
    <row r="139" spans="6:7" x14ac:dyDescent="0.25">
      <c r="F139" s="119"/>
      <c r="G139" s="114"/>
    </row>
    <row r="140" spans="6:7" x14ac:dyDescent="0.25">
      <c r="F140" s="119"/>
      <c r="G140" s="114"/>
    </row>
    <row r="141" spans="6:7" x14ac:dyDescent="0.25">
      <c r="F141" s="119"/>
      <c r="G141" s="114"/>
    </row>
    <row r="142" spans="6:7" x14ac:dyDescent="0.25">
      <c r="F142" s="119"/>
      <c r="G142" s="114"/>
    </row>
    <row r="143" spans="6:7" x14ac:dyDescent="0.25">
      <c r="F143" s="119"/>
      <c r="G143" s="114"/>
    </row>
  </sheetData>
  <sortState ref="C45:E56">
    <sortCondition descending="1" ref="C45"/>
  </sortState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7.7109375" style="11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148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141</v>
      </c>
    </row>
    <row r="6" spans="1:19" x14ac:dyDescent="0.25">
      <c r="A6" s="138">
        <f>B6+273.15</f>
        <v>1073.1500000000001</v>
      </c>
      <c r="B6" s="148">
        <v>800</v>
      </c>
      <c r="C6" s="144"/>
      <c r="D6" s="153">
        <v>4.1770000000000002E-3</v>
      </c>
    </row>
    <row r="7" spans="1:19" x14ac:dyDescent="0.25">
      <c r="A7" s="138">
        <f t="shared" ref="A7:A10" si="0">B7+273.15</f>
        <v>1023.15</v>
      </c>
      <c r="B7" s="148">
        <v>750</v>
      </c>
      <c r="C7" s="144"/>
      <c r="D7" s="153">
        <v>2.4130000000000002E-3</v>
      </c>
      <c r="H7" s="111" t="s">
        <v>18</v>
      </c>
    </row>
    <row r="8" spans="1:19" ht="15.75" x14ac:dyDescent="0.25">
      <c r="A8" s="138">
        <f t="shared" si="0"/>
        <v>973.15</v>
      </c>
      <c r="B8" s="148">
        <v>700</v>
      </c>
      <c r="C8" s="144"/>
      <c r="D8" s="153">
        <v>1.1100000000000001E-3</v>
      </c>
      <c r="G8" s="111">
        <v>1</v>
      </c>
      <c r="H8" s="35" t="s">
        <v>131</v>
      </c>
    </row>
    <row r="9" spans="1:19" ht="15.75" x14ac:dyDescent="0.25">
      <c r="A9" s="138">
        <f t="shared" si="0"/>
        <v>923.19054652880357</v>
      </c>
      <c r="B9" s="148">
        <v>650.04054652880359</v>
      </c>
      <c r="C9" s="144"/>
      <c r="D9" s="153">
        <v>4.7699999999999999E-4</v>
      </c>
      <c r="J9" s="35"/>
    </row>
    <row r="10" spans="1:19" ht="16.5" thickBot="1" x14ac:dyDescent="0.3">
      <c r="A10" s="141">
        <f t="shared" si="0"/>
        <v>873.15</v>
      </c>
      <c r="B10" s="149">
        <v>600</v>
      </c>
      <c r="C10" s="129"/>
      <c r="D10" s="154">
        <v>2.6889999999999998E-4</v>
      </c>
      <c r="J10" s="35"/>
    </row>
    <row r="11" spans="1:19" ht="19.5" thickBot="1" x14ac:dyDescent="0.3">
      <c r="A11" s="112"/>
      <c r="B11" s="117"/>
      <c r="D11" s="119"/>
      <c r="H11" s="169" t="s">
        <v>184</v>
      </c>
    </row>
    <row r="12" spans="1:19" ht="15.75" x14ac:dyDescent="0.25">
      <c r="A12" s="133" t="s">
        <v>13</v>
      </c>
      <c r="B12" s="134"/>
      <c r="C12" s="134"/>
      <c r="D12" s="135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75" x14ac:dyDescent="0.25">
      <c r="A13" s="136" t="s">
        <v>16</v>
      </c>
      <c r="B13" s="115" t="s">
        <v>14</v>
      </c>
      <c r="C13" s="142" t="s">
        <v>37</v>
      </c>
      <c r="D13" s="137" t="s">
        <v>15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>B14+273.15</f>
        <v>1073.1500000000001</v>
      </c>
      <c r="B14" s="148">
        <v>800</v>
      </c>
      <c r="C14" s="140">
        <f>'BSCF,Bucher (Solid State Ionics'!C42</f>
        <v>115</v>
      </c>
      <c r="D14" s="157">
        <f>D6/C14</f>
        <v>3.6321739130434781E-5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ref="A15:A18" si="1">B15+273.15</f>
        <v>1023.15</v>
      </c>
      <c r="B15" s="148">
        <v>750</v>
      </c>
      <c r="C15" s="140">
        <f>'BSCF,Bucher (Solid State Ionics'!C43</f>
        <v>113.92356586698381</v>
      </c>
      <c r="D15" s="157">
        <f t="shared" ref="D15:D18" si="2">D7/C15</f>
        <v>2.1180867905920347E-5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1"/>
        <v>973.15</v>
      </c>
      <c r="B16" s="148">
        <v>700</v>
      </c>
      <c r="C16" s="140">
        <f>'BSCF,Bucher (Solid State Ionics'!C45</f>
        <v>138</v>
      </c>
      <c r="D16" s="157">
        <f t="shared" si="2"/>
        <v>8.0434782608695662E-6</v>
      </c>
    </row>
    <row r="17" spans="1:12" x14ac:dyDescent="0.25">
      <c r="A17" s="138">
        <f t="shared" si="1"/>
        <v>923.19054652880357</v>
      </c>
      <c r="B17" s="148">
        <v>650.04054652880359</v>
      </c>
      <c r="C17" s="140">
        <f>'BSCF,Bucher (Solid State Ionics'!C46</f>
        <v>139.1465575693758</v>
      </c>
      <c r="D17" s="157">
        <f t="shared" si="2"/>
        <v>3.4280402500232673E-6</v>
      </c>
    </row>
    <row r="18" spans="1:12" ht="15.75" thickBot="1" x14ac:dyDescent="0.3">
      <c r="A18" s="141">
        <f t="shared" si="1"/>
        <v>873.15</v>
      </c>
      <c r="B18" s="149">
        <v>600</v>
      </c>
      <c r="C18" s="130">
        <f>'BSCF,Bucher (Solid State Ionics'!C47</f>
        <v>125</v>
      </c>
      <c r="D18" s="158">
        <f t="shared" si="2"/>
        <v>2.1511999999999998E-6</v>
      </c>
    </row>
    <row r="19" spans="1:12" ht="15.75" thickBot="1" x14ac:dyDescent="0.3"/>
    <row r="20" spans="1:12" ht="15.75" x14ac:dyDescent="0.25">
      <c r="A20" s="133" t="s">
        <v>19</v>
      </c>
      <c r="B20" s="134"/>
      <c r="C20" s="134"/>
      <c r="D20" s="135"/>
      <c r="G20" s="119"/>
      <c r="H20" s="119"/>
    </row>
    <row r="21" spans="1:12" ht="47.25" x14ac:dyDescent="0.25">
      <c r="A21" s="136" t="s">
        <v>16</v>
      </c>
      <c r="B21" s="115" t="s">
        <v>14</v>
      </c>
      <c r="C21" s="142" t="s">
        <v>111</v>
      </c>
      <c r="D21" s="143" t="s">
        <v>35</v>
      </c>
      <c r="G21" s="119"/>
      <c r="H21" s="114"/>
    </row>
    <row r="22" spans="1:12" x14ac:dyDescent="0.25">
      <c r="A22" s="138">
        <f>B22+273.15</f>
        <v>1073.1500000000001</v>
      </c>
      <c r="B22" s="148">
        <v>800</v>
      </c>
      <c r="C22" s="140">
        <f>'BSCF,Bucher (Solid State Ionics'!H42</f>
        <v>6.5788511749347259E-2</v>
      </c>
      <c r="D22" s="157">
        <f>($C$2*$A$2*A22)/(4*($E$2^2)*D14*C22)</f>
        <v>0.10022613616120783</v>
      </c>
      <c r="G22" s="119"/>
      <c r="H22" s="114"/>
      <c r="K22" s="118"/>
      <c r="L22" s="118"/>
    </row>
    <row r="23" spans="1:12" x14ac:dyDescent="0.25">
      <c r="A23" s="138">
        <f t="shared" ref="A23:A26" si="3">B23+273.15</f>
        <v>1023.15</v>
      </c>
      <c r="B23" s="148">
        <v>750</v>
      </c>
      <c r="C23" s="140">
        <f>'BSCF,Bucher (Solid State Ionics'!H43</f>
        <v>6.587526873215778E-2</v>
      </c>
      <c r="D23" s="157">
        <f>($C$2*$A$2*A23)/(4*($E$2^2)*D15*C23)</f>
        <v>0.16364789074217237</v>
      </c>
      <c r="G23" s="119"/>
      <c r="H23" s="114"/>
      <c r="J23" s="113"/>
      <c r="K23" s="113"/>
      <c r="L23" s="113"/>
    </row>
    <row r="24" spans="1:12" x14ac:dyDescent="0.25">
      <c r="A24" s="138">
        <f t="shared" si="3"/>
        <v>973.15</v>
      </c>
      <c r="B24" s="148">
        <v>700</v>
      </c>
      <c r="C24" s="140">
        <f>'BSCF,Bucher (Solid State Ionics'!H45</f>
        <v>6.6297650130548308E-2</v>
      </c>
      <c r="D24" s="157">
        <f>($C$2*$A$2*A24)/(4*($E$2^2)*D16*C24)</f>
        <v>0.40726305459218376</v>
      </c>
      <c r="G24" s="119"/>
      <c r="H24" s="114"/>
      <c r="J24" s="113"/>
      <c r="K24" s="113"/>
      <c r="L24" s="113"/>
    </row>
    <row r="25" spans="1:12" x14ac:dyDescent="0.25">
      <c r="A25" s="138">
        <f t="shared" si="3"/>
        <v>923.19054652880357</v>
      </c>
      <c r="B25" s="148">
        <v>650.04054652880359</v>
      </c>
      <c r="C25" s="140">
        <f>'BSCF,Bucher (Solid State Ionics'!H46</f>
        <v>6.6443312259546278E-2</v>
      </c>
      <c r="D25" s="157">
        <f>($C$2*$A$2*A25)/(4*($E$2^2)*D17*C25)</f>
        <v>0.90454758188568796</v>
      </c>
      <c r="G25" s="119"/>
      <c r="H25" s="114"/>
      <c r="J25" s="113"/>
      <c r="K25" s="113"/>
      <c r="L25" s="113"/>
    </row>
    <row r="26" spans="1:12" ht="15.75" thickBot="1" x14ac:dyDescent="0.3">
      <c r="A26" s="141">
        <f t="shared" si="3"/>
        <v>873.15</v>
      </c>
      <c r="B26" s="149">
        <v>600</v>
      </c>
      <c r="C26" s="130">
        <f>'BSCF,Bucher (Solid State Ionics'!H47</f>
        <v>6.6843342036553524E-2</v>
      </c>
      <c r="D26" s="158">
        <f>($C$2*$A$2*A26)/(4*($E$2^2)*D18*C26)</f>
        <v>1.355149373358256</v>
      </c>
      <c r="G26" s="119"/>
      <c r="H26" s="114"/>
    </row>
    <row r="27" spans="1:12" x14ac:dyDescent="0.25">
      <c r="A27" s="112"/>
      <c r="B27" s="117"/>
      <c r="C27" s="113"/>
      <c r="D27" s="114"/>
      <c r="G27" s="119"/>
      <c r="H27" s="114"/>
    </row>
    <row r="28" spans="1:12" s="126" customFormat="1" ht="15.75" thickBot="1" x14ac:dyDescent="0.3">
      <c r="D28" s="129"/>
      <c r="G28" s="128"/>
      <c r="H28" s="129"/>
    </row>
    <row r="29" spans="1:12" ht="60" x14ac:dyDescent="0.25">
      <c r="A29" s="118" t="s">
        <v>26</v>
      </c>
      <c r="D29" s="114"/>
      <c r="G29" s="119"/>
      <c r="H29" s="114"/>
    </row>
    <row r="30" spans="1:12" x14ac:dyDescent="0.25">
      <c r="A30" s="112" t="s">
        <v>16</v>
      </c>
      <c r="B30" s="112" t="s">
        <v>14</v>
      </c>
      <c r="C30" s="111" t="s">
        <v>140</v>
      </c>
      <c r="E30" s="119"/>
      <c r="F30" s="119"/>
      <c r="G30" s="121"/>
      <c r="H30" s="118"/>
      <c r="I30" s="121"/>
      <c r="J30" s="119"/>
      <c r="K30" s="118"/>
    </row>
    <row r="31" spans="1:12" x14ac:dyDescent="0.25">
      <c r="A31" s="112">
        <f>B31+273.15</f>
        <v>1073.5373054213635</v>
      </c>
      <c r="B31" s="112">
        <v>800.38730542136352</v>
      </c>
      <c r="C31" s="114">
        <v>3.8890000000000002E-4</v>
      </c>
      <c r="E31" s="117"/>
      <c r="F31" s="117"/>
      <c r="G31" s="114"/>
      <c r="H31" s="114"/>
      <c r="J31" s="113"/>
      <c r="K31" s="114"/>
    </row>
    <row r="32" spans="1:12" x14ac:dyDescent="0.25">
      <c r="A32" s="112">
        <f t="shared" ref="A32:A35" si="4">B32+273.15</f>
        <v>1023.15</v>
      </c>
      <c r="B32" s="112">
        <v>750</v>
      </c>
      <c r="C32" s="114">
        <v>2.2699999999999999E-4</v>
      </c>
      <c r="E32" s="117"/>
      <c r="F32" s="112"/>
      <c r="G32" s="113"/>
      <c r="H32" s="114"/>
      <c r="J32" s="113"/>
      <c r="K32" s="114"/>
    </row>
    <row r="33" spans="1:11" x14ac:dyDescent="0.25">
      <c r="A33" s="112">
        <f t="shared" si="4"/>
        <v>972.85728183675451</v>
      </c>
      <c r="B33" s="112">
        <v>699.70728183675453</v>
      </c>
      <c r="C33" s="114">
        <v>1.0950000000000001E-4</v>
      </c>
      <c r="E33" s="117"/>
      <c r="F33" s="112"/>
      <c r="G33" s="113"/>
      <c r="H33" s="114"/>
      <c r="J33" s="113"/>
      <c r="K33" s="114"/>
    </row>
    <row r="34" spans="1:11" x14ac:dyDescent="0.25">
      <c r="A34" s="112">
        <f t="shared" si="4"/>
        <v>923.19054652880357</v>
      </c>
      <c r="B34" s="117">
        <v>650.04054652880359</v>
      </c>
      <c r="C34" s="113">
        <v>4.5519999999999998E-5</v>
      </c>
      <c r="D34" s="114"/>
      <c r="E34" s="117"/>
      <c r="F34" s="112"/>
      <c r="G34" s="113"/>
      <c r="H34" s="114"/>
      <c r="J34" s="113"/>
      <c r="K34" s="114"/>
    </row>
    <row r="35" spans="1:11" x14ac:dyDescent="0.25">
      <c r="A35" s="112">
        <f t="shared" si="4"/>
        <v>872.90502793296093</v>
      </c>
      <c r="B35" s="117">
        <v>599.75502793296096</v>
      </c>
      <c r="C35" s="113">
        <v>2.4870000000000001E-5</v>
      </c>
      <c r="D35" s="114"/>
      <c r="E35" s="117"/>
      <c r="F35" s="112"/>
      <c r="G35" s="113"/>
      <c r="H35" s="114"/>
      <c r="J35" s="113"/>
      <c r="K35" s="114"/>
    </row>
    <row r="36" spans="1:11" x14ac:dyDescent="0.25">
      <c r="A36" s="112"/>
      <c r="B36" s="112"/>
      <c r="F36" s="113"/>
      <c r="G36" s="114"/>
      <c r="H36" s="114"/>
    </row>
    <row r="37" spans="1:11" x14ac:dyDescent="0.25">
      <c r="E37" s="119"/>
      <c r="F37" s="119"/>
      <c r="G37" s="118"/>
      <c r="H37" s="114"/>
    </row>
    <row r="38" spans="1:11" x14ac:dyDescent="0.25">
      <c r="E38" s="112"/>
      <c r="F38" s="112"/>
      <c r="G38" s="114"/>
      <c r="H38" s="114"/>
    </row>
    <row r="39" spans="1:11" x14ac:dyDescent="0.25">
      <c r="E39" s="112"/>
      <c r="F39" s="112"/>
      <c r="G39" s="114"/>
    </row>
    <row r="40" spans="1:11" x14ac:dyDescent="0.25">
      <c r="E40" s="112"/>
      <c r="F40" s="112"/>
      <c r="G40" s="114"/>
    </row>
    <row r="41" spans="1:11" x14ac:dyDescent="0.25">
      <c r="E41" s="112"/>
      <c r="F41" s="112"/>
      <c r="G41" s="114"/>
    </row>
    <row r="42" spans="1:11" x14ac:dyDescent="0.25">
      <c r="F42" s="113"/>
      <c r="G42" s="114"/>
    </row>
    <row r="43" spans="1:11" x14ac:dyDescent="0.25">
      <c r="D43" s="114"/>
      <c r="F43" s="113"/>
      <c r="G43" s="114"/>
    </row>
    <row r="44" spans="1:11" x14ac:dyDescent="0.25">
      <c r="D44" s="114"/>
      <c r="F44" s="113"/>
      <c r="G44" s="114"/>
    </row>
    <row r="45" spans="1:11" x14ac:dyDescent="0.25">
      <c r="D45" s="114"/>
      <c r="F45" s="113"/>
      <c r="G45" s="114"/>
    </row>
    <row r="46" spans="1:11" x14ac:dyDescent="0.25">
      <c r="D46" s="114"/>
      <c r="F46" s="113"/>
      <c r="G46" s="114"/>
    </row>
    <row r="47" spans="1:11" x14ac:dyDescent="0.25">
      <c r="D47" s="114"/>
      <c r="F47" s="113"/>
      <c r="G47" s="114"/>
    </row>
    <row r="48" spans="1:11" x14ac:dyDescent="0.25">
      <c r="D48" s="114"/>
      <c r="F48" s="113"/>
      <c r="G48" s="114"/>
    </row>
    <row r="49" spans="1:11" x14ac:dyDescent="0.25">
      <c r="D49" s="114"/>
      <c r="F49" s="113"/>
      <c r="G49" s="114"/>
    </row>
    <row r="50" spans="1:11" x14ac:dyDescent="0.25">
      <c r="D50" s="114"/>
      <c r="F50" s="113"/>
      <c r="G50" s="114"/>
    </row>
    <row r="51" spans="1:11" x14ac:dyDescent="0.25">
      <c r="A51" s="112"/>
      <c r="B51" s="117"/>
      <c r="C51" s="113"/>
      <c r="D51" s="114"/>
      <c r="F51" s="113"/>
      <c r="G51" s="114"/>
      <c r="H51" s="114"/>
    </row>
    <row r="52" spans="1:11" x14ac:dyDescent="0.25">
      <c r="A52" s="112"/>
      <c r="B52" s="117"/>
      <c r="C52" s="113"/>
      <c r="D52" s="114"/>
      <c r="F52" s="113"/>
      <c r="G52" s="114"/>
      <c r="H52" s="119"/>
      <c r="I52" s="119"/>
      <c r="J52" s="119"/>
      <c r="K52" s="119"/>
    </row>
    <row r="53" spans="1:11" x14ac:dyDescent="0.25">
      <c r="A53" s="112"/>
      <c r="B53" s="117"/>
      <c r="C53" s="113"/>
      <c r="D53" s="114"/>
      <c r="F53" s="113"/>
      <c r="G53" s="114"/>
      <c r="H53" s="117"/>
      <c r="I53" s="112"/>
      <c r="J53" s="113"/>
      <c r="K53" s="113"/>
    </row>
    <row r="54" spans="1:11" x14ac:dyDescent="0.25">
      <c r="A54" s="112"/>
      <c r="B54" s="117"/>
      <c r="C54" s="113"/>
      <c r="D54" s="114"/>
      <c r="F54" s="113"/>
      <c r="G54" s="114"/>
      <c r="H54" s="117"/>
      <c r="I54" s="112"/>
      <c r="J54" s="113"/>
      <c r="K54" s="113"/>
    </row>
    <row r="55" spans="1:11" x14ac:dyDescent="0.25">
      <c r="A55" s="112"/>
      <c r="B55" s="117"/>
      <c r="C55" s="113"/>
      <c r="D55" s="114"/>
      <c r="F55" s="113"/>
      <c r="G55" s="114"/>
      <c r="H55" s="117"/>
      <c r="I55" s="112"/>
      <c r="J55" s="113"/>
      <c r="K55" s="113"/>
    </row>
    <row r="56" spans="1:11" x14ac:dyDescent="0.25">
      <c r="A56" s="112"/>
      <c r="B56" s="117"/>
      <c r="C56" s="113"/>
      <c r="D56" s="114"/>
      <c r="F56" s="113"/>
      <c r="G56" s="114"/>
      <c r="H56" s="117"/>
      <c r="I56" s="112"/>
      <c r="J56" s="113"/>
      <c r="K56" s="113"/>
    </row>
    <row r="57" spans="1:11" x14ac:dyDescent="0.25">
      <c r="A57" s="112"/>
      <c r="B57" s="117"/>
      <c r="C57" s="113"/>
      <c r="D57" s="114"/>
      <c r="F57" s="113"/>
      <c r="G57" s="114"/>
      <c r="H57" s="117"/>
      <c r="I57" s="112"/>
      <c r="J57" s="113"/>
      <c r="K57" s="113"/>
    </row>
    <row r="58" spans="1:11" x14ac:dyDescent="0.25">
      <c r="A58" s="112"/>
      <c r="B58" s="117"/>
      <c r="C58" s="113"/>
      <c r="D58" s="114"/>
      <c r="F58" s="113"/>
      <c r="G58" s="114"/>
      <c r="H58" s="117"/>
      <c r="I58" s="112"/>
      <c r="J58" s="113"/>
      <c r="K58" s="113"/>
    </row>
    <row r="59" spans="1:11" x14ac:dyDescent="0.25">
      <c r="A59" s="112"/>
      <c r="B59" s="117"/>
      <c r="C59" s="113"/>
      <c r="D59" s="114"/>
      <c r="F59" s="113"/>
      <c r="G59" s="114"/>
      <c r="H59" s="117"/>
      <c r="I59" s="112"/>
      <c r="J59" s="113"/>
      <c r="K59" s="113"/>
    </row>
    <row r="60" spans="1:11" x14ac:dyDescent="0.25">
      <c r="A60" s="112"/>
      <c r="B60" s="117"/>
      <c r="C60" s="113"/>
      <c r="D60" s="114"/>
      <c r="F60" s="113"/>
      <c r="G60" s="114"/>
      <c r="H60" s="117"/>
      <c r="I60" s="112"/>
      <c r="J60" s="113"/>
      <c r="K60" s="113"/>
    </row>
    <row r="61" spans="1:11" x14ac:dyDescent="0.25">
      <c r="A61" s="112"/>
      <c r="B61" s="117"/>
      <c r="C61" s="113"/>
      <c r="D61" s="114"/>
      <c r="F61" s="113"/>
      <c r="G61" s="114"/>
      <c r="H61" s="117"/>
      <c r="I61" s="112"/>
      <c r="J61" s="113"/>
      <c r="K61" s="113"/>
    </row>
    <row r="62" spans="1:11" x14ac:dyDescent="0.25">
      <c r="A62" s="112"/>
      <c r="B62" s="117"/>
      <c r="C62" s="113"/>
      <c r="D62" s="114"/>
      <c r="F62" s="113"/>
      <c r="G62" s="114"/>
      <c r="H62" s="117"/>
      <c r="I62" s="112"/>
      <c r="J62" s="113"/>
      <c r="K62" s="113"/>
    </row>
    <row r="63" spans="1:11" x14ac:dyDescent="0.25">
      <c r="A63" s="112"/>
      <c r="B63" s="117"/>
      <c r="C63" s="113"/>
      <c r="D63" s="114"/>
      <c r="F63" s="113"/>
      <c r="G63" s="114"/>
      <c r="H63" s="114"/>
    </row>
    <row r="64" spans="1:11" x14ac:dyDescent="0.25">
      <c r="A64" s="112"/>
      <c r="B64" s="117"/>
      <c r="C64" s="113"/>
      <c r="D64" s="114"/>
      <c r="F64" s="113"/>
      <c r="G64" s="114"/>
      <c r="H64" s="119"/>
      <c r="I64" s="119"/>
      <c r="J64" s="121"/>
      <c r="K64" s="121"/>
    </row>
    <row r="65" spans="1:11" x14ac:dyDescent="0.25">
      <c r="A65" s="112"/>
      <c r="B65" s="117"/>
      <c r="C65" s="113"/>
      <c r="D65" s="114"/>
      <c r="F65" s="113"/>
      <c r="G65" s="114"/>
      <c r="H65" s="117"/>
      <c r="I65" s="112"/>
      <c r="J65" s="113"/>
      <c r="K65" s="113"/>
    </row>
    <row r="66" spans="1:11" x14ac:dyDescent="0.25">
      <c r="A66" s="112"/>
      <c r="B66" s="117"/>
      <c r="C66" s="113"/>
      <c r="D66" s="114"/>
      <c r="F66" s="113"/>
      <c r="G66" s="114"/>
      <c r="H66" s="117"/>
      <c r="I66" s="112"/>
      <c r="J66" s="113"/>
      <c r="K66" s="114"/>
    </row>
    <row r="67" spans="1:11" x14ac:dyDescent="0.25">
      <c r="A67" s="112"/>
      <c r="B67" s="119"/>
      <c r="D67" s="114"/>
      <c r="F67" s="114"/>
      <c r="G67" s="114"/>
      <c r="H67" s="117"/>
      <c r="I67" s="112"/>
      <c r="J67" s="113"/>
      <c r="K67" s="114"/>
    </row>
    <row r="68" spans="1:11" x14ac:dyDescent="0.25">
      <c r="A68" s="112"/>
      <c r="B68" s="119"/>
      <c r="D68" s="114"/>
      <c r="F68" s="114"/>
      <c r="G68" s="114"/>
      <c r="H68" s="117"/>
      <c r="I68" s="112"/>
      <c r="J68" s="113"/>
      <c r="K68" s="114"/>
    </row>
    <row r="69" spans="1:11" x14ac:dyDescent="0.25">
      <c r="A69" s="112"/>
      <c r="B69" s="119"/>
      <c r="D69" s="114"/>
      <c r="F69" s="114"/>
      <c r="G69" s="114"/>
      <c r="H69" s="117"/>
      <c r="I69" s="112"/>
      <c r="J69" s="113"/>
      <c r="K69" s="114"/>
    </row>
    <row r="70" spans="1:11" x14ac:dyDescent="0.25">
      <c r="A70" s="112"/>
      <c r="B70" s="119"/>
      <c r="D70" s="114"/>
      <c r="F70" s="114"/>
      <c r="G70" s="114"/>
      <c r="H70" s="117"/>
      <c r="I70" s="112"/>
      <c r="J70" s="113"/>
      <c r="K70" s="114"/>
    </row>
    <row r="71" spans="1:11" x14ac:dyDescent="0.25">
      <c r="A71" s="112"/>
      <c r="B71" s="117"/>
      <c r="D71" s="114"/>
      <c r="F71" s="119"/>
      <c r="G71" s="114"/>
      <c r="H71" s="117"/>
      <c r="I71" s="112"/>
      <c r="J71" s="113"/>
      <c r="K71" s="114"/>
    </row>
    <row r="72" spans="1:11" x14ac:dyDescent="0.25">
      <c r="A72" s="112"/>
      <c r="B72" s="117"/>
      <c r="D72" s="114"/>
      <c r="F72" s="119"/>
      <c r="G72" s="114"/>
      <c r="H72" s="117"/>
      <c r="I72" s="112"/>
      <c r="J72" s="113"/>
      <c r="K72" s="114"/>
    </row>
    <row r="73" spans="1:11" x14ac:dyDescent="0.25">
      <c r="A73" s="112"/>
      <c r="B73" s="117"/>
      <c r="D73" s="114"/>
      <c r="F73" s="119"/>
      <c r="G73" s="114"/>
      <c r="H73" s="117"/>
      <c r="I73" s="112"/>
      <c r="J73" s="113"/>
      <c r="K73" s="114"/>
    </row>
    <row r="74" spans="1:11" x14ac:dyDescent="0.25">
      <c r="A74" s="112"/>
      <c r="B74" s="117"/>
      <c r="D74" s="114"/>
      <c r="F74" s="119"/>
      <c r="G74" s="114"/>
      <c r="H74" s="117"/>
      <c r="I74" s="112"/>
      <c r="J74" s="113"/>
      <c r="K74" s="114"/>
    </row>
    <row r="75" spans="1:11" x14ac:dyDescent="0.25">
      <c r="A75" s="112"/>
      <c r="B75" s="117"/>
      <c r="D75" s="114"/>
      <c r="F75" s="119"/>
      <c r="G75" s="114"/>
      <c r="H75" s="117"/>
      <c r="I75" s="112"/>
      <c r="J75" s="113"/>
      <c r="K75" s="114"/>
    </row>
    <row r="76" spans="1:11" x14ac:dyDescent="0.25">
      <c r="A76" s="112"/>
      <c r="B76" s="117"/>
      <c r="D76" s="114"/>
      <c r="F76" s="119"/>
      <c r="G76" s="114"/>
      <c r="H76" s="117"/>
      <c r="I76" s="112"/>
      <c r="J76" s="113"/>
      <c r="K76" s="114"/>
    </row>
    <row r="77" spans="1:11" x14ac:dyDescent="0.25">
      <c r="A77" s="112"/>
      <c r="B77" s="117"/>
      <c r="D77" s="114"/>
      <c r="F77" s="119"/>
      <c r="G77" s="114"/>
      <c r="H77" s="117"/>
      <c r="I77" s="112"/>
      <c r="J77" s="113"/>
      <c r="K77" s="114"/>
    </row>
    <row r="78" spans="1:11" x14ac:dyDescent="0.25">
      <c r="A78" s="112"/>
      <c r="B78" s="117"/>
      <c r="D78" s="114"/>
      <c r="F78" s="119"/>
      <c r="G78" s="114"/>
      <c r="H78" s="117"/>
      <c r="I78" s="112"/>
      <c r="J78" s="113"/>
      <c r="K78" s="113"/>
    </row>
    <row r="79" spans="1:11" x14ac:dyDescent="0.25">
      <c r="A79" s="112"/>
      <c r="B79" s="117"/>
      <c r="D79" s="114"/>
      <c r="F79" s="119"/>
      <c r="G79" s="114"/>
    </row>
    <row r="80" spans="1:11" x14ac:dyDescent="0.25">
      <c r="A80" s="112"/>
      <c r="B80" s="117"/>
      <c r="D80" s="114"/>
      <c r="F80" s="119"/>
      <c r="G80" s="114"/>
    </row>
    <row r="81" spans="1:7" x14ac:dyDescent="0.25">
      <c r="A81" s="112"/>
      <c r="B81" s="117"/>
      <c r="D81" s="114"/>
      <c r="F81" s="119"/>
      <c r="G81" s="114"/>
    </row>
    <row r="82" spans="1:7" x14ac:dyDescent="0.25">
      <c r="A82" s="112"/>
      <c r="B82" s="117"/>
      <c r="D82" s="114"/>
      <c r="F82" s="119"/>
      <c r="G82" s="114"/>
    </row>
    <row r="83" spans="1:7" x14ac:dyDescent="0.25">
      <c r="A83" s="112"/>
      <c r="B83" s="117"/>
      <c r="D83" s="114"/>
      <c r="F83" s="119"/>
      <c r="G83" s="114"/>
    </row>
    <row r="84" spans="1:7" x14ac:dyDescent="0.25">
      <c r="A84" s="112"/>
      <c r="B84" s="112"/>
      <c r="D84" s="114"/>
      <c r="F84" s="119"/>
      <c r="G84" s="114"/>
    </row>
    <row r="85" spans="1:7" x14ac:dyDescent="0.25">
      <c r="A85" s="112"/>
      <c r="B85" s="112"/>
      <c r="D85" s="114"/>
      <c r="F85" s="119"/>
      <c r="G85" s="114"/>
    </row>
    <row r="86" spans="1:7" x14ac:dyDescent="0.25">
      <c r="A86" s="112"/>
      <c r="B86" s="112"/>
      <c r="D86" s="114"/>
      <c r="F86" s="119"/>
      <c r="G86" s="114"/>
    </row>
    <row r="87" spans="1:7" x14ac:dyDescent="0.25">
      <c r="A87" s="112"/>
      <c r="B87" s="112"/>
      <c r="D87" s="114"/>
      <c r="F87" s="119"/>
      <c r="G87" s="114"/>
    </row>
    <row r="88" spans="1:7" x14ac:dyDescent="0.25">
      <c r="A88" s="112"/>
      <c r="B88" s="112"/>
      <c r="D88" s="114"/>
      <c r="F88" s="119"/>
      <c r="G88" s="114"/>
    </row>
    <row r="89" spans="1:7" x14ac:dyDescent="0.25">
      <c r="A89" s="112"/>
      <c r="B89" s="112"/>
      <c r="D89" s="114"/>
      <c r="F89" s="119"/>
      <c r="G89" s="114"/>
    </row>
    <row r="90" spans="1:7" x14ac:dyDescent="0.25">
      <c r="A90" s="112"/>
      <c r="B90" s="112"/>
      <c r="D90" s="114"/>
      <c r="F90" s="119"/>
      <c r="G90" s="114"/>
    </row>
    <row r="91" spans="1:7" x14ac:dyDescent="0.25">
      <c r="A91" s="112"/>
      <c r="B91" s="112"/>
      <c r="D91" s="114"/>
      <c r="F91" s="119"/>
      <c r="G91" s="114"/>
    </row>
    <row r="92" spans="1:7" x14ac:dyDescent="0.25">
      <c r="A92" s="112"/>
      <c r="B92" s="112"/>
      <c r="D92" s="114"/>
      <c r="F92" s="119"/>
      <c r="G92" s="114"/>
    </row>
    <row r="93" spans="1:7" x14ac:dyDescent="0.25">
      <c r="A93" s="112"/>
      <c r="B93" s="112"/>
      <c r="D93" s="114"/>
      <c r="F93" s="119"/>
      <c r="G93" s="114"/>
    </row>
    <row r="94" spans="1:7" x14ac:dyDescent="0.25">
      <c r="A94" s="112"/>
      <c r="B94" s="112"/>
      <c r="D94" s="114"/>
      <c r="F94" s="119"/>
      <c r="G94" s="114"/>
    </row>
    <row r="95" spans="1:7" x14ac:dyDescent="0.25">
      <c r="A95" s="112"/>
      <c r="B95" s="112"/>
      <c r="D95" s="114"/>
      <c r="F95" s="119"/>
      <c r="G95" s="114"/>
    </row>
    <row r="96" spans="1:7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F105" s="119"/>
      <c r="G105" s="114"/>
    </row>
    <row r="106" spans="1:7" x14ac:dyDescent="0.25">
      <c r="F106" s="119"/>
      <c r="G106" s="114"/>
    </row>
    <row r="107" spans="1:7" x14ac:dyDescent="0.25">
      <c r="F107" s="119"/>
      <c r="G107" s="114"/>
    </row>
    <row r="108" spans="1:7" x14ac:dyDescent="0.25">
      <c r="F108" s="119"/>
      <c r="G108" s="114"/>
    </row>
    <row r="109" spans="1:7" x14ac:dyDescent="0.25">
      <c r="F109" s="119"/>
      <c r="G109" s="114"/>
    </row>
    <row r="110" spans="1:7" x14ac:dyDescent="0.25">
      <c r="F110" s="119"/>
      <c r="G110" s="114"/>
    </row>
    <row r="111" spans="1:7" x14ac:dyDescent="0.25">
      <c r="F111" s="119"/>
      <c r="G111" s="114"/>
    </row>
    <row r="112" spans="1:7" x14ac:dyDescent="0.25"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  <row r="122" spans="6:7" x14ac:dyDescent="0.25">
      <c r="F122" s="119"/>
      <c r="G122" s="114"/>
    </row>
    <row r="123" spans="6:7" x14ac:dyDescent="0.25">
      <c r="F123" s="119"/>
      <c r="G123" s="114"/>
    </row>
    <row r="124" spans="6:7" x14ac:dyDescent="0.25">
      <c r="F124" s="119"/>
      <c r="G124" s="114"/>
    </row>
    <row r="125" spans="6:7" x14ac:dyDescent="0.25">
      <c r="F125" s="119"/>
      <c r="G125" s="114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7.42578125" style="111" customWidth="1"/>
    <col min="5" max="5" width="18" style="111" bestFit="1" customWidth="1"/>
    <col min="6" max="6" width="16.42578125" style="111" bestFit="1" customWidth="1"/>
    <col min="7" max="7" width="17.7109375" style="11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165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133</v>
      </c>
    </row>
    <row r="6" spans="1:19" x14ac:dyDescent="0.25">
      <c r="A6" s="138">
        <f>B6+273.15</f>
        <v>1023.0702337715484</v>
      </c>
      <c r="B6" s="148">
        <v>749.9202337715484</v>
      </c>
      <c r="C6" s="144"/>
      <c r="D6" s="153">
        <v>1.8699999999999999E-3</v>
      </c>
    </row>
    <row r="7" spans="1:19" x14ac:dyDescent="0.25">
      <c r="A7" s="138">
        <f t="shared" ref="A7:A12" si="0">B7+273.15</f>
        <v>997.90440075840741</v>
      </c>
      <c r="B7" s="148">
        <v>724.75440075840743</v>
      </c>
      <c r="C7" s="144"/>
      <c r="D7" s="153">
        <v>1.0679999999999999E-3</v>
      </c>
      <c r="H7" s="111" t="s">
        <v>18</v>
      </c>
    </row>
    <row r="8" spans="1:19" ht="15.75" x14ac:dyDescent="0.25">
      <c r="A8" s="138">
        <f t="shared" si="0"/>
        <v>973.14130011677685</v>
      </c>
      <c r="B8" s="148">
        <v>699.99130011677687</v>
      </c>
      <c r="C8" s="144"/>
      <c r="D8" s="153">
        <v>7.6800000000000002E-4</v>
      </c>
      <c r="G8" s="111">
        <v>1</v>
      </c>
      <c r="H8" s="35" t="s">
        <v>143</v>
      </c>
    </row>
    <row r="9" spans="1:19" ht="15.75" x14ac:dyDescent="0.25">
      <c r="A9" s="138">
        <f t="shared" si="0"/>
        <v>948.31673779042205</v>
      </c>
      <c r="B9" s="148">
        <v>675.16673779042208</v>
      </c>
      <c r="C9" s="144"/>
      <c r="D9" s="153">
        <v>3.2899999999999997E-4</v>
      </c>
      <c r="J9" s="35"/>
    </row>
    <row r="10" spans="1:19" ht="16.5" thickBot="1" x14ac:dyDescent="0.3">
      <c r="A10" s="138">
        <f t="shared" si="0"/>
        <v>923.19054652880357</v>
      </c>
      <c r="B10" s="148">
        <v>650.04054652880359</v>
      </c>
      <c r="C10" s="144"/>
      <c r="D10" s="153">
        <v>2.5399999999999999E-4</v>
      </c>
      <c r="J10" s="35"/>
    </row>
    <row r="11" spans="1:19" ht="19.5" thickBot="1" x14ac:dyDescent="0.3">
      <c r="A11" s="138">
        <f t="shared" si="0"/>
        <v>898.10947954555661</v>
      </c>
      <c r="B11" s="148">
        <v>624.95947954555663</v>
      </c>
      <c r="C11" s="144"/>
      <c r="D11" s="153">
        <v>1.6239999999999999E-4</v>
      </c>
      <c r="H11" s="169" t="s">
        <v>184</v>
      </c>
    </row>
    <row r="12" spans="1:19" ht="15.75" thickBot="1" x14ac:dyDescent="0.3">
      <c r="A12" s="141">
        <f t="shared" si="0"/>
        <v>872.73895156124274</v>
      </c>
      <c r="B12" s="149">
        <v>599.58895156124277</v>
      </c>
      <c r="C12" s="129"/>
      <c r="D12" s="154">
        <v>5.3709999999999999E-5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7"/>
      <c r="D13" s="119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6" t="s">
        <v>16</v>
      </c>
      <c r="B15" s="115" t="s">
        <v>14</v>
      </c>
      <c r="C15" s="142"/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1023.0702337715484</v>
      </c>
      <c r="B16" s="148">
        <v>749.9202337715484</v>
      </c>
      <c r="C16" s="140"/>
      <c r="D16" s="157">
        <f t="shared" ref="D16:D22" si="1">D6/D56</f>
        <v>1.2701650008883683E-4</v>
      </c>
    </row>
    <row r="17" spans="1:12" x14ac:dyDescent="0.25">
      <c r="A17" s="138">
        <f t="shared" ref="A17:A22" si="2">B17+273.15</f>
        <v>997.90440075840741</v>
      </c>
      <c r="B17" s="148">
        <v>724.75440075840743</v>
      </c>
      <c r="C17" s="140"/>
      <c r="D17" s="157">
        <f t="shared" si="1"/>
        <v>6.7194392504273218E-5</v>
      </c>
    </row>
    <row r="18" spans="1:12" x14ac:dyDescent="0.25">
      <c r="A18" s="138">
        <f t="shared" si="2"/>
        <v>973.14130011677685</v>
      </c>
      <c r="B18" s="148">
        <v>699.99130011677687</v>
      </c>
      <c r="C18" s="140"/>
      <c r="D18" s="157">
        <f t="shared" si="1"/>
        <v>5.7281987577639766E-5</v>
      </c>
    </row>
    <row r="19" spans="1:12" x14ac:dyDescent="0.25">
      <c r="A19" s="138">
        <f t="shared" si="2"/>
        <v>948.31673779042205</v>
      </c>
      <c r="B19" s="148">
        <v>675.16673779042208</v>
      </c>
      <c r="C19" s="140"/>
      <c r="D19" s="157">
        <f t="shared" si="1"/>
        <v>1.511735164044947E-5</v>
      </c>
    </row>
    <row r="20" spans="1:12" x14ac:dyDescent="0.25">
      <c r="A20" s="138">
        <f t="shared" si="2"/>
        <v>923.19054652880357</v>
      </c>
      <c r="B20" s="148">
        <v>650.04054652880359</v>
      </c>
      <c r="C20" s="140"/>
      <c r="D20" s="157">
        <f t="shared" si="1"/>
        <v>2.0401242425657761E-5</v>
      </c>
    </row>
    <row r="21" spans="1:12" x14ac:dyDescent="0.25">
      <c r="A21" s="138">
        <f t="shared" si="2"/>
        <v>898.10947954555661</v>
      </c>
      <c r="B21" s="148">
        <v>624.95947954555663</v>
      </c>
      <c r="C21" s="140"/>
      <c r="D21" s="157">
        <f t="shared" si="1"/>
        <v>1.9098955397117572E-5</v>
      </c>
    </row>
    <row r="22" spans="1:12" ht="15.75" thickBot="1" x14ac:dyDescent="0.3">
      <c r="A22" s="141">
        <f t="shared" si="2"/>
        <v>872.73895156124274</v>
      </c>
      <c r="B22" s="149">
        <v>599.58895156124277</v>
      </c>
      <c r="C22" s="130"/>
      <c r="D22" s="158">
        <f t="shared" si="1"/>
        <v>2.7003388904676203E-5</v>
      </c>
    </row>
    <row r="23" spans="1:12" ht="15.75" thickBot="1" x14ac:dyDescent="0.3"/>
    <row r="24" spans="1:12" ht="15.75" x14ac:dyDescent="0.25">
      <c r="A24" s="133" t="s">
        <v>19</v>
      </c>
      <c r="B24" s="134"/>
      <c r="C24" s="134"/>
      <c r="D24" s="135"/>
      <c r="G24" s="119"/>
      <c r="H24" s="119"/>
    </row>
    <row r="25" spans="1:12" x14ac:dyDescent="0.25">
      <c r="A25" s="136" t="s">
        <v>16</v>
      </c>
      <c r="B25" s="115" t="s">
        <v>14</v>
      </c>
      <c r="C25" s="142"/>
      <c r="D25" s="143" t="s">
        <v>35</v>
      </c>
      <c r="G25" s="119"/>
      <c r="H25" s="114"/>
    </row>
    <row r="26" spans="1:12" x14ac:dyDescent="0.25">
      <c r="A26" s="138">
        <f>B26+273.15</f>
        <v>1023.0702337715484</v>
      </c>
      <c r="B26" s="148">
        <v>749.9202337715484</v>
      </c>
      <c r="C26" s="140"/>
      <c r="D26" s="157">
        <f t="shared" ref="D26:D32" si="3">($C$2*$A$2*A26)/(4*($E$2^2)*D16*I38)</f>
        <v>2.5886050845601524E-2</v>
      </c>
      <c r="G26" s="119"/>
      <c r="H26" s="114"/>
      <c r="K26" s="118"/>
      <c r="L26" s="118"/>
    </row>
    <row r="27" spans="1:12" x14ac:dyDescent="0.25">
      <c r="A27" s="138">
        <f t="shared" ref="A27:A32" si="4">B27+273.15</f>
        <v>997.90440075840741</v>
      </c>
      <c r="B27" s="148">
        <v>724.75440075840743</v>
      </c>
      <c r="C27" s="140"/>
      <c r="D27" s="157">
        <f t="shared" si="3"/>
        <v>4.7660437177170362E-2</v>
      </c>
      <c r="G27" s="119"/>
      <c r="H27" s="114"/>
      <c r="J27" s="113"/>
      <c r="K27" s="113"/>
      <c r="L27" s="113"/>
    </row>
    <row r="28" spans="1:12" x14ac:dyDescent="0.25">
      <c r="A28" s="138">
        <f t="shared" si="4"/>
        <v>973.14130011677685</v>
      </c>
      <c r="B28" s="148">
        <v>699.99130011677687</v>
      </c>
      <c r="C28" s="140"/>
      <c r="D28" s="157">
        <f t="shared" si="3"/>
        <v>5.4523068357475855E-2</v>
      </c>
      <c r="G28" s="119"/>
      <c r="H28" s="114"/>
      <c r="J28" s="113"/>
      <c r="K28" s="113"/>
      <c r="L28" s="113"/>
    </row>
    <row r="29" spans="1:12" x14ac:dyDescent="0.25">
      <c r="A29" s="138">
        <f t="shared" si="4"/>
        <v>948.31673779042205</v>
      </c>
      <c r="B29" s="148">
        <v>675.16673779042208</v>
      </c>
      <c r="C29" s="140"/>
      <c r="D29" s="157">
        <f t="shared" si="3"/>
        <v>0.20071340502644949</v>
      </c>
      <c r="G29" s="119"/>
      <c r="H29" s="114"/>
      <c r="J29" s="113"/>
      <c r="K29" s="113"/>
      <c r="L29" s="113"/>
    </row>
    <row r="30" spans="1:12" x14ac:dyDescent="0.25">
      <c r="A30" s="138">
        <f t="shared" si="4"/>
        <v>923.19054652880357</v>
      </c>
      <c r="B30" s="148">
        <v>650.04054652880359</v>
      </c>
      <c r="C30" s="140"/>
      <c r="D30" s="157">
        <f t="shared" si="3"/>
        <v>0.14455895913944894</v>
      </c>
      <c r="G30" s="119"/>
      <c r="H30" s="114"/>
    </row>
    <row r="31" spans="1:12" x14ac:dyDescent="0.25">
      <c r="A31" s="138">
        <f t="shared" si="4"/>
        <v>898.10947954555661</v>
      </c>
      <c r="B31" s="148">
        <v>624.95947954555663</v>
      </c>
      <c r="C31" s="140"/>
      <c r="D31" s="157">
        <f t="shared" si="3"/>
        <v>0.14997350661680825</v>
      </c>
      <c r="G31" s="119"/>
      <c r="H31" s="114"/>
    </row>
    <row r="32" spans="1:12" ht="15.75" thickBot="1" x14ac:dyDescent="0.3">
      <c r="A32" s="141">
        <f t="shared" si="4"/>
        <v>872.73895156124274</v>
      </c>
      <c r="B32" s="149">
        <v>599.58895156124277</v>
      </c>
      <c r="C32" s="130"/>
      <c r="D32" s="158">
        <f t="shared" si="3"/>
        <v>0.10303644987112105</v>
      </c>
      <c r="G32" s="119"/>
      <c r="H32" s="114"/>
    </row>
    <row r="33" spans="1:11" x14ac:dyDescent="0.25">
      <c r="A33" s="112"/>
      <c r="B33" s="117"/>
      <c r="C33" s="113"/>
      <c r="D33" s="114"/>
      <c r="G33" s="119"/>
      <c r="H33" s="114"/>
    </row>
    <row r="34" spans="1:11" s="126" customFormat="1" ht="15.75" thickBot="1" x14ac:dyDescent="0.3">
      <c r="D34" s="129"/>
      <c r="G34" s="128"/>
      <c r="H34" s="129"/>
    </row>
    <row r="35" spans="1:11" ht="60" x14ac:dyDescent="0.25">
      <c r="A35" s="118" t="s">
        <v>26</v>
      </c>
      <c r="D35" s="114"/>
      <c r="G35" s="119"/>
      <c r="H35" s="114"/>
    </row>
    <row r="36" spans="1:11" ht="32.25" x14ac:dyDescent="0.25">
      <c r="A36" s="112" t="s">
        <v>16</v>
      </c>
      <c r="B36" s="112" t="s">
        <v>14</v>
      </c>
      <c r="C36" s="111" t="s">
        <v>140</v>
      </c>
      <c r="F36" s="111" t="s">
        <v>16</v>
      </c>
      <c r="G36" s="111" t="s">
        <v>14</v>
      </c>
      <c r="H36" s="121" t="s">
        <v>144</v>
      </c>
      <c r="I36" s="118" t="s">
        <v>20</v>
      </c>
      <c r="J36" s="119"/>
      <c r="K36" s="118"/>
    </row>
    <row r="37" spans="1:11" x14ac:dyDescent="0.25">
      <c r="A37" s="112">
        <f>B37+273.15</f>
        <v>1023.1330379889297</v>
      </c>
      <c r="B37" s="11">
        <v>749.98303798892971</v>
      </c>
      <c r="C37" s="114">
        <v>1.7159999999999998E-5</v>
      </c>
      <c r="E37" s="117"/>
      <c r="F37" s="117">
        <f>G37+273.15</f>
        <v>1073.1500000000001</v>
      </c>
      <c r="G37" s="117">
        <v>800</v>
      </c>
      <c r="H37" s="114">
        <v>38.299999999999997</v>
      </c>
      <c r="I37" s="114">
        <f>C48/H37</f>
        <v>6.9118015665796353E-2</v>
      </c>
      <c r="J37" s="113"/>
      <c r="K37" s="114"/>
    </row>
    <row r="38" spans="1:11" x14ac:dyDescent="0.25">
      <c r="A38" s="112">
        <f t="shared" ref="A38:A45" si="5">B38+273.15</f>
        <v>999.10080927165563</v>
      </c>
      <c r="B38" s="11">
        <v>725.95080927165566</v>
      </c>
      <c r="C38" s="114">
        <v>1.575E-5</v>
      </c>
      <c r="E38" s="117"/>
      <c r="F38" s="117">
        <f t="shared" ref="F38:F52" si="6">G38+273.15</f>
        <v>1023.15</v>
      </c>
      <c r="G38" s="112">
        <v>750</v>
      </c>
      <c r="H38" s="114"/>
      <c r="I38" s="114">
        <f>(0.0917)*(G38^-0.042)</f>
        <v>6.9441127314501791E-2</v>
      </c>
      <c r="J38" s="113"/>
      <c r="K38" s="114"/>
    </row>
    <row r="39" spans="1:11" x14ac:dyDescent="0.25">
      <c r="A39" s="112">
        <f t="shared" si="5"/>
        <v>973.70983446932826</v>
      </c>
      <c r="B39" s="11">
        <v>700.55983446932828</v>
      </c>
      <c r="C39" s="114">
        <v>1.1199999999999999E-5</v>
      </c>
      <c r="E39" s="117"/>
      <c r="F39" s="117">
        <f t="shared" si="6"/>
        <v>998.15</v>
      </c>
      <c r="G39" s="112">
        <v>725</v>
      </c>
      <c r="H39" s="114"/>
      <c r="I39" s="114">
        <f>(0.0917)*(G39^-0.042)</f>
        <v>6.9540072542692122E-2</v>
      </c>
      <c r="J39" s="113"/>
      <c r="K39" s="114"/>
    </row>
    <row r="40" spans="1:11" x14ac:dyDescent="0.25">
      <c r="A40" s="112">
        <f t="shared" si="5"/>
        <v>948.946669197191</v>
      </c>
      <c r="B40" s="122">
        <v>675.79666919719102</v>
      </c>
      <c r="C40" s="114">
        <v>1.5316999999999999E-5</v>
      </c>
      <c r="D40" s="114"/>
      <c r="E40" s="117"/>
      <c r="F40" s="117">
        <f t="shared" si="6"/>
        <v>973.15</v>
      </c>
      <c r="G40" s="112">
        <v>700</v>
      </c>
      <c r="H40" s="114">
        <v>38.299999999999997</v>
      </c>
      <c r="I40" s="114">
        <f>C49/H40</f>
        <v>6.9536814621409926E-2</v>
      </c>
      <c r="J40" s="113"/>
      <c r="K40" s="114"/>
    </row>
    <row r="41" spans="1:11" x14ac:dyDescent="0.25">
      <c r="A41" s="112">
        <f t="shared" si="5"/>
        <v>923.53158478019952</v>
      </c>
      <c r="B41" s="122">
        <v>650.38158478019955</v>
      </c>
      <c r="C41" s="114">
        <v>7.3139999999999998E-6</v>
      </c>
      <c r="D41" s="114"/>
      <c r="E41" s="117"/>
      <c r="F41" s="117">
        <f t="shared" si="6"/>
        <v>948.15</v>
      </c>
      <c r="G41" s="112">
        <v>675</v>
      </c>
      <c r="H41" s="114"/>
      <c r="I41" s="114">
        <f>(0.0917)*(G41^-0.042)</f>
        <v>6.9749095037585487E-2</v>
      </c>
      <c r="J41" s="113"/>
      <c r="K41" s="114"/>
    </row>
    <row r="42" spans="1:11" x14ac:dyDescent="0.25">
      <c r="A42" s="112">
        <f t="shared" si="5"/>
        <v>898.87640449438197</v>
      </c>
      <c r="B42" s="11">
        <v>625.726404494382</v>
      </c>
      <c r="C42" s="114">
        <v>4.1400000000000002E-6</v>
      </c>
      <c r="F42" s="117">
        <f t="shared" si="6"/>
        <v>923.15</v>
      </c>
      <c r="G42" s="117">
        <v>650</v>
      </c>
      <c r="H42" s="114"/>
      <c r="I42" s="114">
        <f>(0.0917)*(G42^-0.042)</f>
        <v>6.9859741563353756E-2</v>
      </c>
    </row>
    <row r="43" spans="1:11" x14ac:dyDescent="0.25">
      <c r="A43" s="112">
        <f t="shared" si="5"/>
        <v>873.25567179558823</v>
      </c>
      <c r="B43" s="11">
        <v>600.10567179558825</v>
      </c>
      <c r="C43" s="114">
        <v>9.1800000000000004E-7</v>
      </c>
      <c r="E43" s="119"/>
      <c r="F43" s="117">
        <f t="shared" si="6"/>
        <v>898.15</v>
      </c>
      <c r="G43" s="123">
        <v>625</v>
      </c>
      <c r="H43" s="114"/>
      <c r="I43" s="114">
        <f>(0.0917)*(G43^-0.042)</f>
        <v>6.9974914250726356E-2</v>
      </c>
    </row>
    <row r="44" spans="1:11" x14ac:dyDescent="0.25">
      <c r="A44" s="112">
        <f t="shared" si="5"/>
        <v>823.15</v>
      </c>
      <c r="B44" s="11">
        <v>550</v>
      </c>
      <c r="C44" s="114">
        <f>(6*10^-40)*(B44^12.06)</f>
        <v>6.7131335288035446E-7</v>
      </c>
      <c r="E44" s="112"/>
      <c r="F44" s="117">
        <f t="shared" si="6"/>
        <v>873.15</v>
      </c>
      <c r="G44" s="117">
        <v>600</v>
      </c>
      <c r="H44" s="114">
        <v>38.299999999999997</v>
      </c>
      <c r="I44" s="114">
        <f>C50/H44</f>
        <v>7.0002323759791124E-2</v>
      </c>
    </row>
    <row r="45" spans="1:11" x14ac:dyDescent="0.25">
      <c r="A45" s="112">
        <f t="shared" si="5"/>
        <v>773.15</v>
      </c>
      <c r="B45" s="11">
        <v>500</v>
      </c>
      <c r="C45" s="114">
        <f>(6*10^-40)*(B45^12.06)</f>
        <v>2.1268139619521468E-7</v>
      </c>
      <c r="E45" s="112"/>
      <c r="F45" s="117">
        <f t="shared" si="6"/>
        <v>848.15</v>
      </c>
      <c r="G45" s="117">
        <v>575</v>
      </c>
      <c r="H45" s="113"/>
      <c r="I45" s="114">
        <f>(0.0917)*(G45^-0.042)</f>
        <v>7.022039792443048E-2</v>
      </c>
    </row>
    <row r="46" spans="1:11" x14ac:dyDescent="0.25">
      <c r="E46" s="112"/>
      <c r="F46" s="117">
        <f t="shared" si="6"/>
        <v>823.15</v>
      </c>
      <c r="G46" s="117">
        <v>550</v>
      </c>
      <c r="H46" s="113"/>
      <c r="I46" s="114">
        <f>(0.0917)*(G46^-0.042)</f>
        <v>7.0351620039614385E-2</v>
      </c>
    </row>
    <row r="47" spans="1:11" ht="30" x14ac:dyDescent="0.25">
      <c r="A47" s="111" t="s">
        <v>16</v>
      </c>
      <c r="B47" s="111" t="s">
        <v>14</v>
      </c>
      <c r="C47" s="111" t="s">
        <v>145</v>
      </c>
      <c r="D47" s="118" t="s">
        <v>22</v>
      </c>
      <c r="E47" s="112"/>
      <c r="F47" s="117">
        <f t="shared" si="6"/>
        <v>798.15</v>
      </c>
      <c r="G47" s="117">
        <v>525</v>
      </c>
      <c r="H47" s="113"/>
      <c r="I47" s="114">
        <f>(0.0917)*(G47^-0.042)</f>
        <v>7.0489210266028404E-2</v>
      </c>
    </row>
    <row r="48" spans="1:11" x14ac:dyDescent="0.25">
      <c r="A48" s="112">
        <f>B48+273.15</f>
        <v>1073.1500000000001</v>
      </c>
      <c r="B48" s="11">
        <v>800</v>
      </c>
      <c r="C48" s="111">
        <v>2.6472199999999999</v>
      </c>
      <c r="D48" s="113">
        <f>3-C48</f>
        <v>0.35278000000000009</v>
      </c>
      <c r="F48" s="117">
        <f t="shared" si="6"/>
        <v>773.15</v>
      </c>
      <c r="G48" s="117">
        <v>500</v>
      </c>
      <c r="H48" s="113">
        <v>38.299999999999997</v>
      </c>
      <c r="I48" s="114">
        <f>C51/H48</f>
        <v>7.0607049608355094E-2</v>
      </c>
    </row>
    <row r="49" spans="1:11" x14ac:dyDescent="0.25">
      <c r="A49" s="112">
        <f t="shared" ref="A49:A52" si="7">B49+273.15</f>
        <v>973.15</v>
      </c>
      <c r="B49" s="11">
        <v>700</v>
      </c>
      <c r="C49" s="111">
        <v>2.6632600000000002</v>
      </c>
      <c r="D49" s="113">
        <f t="shared" ref="D49:D52" si="8">3-C49</f>
        <v>0.33673999999999982</v>
      </c>
      <c r="F49" s="117">
        <f t="shared" si="6"/>
        <v>748.15</v>
      </c>
      <c r="G49" s="117">
        <v>475</v>
      </c>
      <c r="H49" s="113"/>
      <c r="I49" s="114">
        <f>(0.0917)*(G49^-0.042)</f>
        <v>7.0786135658627791E-2</v>
      </c>
    </row>
    <row r="50" spans="1:11" x14ac:dyDescent="0.25">
      <c r="A50" s="112">
        <f t="shared" si="7"/>
        <v>873.15</v>
      </c>
      <c r="B50" s="11">
        <v>600</v>
      </c>
      <c r="C50" s="111">
        <v>2.6810890000000001</v>
      </c>
      <c r="D50" s="113">
        <f t="shared" si="8"/>
        <v>0.31891099999999994</v>
      </c>
      <c r="F50" s="117">
        <f t="shared" si="6"/>
        <v>723.15</v>
      </c>
      <c r="G50" s="117">
        <v>450</v>
      </c>
      <c r="H50" s="113"/>
      <c r="I50" s="114">
        <f>(0.0917)*(G50^-0.042)</f>
        <v>7.0947061111808679E-2</v>
      </c>
    </row>
    <row r="51" spans="1:11" x14ac:dyDescent="0.25">
      <c r="A51" s="112">
        <f t="shared" si="7"/>
        <v>773.15</v>
      </c>
      <c r="B51" s="11">
        <v>500</v>
      </c>
      <c r="C51" s="111">
        <v>2.70425</v>
      </c>
      <c r="D51" s="113">
        <f t="shared" si="8"/>
        <v>0.29574999999999996</v>
      </c>
      <c r="F51" s="117">
        <f t="shared" si="6"/>
        <v>698.15</v>
      </c>
      <c r="G51" s="117">
        <v>425</v>
      </c>
      <c r="H51" s="113"/>
      <c r="I51" s="114">
        <f>(0.0917)*(G51^-0.042)</f>
        <v>7.1117585016456569E-2</v>
      </c>
    </row>
    <row r="52" spans="1:11" x14ac:dyDescent="0.25">
      <c r="A52" s="112">
        <f t="shared" si="7"/>
        <v>673.15</v>
      </c>
      <c r="B52" s="11">
        <v>400</v>
      </c>
      <c r="C52" s="111">
        <v>2.7256</v>
      </c>
      <c r="D52" s="113">
        <f t="shared" si="8"/>
        <v>0.27439999999999998</v>
      </c>
      <c r="F52" s="117">
        <f t="shared" si="6"/>
        <v>673.15</v>
      </c>
      <c r="G52" s="117">
        <v>400</v>
      </c>
      <c r="H52" s="113">
        <v>38.299999999999997</v>
      </c>
      <c r="I52" s="114">
        <f>C52/H52</f>
        <v>7.1164490861618801E-2</v>
      </c>
    </row>
    <row r="53" spans="1:11" x14ac:dyDescent="0.25">
      <c r="D53" s="114"/>
      <c r="F53" s="113"/>
      <c r="G53" s="114"/>
    </row>
    <row r="54" spans="1:11" x14ac:dyDescent="0.25">
      <c r="D54" s="114"/>
      <c r="F54" s="113"/>
      <c r="G54" s="114"/>
    </row>
    <row r="55" spans="1:11" ht="45" x14ac:dyDescent="0.25">
      <c r="A55" s="111" t="s">
        <v>16</v>
      </c>
      <c r="B55" s="111" t="s">
        <v>14</v>
      </c>
      <c r="C55" s="118" t="s">
        <v>147</v>
      </c>
      <c r="D55" s="118" t="s">
        <v>146</v>
      </c>
      <c r="F55" s="113"/>
      <c r="G55" s="114"/>
    </row>
    <row r="56" spans="1:11" x14ac:dyDescent="0.25">
      <c r="A56" s="112">
        <f>B56+273.15</f>
        <v>1023.15</v>
      </c>
      <c r="B56" s="111">
        <v>750</v>
      </c>
      <c r="C56" s="113">
        <f>'BSCF,Wang (Electrochem)'!E49</f>
        <v>1.1655631772857968E-6</v>
      </c>
      <c r="D56" s="114">
        <f>C37/C56</f>
        <v>14.722496673204661</v>
      </c>
      <c r="F56" s="113"/>
      <c r="G56" s="114"/>
    </row>
    <row r="57" spans="1:11" x14ac:dyDescent="0.25">
      <c r="A57" s="112">
        <f t="shared" ref="A57:A64" si="9">B57+273.15</f>
        <v>999.10080927165563</v>
      </c>
      <c r="B57" s="117">
        <v>725.95080927165566</v>
      </c>
      <c r="C57" s="113">
        <f>'BSCF,Wang (Electrochem)'!E50</f>
        <v>9.9092854114447862E-7</v>
      </c>
      <c r="D57" s="114">
        <f t="shared" ref="D57:D64" si="10">C38/C57</f>
        <v>15.89418343103676</v>
      </c>
      <c r="F57" s="113"/>
      <c r="G57" s="114"/>
      <c r="H57" s="114"/>
    </row>
    <row r="58" spans="1:11" x14ac:dyDescent="0.25">
      <c r="A58" s="112">
        <f t="shared" si="9"/>
        <v>973.70983446932826</v>
      </c>
      <c r="B58" s="117">
        <v>700.55983446932828</v>
      </c>
      <c r="C58" s="113">
        <f>'BSCF,Wang (Electrochem)'!E51</f>
        <v>8.353623188405798E-7</v>
      </c>
      <c r="D58" s="114">
        <f t="shared" si="10"/>
        <v>13.407356002775847</v>
      </c>
      <c r="F58" s="113"/>
      <c r="G58" s="114"/>
      <c r="H58" s="119"/>
      <c r="I58" s="119"/>
      <c r="J58" s="119"/>
      <c r="K58" s="119"/>
    </row>
    <row r="59" spans="1:11" x14ac:dyDescent="0.25">
      <c r="A59" s="112">
        <f t="shared" si="9"/>
        <v>948.946669197191</v>
      </c>
      <c r="B59" s="117">
        <v>675.79666919719102</v>
      </c>
      <c r="C59" s="113">
        <f>'BSCF,Wang (Electrochem)'!E52</f>
        <v>7.0380691512694391E-7</v>
      </c>
      <c r="D59" s="114">
        <f t="shared" si="10"/>
        <v>21.763071192952559</v>
      </c>
      <c r="F59" s="113"/>
      <c r="G59" s="114"/>
      <c r="H59" s="117"/>
      <c r="I59" s="112"/>
      <c r="J59" s="113"/>
      <c r="K59" s="113"/>
    </row>
    <row r="60" spans="1:11" x14ac:dyDescent="0.25">
      <c r="A60" s="112">
        <f t="shared" si="9"/>
        <v>923.53158478019952</v>
      </c>
      <c r="B60" s="117">
        <v>650.38158478019955</v>
      </c>
      <c r="C60" s="113">
        <f>'BSCF,Wang (Electrochem)'!E53</f>
        <v>5.8745939803646009E-7</v>
      </c>
      <c r="D60" s="114">
        <f t="shared" si="10"/>
        <v>12.450222133557668</v>
      </c>
      <c r="F60" s="113"/>
      <c r="G60" s="114"/>
      <c r="H60" s="117"/>
      <c r="I60" s="112"/>
      <c r="J60" s="113"/>
      <c r="K60" s="113"/>
    </row>
    <row r="61" spans="1:11" x14ac:dyDescent="0.25">
      <c r="A61" s="112">
        <f t="shared" si="9"/>
        <v>898.87640449438197</v>
      </c>
      <c r="B61" s="117">
        <v>625.726404494382</v>
      </c>
      <c r="C61" s="113">
        <f>'BSCF,Wang (Electrochem)'!E54</f>
        <v>4.8688223734031252E-7</v>
      </c>
      <c r="D61" s="114">
        <f t="shared" si="10"/>
        <v>8.5030828452800886</v>
      </c>
      <c r="F61" s="113"/>
      <c r="G61" s="114"/>
      <c r="H61" s="117"/>
      <c r="I61" s="112"/>
      <c r="J61" s="113"/>
      <c r="K61" s="113"/>
    </row>
    <row r="62" spans="1:11" x14ac:dyDescent="0.25">
      <c r="A62" s="112">
        <f t="shared" si="9"/>
        <v>873.25567179558823</v>
      </c>
      <c r="B62" s="117">
        <v>600.10567179558825</v>
      </c>
      <c r="C62" s="113">
        <f>'BSCF,Wang (Electrochem)'!E55</f>
        <v>4.61536231884058E-7</v>
      </c>
      <c r="D62" s="114">
        <f t="shared" si="10"/>
        <v>1.9890096087420712</v>
      </c>
      <c r="F62" s="113"/>
      <c r="G62" s="114"/>
      <c r="H62" s="117"/>
      <c r="I62" s="112"/>
      <c r="J62" s="113"/>
      <c r="K62" s="113"/>
    </row>
    <row r="63" spans="1:11" x14ac:dyDescent="0.25">
      <c r="A63" s="112">
        <f t="shared" si="9"/>
        <v>823.15</v>
      </c>
      <c r="B63" s="117">
        <v>550</v>
      </c>
      <c r="C63" s="113">
        <f>'BSCF,Wang (Electrochem)'!E57</f>
        <v>2.6400522165480223E-7</v>
      </c>
      <c r="D63" s="114">
        <f t="shared" si="10"/>
        <v>2.5428033153000453</v>
      </c>
      <c r="F63" s="113"/>
      <c r="G63" s="114"/>
      <c r="H63" s="117"/>
      <c r="I63" s="112"/>
      <c r="J63" s="113"/>
      <c r="K63" s="113"/>
    </row>
    <row r="64" spans="1:11" x14ac:dyDescent="0.25">
      <c r="A64" s="112">
        <f t="shared" si="9"/>
        <v>773.15</v>
      </c>
      <c r="B64" s="117">
        <v>500</v>
      </c>
      <c r="C64" s="113">
        <f>'BSCF,Wang (Electrochem)'!E59</f>
        <v>1.8168115942028988E-7</v>
      </c>
      <c r="D64" s="114">
        <f t="shared" si="10"/>
        <v>1.1706298929060155</v>
      </c>
      <c r="F64" s="113"/>
      <c r="G64" s="114"/>
      <c r="H64" s="117"/>
      <c r="I64" s="112"/>
      <c r="J64" s="113"/>
      <c r="K64" s="113"/>
    </row>
    <row r="65" spans="1:11" x14ac:dyDescent="0.25">
      <c r="A65" s="112"/>
      <c r="B65" s="117"/>
      <c r="C65" s="113"/>
      <c r="D65" s="114"/>
      <c r="F65" s="113"/>
      <c r="G65" s="114"/>
      <c r="H65" s="117"/>
      <c r="I65" s="112"/>
      <c r="J65" s="113"/>
      <c r="K65" s="113"/>
    </row>
    <row r="66" spans="1:11" x14ac:dyDescent="0.25">
      <c r="A66" s="112"/>
      <c r="B66" s="117"/>
      <c r="C66" s="113"/>
      <c r="D66" s="114"/>
      <c r="F66" s="113"/>
      <c r="G66" s="114"/>
      <c r="H66" s="117"/>
      <c r="I66" s="112"/>
      <c r="J66" s="113"/>
      <c r="K66" s="113"/>
    </row>
    <row r="67" spans="1:11" x14ac:dyDescent="0.25">
      <c r="A67" s="112"/>
      <c r="B67" s="117"/>
      <c r="C67" s="113"/>
      <c r="D67" s="114"/>
      <c r="F67" s="113"/>
      <c r="G67" s="114"/>
      <c r="H67" s="117"/>
      <c r="I67" s="112"/>
      <c r="J67" s="113"/>
      <c r="K67" s="113"/>
    </row>
    <row r="68" spans="1:11" x14ac:dyDescent="0.25">
      <c r="A68" s="112"/>
      <c r="B68" s="117"/>
      <c r="C68" s="113"/>
      <c r="D68" s="114"/>
      <c r="F68" s="113"/>
      <c r="G68" s="114"/>
      <c r="H68" s="117"/>
      <c r="I68" s="112"/>
      <c r="J68" s="113"/>
      <c r="K68" s="113"/>
    </row>
    <row r="69" spans="1:11" x14ac:dyDescent="0.25">
      <c r="A69" s="112"/>
      <c r="B69" s="117"/>
      <c r="C69" s="113"/>
      <c r="D69" s="114"/>
      <c r="F69" s="113"/>
      <c r="G69" s="114"/>
      <c r="H69" s="114"/>
    </row>
    <row r="70" spans="1:11" x14ac:dyDescent="0.25">
      <c r="A70" s="112"/>
      <c r="B70" s="117"/>
      <c r="C70" s="113"/>
      <c r="D70" s="114"/>
      <c r="F70" s="113"/>
      <c r="G70" s="114"/>
      <c r="H70" s="119"/>
      <c r="I70" s="119"/>
      <c r="J70" s="121"/>
      <c r="K70" s="121"/>
    </row>
    <row r="71" spans="1:11" x14ac:dyDescent="0.25">
      <c r="A71" s="112"/>
      <c r="B71" s="117"/>
      <c r="C71" s="113"/>
      <c r="D71" s="114"/>
      <c r="F71" s="113"/>
      <c r="G71" s="114"/>
      <c r="H71" s="117"/>
      <c r="I71" s="112"/>
      <c r="J71" s="113"/>
      <c r="K71" s="113"/>
    </row>
    <row r="72" spans="1:11" x14ac:dyDescent="0.25">
      <c r="A72" s="112"/>
      <c r="B72" s="117"/>
      <c r="C72" s="113"/>
      <c r="D72" s="114"/>
      <c r="F72" s="113"/>
      <c r="G72" s="114"/>
      <c r="H72" s="117"/>
      <c r="I72" s="112"/>
      <c r="J72" s="113"/>
      <c r="K72" s="114"/>
    </row>
    <row r="73" spans="1:11" x14ac:dyDescent="0.25">
      <c r="A73" s="112"/>
      <c r="B73" s="119"/>
      <c r="D73" s="114"/>
      <c r="F73" s="114"/>
      <c r="G73" s="114"/>
      <c r="H73" s="117"/>
      <c r="I73" s="112"/>
      <c r="J73" s="113"/>
      <c r="K73" s="114"/>
    </row>
    <row r="74" spans="1:11" x14ac:dyDescent="0.25">
      <c r="A74" s="112"/>
      <c r="B74" s="119"/>
      <c r="D74" s="114"/>
      <c r="F74" s="114"/>
      <c r="G74" s="114"/>
      <c r="H74" s="117"/>
      <c r="I74" s="112"/>
      <c r="J74" s="113"/>
      <c r="K74" s="114"/>
    </row>
    <row r="75" spans="1:11" x14ac:dyDescent="0.25">
      <c r="A75" s="112"/>
      <c r="B75" s="119"/>
      <c r="D75" s="114"/>
      <c r="F75" s="114"/>
      <c r="G75" s="114"/>
      <c r="H75" s="117"/>
      <c r="I75" s="112"/>
      <c r="J75" s="113"/>
      <c r="K75" s="114"/>
    </row>
    <row r="76" spans="1:11" x14ac:dyDescent="0.25">
      <c r="A76" s="112"/>
      <c r="B76" s="119"/>
      <c r="D76" s="114"/>
      <c r="F76" s="114"/>
      <c r="G76" s="114"/>
      <c r="H76" s="117"/>
      <c r="I76" s="112"/>
      <c r="J76" s="113"/>
      <c r="K76" s="114"/>
    </row>
    <row r="77" spans="1:11" x14ac:dyDescent="0.25">
      <c r="A77" s="112"/>
      <c r="B77" s="117"/>
      <c r="D77" s="114"/>
      <c r="F77" s="119"/>
      <c r="G77" s="114"/>
      <c r="H77" s="117"/>
      <c r="I77" s="112"/>
      <c r="J77" s="113"/>
      <c r="K77" s="114"/>
    </row>
    <row r="78" spans="1:11" x14ac:dyDescent="0.25">
      <c r="A78" s="112"/>
      <c r="B78" s="117"/>
      <c r="D78" s="114"/>
      <c r="F78" s="119"/>
      <c r="G78" s="114"/>
      <c r="H78" s="117"/>
      <c r="I78" s="112"/>
      <c r="J78" s="113"/>
      <c r="K78" s="114"/>
    </row>
    <row r="79" spans="1:11" x14ac:dyDescent="0.25">
      <c r="A79" s="112"/>
      <c r="B79" s="117"/>
      <c r="D79" s="114"/>
      <c r="F79" s="119"/>
      <c r="G79" s="114"/>
      <c r="H79" s="117"/>
      <c r="I79" s="112"/>
      <c r="J79" s="113"/>
      <c r="K79" s="114"/>
    </row>
    <row r="80" spans="1:11" x14ac:dyDescent="0.25">
      <c r="A80" s="112"/>
      <c r="B80" s="117"/>
      <c r="D80" s="114"/>
      <c r="F80" s="119"/>
      <c r="G80" s="114"/>
      <c r="H80" s="117"/>
      <c r="I80" s="112"/>
      <c r="J80" s="113"/>
      <c r="K80" s="114"/>
    </row>
    <row r="81" spans="1:11" x14ac:dyDescent="0.25">
      <c r="A81" s="112"/>
      <c r="B81" s="117"/>
      <c r="D81" s="114"/>
      <c r="F81" s="119"/>
      <c r="G81" s="114"/>
      <c r="H81" s="117"/>
      <c r="I81" s="112"/>
      <c r="J81" s="113"/>
      <c r="K81" s="114"/>
    </row>
    <row r="82" spans="1:11" x14ac:dyDescent="0.25">
      <c r="A82" s="112"/>
      <c r="B82" s="117"/>
      <c r="D82" s="114"/>
      <c r="F82" s="119"/>
      <c r="G82" s="114"/>
      <c r="H82" s="117"/>
      <c r="I82" s="112"/>
      <c r="J82" s="113"/>
      <c r="K82" s="114"/>
    </row>
    <row r="83" spans="1:11" x14ac:dyDescent="0.25">
      <c r="A83" s="112"/>
      <c r="B83" s="117"/>
      <c r="D83" s="114"/>
      <c r="F83" s="119"/>
      <c r="G83" s="114"/>
      <c r="H83" s="117"/>
      <c r="I83" s="112"/>
      <c r="J83" s="113"/>
      <c r="K83" s="114"/>
    </row>
    <row r="84" spans="1:11" x14ac:dyDescent="0.25">
      <c r="A84" s="112"/>
      <c r="B84" s="117"/>
      <c r="D84" s="114"/>
      <c r="F84" s="119"/>
      <c r="G84" s="114"/>
      <c r="H84" s="117"/>
      <c r="I84" s="112"/>
      <c r="J84" s="113"/>
      <c r="K84" s="113"/>
    </row>
    <row r="85" spans="1:11" x14ac:dyDescent="0.25">
      <c r="A85" s="112"/>
      <c r="B85" s="117"/>
      <c r="D85" s="114"/>
      <c r="F85" s="119"/>
      <c r="G85" s="114"/>
    </row>
    <row r="86" spans="1:11" x14ac:dyDescent="0.25">
      <c r="A86" s="112"/>
      <c r="B86" s="117"/>
      <c r="D86" s="114"/>
      <c r="F86" s="119"/>
      <c r="G86" s="114"/>
    </row>
    <row r="87" spans="1:11" x14ac:dyDescent="0.25">
      <c r="A87" s="112"/>
      <c r="B87" s="117"/>
      <c r="D87" s="114"/>
      <c r="F87" s="119"/>
      <c r="G87" s="114"/>
    </row>
    <row r="88" spans="1:11" x14ac:dyDescent="0.25">
      <c r="A88" s="112"/>
      <c r="B88" s="117"/>
      <c r="D88" s="114"/>
      <c r="F88" s="119"/>
      <c r="G88" s="114"/>
    </row>
    <row r="89" spans="1:11" x14ac:dyDescent="0.25">
      <c r="A89" s="112"/>
      <c r="B89" s="117"/>
      <c r="D89" s="114"/>
      <c r="F89" s="119"/>
      <c r="G89" s="114"/>
    </row>
    <row r="90" spans="1:11" x14ac:dyDescent="0.25">
      <c r="A90" s="112"/>
      <c r="B90" s="112"/>
      <c r="D90" s="114"/>
      <c r="F90" s="119"/>
      <c r="G90" s="114"/>
    </row>
    <row r="91" spans="1:11" x14ac:dyDescent="0.25">
      <c r="A91" s="112"/>
      <c r="B91" s="112"/>
      <c r="D91" s="114"/>
      <c r="F91" s="119"/>
      <c r="G91" s="114"/>
    </row>
    <row r="92" spans="1:11" x14ac:dyDescent="0.25">
      <c r="A92" s="112"/>
      <c r="B92" s="112"/>
      <c r="D92" s="114"/>
      <c r="F92" s="119"/>
      <c r="G92" s="114"/>
    </row>
    <row r="93" spans="1:11" x14ac:dyDescent="0.25">
      <c r="A93" s="112"/>
      <c r="B93" s="112"/>
      <c r="D93" s="114"/>
      <c r="F93" s="119"/>
      <c r="G93" s="114"/>
    </row>
    <row r="94" spans="1:11" x14ac:dyDescent="0.25">
      <c r="A94" s="112"/>
      <c r="B94" s="112"/>
      <c r="D94" s="114"/>
      <c r="F94" s="119"/>
      <c r="G94" s="114"/>
    </row>
    <row r="95" spans="1:11" x14ac:dyDescent="0.25">
      <c r="A95" s="112"/>
      <c r="B95" s="112"/>
      <c r="D95" s="114"/>
      <c r="F95" s="119"/>
      <c r="G95" s="114"/>
    </row>
    <row r="96" spans="1:11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A104" s="112"/>
      <c r="B104" s="112"/>
      <c r="D104" s="114"/>
      <c r="F104" s="119"/>
      <c r="G104" s="114"/>
    </row>
    <row r="105" spans="1:7" x14ac:dyDescent="0.25">
      <c r="A105" s="112"/>
      <c r="B105" s="112"/>
      <c r="D105" s="114"/>
      <c r="F105" s="119"/>
      <c r="G105" s="114"/>
    </row>
    <row r="106" spans="1:7" x14ac:dyDescent="0.25">
      <c r="A106" s="112"/>
      <c r="B106" s="112"/>
      <c r="D106" s="114"/>
      <c r="F106" s="119"/>
      <c r="G106" s="114"/>
    </row>
    <row r="107" spans="1:7" x14ac:dyDescent="0.25">
      <c r="A107" s="112"/>
      <c r="B107" s="112"/>
      <c r="D107" s="114"/>
      <c r="F107" s="119"/>
      <c r="G107" s="114"/>
    </row>
    <row r="108" spans="1:7" x14ac:dyDescent="0.25">
      <c r="A108" s="112"/>
      <c r="B108" s="112"/>
      <c r="D108" s="114"/>
      <c r="F108" s="119"/>
      <c r="G108" s="114"/>
    </row>
    <row r="109" spans="1:7" x14ac:dyDescent="0.25">
      <c r="A109" s="112"/>
      <c r="B109" s="112"/>
      <c r="D109" s="114"/>
      <c r="F109" s="119"/>
      <c r="G109" s="114"/>
    </row>
    <row r="110" spans="1:7" x14ac:dyDescent="0.25">
      <c r="A110" s="112"/>
      <c r="B110" s="112"/>
      <c r="D110" s="114"/>
      <c r="F110" s="119"/>
      <c r="G110" s="114"/>
    </row>
    <row r="111" spans="1:7" x14ac:dyDescent="0.25">
      <c r="F111" s="119"/>
      <c r="G111" s="114"/>
    </row>
    <row r="112" spans="1:7" x14ac:dyDescent="0.25"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  <row r="122" spans="6:7" x14ac:dyDescent="0.25">
      <c r="F122" s="119"/>
      <c r="G122" s="114"/>
    </row>
    <row r="123" spans="6:7" x14ac:dyDescent="0.25">
      <c r="F123" s="119"/>
      <c r="G123" s="114"/>
    </row>
    <row r="124" spans="6:7" x14ac:dyDescent="0.25">
      <c r="F124" s="119"/>
      <c r="G124" s="114"/>
    </row>
    <row r="125" spans="6:7" x14ac:dyDescent="0.25">
      <c r="F125" s="119"/>
      <c r="G125" s="114"/>
    </row>
    <row r="126" spans="6:7" x14ac:dyDescent="0.25">
      <c r="F126" s="119"/>
      <c r="G126" s="114"/>
    </row>
    <row r="127" spans="6:7" x14ac:dyDescent="0.25">
      <c r="F127" s="119"/>
      <c r="G127" s="114"/>
    </row>
    <row r="128" spans="6:7" x14ac:dyDescent="0.25">
      <c r="F128" s="119"/>
      <c r="G128" s="114"/>
    </row>
    <row r="129" spans="6:7" x14ac:dyDescent="0.25">
      <c r="F129" s="119"/>
      <c r="G129" s="114"/>
    </row>
    <row r="130" spans="6:7" x14ac:dyDescent="0.25">
      <c r="F130" s="119"/>
      <c r="G130" s="114"/>
    </row>
    <row r="131" spans="6:7" x14ac:dyDescent="0.25">
      <c r="F131" s="119"/>
      <c r="G131" s="114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activeCell="E5" sqref="E5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7.7109375" style="11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81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8</v>
      </c>
      <c r="D5" s="137" t="s">
        <v>9</v>
      </c>
      <c r="H5" s="35" t="s">
        <v>80</v>
      </c>
    </row>
    <row r="6" spans="1:19" x14ac:dyDescent="0.25">
      <c r="A6" s="138">
        <f>B6+273.15</f>
        <v>973.15</v>
      </c>
      <c r="B6" s="148">
        <v>700</v>
      </c>
      <c r="C6" s="140">
        <v>-2.61</v>
      </c>
      <c r="D6" s="153">
        <f>10^C6</f>
        <v>2.4547089156850303E-3</v>
      </c>
    </row>
    <row r="7" spans="1:19" ht="15.75" thickBot="1" x14ac:dyDescent="0.3">
      <c r="A7" s="141">
        <f t="shared" ref="A7" si="0">B7+273.15</f>
        <v>873.15</v>
      </c>
      <c r="B7" s="149">
        <v>600</v>
      </c>
      <c r="C7" s="130">
        <v>-3.7618999999999998</v>
      </c>
      <c r="D7" s="154">
        <f>10^C7</f>
        <v>1.7302147100114047E-4</v>
      </c>
      <c r="H7" s="111" t="s">
        <v>18</v>
      </c>
    </row>
    <row r="8" spans="1:19" ht="16.5" thickBot="1" x14ac:dyDescent="0.3">
      <c r="A8" s="112"/>
      <c r="B8" s="117"/>
      <c r="D8" s="119"/>
      <c r="G8" s="111">
        <v>1</v>
      </c>
      <c r="H8" s="35" t="s">
        <v>131</v>
      </c>
    </row>
    <row r="9" spans="1:19" ht="15.75" x14ac:dyDescent="0.25">
      <c r="A9" s="133" t="s">
        <v>13</v>
      </c>
      <c r="B9" s="134"/>
      <c r="C9" s="134"/>
      <c r="D9" s="135"/>
    </row>
    <row r="10" spans="1:19" ht="75.75" thickBot="1" x14ac:dyDescent="0.3">
      <c r="A10" s="136" t="s">
        <v>16</v>
      </c>
      <c r="B10" s="115" t="s">
        <v>14</v>
      </c>
      <c r="C10" s="142" t="s">
        <v>37</v>
      </c>
      <c r="D10" s="137" t="s">
        <v>15</v>
      </c>
    </row>
    <row r="11" spans="1:19" ht="19.5" thickBot="1" x14ac:dyDescent="0.3">
      <c r="A11" s="138">
        <f>B11+273.15</f>
        <v>973.15</v>
      </c>
      <c r="B11" s="148">
        <v>700</v>
      </c>
      <c r="C11" s="140">
        <f>'BSCF,Bucher (Solid State Ionics'!C45</f>
        <v>138</v>
      </c>
      <c r="D11" s="157">
        <f>D6/C11</f>
        <v>1.7787745765833552E-5</v>
      </c>
      <c r="H11" s="169" t="s">
        <v>184</v>
      </c>
    </row>
    <row r="12" spans="1:19" ht="15.75" thickBot="1" x14ac:dyDescent="0.3">
      <c r="A12" s="141">
        <f t="shared" ref="A12" si="1">B12+273.15</f>
        <v>873.15</v>
      </c>
      <c r="B12" s="149">
        <v>600</v>
      </c>
      <c r="C12" s="130">
        <f>'BSCF,Bucher (Solid State Ionics'!C47</f>
        <v>125</v>
      </c>
      <c r="D12" s="158">
        <f>D7/C12</f>
        <v>1.3841717680091237E-6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19</v>
      </c>
      <c r="B14" s="134"/>
      <c r="C14" s="134"/>
      <c r="D14" s="134"/>
      <c r="E14" s="135"/>
      <c r="G14" s="119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75.75" thickBot="1" x14ac:dyDescent="0.3">
      <c r="A15" s="136" t="s">
        <v>16</v>
      </c>
      <c r="B15" s="115" t="s">
        <v>14</v>
      </c>
      <c r="C15" s="142" t="s">
        <v>37</v>
      </c>
      <c r="D15" s="142" t="s">
        <v>111</v>
      </c>
      <c r="E15" s="143" t="s">
        <v>35</v>
      </c>
      <c r="G15" s="119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973.15</v>
      </c>
      <c r="B16" s="148">
        <v>700</v>
      </c>
      <c r="C16" s="140">
        <f>'BSCF,Bucher (Solid State Ionics'!C45</f>
        <v>138</v>
      </c>
      <c r="D16" s="140">
        <f>'BSCF,Bucher (Solid State Ionics'!H45</f>
        <v>6.6297650130548308E-2</v>
      </c>
      <c r="E16" s="157">
        <f>($C$2*$A$2*A16*C16)/(4*($E$2^2)*D6*D16)</f>
        <v>0.1841611393142181</v>
      </c>
      <c r="G16" s="119"/>
      <c r="H16" s="114"/>
      <c r="K16" s="118"/>
      <c r="L16" s="118"/>
    </row>
    <row r="17" spans="1:12" ht="15.75" thickBot="1" x14ac:dyDescent="0.3">
      <c r="A17" s="141">
        <f t="shared" ref="A17" si="2">B17+273.15</f>
        <v>873.15</v>
      </c>
      <c r="B17" s="149">
        <v>600</v>
      </c>
      <c r="C17" s="130">
        <f>'BSCF,Bucher (Solid State Ionics'!C47</f>
        <v>125</v>
      </c>
      <c r="D17" s="130">
        <f>'BSCF,Bucher (Solid State Ionics'!H47</f>
        <v>6.6843342036553524E-2</v>
      </c>
      <c r="E17" s="158">
        <f>($C$2*$A$2*A17*C17)/(4*($E$2^2)*D7*D17)</f>
        <v>2.106095066626922</v>
      </c>
      <c r="G17" s="119"/>
      <c r="H17" s="114"/>
      <c r="J17" s="113"/>
      <c r="K17" s="113"/>
      <c r="L17" s="113"/>
    </row>
    <row r="18" spans="1:12" x14ac:dyDescent="0.25">
      <c r="A18" s="112"/>
      <c r="B18" s="117"/>
      <c r="C18" s="113"/>
      <c r="D18" s="114"/>
      <c r="G18" s="119"/>
      <c r="H18" s="114"/>
      <c r="J18" s="113"/>
      <c r="K18" s="113"/>
      <c r="L18" s="113"/>
    </row>
    <row r="19" spans="1:12" x14ac:dyDescent="0.25">
      <c r="D19" s="114"/>
      <c r="G19" s="119"/>
      <c r="H19" s="114"/>
    </row>
    <row r="20" spans="1:12" x14ac:dyDescent="0.25">
      <c r="A20" s="118"/>
      <c r="D20" s="114"/>
      <c r="G20" s="119"/>
      <c r="H20" s="114"/>
    </row>
    <row r="21" spans="1:12" x14ac:dyDescent="0.25">
      <c r="C21" s="118"/>
      <c r="E21" s="119"/>
      <c r="F21" s="119"/>
      <c r="G21" s="121"/>
      <c r="H21" s="118"/>
      <c r="I21" s="121"/>
      <c r="J21" s="119"/>
      <c r="K21" s="118"/>
    </row>
    <row r="22" spans="1:12" x14ac:dyDescent="0.25">
      <c r="A22" s="112"/>
      <c r="B22" s="112"/>
      <c r="C22" s="114"/>
      <c r="E22" s="117"/>
      <c r="F22" s="117"/>
      <c r="G22" s="114"/>
      <c r="H22" s="114"/>
      <c r="J22" s="113"/>
      <c r="K22" s="114"/>
    </row>
    <row r="23" spans="1:12" x14ac:dyDescent="0.25">
      <c r="A23" s="112"/>
      <c r="B23" s="112"/>
      <c r="C23" s="114"/>
      <c r="E23" s="117"/>
      <c r="F23" s="112"/>
      <c r="G23" s="113"/>
      <c r="H23" s="114"/>
      <c r="J23" s="113"/>
      <c r="K23" s="114"/>
    </row>
    <row r="24" spans="1:12" x14ac:dyDescent="0.25">
      <c r="A24" s="112"/>
      <c r="B24" s="112"/>
      <c r="C24" s="114"/>
      <c r="E24" s="117"/>
      <c r="F24" s="112"/>
      <c r="G24" s="113"/>
      <c r="H24" s="114"/>
      <c r="J24" s="113"/>
      <c r="K24" s="114"/>
    </row>
    <row r="25" spans="1:12" x14ac:dyDescent="0.25">
      <c r="A25" s="112"/>
      <c r="B25" s="112"/>
      <c r="C25" s="114"/>
      <c r="D25" s="114"/>
      <c r="E25" s="117"/>
      <c r="F25" s="112"/>
      <c r="G25" s="113"/>
      <c r="H25" s="114"/>
      <c r="J25" s="113"/>
      <c r="K25" s="114"/>
    </row>
    <row r="26" spans="1:12" x14ac:dyDescent="0.25">
      <c r="A26" s="112"/>
      <c r="B26" s="112"/>
      <c r="C26" s="114"/>
      <c r="D26" s="114"/>
      <c r="E26" s="117"/>
      <c r="F26" s="112"/>
      <c r="G26" s="113"/>
      <c r="H26" s="114"/>
      <c r="J26" s="113"/>
      <c r="K26" s="114"/>
    </row>
    <row r="27" spans="1:12" x14ac:dyDescent="0.25">
      <c r="A27" s="112"/>
      <c r="B27" s="112"/>
      <c r="C27" s="114"/>
      <c r="D27" s="114"/>
      <c r="E27" s="117"/>
      <c r="F27" s="112"/>
      <c r="G27" s="114"/>
      <c r="H27" s="114"/>
      <c r="I27" s="119"/>
      <c r="K27" s="114"/>
    </row>
    <row r="28" spans="1:12" x14ac:dyDescent="0.25">
      <c r="A28" s="112"/>
      <c r="B28" s="112"/>
      <c r="C28" s="114"/>
      <c r="D28" s="114"/>
      <c r="E28" s="117"/>
      <c r="F28" s="112"/>
      <c r="G28" s="114"/>
      <c r="H28" s="114"/>
      <c r="I28" s="119"/>
      <c r="J28" s="114"/>
      <c r="K28" s="114"/>
    </row>
    <row r="29" spans="1:12" x14ac:dyDescent="0.25">
      <c r="A29" s="112"/>
      <c r="B29" s="112"/>
      <c r="C29" s="114"/>
      <c r="D29" s="114"/>
      <c r="E29" s="117"/>
      <c r="F29" s="112"/>
      <c r="G29" s="114"/>
      <c r="H29" s="114"/>
      <c r="I29" s="119"/>
      <c r="J29" s="114"/>
    </row>
    <row r="30" spans="1:12" x14ac:dyDescent="0.25">
      <c r="A30" s="112"/>
      <c r="B30" s="112"/>
      <c r="C30" s="114"/>
      <c r="E30" s="117"/>
      <c r="F30" s="112"/>
      <c r="G30" s="114"/>
      <c r="H30" s="114"/>
      <c r="I30" s="119"/>
      <c r="J30" s="114"/>
    </row>
    <row r="31" spans="1:12" x14ac:dyDescent="0.25">
      <c r="A31" s="112"/>
      <c r="B31" s="112"/>
      <c r="C31" s="114"/>
      <c r="E31" s="117"/>
      <c r="F31" s="112"/>
      <c r="H31" s="114"/>
      <c r="I31" s="119"/>
      <c r="J31" s="114"/>
    </row>
    <row r="32" spans="1:12" x14ac:dyDescent="0.25">
      <c r="A32" s="112"/>
      <c r="B32" s="112"/>
      <c r="C32" s="114"/>
      <c r="E32" s="117"/>
      <c r="F32" s="112"/>
      <c r="H32" s="114"/>
      <c r="I32" s="119"/>
      <c r="J32" s="114"/>
    </row>
    <row r="33" spans="1:10" x14ac:dyDescent="0.25">
      <c r="A33" s="112"/>
      <c r="B33" s="117"/>
      <c r="C33" s="114"/>
      <c r="E33" s="117"/>
      <c r="F33" s="112"/>
      <c r="H33" s="114"/>
      <c r="J33" s="114"/>
    </row>
    <row r="34" spans="1:10" x14ac:dyDescent="0.25">
      <c r="A34" s="112"/>
      <c r="B34" s="112"/>
      <c r="F34" s="113"/>
      <c r="G34" s="114"/>
      <c r="H34" s="117"/>
      <c r="J34" s="114"/>
    </row>
    <row r="35" spans="1:10" x14ac:dyDescent="0.25">
      <c r="A35" s="112"/>
      <c r="B35" s="112"/>
      <c r="F35" s="113"/>
      <c r="G35" s="114"/>
      <c r="H35" s="114"/>
    </row>
    <row r="36" spans="1:10" x14ac:dyDescent="0.25">
      <c r="A36" s="112"/>
      <c r="B36" s="112"/>
      <c r="E36" s="119"/>
      <c r="F36" s="119"/>
      <c r="G36" s="118"/>
      <c r="H36" s="114"/>
    </row>
    <row r="37" spans="1:10" x14ac:dyDescent="0.25">
      <c r="A37" s="112"/>
      <c r="B37" s="112"/>
      <c r="C37" s="114"/>
      <c r="E37" s="112"/>
      <c r="F37" s="112"/>
      <c r="G37" s="114"/>
      <c r="H37" s="114"/>
    </row>
    <row r="38" spans="1:10" x14ac:dyDescent="0.25">
      <c r="A38" s="112"/>
      <c r="B38" s="112"/>
      <c r="C38" s="114"/>
      <c r="E38" s="112"/>
      <c r="F38" s="112"/>
      <c r="G38" s="114"/>
    </row>
    <row r="39" spans="1:10" x14ac:dyDescent="0.25">
      <c r="A39" s="112"/>
      <c r="B39" s="112"/>
      <c r="C39" s="114"/>
      <c r="E39" s="112"/>
      <c r="F39" s="112"/>
      <c r="G39" s="114"/>
    </row>
    <row r="40" spans="1:10" x14ac:dyDescent="0.25">
      <c r="A40" s="112"/>
      <c r="B40" s="117"/>
      <c r="C40" s="113"/>
      <c r="E40" s="112"/>
      <c r="F40" s="112"/>
      <c r="G40" s="114"/>
    </row>
    <row r="41" spans="1:10" x14ac:dyDescent="0.25">
      <c r="A41" s="112"/>
      <c r="B41" s="117"/>
      <c r="C41" s="113"/>
      <c r="F41" s="113"/>
      <c r="G41" s="114"/>
    </row>
    <row r="42" spans="1:10" x14ac:dyDescent="0.25">
      <c r="A42" s="112"/>
      <c r="B42" s="117"/>
      <c r="C42" s="113"/>
      <c r="D42" s="114"/>
      <c r="F42" s="113"/>
      <c r="G42" s="114"/>
    </row>
    <row r="43" spans="1:10" x14ac:dyDescent="0.25">
      <c r="A43" s="112"/>
      <c r="B43" s="117"/>
      <c r="C43" s="113"/>
      <c r="D43" s="114"/>
      <c r="F43" s="113"/>
      <c r="G43" s="114"/>
    </row>
    <row r="44" spans="1:10" x14ac:dyDescent="0.25">
      <c r="A44" s="112"/>
      <c r="B44" s="117"/>
      <c r="C44" s="113"/>
      <c r="D44" s="114"/>
      <c r="F44" s="113"/>
      <c r="G44" s="114"/>
    </row>
    <row r="45" spans="1:10" x14ac:dyDescent="0.25">
      <c r="A45" s="112"/>
      <c r="B45" s="117"/>
      <c r="C45" s="113"/>
      <c r="D45" s="114"/>
      <c r="F45" s="113"/>
      <c r="G45" s="114"/>
    </row>
    <row r="46" spans="1:10" x14ac:dyDescent="0.25">
      <c r="A46" s="112"/>
      <c r="B46" s="117"/>
      <c r="C46" s="113"/>
      <c r="D46" s="114"/>
      <c r="F46" s="113"/>
      <c r="G46" s="114"/>
    </row>
    <row r="47" spans="1:10" x14ac:dyDescent="0.25">
      <c r="A47" s="112"/>
      <c r="B47" s="117"/>
      <c r="C47" s="113"/>
      <c r="D47" s="114"/>
      <c r="F47" s="113"/>
      <c r="G47" s="114"/>
    </row>
    <row r="48" spans="1:10" x14ac:dyDescent="0.25">
      <c r="A48" s="112"/>
      <c r="B48" s="117"/>
      <c r="C48" s="114"/>
      <c r="D48" s="114"/>
      <c r="F48" s="113"/>
      <c r="G48" s="114"/>
    </row>
    <row r="49" spans="1:11" x14ac:dyDescent="0.25">
      <c r="A49" s="112"/>
      <c r="B49" s="117"/>
      <c r="C49" s="114"/>
      <c r="D49" s="114"/>
      <c r="F49" s="113"/>
      <c r="G49" s="114"/>
    </row>
    <row r="50" spans="1:11" x14ac:dyDescent="0.25">
      <c r="A50" s="112"/>
      <c r="B50" s="117"/>
      <c r="C50" s="113"/>
      <c r="D50" s="114"/>
      <c r="F50" s="113"/>
      <c r="G50" s="114"/>
      <c r="H50" s="114"/>
    </row>
    <row r="51" spans="1:11" x14ac:dyDescent="0.25">
      <c r="A51" s="112"/>
      <c r="B51" s="117"/>
      <c r="C51" s="113"/>
      <c r="D51" s="114"/>
      <c r="F51" s="113"/>
      <c r="G51" s="114"/>
      <c r="H51" s="119"/>
      <c r="I51" s="119"/>
      <c r="J51" s="119"/>
      <c r="K51" s="119"/>
    </row>
    <row r="52" spans="1:11" x14ac:dyDescent="0.25">
      <c r="A52" s="112"/>
      <c r="B52" s="117"/>
      <c r="C52" s="113"/>
      <c r="D52" s="114"/>
      <c r="F52" s="113"/>
      <c r="G52" s="114"/>
      <c r="H52" s="117"/>
      <c r="I52" s="112"/>
      <c r="J52" s="113"/>
      <c r="K52" s="113"/>
    </row>
    <row r="53" spans="1:11" x14ac:dyDescent="0.25">
      <c r="A53" s="112"/>
      <c r="B53" s="117"/>
      <c r="C53" s="113"/>
      <c r="D53" s="114"/>
      <c r="F53" s="113"/>
      <c r="G53" s="114"/>
      <c r="H53" s="117"/>
      <c r="I53" s="112"/>
      <c r="J53" s="113"/>
      <c r="K53" s="113"/>
    </row>
    <row r="54" spans="1:11" x14ac:dyDescent="0.25">
      <c r="A54" s="112"/>
      <c r="B54" s="117"/>
      <c r="C54" s="113"/>
      <c r="D54" s="114"/>
      <c r="F54" s="113"/>
      <c r="G54" s="114"/>
      <c r="H54" s="117"/>
      <c r="I54" s="112"/>
      <c r="J54" s="113"/>
      <c r="K54" s="113"/>
    </row>
    <row r="55" spans="1:11" x14ac:dyDescent="0.25">
      <c r="A55" s="112"/>
      <c r="B55" s="117"/>
      <c r="C55" s="113"/>
      <c r="D55" s="114"/>
      <c r="F55" s="113"/>
      <c r="G55" s="114"/>
      <c r="H55" s="117"/>
      <c r="I55" s="112"/>
      <c r="J55" s="113"/>
      <c r="K55" s="113"/>
    </row>
    <row r="56" spans="1:11" x14ac:dyDescent="0.25">
      <c r="A56" s="112"/>
      <c r="B56" s="117"/>
      <c r="C56" s="113"/>
      <c r="D56" s="114"/>
      <c r="F56" s="113"/>
      <c r="G56" s="114"/>
      <c r="H56" s="117"/>
      <c r="I56" s="112"/>
      <c r="J56" s="113"/>
      <c r="K56" s="113"/>
    </row>
    <row r="57" spans="1:11" x14ac:dyDescent="0.25">
      <c r="A57" s="112"/>
      <c r="B57" s="117"/>
      <c r="C57" s="113"/>
      <c r="D57" s="114"/>
      <c r="F57" s="113"/>
      <c r="G57" s="114"/>
      <c r="H57" s="117"/>
      <c r="I57" s="112"/>
      <c r="J57" s="113"/>
      <c r="K57" s="113"/>
    </row>
    <row r="58" spans="1:11" x14ac:dyDescent="0.25">
      <c r="A58" s="112"/>
      <c r="B58" s="117"/>
      <c r="C58" s="113"/>
      <c r="D58" s="114"/>
      <c r="F58" s="113"/>
      <c r="G58" s="114"/>
      <c r="H58" s="117"/>
      <c r="I58" s="112"/>
      <c r="J58" s="113"/>
      <c r="K58" s="113"/>
    </row>
    <row r="59" spans="1:11" x14ac:dyDescent="0.25">
      <c r="A59" s="112"/>
      <c r="B59" s="117"/>
      <c r="C59" s="113"/>
      <c r="D59" s="114"/>
      <c r="F59" s="113"/>
      <c r="G59" s="114"/>
      <c r="H59" s="117"/>
      <c r="I59" s="112"/>
      <c r="J59" s="113"/>
      <c r="K59" s="113"/>
    </row>
    <row r="60" spans="1:11" x14ac:dyDescent="0.25">
      <c r="A60" s="112"/>
      <c r="B60" s="117"/>
      <c r="C60" s="113"/>
      <c r="D60" s="114"/>
      <c r="F60" s="113"/>
      <c r="G60" s="114"/>
      <c r="H60" s="117"/>
      <c r="I60" s="112"/>
      <c r="J60" s="113"/>
      <c r="K60" s="113"/>
    </row>
    <row r="61" spans="1:11" x14ac:dyDescent="0.25">
      <c r="A61" s="112"/>
      <c r="B61" s="117"/>
      <c r="C61" s="113"/>
      <c r="D61" s="114"/>
      <c r="F61" s="113"/>
      <c r="G61" s="114"/>
      <c r="H61" s="117"/>
      <c r="I61" s="112"/>
      <c r="J61" s="113"/>
      <c r="K61" s="113"/>
    </row>
    <row r="62" spans="1:11" x14ac:dyDescent="0.25">
      <c r="A62" s="112"/>
      <c r="B62" s="117"/>
      <c r="C62" s="113"/>
      <c r="D62" s="114"/>
      <c r="F62" s="113"/>
      <c r="G62" s="114"/>
      <c r="H62" s="114"/>
    </row>
    <row r="63" spans="1:11" x14ac:dyDescent="0.25">
      <c r="A63" s="112"/>
      <c r="B63" s="117"/>
      <c r="C63" s="113"/>
      <c r="D63" s="114"/>
      <c r="F63" s="113"/>
      <c r="G63" s="114"/>
      <c r="H63" s="119"/>
      <c r="I63" s="119"/>
      <c r="J63" s="121"/>
      <c r="K63" s="121"/>
    </row>
    <row r="64" spans="1:11" x14ac:dyDescent="0.25">
      <c r="A64" s="112"/>
      <c r="B64" s="117"/>
      <c r="C64" s="113"/>
      <c r="D64" s="114"/>
      <c r="F64" s="113"/>
      <c r="G64" s="114"/>
      <c r="H64" s="117"/>
      <c r="I64" s="112"/>
      <c r="J64" s="113"/>
      <c r="K64" s="113"/>
    </row>
    <row r="65" spans="1:11" x14ac:dyDescent="0.25">
      <c r="A65" s="112"/>
      <c r="B65" s="117"/>
      <c r="C65" s="113"/>
      <c r="D65" s="114"/>
      <c r="F65" s="113"/>
      <c r="G65" s="114"/>
      <c r="H65" s="117"/>
      <c r="I65" s="112"/>
      <c r="J65" s="113"/>
      <c r="K65" s="114"/>
    </row>
    <row r="66" spans="1:11" x14ac:dyDescent="0.25">
      <c r="A66" s="112"/>
      <c r="B66" s="119"/>
      <c r="D66" s="114"/>
      <c r="F66" s="114"/>
      <c r="G66" s="114"/>
      <c r="H66" s="117"/>
      <c r="I66" s="112"/>
      <c r="J66" s="113"/>
      <c r="K66" s="114"/>
    </row>
    <row r="67" spans="1:11" x14ac:dyDescent="0.25">
      <c r="A67" s="112"/>
      <c r="B67" s="119"/>
      <c r="D67" s="114"/>
      <c r="F67" s="114"/>
      <c r="G67" s="114"/>
      <c r="H67" s="117"/>
      <c r="I67" s="112"/>
      <c r="J67" s="113"/>
      <c r="K67" s="114"/>
    </row>
    <row r="68" spans="1:11" x14ac:dyDescent="0.25">
      <c r="A68" s="112"/>
      <c r="B68" s="119"/>
      <c r="D68" s="114"/>
      <c r="F68" s="114"/>
      <c r="G68" s="114"/>
      <c r="H68" s="117"/>
      <c r="I68" s="112"/>
      <c r="J68" s="113"/>
      <c r="K68" s="114"/>
    </row>
    <row r="69" spans="1:11" x14ac:dyDescent="0.25">
      <c r="A69" s="112"/>
      <c r="B69" s="119"/>
      <c r="D69" s="114"/>
      <c r="F69" s="114"/>
      <c r="G69" s="114"/>
      <c r="H69" s="117"/>
      <c r="I69" s="112"/>
      <c r="J69" s="113"/>
      <c r="K69" s="114"/>
    </row>
    <row r="70" spans="1:11" x14ac:dyDescent="0.25">
      <c r="A70" s="112"/>
      <c r="B70" s="117"/>
      <c r="D70" s="114"/>
      <c r="F70" s="119"/>
      <c r="G70" s="114"/>
      <c r="H70" s="117"/>
      <c r="I70" s="112"/>
      <c r="J70" s="113"/>
      <c r="K70" s="114"/>
    </row>
    <row r="71" spans="1:11" x14ac:dyDescent="0.25">
      <c r="A71" s="112"/>
      <c r="B71" s="117"/>
      <c r="D71" s="114"/>
      <c r="F71" s="119"/>
      <c r="G71" s="114"/>
      <c r="H71" s="117"/>
      <c r="I71" s="112"/>
      <c r="J71" s="113"/>
      <c r="K71" s="114"/>
    </row>
    <row r="72" spans="1:11" x14ac:dyDescent="0.25">
      <c r="A72" s="112"/>
      <c r="B72" s="117"/>
      <c r="D72" s="114"/>
      <c r="F72" s="119"/>
      <c r="G72" s="114"/>
      <c r="H72" s="117"/>
      <c r="I72" s="112"/>
      <c r="J72" s="113"/>
      <c r="K72" s="114"/>
    </row>
    <row r="73" spans="1:11" x14ac:dyDescent="0.25">
      <c r="A73" s="112"/>
      <c r="B73" s="117"/>
      <c r="D73" s="114"/>
      <c r="F73" s="119"/>
      <c r="G73" s="114"/>
      <c r="H73" s="117"/>
      <c r="I73" s="112"/>
      <c r="J73" s="113"/>
      <c r="K73" s="114"/>
    </row>
    <row r="74" spans="1:11" x14ac:dyDescent="0.25">
      <c r="A74" s="112"/>
      <c r="B74" s="117"/>
      <c r="D74" s="114"/>
      <c r="F74" s="119"/>
      <c r="G74" s="114"/>
      <c r="H74" s="117"/>
      <c r="I74" s="112"/>
      <c r="J74" s="113"/>
      <c r="K74" s="114"/>
    </row>
    <row r="75" spans="1:11" x14ac:dyDescent="0.25">
      <c r="A75" s="112"/>
      <c r="B75" s="117"/>
      <c r="D75" s="114"/>
      <c r="F75" s="119"/>
      <c r="G75" s="114"/>
      <c r="H75" s="117"/>
      <c r="I75" s="112"/>
      <c r="J75" s="113"/>
      <c r="K75" s="114"/>
    </row>
    <row r="76" spans="1:11" x14ac:dyDescent="0.25">
      <c r="A76" s="112"/>
      <c r="B76" s="117"/>
      <c r="D76" s="114"/>
      <c r="F76" s="119"/>
      <c r="G76" s="114"/>
      <c r="H76" s="117"/>
      <c r="I76" s="112"/>
      <c r="J76" s="113"/>
      <c r="K76" s="114"/>
    </row>
    <row r="77" spans="1:11" x14ac:dyDescent="0.25">
      <c r="A77" s="112"/>
      <c r="B77" s="117"/>
      <c r="D77" s="114"/>
      <c r="F77" s="119"/>
      <c r="G77" s="114"/>
      <c r="H77" s="117"/>
      <c r="I77" s="112"/>
      <c r="J77" s="113"/>
      <c r="K77" s="113"/>
    </row>
    <row r="78" spans="1:11" x14ac:dyDescent="0.25">
      <c r="A78" s="112"/>
      <c r="B78" s="117"/>
      <c r="D78" s="114"/>
      <c r="F78" s="119"/>
      <c r="G78" s="114"/>
    </row>
    <row r="79" spans="1:11" x14ac:dyDescent="0.25">
      <c r="A79" s="112"/>
      <c r="B79" s="117"/>
      <c r="D79" s="114"/>
      <c r="F79" s="119"/>
      <c r="G79" s="114"/>
    </row>
    <row r="80" spans="1:11" x14ac:dyDescent="0.25">
      <c r="A80" s="112"/>
      <c r="B80" s="117"/>
      <c r="D80" s="114"/>
      <c r="F80" s="119"/>
      <c r="G80" s="114"/>
    </row>
    <row r="81" spans="1:7" x14ac:dyDescent="0.25">
      <c r="A81" s="112"/>
      <c r="B81" s="117"/>
      <c r="D81" s="114"/>
      <c r="F81" s="119"/>
      <c r="G81" s="114"/>
    </row>
    <row r="82" spans="1:7" x14ac:dyDescent="0.25">
      <c r="A82" s="112"/>
      <c r="B82" s="117"/>
      <c r="D82" s="114"/>
      <c r="F82" s="119"/>
      <c r="G82" s="114"/>
    </row>
    <row r="83" spans="1:7" x14ac:dyDescent="0.25">
      <c r="A83" s="112"/>
      <c r="B83" s="112"/>
      <c r="D83" s="114"/>
      <c r="F83" s="119"/>
      <c r="G83" s="114"/>
    </row>
    <row r="84" spans="1:7" x14ac:dyDescent="0.25">
      <c r="A84" s="112"/>
      <c r="B84" s="112"/>
      <c r="D84" s="114"/>
      <c r="F84" s="119"/>
      <c r="G84" s="114"/>
    </row>
    <row r="85" spans="1:7" x14ac:dyDescent="0.25">
      <c r="A85" s="112"/>
      <c r="B85" s="112"/>
      <c r="D85" s="114"/>
      <c r="F85" s="119"/>
      <c r="G85" s="114"/>
    </row>
    <row r="86" spans="1:7" x14ac:dyDescent="0.25">
      <c r="A86" s="112"/>
      <c r="B86" s="112"/>
      <c r="D86" s="114"/>
      <c r="F86" s="119"/>
      <c r="G86" s="114"/>
    </row>
    <row r="87" spans="1:7" x14ac:dyDescent="0.25">
      <c r="A87" s="112"/>
      <c r="B87" s="112"/>
      <c r="D87" s="114"/>
      <c r="F87" s="119"/>
      <c r="G87" s="114"/>
    </row>
    <row r="88" spans="1:7" x14ac:dyDescent="0.25">
      <c r="A88" s="112"/>
      <c r="B88" s="112"/>
      <c r="D88" s="114"/>
      <c r="F88" s="119"/>
      <c r="G88" s="114"/>
    </row>
    <row r="89" spans="1:7" x14ac:dyDescent="0.25">
      <c r="A89" s="112"/>
      <c r="B89" s="112"/>
      <c r="D89" s="114"/>
      <c r="F89" s="119"/>
      <c r="G89" s="114"/>
    </row>
    <row r="90" spans="1:7" x14ac:dyDescent="0.25">
      <c r="A90" s="112"/>
      <c r="B90" s="112"/>
      <c r="D90" s="114"/>
      <c r="F90" s="119"/>
      <c r="G90" s="114"/>
    </row>
    <row r="91" spans="1:7" x14ac:dyDescent="0.25">
      <c r="A91" s="112"/>
      <c r="B91" s="112"/>
      <c r="D91" s="114"/>
      <c r="F91" s="119"/>
      <c r="G91" s="114"/>
    </row>
    <row r="92" spans="1:7" x14ac:dyDescent="0.25">
      <c r="A92" s="112"/>
      <c r="B92" s="112"/>
      <c r="D92" s="114"/>
      <c r="F92" s="119"/>
      <c r="G92" s="114"/>
    </row>
    <row r="93" spans="1:7" x14ac:dyDescent="0.25">
      <c r="A93" s="112"/>
      <c r="B93" s="112"/>
      <c r="D93" s="114"/>
      <c r="F93" s="119"/>
      <c r="G93" s="114"/>
    </row>
    <row r="94" spans="1:7" x14ac:dyDescent="0.25">
      <c r="A94" s="112"/>
      <c r="B94" s="112"/>
      <c r="D94" s="114"/>
      <c r="F94" s="119"/>
      <c r="G94" s="114"/>
    </row>
    <row r="95" spans="1:7" x14ac:dyDescent="0.25">
      <c r="A95" s="112"/>
      <c r="B95" s="112"/>
      <c r="D95" s="114"/>
      <c r="F95" s="119"/>
      <c r="G95" s="114"/>
    </row>
    <row r="96" spans="1:7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A102" s="112"/>
      <c r="B102" s="112"/>
      <c r="D102" s="114"/>
      <c r="F102" s="119"/>
      <c r="G102" s="114"/>
    </row>
    <row r="103" spans="1:7" x14ac:dyDescent="0.25">
      <c r="A103" s="112"/>
      <c r="B103" s="112"/>
      <c r="D103" s="114"/>
      <c r="F103" s="119"/>
      <c r="G103" s="114"/>
    </row>
    <row r="104" spans="1:7" x14ac:dyDescent="0.25">
      <c r="F104" s="119"/>
      <c r="G104" s="114"/>
    </row>
    <row r="105" spans="1:7" x14ac:dyDescent="0.25">
      <c r="F105" s="119"/>
      <c r="G105" s="114"/>
    </row>
    <row r="106" spans="1:7" x14ac:dyDescent="0.25">
      <c r="F106" s="119"/>
      <c r="G106" s="114"/>
    </row>
    <row r="107" spans="1:7" x14ac:dyDescent="0.25">
      <c r="F107" s="119"/>
      <c r="G107" s="114"/>
    </row>
    <row r="108" spans="1:7" x14ac:dyDescent="0.25">
      <c r="F108" s="119"/>
      <c r="G108" s="114"/>
    </row>
    <row r="109" spans="1:7" x14ac:dyDescent="0.25">
      <c r="F109" s="119"/>
      <c r="G109" s="114"/>
    </row>
    <row r="110" spans="1:7" x14ac:dyDescent="0.25">
      <c r="F110" s="119"/>
      <c r="G110" s="114"/>
    </row>
    <row r="111" spans="1:7" x14ac:dyDescent="0.25">
      <c r="F111" s="119"/>
      <c r="G111" s="114"/>
    </row>
    <row r="112" spans="1:7" x14ac:dyDescent="0.25"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  <row r="122" spans="6:7" x14ac:dyDescent="0.25">
      <c r="F122" s="119"/>
      <c r="G122" s="114"/>
    </row>
    <row r="123" spans="6:7" x14ac:dyDescent="0.25">
      <c r="F123" s="119"/>
      <c r="G123" s="114"/>
    </row>
    <row r="124" spans="6:7" x14ac:dyDescent="0.25">
      <c r="F124" s="119"/>
      <c r="G124" s="114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opLeftCell="A4" workbookViewId="0">
      <selection activeCell="E8" sqref="E8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7.42578125" style="111" customWidth="1"/>
    <col min="5" max="5" width="18" style="111" bestFit="1" customWidth="1"/>
    <col min="6" max="6" width="16.42578125" style="111" bestFit="1" customWidth="1"/>
    <col min="7" max="7" width="17.7109375" style="111" customWidth="1"/>
    <col min="8" max="8" width="23.5703125" style="111" customWidth="1"/>
    <col min="9" max="9" width="26.140625" style="111" bestFit="1" customWidth="1"/>
    <col min="10" max="10" width="21.7109375" style="111" customWidth="1"/>
    <col min="11" max="11" width="21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92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91</v>
      </c>
    </row>
    <row r="6" spans="1:19" x14ac:dyDescent="0.25">
      <c r="A6" s="138">
        <f>B6+273.15</f>
        <v>923.15</v>
      </c>
      <c r="B6" s="148">
        <v>650</v>
      </c>
      <c r="C6" s="144"/>
      <c r="D6" s="153">
        <v>5.8089999999999999E-8</v>
      </c>
    </row>
    <row r="7" spans="1:19" x14ac:dyDescent="0.25">
      <c r="A7" s="138">
        <f t="shared" ref="A7:A10" si="0">B7+273.15</f>
        <v>873.15</v>
      </c>
      <c r="B7" s="148">
        <v>600</v>
      </c>
      <c r="C7" s="144"/>
      <c r="D7" s="153">
        <v>3.1090000000000002E-8</v>
      </c>
      <c r="H7" s="111" t="s">
        <v>18</v>
      </c>
    </row>
    <row r="8" spans="1:19" ht="15.75" x14ac:dyDescent="0.25">
      <c r="A8" s="138">
        <f t="shared" si="0"/>
        <v>823.15</v>
      </c>
      <c r="B8" s="148">
        <v>550</v>
      </c>
      <c r="C8" s="144"/>
      <c r="D8" s="153">
        <v>1.0811999999999999E-8</v>
      </c>
      <c r="G8" s="111">
        <v>1</v>
      </c>
      <c r="H8" s="35" t="s">
        <v>133</v>
      </c>
    </row>
    <row r="9" spans="1:19" ht="15.75" x14ac:dyDescent="0.25">
      <c r="A9" s="138">
        <f t="shared" si="0"/>
        <v>773.15</v>
      </c>
      <c r="B9" s="148">
        <v>500</v>
      </c>
      <c r="C9" s="144"/>
      <c r="D9" s="153">
        <v>3.9309999999999998E-9</v>
      </c>
      <c r="J9" s="35"/>
    </row>
    <row r="10" spans="1:19" ht="16.5" thickBot="1" x14ac:dyDescent="0.3">
      <c r="A10" s="141">
        <f t="shared" si="0"/>
        <v>723.15</v>
      </c>
      <c r="B10" s="149">
        <v>450</v>
      </c>
      <c r="C10" s="129"/>
      <c r="D10" s="154">
        <v>2.2333000000000001E-9</v>
      </c>
      <c r="J10" s="35"/>
    </row>
    <row r="11" spans="1:19" ht="19.5" thickBot="1" x14ac:dyDescent="0.3">
      <c r="A11" s="112"/>
      <c r="B11" s="117"/>
      <c r="D11" s="119"/>
      <c r="H11" s="169" t="s">
        <v>184</v>
      </c>
    </row>
    <row r="12" spans="1:19" ht="15.75" x14ac:dyDescent="0.25">
      <c r="A12" s="133" t="s">
        <v>13</v>
      </c>
      <c r="B12" s="134"/>
      <c r="C12" s="134"/>
      <c r="D12" s="135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75" x14ac:dyDescent="0.25">
      <c r="A13" s="136" t="s">
        <v>16</v>
      </c>
      <c r="B13" s="115" t="s">
        <v>14</v>
      </c>
      <c r="C13" s="142" t="s">
        <v>37</v>
      </c>
      <c r="D13" s="137" t="s">
        <v>15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>B14+273.15</f>
        <v>923.15</v>
      </c>
      <c r="B14" s="148">
        <v>650</v>
      </c>
      <c r="C14" s="140">
        <f>'BSCF,Girdauskaite (Solid State)'!D60</f>
        <v>12.450222133557668</v>
      </c>
      <c r="D14" s="157">
        <f>D6/C14</f>
        <v>4.665780206718344E-9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ref="A15:A17" si="1">B15+273.15</f>
        <v>873.15</v>
      </c>
      <c r="B15" s="148">
        <v>600</v>
      </c>
      <c r="C15" s="140">
        <f>'BSCF,Girdauskaite (Solid State)'!D62</f>
        <v>1.9890096087420712</v>
      </c>
      <c r="D15" s="157">
        <f t="shared" ref="D15:D17" si="2">D7/C15</f>
        <v>1.5630894824918696E-8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1"/>
        <v>823.15</v>
      </c>
      <c r="B16" s="148">
        <v>550</v>
      </c>
      <c r="C16" s="140">
        <f>'BSCF,Girdauskaite (Solid State)'!D63</f>
        <v>2.5428033153000453</v>
      </c>
      <c r="D16" s="157">
        <f t="shared" si="2"/>
        <v>4.2520001192951912E-9</v>
      </c>
    </row>
    <row r="17" spans="1:12" ht="15.75" thickBot="1" x14ac:dyDescent="0.3">
      <c r="A17" s="141">
        <f t="shared" si="1"/>
        <v>773.15</v>
      </c>
      <c r="B17" s="149">
        <v>500</v>
      </c>
      <c r="C17" s="130">
        <f>'BSCF,Girdauskaite (Solid State)'!D64</f>
        <v>1.1706298929060155</v>
      </c>
      <c r="D17" s="158">
        <f t="shared" si="2"/>
        <v>3.3580212019373074E-9</v>
      </c>
    </row>
    <row r="18" spans="1:12" ht="15.75" thickBot="1" x14ac:dyDescent="0.3"/>
    <row r="19" spans="1:12" ht="15.75" x14ac:dyDescent="0.25">
      <c r="A19" s="133" t="s">
        <v>19</v>
      </c>
      <c r="B19" s="134"/>
      <c r="C19" s="134"/>
      <c r="D19" s="134"/>
      <c r="E19" s="135"/>
      <c r="G19" s="119"/>
      <c r="H19" s="119"/>
    </row>
    <row r="20" spans="1:12" ht="75" x14ac:dyDescent="0.25">
      <c r="A20" s="136" t="s">
        <v>16</v>
      </c>
      <c r="B20" s="115" t="s">
        <v>14</v>
      </c>
      <c r="C20" s="142" t="s">
        <v>37</v>
      </c>
      <c r="D20" s="142" t="s">
        <v>111</v>
      </c>
      <c r="E20" s="143" t="s">
        <v>35</v>
      </c>
      <c r="G20" s="119"/>
      <c r="H20" s="114"/>
    </row>
    <row r="21" spans="1:12" x14ac:dyDescent="0.25">
      <c r="A21" s="138">
        <f>B21+273.15</f>
        <v>923.15</v>
      </c>
      <c r="B21" s="148">
        <v>650</v>
      </c>
      <c r="C21" s="140">
        <f>'BSCF,Girdauskaite (Solid State)'!D60</f>
        <v>12.450222133557668</v>
      </c>
      <c r="D21" s="140">
        <f>'BSCF,Girdauskaite (Solid State)'!I42</f>
        <v>6.9859741563353756E-2</v>
      </c>
      <c r="E21" s="157">
        <f>($C$2*$A$2*A21*C21)/(4*($E$2^2)*D6*D21)</f>
        <v>632.05995813273773</v>
      </c>
      <c r="G21" s="119"/>
      <c r="H21" s="114"/>
      <c r="K21" s="118"/>
      <c r="L21" s="118"/>
    </row>
    <row r="22" spans="1:12" x14ac:dyDescent="0.25">
      <c r="A22" s="138">
        <f t="shared" ref="A22:A24" si="3">B22+273.15</f>
        <v>873.15</v>
      </c>
      <c r="B22" s="148">
        <v>600</v>
      </c>
      <c r="C22" s="140">
        <f>'BSCF,Girdauskaite (Solid State)'!D62</f>
        <v>1.9890096087420712</v>
      </c>
      <c r="D22" s="140">
        <f>'BSCF,Girdauskaite (Solid State)'!I44</f>
        <v>7.0002323759791124E-2</v>
      </c>
      <c r="E22" s="157">
        <f>($C$2*$A$2*A22*C22)/(4*($E$2^2)*D7*D22)</f>
        <v>178.08601493380118</v>
      </c>
      <c r="G22" s="119"/>
      <c r="H22" s="114"/>
      <c r="J22" s="113"/>
      <c r="K22" s="113"/>
      <c r="L22" s="113"/>
    </row>
    <row r="23" spans="1:12" x14ac:dyDescent="0.25">
      <c r="A23" s="138">
        <f t="shared" si="3"/>
        <v>823.15</v>
      </c>
      <c r="B23" s="148">
        <v>550</v>
      </c>
      <c r="C23" s="140">
        <f>'BSCF,Girdauskaite (Solid State)'!D63</f>
        <v>2.5428033153000453</v>
      </c>
      <c r="D23" s="140">
        <f>'BSCF,Girdauskaite (Solid State)'!I46</f>
        <v>7.0351620039614385E-2</v>
      </c>
      <c r="E23" s="157">
        <f>($C$2*$A$2*A23*C23)/(4*($E$2^2)*D8*D23)</f>
        <v>614.11381441797596</v>
      </c>
      <c r="G23" s="119"/>
      <c r="H23" s="114"/>
      <c r="J23" s="113"/>
      <c r="K23" s="113"/>
      <c r="L23" s="113"/>
    </row>
    <row r="24" spans="1:12" ht="15.75" thickBot="1" x14ac:dyDescent="0.3">
      <c r="A24" s="141">
        <f t="shared" si="3"/>
        <v>773.15</v>
      </c>
      <c r="B24" s="149">
        <v>500</v>
      </c>
      <c r="C24" s="130">
        <f>'BSCF,Girdauskaite (Solid State)'!D64</f>
        <v>1.1706298929060155</v>
      </c>
      <c r="D24" s="130">
        <f>'BSCF,Girdauskaite (Solid State)'!I48</f>
        <v>7.0607049608355094E-2</v>
      </c>
      <c r="E24" s="158">
        <f>($C$2*$A$2*A24*C24)/(4*($E$2^2)*D9*D24)</f>
        <v>727.72872378825866</v>
      </c>
      <c r="G24" s="119"/>
      <c r="H24" s="114"/>
      <c r="J24" s="113"/>
      <c r="K24" s="113"/>
      <c r="L24" s="113"/>
    </row>
    <row r="25" spans="1:12" x14ac:dyDescent="0.25">
      <c r="D25" s="114"/>
      <c r="G25" s="119"/>
      <c r="H25" s="114"/>
    </row>
    <row r="26" spans="1:12" x14ac:dyDescent="0.25">
      <c r="A26" s="118"/>
      <c r="D26" s="114"/>
      <c r="G26" s="119"/>
      <c r="H26" s="114"/>
    </row>
    <row r="27" spans="1:12" x14ac:dyDescent="0.25">
      <c r="A27" s="112"/>
      <c r="B27" s="112"/>
      <c r="H27" s="121"/>
      <c r="I27" s="118"/>
      <c r="J27" s="119"/>
      <c r="K27" s="118"/>
    </row>
    <row r="28" spans="1:12" x14ac:dyDescent="0.25">
      <c r="A28" s="112"/>
      <c r="B28" s="11"/>
      <c r="C28" s="114"/>
      <c r="E28" s="117"/>
      <c r="F28" s="117"/>
      <c r="G28" s="117"/>
      <c r="H28" s="114"/>
      <c r="I28" s="114"/>
      <c r="J28" s="113"/>
      <c r="K28" s="114"/>
    </row>
    <row r="29" spans="1:12" x14ac:dyDescent="0.25">
      <c r="A29" s="112"/>
      <c r="B29" s="11"/>
      <c r="C29" s="114"/>
      <c r="E29" s="117"/>
      <c r="F29" s="117"/>
      <c r="G29" s="112"/>
      <c r="H29" s="114"/>
      <c r="I29" s="114"/>
      <c r="J29" s="113"/>
      <c r="K29" s="114"/>
    </row>
    <row r="30" spans="1:12" x14ac:dyDescent="0.25">
      <c r="A30" s="112"/>
      <c r="B30" s="11"/>
      <c r="C30" s="114"/>
      <c r="E30" s="117"/>
      <c r="F30" s="117"/>
      <c r="G30" s="112"/>
      <c r="H30" s="114"/>
      <c r="I30" s="114"/>
      <c r="J30" s="113"/>
      <c r="K30" s="114"/>
    </row>
    <row r="31" spans="1:12" x14ac:dyDescent="0.25">
      <c r="A31" s="112"/>
      <c r="B31" s="122"/>
      <c r="C31" s="114"/>
      <c r="D31" s="114"/>
      <c r="E31" s="117"/>
      <c r="F31" s="117"/>
      <c r="G31" s="112"/>
      <c r="H31" s="114"/>
      <c r="I31" s="114"/>
      <c r="J31" s="113"/>
      <c r="K31" s="114"/>
    </row>
    <row r="32" spans="1:12" x14ac:dyDescent="0.25">
      <c r="A32" s="112"/>
      <c r="B32" s="122"/>
      <c r="C32" s="114"/>
      <c r="D32" s="114"/>
      <c r="E32" s="117"/>
      <c r="F32" s="117"/>
      <c r="G32" s="112"/>
      <c r="H32" s="114"/>
      <c r="I32" s="114"/>
      <c r="J32" s="113"/>
      <c r="K32" s="114"/>
    </row>
    <row r="33" spans="1:9" x14ac:dyDescent="0.25">
      <c r="A33" s="112"/>
      <c r="B33" s="11"/>
      <c r="C33" s="114"/>
      <c r="F33" s="117"/>
      <c r="G33" s="117"/>
      <c r="H33" s="114"/>
      <c r="I33" s="114"/>
    </row>
    <row r="34" spans="1:9" x14ac:dyDescent="0.25">
      <c r="A34" s="112"/>
      <c r="B34" s="11"/>
      <c r="C34" s="114"/>
      <c r="E34" s="119"/>
      <c r="F34" s="117"/>
      <c r="G34" s="123"/>
      <c r="H34" s="114"/>
      <c r="I34" s="114"/>
    </row>
    <row r="35" spans="1:9" x14ac:dyDescent="0.25">
      <c r="A35" s="112"/>
      <c r="B35" s="11"/>
      <c r="C35" s="114"/>
      <c r="E35" s="112"/>
      <c r="F35" s="117"/>
      <c r="G35" s="117"/>
      <c r="H35" s="114"/>
      <c r="I35" s="114"/>
    </row>
    <row r="36" spans="1:9" x14ac:dyDescent="0.25">
      <c r="A36" s="112"/>
      <c r="B36" s="11"/>
      <c r="C36" s="114"/>
      <c r="E36" s="112"/>
      <c r="F36" s="117"/>
      <c r="G36" s="117"/>
      <c r="H36" s="113"/>
      <c r="I36" s="114"/>
    </row>
    <row r="37" spans="1:9" x14ac:dyDescent="0.25">
      <c r="E37" s="112"/>
      <c r="F37" s="117"/>
      <c r="G37" s="117"/>
      <c r="H37" s="113"/>
      <c r="I37" s="114"/>
    </row>
    <row r="38" spans="1:9" x14ac:dyDescent="0.25">
      <c r="D38" s="118"/>
      <c r="E38" s="112"/>
      <c r="F38" s="117"/>
      <c r="G38" s="117"/>
      <c r="H38" s="113"/>
      <c r="I38" s="114"/>
    </row>
    <row r="39" spans="1:9" x14ac:dyDescent="0.25">
      <c r="A39" s="112"/>
      <c r="B39" s="11"/>
      <c r="D39" s="113"/>
      <c r="F39" s="117"/>
      <c r="G39" s="117"/>
      <c r="H39" s="113"/>
      <c r="I39" s="114"/>
    </row>
    <row r="40" spans="1:9" x14ac:dyDescent="0.25">
      <c r="A40" s="112"/>
      <c r="B40" s="11"/>
      <c r="D40" s="113"/>
      <c r="F40" s="117"/>
      <c r="G40" s="117"/>
      <c r="H40" s="113"/>
      <c r="I40" s="114"/>
    </row>
    <row r="41" spans="1:9" x14ac:dyDescent="0.25">
      <c r="A41" s="112"/>
      <c r="B41" s="11"/>
      <c r="D41" s="113"/>
      <c r="F41" s="117"/>
      <c r="G41" s="117"/>
      <c r="H41" s="113"/>
      <c r="I41" s="114"/>
    </row>
    <row r="42" spans="1:9" x14ac:dyDescent="0.25">
      <c r="A42" s="112"/>
      <c r="B42" s="11"/>
      <c r="D42" s="113"/>
      <c r="F42" s="117"/>
      <c r="G42" s="117"/>
      <c r="H42" s="113"/>
      <c r="I42" s="114"/>
    </row>
    <row r="43" spans="1:9" x14ac:dyDescent="0.25">
      <c r="A43" s="112"/>
      <c r="B43" s="11"/>
      <c r="D43" s="113"/>
      <c r="F43" s="117"/>
      <c r="G43" s="117"/>
      <c r="H43" s="113"/>
      <c r="I43" s="114"/>
    </row>
    <row r="44" spans="1:9" x14ac:dyDescent="0.25">
      <c r="D44" s="114"/>
      <c r="F44" s="113"/>
      <c r="G44" s="114"/>
    </row>
    <row r="45" spans="1:9" x14ac:dyDescent="0.25">
      <c r="D45" s="114"/>
      <c r="F45" s="113"/>
      <c r="G45" s="114"/>
    </row>
    <row r="46" spans="1:9" x14ac:dyDescent="0.25">
      <c r="C46" s="118"/>
      <c r="D46" s="118"/>
      <c r="F46" s="113"/>
      <c r="G46" s="114"/>
    </row>
    <row r="47" spans="1:9" x14ac:dyDescent="0.25">
      <c r="A47" s="112"/>
      <c r="C47" s="113"/>
      <c r="D47" s="114"/>
      <c r="F47" s="113"/>
      <c r="G47" s="114"/>
    </row>
    <row r="48" spans="1:9" x14ac:dyDescent="0.25">
      <c r="A48" s="112"/>
      <c r="B48" s="117"/>
      <c r="C48" s="113"/>
      <c r="D48" s="114"/>
      <c r="F48" s="113"/>
      <c r="G48" s="114"/>
      <c r="H48" s="114"/>
    </row>
    <row r="49" spans="1:11" x14ac:dyDescent="0.25">
      <c r="A49" s="112"/>
      <c r="B49" s="117"/>
      <c r="C49" s="113"/>
      <c r="D49" s="114"/>
      <c r="F49" s="113"/>
      <c r="G49" s="114"/>
      <c r="H49" s="119"/>
      <c r="I49" s="119"/>
      <c r="J49" s="119"/>
      <c r="K49" s="119"/>
    </row>
    <row r="50" spans="1:11" x14ac:dyDescent="0.25">
      <c r="A50" s="112"/>
      <c r="B50" s="117"/>
      <c r="C50" s="113"/>
      <c r="D50" s="114"/>
      <c r="F50" s="113"/>
      <c r="G50" s="114"/>
      <c r="H50" s="117"/>
      <c r="I50" s="112"/>
      <c r="J50" s="113"/>
      <c r="K50" s="113"/>
    </row>
    <row r="51" spans="1:11" x14ac:dyDescent="0.25">
      <c r="A51" s="112"/>
      <c r="B51" s="117"/>
      <c r="C51" s="113"/>
      <c r="D51" s="114"/>
      <c r="F51" s="113"/>
      <c r="G51" s="114"/>
      <c r="H51" s="117"/>
      <c r="I51" s="112"/>
      <c r="J51" s="113"/>
      <c r="K51" s="113"/>
    </row>
    <row r="52" spans="1:11" x14ac:dyDescent="0.25">
      <c r="A52" s="112"/>
      <c r="B52" s="117"/>
      <c r="C52" s="113"/>
      <c r="D52" s="114"/>
      <c r="F52" s="113"/>
      <c r="G52" s="114"/>
      <c r="H52" s="117"/>
      <c r="I52" s="112"/>
      <c r="J52" s="113"/>
      <c r="K52" s="113"/>
    </row>
    <row r="53" spans="1:11" x14ac:dyDescent="0.25">
      <c r="A53" s="112"/>
      <c r="B53" s="117"/>
      <c r="C53" s="113"/>
      <c r="D53" s="114"/>
      <c r="F53" s="113"/>
      <c r="G53" s="114"/>
      <c r="H53" s="117"/>
      <c r="I53" s="112"/>
      <c r="J53" s="113"/>
      <c r="K53" s="113"/>
    </row>
    <row r="54" spans="1:11" x14ac:dyDescent="0.25">
      <c r="A54" s="112"/>
      <c r="B54" s="117"/>
      <c r="C54" s="113"/>
      <c r="D54" s="114"/>
      <c r="F54" s="113"/>
      <c r="G54" s="114"/>
      <c r="H54" s="117"/>
      <c r="I54" s="112"/>
      <c r="J54" s="113"/>
      <c r="K54" s="113"/>
    </row>
    <row r="55" spans="1:11" x14ac:dyDescent="0.25">
      <c r="A55" s="112"/>
      <c r="B55" s="117"/>
      <c r="C55" s="113"/>
      <c r="D55" s="114"/>
      <c r="F55" s="113"/>
      <c r="G55" s="114"/>
      <c r="H55" s="117"/>
      <c r="I55" s="112"/>
      <c r="J55" s="113"/>
      <c r="K55" s="113"/>
    </row>
    <row r="56" spans="1:11" x14ac:dyDescent="0.25">
      <c r="A56" s="112"/>
      <c r="B56" s="117"/>
      <c r="C56" s="113"/>
      <c r="D56" s="114"/>
      <c r="F56" s="113"/>
      <c r="G56" s="114"/>
      <c r="H56" s="117"/>
      <c r="I56" s="112"/>
      <c r="J56" s="113"/>
      <c r="K56" s="113"/>
    </row>
    <row r="57" spans="1:11" x14ac:dyDescent="0.25">
      <c r="A57" s="112"/>
      <c r="B57" s="117"/>
      <c r="C57" s="113"/>
      <c r="D57" s="114"/>
      <c r="F57" s="113"/>
      <c r="G57" s="114"/>
      <c r="H57" s="117"/>
      <c r="I57" s="112"/>
      <c r="J57" s="113"/>
      <c r="K57" s="113"/>
    </row>
    <row r="58" spans="1:11" x14ac:dyDescent="0.25">
      <c r="A58" s="112"/>
      <c r="B58" s="117"/>
      <c r="C58" s="113"/>
      <c r="D58" s="114"/>
      <c r="F58" s="113"/>
      <c r="G58" s="114"/>
      <c r="H58" s="117"/>
      <c r="I58" s="112"/>
      <c r="J58" s="113"/>
      <c r="K58" s="113"/>
    </row>
    <row r="59" spans="1:11" x14ac:dyDescent="0.25">
      <c r="A59" s="112"/>
      <c r="B59" s="117"/>
      <c r="C59" s="113"/>
      <c r="D59" s="114"/>
      <c r="F59" s="113"/>
      <c r="G59" s="114"/>
      <c r="H59" s="117"/>
      <c r="I59" s="112"/>
      <c r="J59" s="113"/>
      <c r="K59" s="113"/>
    </row>
    <row r="60" spans="1:11" x14ac:dyDescent="0.25">
      <c r="A60" s="112"/>
      <c r="B60" s="117"/>
      <c r="C60" s="113"/>
      <c r="D60" s="114"/>
      <c r="F60" s="113"/>
      <c r="G60" s="114"/>
      <c r="H60" s="114"/>
    </row>
    <row r="61" spans="1:11" x14ac:dyDescent="0.25">
      <c r="A61" s="112"/>
      <c r="B61" s="117"/>
      <c r="C61" s="113"/>
      <c r="D61" s="114"/>
      <c r="F61" s="113"/>
      <c r="G61" s="114"/>
      <c r="H61" s="119"/>
      <c r="I61" s="119"/>
      <c r="J61" s="121"/>
      <c r="K61" s="121"/>
    </row>
    <row r="62" spans="1:11" x14ac:dyDescent="0.25">
      <c r="A62" s="112"/>
      <c r="B62" s="117"/>
      <c r="C62" s="113"/>
      <c r="D62" s="114"/>
      <c r="F62" s="113"/>
      <c r="G62" s="114"/>
      <c r="H62" s="117"/>
      <c r="I62" s="112"/>
      <c r="J62" s="113"/>
      <c r="K62" s="113"/>
    </row>
    <row r="63" spans="1:11" x14ac:dyDescent="0.25">
      <c r="A63" s="112"/>
      <c r="B63" s="117"/>
      <c r="C63" s="113"/>
      <c r="D63" s="114"/>
      <c r="F63" s="113"/>
      <c r="G63" s="114"/>
      <c r="H63" s="117"/>
      <c r="I63" s="112"/>
      <c r="J63" s="113"/>
      <c r="K63" s="114"/>
    </row>
    <row r="64" spans="1:11" x14ac:dyDescent="0.25">
      <c r="A64" s="112"/>
      <c r="B64" s="119"/>
      <c r="D64" s="114"/>
      <c r="F64" s="114"/>
      <c r="G64" s="114"/>
      <c r="H64" s="117"/>
      <c r="I64" s="112"/>
      <c r="J64" s="113"/>
      <c r="K64" s="114"/>
    </row>
    <row r="65" spans="1:11" x14ac:dyDescent="0.25">
      <c r="A65" s="112"/>
      <c r="B65" s="119"/>
      <c r="D65" s="114"/>
      <c r="F65" s="114"/>
      <c r="G65" s="114"/>
      <c r="H65" s="117"/>
      <c r="I65" s="112"/>
      <c r="J65" s="113"/>
      <c r="K65" s="114"/>
    </row>
    <row r="66" spans="1:11" x14ac:dyDescent="0.25">
      <c r="A66" s="112"/>
      <c r="B66" s="119"/>
      <c r="D66" s="114"/>
      <c r="F66" s="114"/>
      <c r="G66" s="114"/>
      <c r="H66" s="117"/>
      <c r="I66" s="112"/>
      <c r="J66" s="113"/>
      <c r="K66" s="114"/>
    </row>
    <row r="67" spans="1:11" x14ac:dyDescent="0.25">
      <c r="A67" s="112"/>
      <c r="B67" s="119"/>
      <c r="D67" s="114"/>
      <c r="F67" s="114"/>
      <c r="G67" s="114"/>
      <c r="H67" s="117"/>
      <c r="I67" s="112"/>
      <c r="J67" s="113"/>
      <c r="K67" s="114"/>
    </row>
    <row r="68" spans="1:11" x14ac:dyDescent="0.25">
      <c r="A68" s="112"/>
      <c r="B68" s="117"/>
      <c r="D68" s="114"/>
      <c r="F68" s="119"/>
      <c r="G68" s="114"/>
      <c r="H68" s="117"/>
      <c r="I68" s="112"/>
      <c r="J68" s="113"/>
      <c r="K68" s="114"/>
    </row>
    <row r="69" spans="1:11" x14ac:dyDescent="0.25">
      <c r="A69" s="112"/>
      <c r="B69" s="117"/>
      <c r="D69" s="114"/>
      <c r="F69" s="119"/>
      <c r="G69" s="114"/>
      <c r="H69" s="117"/>
      <c r="I69" s="112"/>
      <c r="J69" s="113"/>
      <c r="K69" s="114"/>
    </row>
    <row r="70" spans="1:11" x14ac:dyDescent="0.25">
      <c r="A70" s="112"/>
      <c r="B70" s="117"/>
      <c r="D70" s="114"/>
      <c r="F70" s="119"/>
      <c r="G70" s="114"/>
      <c r="H70" s="117"/>
      <c r="I70" s="112"/>
      <c r="J70" s="113"/>
      <c r="K70" s="114"/>
    </row>
    <row r="71" spans="1:11" x14ac:dyDescent="0.25">
      <c r="A71" s="112"/>
      <c r="B71" s="117"/>
      <c r="D71" s="114"/>
      <c r="F71" s="119"/>
      <c r="G71" s="114"/>
      <c r="H71" s="117"/>
      <c r="I71" s="112"/>
      <c r="J71" s="113"/>
      <c r="K71" s="114"/>
    </row>
    <row r="72" spans="1:11" x14ac:dyDescent="0.25">
      <c r="A72" s="112"/>
      <c r="B72" s="117"/>
      <c r="D72" s="114"/>
      <c r="F72" s="119"/>
      <c r="G72" s="114"/>
      <c r="H72" s="117"/>
      <c r="I72" s="112"/>
      <c r="J72" s="113"/>
      <c r="K72" s="114"/>
    </row>
    <row r="73" spans="1:11" x14ac:dyDescent="0.25">
      <c r="A73" s="112"/>
      <c r="B73" s="117"/>
      <c r="D73" s="114"/>
      <c r="F73" s="119"/>
      <c r="G73" s="114"/>
      <c r="H73" s="117"/>
      <c r="I73" s="112"/>
      <c r="J73" s="113"/>
      <c r="K73" s="114"/>
    </row>
    <row r="74" spans="1:11" x14ac:dyDescent="0.25">
      <c r="A74" s="112"/>
      <c r="B74" s="117"/>
      <c r="D74" s="114"/>
      <c r="F74" s="119"/>
      <c r="G74" s="114"/>
      <c r="H74" s="117"/>
      <c r="I74" s="112"/>
      <c r="J74" s="113"/>
      <c r="K74" s="114"/>
    </row>
    <row r="75" spans="1:11" x14ac:dyDescent="0.25">
      <c r="A75" s="112"/>
      <c r="B75" s="117"/>
      <c r="D75" s="114"/>
      <c r="F75" s="119"/>
      <c r="G75" s="114"/>
      <c r="H75" s="117"/>
      <c r="I75" s="112"/>
      <c r="J75" s="113"/>
      <c r="K75" s="113"/>
    </row>
    <row r="76" spans="1:11" x14ac:dyDescent="0.25">
      <c r="A76" s="112"/>
      <c r="B76" s="117"/>
      <c r="D76" s="114"/>
      <c r="F76" s="119"/>
      <c r="G76" s="114"/>
    </row>
    <row r="77" spans="1:11" x14ac:dyDescent="0.25">
      <c r="A77" s="112"/>
      <c r="B77" s="117"/>
      <c r="D77" s="114"/>
      <c r="F77" s="119"/>
      <c r="G77" s="114"/>
    </row>
    <row r="78" spans="1:11" x14ac:dyDescent="0.25">
      <c r="A78" s="112"/>
      <c r="B78" s="117"/>
      <c r="D78" s="114"/>
      <c r="F78" s="119"/>
      <c r="G78" s="114"/>
    </row>
    <row r="79" spans="1:11" x14ac:dyDescent="0.25">
      <c r="A79" s="112"/>
      <c r="B79" s="117"/>
      <c r="D79" s="114"/>
      <c r="F79" s="119"/>
      <c r="G79" s="114"/>
    </row>
    <row r="80" spans="1:11" x14ac:dyDescent="0.25">
      <c r="A80" s="112"/>
      <c r="B80" s="117"/>
      <c r="D80" s="114"/>
      <c r="F80" s="119"/>
      <c r="G80" s="114"/>
    </row>
    <row r="81" spans="1:7" x14ac:dyDescent="0.25">
      <c r="A81" s="112"/>
      <c r="B81" s="112"/>
      <c r="D81" s="114"/>
      <c r="F81" s="119"/>
      <c r="G81" s="114"/>
    </row>
    <row r="82" spans="1:7" x14ac:dyDescent="0.25">
      <c r="A82" s="112"/>
      <c r="B82" s="112"/>
      <c r="D82" s="114"/>
      <c r="F82" s="119"/>
      <c r="G82" s="114"/>
    </row>
    <row r="83" spans="1:7" x14ac:dyDescent="0.25">
      <c r="A83" s="112"/>
      <c r="B83" s="112"/>
      <c r="D83" s="114"/>
      <c r="F83" s="119"/>
      <c r="G83" s="114"/>
    </row>
    <row r="84" spans="1:7" x14ac:dyDescent="0.25">
      <c r="A84" s="112"/>
      <c r="B84" s="112"/>
      <c r="D84" s="114"/>
      <c r="F84" s="119"/>
      <c r="G84" s="114"/>
    </row>
    <row r="85" spans="1:7" x14ac:dyDescent="0.25">
      <c r="A85" s="112"/>
      <c r="B85" s="112"/>
      <c r="D85" s="114"/>
      <c r="F85" s="119"/>
      <c r="G85" s="114"/>
    </row>
    <row r="86" spans="1:7" x14ac:dyDescent="0.25">
      <c r="A86" s="112"/>
      <c r="B86" s="112"/>
      <c r="D86" s="114"/>
      <c r="F86" s="119"/>
      <c r="G86" s="114"/>
    </row>
    <row r="87" spans="1:7" x14ac:dyDescent="0.25">
      <c r="A87" s="112"/>
      <c r="B87" s="112"/>
      <c r="D87" s="114"/>
      <c r="F87" s="119"/>
      <c r="G87" s="114"/>
    </row>
    <row r="88" spans="1:7" x14ac:dyDescent="0.25">
      <c r="A88" s="112"/>
      <c r="B88" s="112"/>
      <c r="D88" s="114"/>
      <c r="F88" s="119"/>
      <c r="G88" s="114"/>
    </row>
    <row r="89" spans="1:7" x14ac:dyDescent="0.25">
      <c r="A89" s="112"/>
      <c r="B89" s="112"/>
      <c r="D89" s="114"/>
      <c r="F89" s="119"/>
      <c r="G89" s="114"/>
    </row>
    <row r="90" spans="1:7" x14ac:dyDescent="0.25">
      <c r="A90" s="112"/>
      <c r="B90" s="112"/>
      <c r="D90" s="114"/>
      <c r="F90" s="119"/>
      <c r="G90" s="114"/>
    </row>
    <row r="91" spans="1:7" x14ac:dyDescent="0.25">
      <c r="A91" s="112"/>
      <c r="B91" s="112"/>
      <c r="D91" s="114"/>
      <c r="F91" s="119"/>
      <c r="G91" s="114"/>
    </row>
    <row r="92" spans="1:7" x14ac:dyDescent="0.25">
      <c r="A92" s="112"/>
      <c r="B92" s="112"/>
      <c r="D92" s="114"/>
      <c r="F92" s="119"/>
      <c r="G92" s="114"/>
    </row>
    <row r="93" spans="1:7" x14ac:dyDescent="0.25">
      <c r="A93" s="112"/>
      <c r="B93" s="112"/>
      <c r="D93" s="114"/>
      <c r="F93" s="119"/>
      <c r="G93" s="114"/>
    </row>
    <row r="94" spans="1:7" x14ac:dyDescent="0.25">
      <c r="A94" s="112"/>
      <c r="B94" s="112"/>
      <c r="D94" s="114"/>
      <c r="F94" s="119"/>
      <c r="G94" s="114"/>
    </row>
    <row r="95" spans="1:7" x14ac:dyDescent="0.25">
      <c r="A95" s="112"/>
      <c r="B95" s="112"/>
      <c r="D95" s="114"/>
      <c r="F95" s="119"/>
      <c r="G95" s="114"/>
    </row>
    <row r="96" spans="1:7" x14ac:dyDescent="0.25">
      <c r="A96" s="112"/>
      <c r="B96" s="112"/>
      <c r="D96" s="114"/>
      <c r="F96" s="119"/>
      <c r="G96" s="114"/>
    </row>
    <row r="97" spans="1:7" x14ac:dyDescent="0.25">
      <c r="A97" s="112"/>
      <c r="B97" s="112"/>
      <c r="D97" s="114"/>
      <c r="F97" s="119"/>
      <c r="G97" s="114"/>
    </row>
    <row r="98" spans="1:7" x14ac:dyDescent="0.25">
      <c r="A98" s="112"/>
      <c r="B98" s="112"/>
      <c r="D98" s="114"/>
      <c r="F98" s="119"/>
      <c r="G98" s="114"/>
    </row>
    <row r="99" spans="1:7" x14ac:dyDescent="0.25">
      <c r="A99" s="112"/>
      <c r="B99" s="112"/>
      <c r="D99" s="114"/>
      <c r="F99" s="119"/>
      <c r="G99" s="114"/>
    </row>
    <row r="100" spans="1:7" x14ac:dyDescent="0.25">
      <c r="A100" s="112"/>
      <c r="B100" s="112"/>
      <c r="D100" s="114"/>
      <c r="F100" s="119"/>
      <c r="G100" s="114"/>
    </row>
    <row r="101" spans="1:7" x14ac:dyDescent="0.25">
      <c r="A101" s="112"/>
      <c r="B101" s="112"/>
      <c r="D101" s="114"/>
      <c r="F101" s="119"/>
      <c r="G101" s="114"/>
    </row>
    <row r="102" spans="1:7" x14ac:dyDescent="0.25">
      <c r="F102" s="119"/>
      <c r="G102" s="114"/>
    </row>
    <row r="103" spans="1:7" x14ac:dyDescent="0.25">
      <c r="F103" s="119"/>
      <c r="G103" s="114"/>
    </row>
    <row r="104" spans="1:7" x14ac:dyDescent="0.25">
      <c r="F104" s="119"/>
      <c r="G104" s="114"/>
    </row>
    <row r="105" spans="1:7" x14ac:dyDescent="0.25">
      <c r="F105" s="119"/>
      <c r="G105" s="114"/>
    </row>
    <row r="106" spans="1:7" x14ac:dyDescent="0.25">
      <c r="F106" s="119"/>
      <c r="G106" s="114"/>
    </row>
    <row r="107" spans="1:7" x14ac:dyDescent="0.25">
      <c r="F107" s="119"/>
      <c r="G107" s="114"/>
    </row>
    <row r="108" spans="1:7" x14ac:dyDescent="0.25">
      <c r="F108" s="119"/>
      <c r="G108" s="114"/>
    </row>
    <row r="109" spans="1:7" x14ac:dyDescent="0.25">
      <c r="F109" s="119"/>
      <c r="G109" s="114"/>
    </row>
    <row r="110" spans="1:7" x14ac:dyDescent="0.25">
      <c r="F110" s="119"/>
      <c r="G110" s="114"/>
    </row>
    <row r="111" spans="1:7" x14ac:dyDescent="0.25">
      <c r="F111" s="119"/>
      <c r="G111" s="114"/>
    </row>
    <row r="112" spans="1:7" x14ac:dyDescent="0.25">
      <c r="F112" s="119"/>
      <c r="G112" s="114"/>
    </row>
    <row r="113" spans="6:7" x14ac:dyDescent="0.25">
      <c r="F113" s="119"/>
      <c r="G113" s="114"/>
    </row>
    <row r="114" spans="6:7" x14ac:dyDescent="0.25">
      <c r="F114" s="119"/>
      <c r="G114" s="114"/>
    </row>
    <row r="115" spans="6:7" x14ac:dyDescent="0.25">
      <c r="F115" s="119"/>
      <c r="G115" s="114"/>
    </row>
    <row r="116" spans="6:7" x14ac:dyDescent="0.25">
      <c r="F116" s="119"/>
      <c r="G116" s="114"/>
    </row>
    <row r="117" spans="6:7" x14ac:dyDescent="0.25">
      <c r="F117" s="119"/>
      <c r="G117" s="114"/>
    </row>
    <row r="118" spans="6:7" x14ac:dyDescent="0.25">
      <c r="F118" s="119"/>
      <c r="G118" s="114"/>
    </row>
    <row r="119" spans="6:7" x14ac:dyDescent="0.25">
      <c r="F119" s="119"/>
      <c r="G119" s="114"/>
    </row>
    <row r="120" spans="6:7" x14ac:dyDescent="0.25">
      <c r="F120" s="119"/>
      <c r="G120" s="114"/>
    </row>
    <row r="121" spans="6:7" x14ac:dyDescent="0.25">
      <c r="F121" s="119"/>
      <c r="G121" s="114"/>
    </row>
    <row r="122" spans="6:7" x14ac:dyDescent="0.25">
      <c r="F122" s="119"/>
      <c r="G122" s="114"/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topLeftCell="A31"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166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27</v>
      </c>
      <c r="D5" s="137" t="s">
        <v>9</v>
      </c>
      <c r="H5" s="35" t="s">
        <v>149</v>
      </c>
    </row>
    <row r="6" spans="1:19" x14ac:dyDescent="0.25">
      <c r="A6" s="138">
        <f>B6+273.15</f>
        <v>1022.9132569558101</v>
      </c>
      <c r="B6" s="139">
        <v>749.76325695581011</v>
      </c>
      <c r="C6" s="140">
        <f>'BSCF,Wang (Electrochem)'!J49</f>
        <v>381.57382598439921</v>
      </c>
      <c r="D6" s="157">
        <f t="shared" ref="D6:D16" si="0">C6*D20</f>
        <v>1.0261224334246371E-2</v>
      </c>
    </row>
    <row r="7" spans="1:19" x14ac:dyDescent="0.25">
      <c r="A7" s="138">
        <f t="shared" ref="A7:A16" si="1">B7+273.15</f>
        <v>998.15</v>
      </c>
      <c r="B7" s="139">
        <v>725</v>
      </c>
      <c r="C7" s="140">
        <f>'BSCF,Wang (Electrochem)'!J50</f>
        <v>444.84760794818874</v>
      </c>
      <c r="D7" s="157">
        <f t="shared" si="0"/>
        <v>7.6146281641326363E-3</v>
      </c>
      <c r="H7" s="111" t="s">
        <v>18</v>
      </c>
    </row>
    <row r="8" spans="1:19" ht="15.75" x14ac:dyDescent="0.25">
      <c r="A8" s="138">
        <f t="shared" si="1"/>
        <v>972.87621123088309</v>
      </c>
      <c r="B8" s="139">
        <v>699.72621123088311</v>
      </c>
      <c r="C8" s="140">
        <f>'BSCF,Wang (Electrochem)'!J51</f>
        <v>442.45416078984482</v>
      </c>
      <c r="D8" s="157">
        <f t="shared" si="0"/>
        <v>4.3001085847556427E-3</v>
      </c>
      <c r="G8" s="111">
        <v>1</v>
      </c>
      <c r="H8" s="35" t="s">
        <v>133</v>
      </c>
    </row>
    <row r="9" spans="1:19" ht="15.75" x14ac:dyDescent="0.25">
      <c r="A9" s="138">
        <f t="shared" si="1"/>
        <v>948.31673779042205</v>
      </c>
      <c r="B9" s="139">
        <v>675.16673779042208</v>
      </c>
      <c r="C9" s="140">
        <f>'BSCF,Wang (Electrochem)'!J52</f>
        <v>583.53569067204035</v>
      </c>
      <c r="D9" s="157">
        <f t="shared" si="0"/>
        <v>2.8160685675840845E-3</v>
      </c>
      <c r="G9" s="111">
        <v>2</v>
      </c>
      <c r="H9" s="35" t="s">
        <v>143</v>
      </c>
    </row>
    <row r="10" spans="1:19" ht="16.5" thickBot="1" x14ac:dyDescent="0.3">
      <c r="A10" s="138">
        <f t="shared" si="1"/>
        <v>923.15</v>
      </c>
      <c r="B10" s="139">
        <v>650</v>
      </c>
      <c r="C10" s="140">
        <f>'BSCF,Wang (Electrochem)'!J53</f>
        <v>973.22677796485573</v>
      </c>
      <c r="D10" s="157">
        <f t="shared" si="0"/>
        <v>2.8858501951794751E-3</v>
      </c>
      <c r="J10" s="2"/>
    </row>
    <row r="11" spans="1:19" ht="19.5" thickBot="1" x14ac:dyDescent="0.3">
      <c r="A11" s="138">
        <f t="shared" si="1"/>
        <v>898.34345466958939</v>
      </c>
      <c r="B11" s="139">
        <v>625.19345466958941</v>
      </c>
      <c r="C11" s="140">
        <f>'BSCF,Wang (Electrochem)'!J54</f>
        <v>1010.2096802509998</v>
      </c>
      <c r="D11" s="157">
        <f t="shared" si="0"/>
        <v>1.5115794261936228E-3</v>
      </c>
      <c r="H11" s="169" t="s">
        <v>184</v>
      </c>
    </row>
    <row r="12" spans="1:19" x14ac:dyDescent="0.25">
      <c r="A12" s="138">
        <f t="shared" si="1"/>
        <v>873.59133397396693</v>
      </c>
      <c r="B12" s="139">
        <v>600.44133397396695</v>
      </c>
      <c r="C12" s="140">
        <f>'BSCF,Wang (Electrochem)'!J55</f>
        <v>1427.2003071312029</v>
      </c>
      <c r="D12" s="157">
        <f t="shared" si="0"/>
        <v>1.0434711285416678E-3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si="1"/>
        <v>848.15</v>
      </c>
      <c r="B13" s="139">
        <v>575</v>
      </c>
      <c r="C13" s="140">
        <f>'BSCF,Wang (Electrochem)'!J56</f>
        <v>2334.722969371991</v>
      </c>
      <c r="D13" s="157">
        <f t="shared" si="0"/>
        <v>8.1698150947019264E-4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si="1"/>
        <v>823.24853873384382</v>
      </c>
      <c r="B14" s="139">
        <v>550.09853873384384</v>
      </c>
      <c r="C14" s="140">
        <f>'BSCF,Wang (Electrochem)'!J57</f>
        <v>3110.9194235843311</v>
      </c>
      <c r="D14" s="157">
        <f t="shared" si="0"/>
        <v>6.2447794135692374E-4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1"/>
        <v>797.98269973506967</v>
      </c>
      <c r="B15" s="139">
        <v>524.8326997350697</v>
      </c>
      <c r="C15" s="140">
        <f>'BSCF,Wang (Electrochem)'!J58</f>
        <v>5681.792752768949</v>
      </c>
      <c r="D15" s="157">
        <f t="shared" si="0"/>
        <v>4.5567941943803266E-4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6.5" thickBot="1" x14ac:dyDescent="0.3">
      <c r="A16" s="141">
        <f t="shared" si="1"/>
        <v>773.6345350456445</v>
      </c>
      <c r="B16" s="131">
        <v>500.48453504564452</v>
      </c>
      <c r="C16" s="130">
        <f>'BSCF,Wang (Electrochem)'!J59</f>
        <v>8892.2610015174505</v>
      </c>
      <c r="D16" s="158">
        <f t="shared" si="0"/>
        <v>3.0435777698938548E-4</v>
      </c>
      <c r="J16" s="2"/>
    </row>
    <row r="17" spans="1:8" ht="15.75" thickBot="1" x14ac:dyDescent="0.3">
      <c r="A17" s="112"/>
      <c r="B17" s="112"/>
      <c r="D17" s="114"/>
    </row>
    <row r="18" spans="1:8" ht="15.75" x14ac:dyDescent="0.25">
      <c r="A18" s="133" t="s">
        <v>13</v>
      </c>
      <c r="B18" s="134"/>
      <c r="C18" s="134"/>
      <c r="D18" s="135"/>
    </row>
    <row r="19" spans="1:8" ht="47.25" x14ac:dyDescent="0.25">
      <c r="A19" s="136" t="s">
        <v>16</v>
      </c>
      <c r="B19" s="115" t="s">
        <v>14</v>
      </c>
      <c r="C19" s="142" t="s">
        <v>21</v>
      </c>
      <c r="D19" s="137" t="s">
        <v>15</v>
      </c>
    </row>
    <row r="20" spans="1:8" x14ac:dyDescent="0.25">
      <c r="A20" s="138">
        <f>B20+273.15</f>
        <v>1022.9132569558101</v>
      </c>
      <c r="B20" s="139">
        <v>749.76325695581011</v>
      </c>
      <c r="C20" s="140">
        <f>'BSCF,Girdauskaite (Solid State)'!I38</f>
        <v>6.9441127314501791E-2</v>
      </c>
      <c r="D20" s="157">
        <f t="shared" ref="D20:D30" si="2">($C$2*$A$2*A20)/(4*($E$2^2)*C20*D34)</f>
        <v>2.6891845392628962E-5</v>
      </c>
    </row>
    <row r="21" spans="1:8" x14ac:dyDescent="0.25">
      <c r="A21" s="138">
        <f t="shared" ref="A21:A30" si="3">B21+273.15</f>
        <v>998.15</v>
      </c>
      <c r="B21" s="139">
        <v>725</v>
      </c>
      <c r="C21" s="140">
        <f>'BSCF,Girdauskaite (Solid State)'!I39</f>
        <v>6.9540072542692122E-2</v>
      </c>
      <c r="D21" s="157">
        <f t="shared" si="2"/>
        <v>1.7117385882446984E-5</v>
      </c>
    </row>
    <row r="22" spans="1:8" x14ac:dyDescent="0.25">
      <c r="A22" s="138">
        <f t="shared" si="3"/>
        <v>972.87621123088309</v>
      </c>
      <c r="B22" s="139">
        <v>699.72621123088311</v>
      </c>
      <c r="C22" s="140">
        <f>'BSCF,Girdauskaite (Solid State)'!I40</f>
        <v>6.9536814621409926E-2</v>
      </c>
      <c r="D22" s="157">
        <f t="shared" si="2"/>
        <v>9.7187662945226354E-6</v>
      </c>
    </row>
    <row r="23" spans="1:8" x14ac:dyDescent="0.25">
      <c r="A23" s="138">
        <f t="shared" si="3"/>
        <v>948.31673779042205</v>
      </c>
      <c r="B23" s="139">
        <v>675.16673779042208</v>
      </c>
      <c r="C23" s="140">
        <f>'BSCF,Girdauskaite (Solid State)'!I41</f>
        <v>6.9749095037585487E-2</v>
      </c>
      <c r="D23" s="157">
        <f t="shared" si="2"/>
        <v>4.8258720290800098E-6</v>
      </c>
    </row>
    <row r="24" spans="1:8" x14ac:dyDescent="0.25">
      <c r="A24" s="138">
        <f t="shared" si="3"/>
        <v>923.15</v>
      </c>
      <c r="B24" s="139">
        <v>650</v>
      </c>
      <c r="C24" s="140">
        <f>'BSCF,Girdauskaite (Solid State)'!I42</f>
        <v>6.9859741563353756E-2</v>
      </c>
      <c r="D24" s="157">
        <f t="shared" si="2"/>
        <v>2.9652392027417956E-6</v>
      </c>
    </row>
    <row r="25" spans="1:8" x14ac:dyDescent="0.25">
      <c r="A25" s="138">
        <f t="shared" si="3"/>
        <v>898.34345466958939</v>
      </c>
      <c r="B25" s="139">
        <v>625.19345466958941</v>
      </c>
      <c r="C25" s="140">
        <f>'BSCF,Girdauskaite (Solid State)'!I43</f>
        <v>6.9974914250726356E-2</v>
      </c>
      <c r="D25" s="157">
        <f t="shared" si="2"/>
        <v>1.4963026545321276E-6</v>
      </c>
    </row>
    <row r="26" spans="1:8" x14ac:dyDescent="0.25">
      <c r="A26" s="138">
        <f t="shared" si="3"/>
        <v>873.59133397396693</v>
      </c>
      <c r="B26" s="139">
        <v>600.44133397396695</v>
      </c>
      <c r="C26" s="140">
        <f>'BSCF,Girdauskaite (Solid State)'!I44</f>
        <v>7.0002323759791124E-2</v>
      </c>
      <c r="D26" s="157">
        <f t="shared" si="2"/>
        <v>7.3113151905014357E-7</v>
      </c>
    </row>
    <row r="27" spans="1:8" x14ac:dyDescent="0.25">
      <c r="A27" s="138">
        <f t="shared" si="3"/>
        <v>848.15</v>
      </c>
      <c r="B27" s="139">
        <v>575</v>
      </c>
      <c r="C27" s="140">
        <f>'BSCF,Girdauskaite (Solid State)'!I45</f>
        <v>7.022039792443048E-2</v>
      </c>
      <c r="D27" s="157">
        <f t="shared" si="2"/>
        <v>3.4992653097936911E-7</v>
      </c>
    </row>
    <row r="28" spans="1:8" x14ac:dyDescent="0.25">
      <c r="A28" s="138">
        <f t="shared" si="3"/>
        <v>823.24853873384382</v>
      </c>
      <c r="B28" s="139">
        <v>550.09853873384384</v>
      </c>
      <c r="C28" s="140">
        <f>'BSCF,Girdauskaite (Solid State)'!I46</f>
        <v>7.0351620039614385E-2</v>
      </c>
      <c r="D28" s="157">
        <f t="shared" si="2"/>
        <v>2.0073742078392192E-7</v>
      </c>
    </row>
    <row r="29" spans="1:8" x14ac:dyDescent="0.25">
      <c r="A29" s="138">
        <f t="shared" si="3"/>
        <v>797.98269973506967</v>
      </c>
      <c r="B29" s="139">
        <v>524.8326997350697</v>
      </c>
      <c r="C29" s="140">
        <f>'BSCF,Girdauskaite (Solid State)'!I47</f>
        <v>7.0489210266028404E-2</v>
      </c>
      <c r="D29" s="157">
        <f t="shared" si="2"/>
        <v>8.0199936756926439E-8</v>
      </c>
    </row>
    <row r="30" spans="1:8" ht="15.75" thickBot="1" x14ac:dyDescent="0.3">
      <c r="A30" s="141">
        <f t="shared" si="3"/>
        <v>773.6345350456445</v>
      </c>
      <c r="B30" s="131">
        <v>500.48453504564452</v>
      </c>
      <c r="C30" s="130">
        <f>'BSCF,Girdauskaite (Solid State)'!I48</f>
        <v>7.0607049608355094E-2</v>
      </c>
      <c r="D30" s="158">
        <f t="shared" si="2"/>
        <v>3.4227265364505979E-8</v>
      </c>
    </row>
    <row r="31" spans="1:8" ht="15.75" thickBot="1" x14ac:dyDescent="0.3">
      <c r="A31" s="112"/>
      <c r="D31" s="114"/>
    </row>
    <row r="32" spans="1:8" ht="15.75" x14ac:dyDescent="0.25">
      <c r="A32" s="133" t="s">
        <v>19</v>
      </c>
      <c r="B32" s="134"/>
      <c r="C32" s="134"/>
      <c r="D32" s="135"/>
      <c r="G32" s="119"/>
      <c r="H32" s="119"/>
    </row>
    <row r="33" spans="1:12" x14ac:dyDescent="0.25">
      <c r="A33" s="136" t="s">
        <v>16</v>
      </c>
      <c r="B33" s="115" t="s">
        <v>14</v>
      </c>
      <c r="C33" s="142"/>
      <c r="D33" s="143" t="s">
        <v>35</v>
      </c>
      <c r="G33" s="119"/>
      <c r="H33" s="114"/>
    </row>
    <row r="34" spans="1:12" x14ac:dyDescent="0.25">
      <c r="A34" s="138">
        <f t="shared" ref="A34:A44" si="4">B34+273.15</f>
        <v>1022.9132569558101</v>
      </c>
      <c r="B34" s="139">
        <v>749.76325695581011</v>
      </c>
      <c r="C34" s="115"/>
      <c r="D34" s="167">
        <f>G49</f>
        <v>0.12224713616821853</v>
      </c>
      <c r="G34" s="119"/>
      <c r="H34" s="114"/>
      <c r="K34" s="118"/>
      <c r="L34" s="118"/>
    </row>
    <row r="35" spans="1:12" x14ac:dyDescent="0.25">
      <c r="A35" s="138">
        <f t="shared" si="4"/>
        <v>998.15</v>
      </c>
      <c r="B35" s="139">
        <v>725</v>
      </c>
      <c r="C35" s="115"/>
      <c r="D35" s="167">
        <f t="shared" ref="D35:D44" si="5">G50</f>
        <v>0.18713735446346111</v>
      </c>
      <c r="G35" s="119"/>
      <c r="H35" s="114"/>
      <c r="J35" s="113"/>
      <c r="K35" s="113"/>
      <c r="L35" s="113"/>
    </row>
    <row r="36" spans="1:12" x14ac:dyDescent="0.25">
      <c r="A36" s="138">
        <f t="shared" si="4"/>
        <v>972.87621123088309</v>
      </c>
      <c r="B36" s="139">
        <v>699.72621123088311</v>
      </c>
      <c r="C36" s="115"/>
      <c r="D36" s="167">
        <f t="shared" si="5"/>
        <v>0.32126906401189731</v>
      </c>
      <c r="G36" s="119"/>
      <c r="H36" s="114"/>
      <c r="J36" s="113"/>
      <c r="K36" s="113"/>
      <c r="L36" s="113"/>
    </row>
    <row r="37" spans="1:12" x14ac:dyDescent="0.25">
      <c r="A37" s="138">
        <f t="shared" si="4"/>
        <v>948.31673779042205</v>
      </c>
      <c r="B37" s="139">
        <v>675.16673779042208</v>
      </c>
      <c r="C37" s="115"/>
      <c r="D37" s="167">
        <f t="shared" si="5"/>
        <v>0.62874753090276958</v>
      </c>
      <c r="G37" s="119"/>
      <c r="H37" s="114"/>
      <c r="J37" s="113"/>
      <c r="K37" s="113"/>
      <c r="L37" s="113"/>
    </row>
    <row r="38" spans="1:12" x14ac:dyDescent="0.25">
      <c r="A38" s="138">
        <f t="shared" si="4"/>
        <v>923.15</v>
      </c>
      <c r="B38" s="139">
        <v>650</v>
      </c>
      <c r="C38" s="115"/>
      <c r="D38" s="167">
        <f t="shared" si="5"/>
        <v>0.99454129683302572</v>
      </c>
      <c r="G38" s="119"/>
      <c r="H38" s="114"/>
      <c r="J38" s="113"/>
      <c r="K38" s="113"/>
      <c r="L38" s="113"/>
    </row>
    <row r="39" spans="1:12" x14ac:dyDescent="0.25">
      <c r="A39" s="138">
        <f t="shared" si="4"/>
        <v>898.34345466958939</v>
      </c>
      <c r="B39" s="139">
        <v>625.19345466958941</v>
      </c>
      <c r="C39" s="115"/>
      <c r="D39" s="167">
        <f t="shared" si="5"/>
        <v>1.9147754105509691</v>
      </c>
      <c r="G39" s="119"/>
      <c r="H39" s="114"/>
      <c r="J39" s="113"/>
      <c r="K39" s="113"/>
      <c r="L39" s="113"/>
    </row>
    <row r="40" spans="1:12" x14ac:dyDescent="0.25">
      <c r="A40" s="138">
        <f t="shared" si="4"/>
        <v>873.59133397396693</v>
      </c>
      <c r="B40" s="139">
        <v>600.44133397396695</v>
      </c>
      <c r="C40" s="115"/>
      <c r="D40" s="167">
        <f t="shared" si="5"/>
        <v>3.8092336199067915</v>
      </c>
      <c r="G40" s="119"/>
      <c r="H40" s="114"/>
      <c r="J40" s="113"/>
      <c r="K40" s="113"/>
      <c r="L40" s="113"/>
    </row>
    <row r="41" spans="1:12" x14ac:dyDescent="0.25">
      <c r="A41" s="138">
        <f t="shared" si="4"/>
        <v>848.15</v>
      </c>
      <c r="B41" s="139">
        <v>575</v>
      </c>
      <c r="C41" s="115"/>
      <c r="D41" s="167">
        <f t="shared" si="5"/>
        <v>7.7031749952756039</v>
      </c>
      <c r="G41" s="119"/>
      <c r="H41" s="114"/>
      <c r="J41" s="113"/>
      <c r="K41" s="113"/>
      <c r="L41" s="113"/>
    </row>
    <row r="42" spans="1:12" x14ac:dyDescent="0.25">
      <c r="A42" s="138">
        <f t="shared" si="4"/>
        <v>823.24853873384382</v>
      </c>
      <c r="B42" s="139">
        <v>550.09853873384384</v>
      </c>
      <c r="C42" s="115"/>
      <c r="D42" s="167">
        <f t="shared" si="5"/>
        <v>13.00965504291295</v>
      </c>
      <c r="G42" s="119"/>
      <c r="H42" s="114"/>
      <c r="J42" s="113"/>
      <c r="K42" s="113"/>
      <c r="L42" s="113"/>
    </row>
    <row r="43" spans="1:12" x14ac:dyDescent="0.25">
      <c r="A43" s="138">
        <f t="shared" si="4"/>
        <v>797.98269973506967</v>
      </c>
      <c r="B43" s="139">
        <v>524.8326997350697</v>
      </c>
      <c r="C43" s="115"/>
      <c r="D43" s="167">
        <f t="shared" si="5"/>
        <v>31.501705008968148</v>
      </c>
      <c r="G43" s="119"/>
      <c r="H43" s="114"/>
      <c r="J43" s="113"/>
      <c r="K43" s="113"/>
      <c r="L43" s="113"/>
    </row>
    <row r="44" spans="1:12" ht="15.75" thickBot="1" x14ac:dyDescent="0.3">
      <c r="A44" s="141">
        <f t="shared" si="4"/>
        <v>773.6345350456445</v>
      </c>
      <c r="B44" s="131">
        <v>500.48453504564452</v>
      </c>
      <c r="C44" s="126"/>
      <c r="D44" s="168">
        <f t="shared" si="5"/>
        <v>71.441873853297949</v>
      </c>
      <c r="G44" s="119"/>
      <c r="H44" s="114"/>
      <c r="J44" s="113"/>
      <c r="K44" s="113"/>
      <c r="L44" s="113"/>
    </row>
    <row r="45" spans="1:12" x14ac:dyDescent="0.25">
      <c r="D45" s="113"/>
      <c r="G45" s="119"/>
      <c r="H45" s="114"/>
      <c r="J45" s="113"/>
      <c r="K45" s="113"/>
      <c r="L45" s="113"/>
    </row>
    <row r="46" spans="1:12" s="126" customFormat="1" ht="15.75" thickBot="1" x14ac:dyDescent="0.3">
      <c r="G46" s="128"/>
      <c r="H46" s="129"/>
      <c r="J46" s="130"/>
      <c r="K46" s="130"/>
      <c r="L46" s="130"/>
    </row>
    <row r="47" spans="1:12" ht="60" x14ac:dyDescent="0.25">
      <c r="A47" s="118" t="s">
        <v>26</v>
      </c>
      <c r="G47" s="119"/>
      <c r="H47" s="114"/>
    </row>
    <row r="48" spans="1:12" ht="45" x14ac:dyDescent="0.25">
      <c r="A48" s="111" t="s">
        <v>16</v>
      </c>
      <c r="B48" s="111" t="s">
        <v>150</v>
      </c>
      <c r="C48" s="118" t="s">
        <v>151</v>
      </c>
      <c r="D48" s="118" t="s">
        <v>152</v>
      </c>
      <c r="E48" s="118" t="s">
        <v>153</v>
      </c>
      <c r="F48" s="118" t="s">
        <v>154</v>
      </c>
      <c r="G48" s="118" t="s">
        <v>155</v>
      </c>
      <c r="H48" s="118"/>
      <c r="I48" s="111" t="s">
        <v>16</v>
      </c>
      <c r="J48" s="111" t="s">
        <v>14</v>
      </c>
      <c r="K48" s="118" t="s">
        <v>51</v>
      </c>
      <c r="L48" s="111" t="s">
        <v>156</v>
      </c>
    </row>
    <row r="49" spans="1:12" x14ac:dyDescent="0.25">
      <c r="A49" s="112">
        <f>B49+273.15</f>
        <v>1022.9132569558101</v>
      </c>
      <c r="B49" s="112">
        <v>749.76325695581011</v>
      </c>
      <c r="C49" s="113">
        <v>60</v>
      </c>
      <c r="D49" s="113">
        <f>PI()*(C49/2)^2</f>
        <v>2827.4333882308138</v>
      </c>
      <c r="E49" s="111">
        <f>D49*(1/1000000)^2*(100/1)^2</f>
        <v>2.8274333882308137E-5</v>
      </c>
      <c r="F49" s="113">
        <v>4323.6080000000002</v>
      </c>
      <c r="G49" s="114">
        <f>F49*E49</f>
        <v>0.12224713616821853</v>
      </c>
      <c r="H49" s="113"/>
      <c r="I49" s="112">
        <f>J49+273.15</f>
        <v>1022.9132569558101</v>
      </c>
      <c r="J49" s="112">
        <v>749.76325695581011</v>
      </c>
      <c r="K49" s="113">
        <f>'BSCF,Wang (Electrochem)'!D20</f>
        <v>3.4332999999999998E-6</v>
      </c>
      <c r="L49" s="114">
        <f t="shared" ref="L49:L59" si="6">($C$2*$A$2*I49)/(4*($E$2^2)*K49*D34)</f>
        <v>0.54390821065198092</v>
      </c>
    </row>
    <row r="50" spans="1:12" x14ac:dyDescent="0.25">
      <c r="A50" s="112">
        <f t="shared" ref="A50:A59" si="7">B50+273.15</f>
        <v>998.15</v>
      </c>
      <c r="B50" s="112">
        <v>725</v>
      </c>
      <c r="C50" s="113">
        <v>60</v>
      </c>
      <c r="D50" s="113">
        <f t="shared" ref="D50:D59" si="8">PI()*(C50/2)^2</f>
        <v>2827.4333882308138</v>
      </c>
      <c r="E50" s="111">
        <f t="shared" ref="E50:E59" si="9">D50*(1/1000000)^2*(100/1)^2</f>
        <v>2.8274333882308137E-5</v>
      </c>
      <c r="F50" s="113">
        <v>6618.63</v>
      </c>
      <c r="G50" s="114">
        <f t="shared" ref="G50:G59" si="10">F50*E50</f>
        <v>0.18713735446346111</v>
      </c>
      <c r="H50" s="113"/>
      <c r="I50" s="112">
        <f t="shared" ref="I50:I59" si="11">J50+273.15</f>
        <v>998.15</v>
      </c>
      <c r="J50" s="112">
        <v>725</v>
      </c>
      <c r="K50" s="113">
        <f>'BSCF,Wang (Electrochem)'!D21</f>
        <v>2.1390000000000002E-6</v>
      </c>
      <c r="L50" s="114">
        <f t="shared" si="6"/>
        <v>0.55649567835746494</v>
      </c>
    </row>
    <row r="51" spans="1:12" x14ac:dyDescent="0.25">
      <c r="A51" s="112">
        <f t="shared" si="7"/>
        <v>972.87621123088309</v>
      </c>
      <c r="B51" s="112">
        <v>699.72621123088311</v>
      </c>
      <c r="C51" s="113">
        <v>60</v>
      </c>
      <c r="D51" s="113">
        <f t="shared" si="8"/>
        <v>2827.4333882308138</v>
      </c>
      <c r="E51" s="111">
        <f t="shared" si="9"/>
        <v>2.8274333882308137E-5</v>
      </c>
      <c r="F51" s="113">
        <v>11362.568799999999</v>
      </c>
      <c r="G51" s="114">
        <f t="shared" si="10"/>
        <v>0.32126906401189731</v>
      </c>
      <c r="H51" s="113"/>
      <c r="I51" s="112">
        <f t="shared" si="11"/>
        <v>972.87621123088309</v>
      </c>
      <c r="J51" s="112">
        <v>699.72621123088311</v>
      </c>
      <c r="K51" s="113">
        <f>'BSCF,Wang (Electrochem)'!D22</f>
        <v>1.418E-6</v>
      </c>
      <c r="L51" s="114">
        <f t="shared" si="6"/>
        <v>0.47659523989494185</v>
      </c>
    </row>
    <row r="52" spans="1:12" x14ac:dyDescent="0.25">
      <c r="A52" s="112">
        <f t="shared" si="7"/>
        <v>948.31673779042205</v>
      </c>
      <c r="B52" s="112">
        <v>675.16673779042208</v>
      </c>
      <c r="C52" s="113">
        <v>60</v>
      </c>
      <c r="D52" s="113">
        <f t="shared" si="8"/>
        <v>2827.4333882308138</v>
      </c>
      <c r="E52" s="111">
        <f t="shared" si="9"/>
        <v>2.8274333882308137E-5</v>
      </c>
      <c r="F52" s="113">
        <v>22237.395</v>
      </c>
      <c r="G52" s="114">
        <f t="shared" si="10"/>
        <v>0.62874753090276958</v>
      </c>
      <c r="H52" s="113"/>
      <c r="I52" s="112">
        <f t="shared" si="11"/>
        <v>948.31673779042205</v>
      </c>
      <c r="J52" s="112">
        <v>675.16673779042208</v>
      </c>
      <c r="K52" s="113">
        <f>'BSCF,Wang (Electrochem)'!D23</f>
        <v>8.3107999999999995E-7</v>
      </c>
      <c r="L52" s="114">
        <f t="shared" si="6"/>
        <v>0.40501540982279344</v>
      </c>
    </row>
    <row r="53" spans="1:12" x14ac:dyDescent="0.25">
      <c r="A53" s="112">
        <f t="shared" si="7"/>
        <v>923.15</v>
      </c>
      <c r="B53" s="112">
        <v>650</v>
      </c>
      <c r="C53" s="113">
        <v>60</v>
      </c>
      <c r="D53" s="113">
        <f t="shared" si="8"/>
        <v>2827.4333882308138</v>
      </c>
      <c r="E53" s="111">
        <f t="shared" si="9"/>
        <v>2.8274333882308137E-5</v>
      </c>
      <c r="F53" s="113">
        <v>35174.703000000001</v>
      </c>
      <c r="G53" s="114">
        <f t="shared" si="10"/>
        <v>0.99454129683302572</v>
      </c>
      <c r="H53" s="113"/>
      <c r="I53" s="112">
        <f t="shared" si="11"/>
        <v>923.15</v>
      </c>
      <c r="J53" s="112">
        <v>650</v>
      </c>
      <c r="K53" s="113">
        <f>'BSCF,Wang (Electrochem)'!D24</f>
        <v>4.2169000000000001E-7</v>
      </c>
      <c r="L53" s="114">
        <f t="shared" si="6"/>
        <v>0.49123964138838239</v>
      </c>
    </row>
    <row r="54" spans="1:12" x14ac:dyDescent="0.25">
      <c r="A54" s="112">
        <f t="shared" si="7"/>
        <v>898.34345466958939</v>
      </c>
      <c r="B54" s="112">
        <v>625.19345466958941</v>
      </c>
      <c r="C54" s="113">
        <v>60</v>
      </c>
      <c r="D54" s="113">
        <f t="shared" si="8"/>
        <v>2827.4333882308138</v>
      </c>
      <c r="E54" s="111">
        <f t="shared" si="9"/>
        <v>2.8274333882308137E-5</v>
      </c>
      <c r="F54" s="113">
        <v>67721.327000000005</v>
      </c>
      <c r="G54" s="114">
        <f t="shared" si="10"/>
        <v>1.9147754105509691</v>
      </c>
      <c r="H54" s="113"/>
      <c r="I54" s="112">
        <f t="shared" si="11"/>
        <v>898.34345466958939</v>
      </c>
      <c r="J54" s="112">
        <v>625.19345466958941</v>
      </c>
      <c r="K54" s="113">
        <f>'BSCF,Wang (Electrochem)'!D25</f>
        <v>2.3230000000000001E-7</v>
      </c>
      <c r="L54" s="114">
        <f t="shared" si="6"/>
        <v>0.45072600061997353</v>
      </c>
    </row>
    <row r="55" spans="1:12" x14ac:dyDescent="0.25">
      <c r="A55" s="112">
        <f t="shared" si="7"/>
        <v>873.59133397396693</v>
      </c>
      <c r="B55" s="112">
        <v>600.44133397396695</v>
      </c>
      <c r="C55" s="113">
        <v>60</v>
      </c>
      <c r="D55" s="113">
        <f t="shared" si="8"/>
        <v>2827.4333882308138</v>
      </c>
      <c r="E55" s="111">
        <f t="shared" si="9"/>
        <v>2.8274333882308137E-5</v>
      </c>
      <c r="F55" s="113">
        <v>134724.07999999999</v>
      </c>
      <c r="G55" s="114">
        <f t="shared" si="10"/>
        <v>3.8092336199067915</v>
      </c>
      <c r="H55" s="113"/>
      <c r="I55" s="112">
        <f t="shared" si="11"/>
        <v>873.59133397396693</v>
      </c>
      <c r="J55" s="112">
        <v>600.44133397396695</v>
      </c>
      <c r="K55" s="113">
        <f>'BSCF,Wang (Electrochem)'!D26</f>
        <v>1.0419E-7</v>
      </c>
      <c r="L55" s="114">
        <f t="shared" si="6"/>
        <v>0.49122665618136141</v>
      </c>
    </row>
    <row r="56" spans="1:12" x14ac:dyDescent="0.25">
      <c r="A56" s="112">
        <f t="shared" si="7"/>
        <v>848.15</v>
      </c>
      <c r="B56" s="112">
        <v>575</v>
      </c>
      <c r="C56" s="113">
        <v>60</v>
      </c>
      <c r="D56" s="113">
        <f t="shared" si="8"/>
        <v>2827.4333882308138</v>
      </c>
      <c r="E56" s="111">
        <f t="shared" si="9"/>
        <v>2.8274333882308137E-5</v>
      </c>
      <c r="F56" s="113">
        <v>272444.08399999997</v>
      </c>
      <c r="G56" s="114">
        <f t="shared" si="10"/>
        <v>7.7031749952756039</v>
      </c>
      <c r="H56" s="113"/>
      <c r="I56" s="112">
        <f t="shared" si="11"/>
        <v>848.15</v>
      </c>
      <c r="J56" s="112">
        <v>575</v>
      </c>
      <c r="K56" s="113">
        <f>'BSCF,Wang (Electrochem)'!D27</f>
        <v>4.5779999999999997E-8</v>
      </c>
      <c r="L56" s="114">
        <f t="shared" si="6"/>
        <v>0.53674050348813562</v>
      </c>
    </row>
    <row r="57" spans="1:12" x14ac:dyDescent="0.25">
      <c r="A57" s="112">
        <f t="shared" si="7"/>
        <v>823.24853873384382</v>
      </c>
      <c r="B57" s="112">
        <v>550.09853873384384</v>
      </c>
      <c r="C57" s="113">
        <v>60</v>
      </c>
      <c r="D57" s="113">
        <f t="shared" si="8"/>
        <v>2827.4333882308138</v>
      </c>
      <c r="E57" s="111">
        <f t="shared" si="9"/>
        <v>2.8274333882308137E-5</v>
      </c>
      <c r="F57" s="113">
        <v>460122.424</v>
      </c>
      <c r="G57" s="114">
        <f t="shared" si="10"/>
        <v>13.00965504291295</v>
      </c>
      <c r="H57" s="113"/>
      <c r="I57" s="112">
        <f t="shared" si="11"/>
        <v>823.24853873384382</v>
      </c>
      <c r="J57" s="112">
        <v>550.09853873384384</v>
      </c>
      <c r="K57" s="113">
        <f>'BSCF,Wang (Electrochem)'!D28</f>
        <v>1.9708E-8</v>
      </c>
      <c r="L57" s="114">
        <f t="shared" si="6"/>
        <v>0.71657209025383939</v>
      </c>
    </row>
    <row r="58" spans="1:12" x14ac:dyDescent="0.25">
      <c r="A58" s="112">
        <f t="shared" si="7"/>
        <v>797.98269973506967</v>
      </c>
      <c r="B58" s="112">
        <v>524.8326997350697</v>
      </c>
      <c r="C58" s="113">
        <v>60</v>
      </c>
      <c r="D58" s="113">
        <f t="shared" si="8"/>
        <v>2827.4333882308138</v>
      </c>
      <c r="E58" s="111">
        <f t="shared" si="9"/>
        <v>2.8274333882308137E-5</v>
      </c>
      <c r="F58" s="113">
        <v>1114144.9040000001</v>
      </c>
      <c r="G58" s="114">
        <f t="shared" si="10"/>
        <v>31.501705008968148</v>
      </c>
      <c r="H58" s="113"/>
      <c r="I58" s="112">
        <f t="shared" si="11"/>
        <v>797.98269973506967</v>
      </c>
      <c r="J58" s="112">
        <v>524.8326997350697</v>
      </c>
      <c r="K58" s="113">
        <f>'BSCF,Wang (Electrochem)'!D29</f>
        <v>7.9759999999999998E-9</v>
      </c>
      <c r="L58" s="114">
        <f t="shared" si="6"/>
        <v>0.70878011602070801</v>
      </c>
    </row>
    <row r="59" spans="1:12" x14ac:dyDescent="0.25">
      <c r="A59" s="112">
        <f t="shared" si="7"/>
        <v>773.6345350456445</v>
      </c>
      <c r="B59" s="112">
        <v>500.48453504564452</v>
      </c>
      <c r="C59" s="113">
        <v>60</v>
      </c>
      <c r="D59" s="113">
        <f t="shared" si="8"/>
        <v>2827.4333882308138</v>
      </c>
      <c r="E59" s="111">
        <f t="shared" si="9"/>
        <v>2.8274333882308137E-5</v>
      </c>
      <c r="F59" s="113">
        <v>2526739.415</v>
      </c>
      <c r="G59" s="114">
        <f t="shared" si="10"/>
        <v>71.441873853297949</v>
      </c>
      <c r="H59" s="114"/>
      <c r="I59" s="112">
        <f t="shared" si="11"/>
        <v>773.6345350456445</v>
      </c>
      <c r="J59" s="112">
        <v>500.48453504564452</v>
      </c>
      <c r="K59" s="113">
        <f>'BSCF,Wang (Electrochem)'!D30</f>
        <v>3.2949999999999999E-9</v>
      </c>
      <c r="L59" s="114">
        <f t="shared" si="6"/>
        <v>0.73344043203338605</v>
      </c>
    </row>
    <row r="60" spans="1:12" x14ac:dyDescent="0.25">
      <c r="A60" s="112"/>
      <c r="B60" s="112"/>
      <c r="C60" s="113"/>
      <c r="E60" s="113"/>
      <c r="H60" s="114"/>
    </row>
    <row r="61" spans="1:12" x14ac:dyDescent="0.25">
      <c r="A61" s="112"/>
      <c r="B61" s="112"/>
      <c r="C61" s="113"/>
      <c r="E61" s="113"/>
      <c r="H61" s="114"/>
    </row>
    <row r="62" spans="1:12" x14ac:dyDescent="0.25">
      <c r="A62" s="112"/>
      <c r="B62" s="112"/>
      <c r="C62" s="113"/>
      <c r="E62" s="113"/>
      <c r="H62" s="114"/>
    </row>
    <row r="63" spans="1:12" x14ac:dyDescent="0.25">
      <c r="A63" s="112"/>
      <c r="B63" s="112"/>
      <c r="C63" s="113"/>
      <c r="E63" s="113"/>
      <c r="H63" s="114"/>
    </row>
    <row r="64" spans="1:12" x14ac:dyDescent="0.25">
      <c r="A64" s="112"/>
      <c r="B64" s="112"/>
      <c r="C64" s="113"/>
      <c r="E64" s="113"/>
      <c r="H64" s="114"/>
    </row>
    <row r="65" spans="1:8" x14ac:dyDescent="0.25">
      <c r="A65" s="112"/>
      <c r="B65" s="112"/>
      <c r="C65" s="113"/>
      <c r="E65" s="113"/>
      <c r="H65" s="114"/>
    </row>
    <row r="66" spans="1:8" x14ac:dyDescent="0.25">
      <c r="A66" s="112"/>
      <c r="B66" s="112"/>
      <c r="C66" s="113"/>
      <c r="E66" s="113"/>
      <c r="H66" s="114"/>
    </row>
    <row r="67" spans="1:8" x14ac:dyDescent="0.25">
      <c r="A67" s="112"/>
      <c r="B67" s="112"/>
      <c r="C67" s="113"/>
      <c r="E67" s="113"/>
      <c r="H67" s="114"/>
    </row>
    <row r="68" spans="1:8" x14ac:dyDescent="0.25">
      <c r="A68" s="112"/>
      <c r="B68" s="112"/>
      <c r="C68" s="113"/>
      <c r="E68" s="113"/>
      <c r="H68" s="114"/>
    </row>
    <row r="69" spans="1:8" x14ac:dyDescent="0.25">
      <c r="A69" s="112"/>
      <c r="B69" s="112"/>
      <c r="C69" s="113"/>
      <c r="E69" s="113"/>
      <c r="F69" s="119"/>
      <c r="G69" s="119"/>
      <c r="H69" s="114"/>
    </row>
    <row r="70" spans="1:8" x14ac:dyDescent="0.25">
      <c r="A70" s="112"/>
      <c r="B70" s="112"/>
      <c r="C70" s="113"/>
      <c r="E70" s="113"/>
      <c r="F70" s="119"/>
      <c r="G70" s="114"/>
      <c r="H70" s="114"/>
    </row>
    <row r="71" spans="1:8" x14ac:dyDescent="0.25">
      <c r="A71" s="112"/>
      <c r="B71" s="112"/>
      <c r="C71" s="113"/>
      <c r="E71" s="113"/>
      <c r="F71" s="119"/>
      <c r="G71" s="114"/>
      <c r="H71" s="114"/>
    </row>
    <row r="72" spans="1:8" x14ac:dyDescent="0.25">
      <c r="A72" s="112"/>
      <c r="B72" s="112"/>
      <c r="C72" s="113"/>
      <c r="E72" s="113"/>
      <c r="F72" s="119"/>
      <c r="G72" s="114"/>
      <c r="H72" s="114"/>
    </row>
    <row r="73" spans="1:8" x14ac:dyDescent="0.25">
      <c r="A73" s="112"/>
      <c r="B73" s="112"/>
      <c r="C73" s="113"/>
      <c r="E73" s="113"/>
      <c r="F73" s="119"/>
      <c r="G73" s="114"/>
      <c r="H73" s="114"/>
    </row>
    <row r="74" spans="1:8" x14ac:dyDescent="0.25">
      <c r="A74" s="112"/>
      <c r="B74" s="112"/>
      <c r="C74" s="113"/>
      <c r="E74" s="113"/>
      <c r="F74" s="119"/>
      <c r="G74" s="114"/>
      <c r="H74" s="114"/>
    </row>
    <row r="75" spans="1:8" x14ac:dyDescent="0.25">
      <c r="A75" s="112"/>
      <c r="B75" s="112"/>
      <c r="C75" s="113"/>
      <c r="F75" s="119"/>
      <c r="G75" s="114"/>
      <c r="H75" s="114"/>
    </row>
    <row r="76" spans="1:8" x14ac:dyDescent="0.25">
      <c r="A76" s="112"/>
      <c r="B76" s="112"/>
      <c r="C76" s="113"/>
      <c r="F76" s="119"/>
      <c r="G76" s="114"/>
      <c r="H76" s="114"/>
    </row>
    <row r="77" spans="1:8" x14ac:dyDescent="0.25">
      <c r="A77" s="112"/>
      <c r="B77" s="112"/>
      <c r="C77" s="113"/>
      <c r="F77" s="119"/>
      <c r="G77" s="114"/>
      <c r="H77" s="114"/>
    </row>
    <row r="78" spans="1:8" x14ac:dyDescent="0.25">
      <c r="A78" s="112"/>
      <c r="B78" s="112"/>
      <c r="C78" s="113"/>
      <c r="F78" s="119"/>
      <c r="G78" s="114"/>
      <c r="H78" s="114"/>
    </row>
    <row r="79" spans="1:8" x14ac:dyDescent="0.25">
      <c r="A79" s="112"/>
      <c r="B79" s="112"/>
      <c r="C79" s="113"/>
      <c r="F79" s="119"/>
      <c r="G79" s="114"/>
      <c r="H79" s="114"/>
    </row>
    <row r="80" spans="1:8" x14ac:dyDescent="0.25">
      <c r="A80" s="112"/>
      <c r="B80" s="112"/>
      <c r="C80" s="113"/>
      <c r="F80" s="119"/>
      <c r="G80" s="114"/>
      <c r="H80" s="114"/>
    </row>
    <row r="81" spans="1:8" x14ac:dyDescent="0.25">
      <c r="A81" s="112"/>
      <c r="B81" s="112"/>
      <c r="C81" s="113"/>
      <c r="F81" s="119"/>
      <c r="G81" s="114"/>
      <c r="H81" s="114"/>
    </row>
    <row r="82" spans="1:8" x14ac:dyDescent="0.25">
      <c r="A82" s="112"/>
      <c r="B82" s="112"/>
      <c r="C82" s="113"/>
      <c r="F82" s="119"/>
      <c r="G82" s="114"/>
      <c r="H82" s="114"/>
    </row>
    <row r="83" spans="1:8" x14ac:dyDescent="0.25">
      <c r="A83" s="112"/>
      <c r="B83" s="112"/>
      <c r="C83" s="113"/>
      <c r="F83" s="119"/>
      <c r="G83" s="114"/>
      <c r="H83" s="114"/>
    </row>
    <row r="84" spans="1:8" x14ac:dyDescent="0.25">
      <c r="A84" s="112"/>
      <c r="B84" s="112"/>
      <c r="C84" s="113"/>
      <c r="F84" s="119"/>
      <c r="G84" s="114"/>
      <c r="H84" s="114"/>
    </row>
    <row r="85" spans="1:8" x14ac:dyDescent="0.25">
      <c r="A85" s="112"/>
      <c r="B85" s="112"/>
      <c r="C85" s="113"/>
      <c r="F85" s="119"/>
      <c r="G85" s="114"/>
      <c r="H85" s="114"/>
    </row>
    <row r="86" spans="1:8" x14ac:dyDescent="0.25">
      <c r="A86" s="112"/>
      <c r="B86" s="112"/>
      <c r="C86" s="113"/>
      <c r="F86" s="119"/>
      <c r="G86" s="114"/>
      <c r="H86" s="114"/>
    </row>
    <row r="87" spans="1:8" x14ac:dyDescent="0.25">
      <c r="A87" s="112"/>
      <c r="B87" s="112"/>
      <c r="C87" s="113"/>
      <c r="F87" s="119"/>
      <c r="G87" s="114"/>
      <c r="H87" s="114"/>
    </row>
    <row r="88" spans="1:8" x14ac:dyDescent="0.25">
      <c r="A88" s="112"/>
      <c r="B88" s="112"/>
      <c r="C88" s="113"/>
      <c r="F88" s="119"/>
      <c r="G88" s="114"/>
      <c r="H88" s="114"/>
    </row>
    <row r="89" spans="1:8" x14ac:dyDescent="0.25">
      <c r="A89" s="112"/>
      <c r="B89" s="112"/>
      <c r="C89" s="113"/>
      <c r="F89" s="119"/>
      <c r="G89" s="114"/>
      <c r="H89" s="114"/>
    </row>
    <row r="90" spans="1:8" x14ac:dyDescent="0.25">
      <c r="A90" s="112"/>
      <c r="B90" s="112"/>
      <c r="C90" s="113"/>
      <c r="F90" s="119"/>
      <c r="G90" s="114"/>
      <c r="H90" s="114"/>
    </row>
    <row r="91" spans="1:8" x14ac:dyDescent="0.25">
      <c r="A91" s="112"/>
      <c r="B91" s="112"/>
      <c r="C91" s="113"/>
      <c r="F91" s="119"/>
      <c r="G91" s="114"/>
      <c r="H91" s="114"/>
    </row>
    <row r="92" spans="1:8" x14ac:dyDescent="0.25">
      <c r="A92" s="112"/>
      <c r="B92" s="112"/>
      <c r="C92" s="113"/>
      <c r="F92" s="119"/>
      <c r="G92" s="114"/>
      <c r="H92" s="114"/>
    </row>
    <row r="93" spans="1:8" x14ac:dyDescent="0.25">
      <c r="A93" s="112"/>
      <c r="B93" s="112"/>
      <c r="C93" s="113"/>
      <c r="F93" s="119"/>
      <c r="G93" s="114"/>
      <c r="H93" s="114"/>
    </row>
    <row r="94" spans="1:8" x14ac:dyDescent="0.25">
      <c r="A94" s="112"/>
      <c r="B94" s="112"/>
      <c r="C94" s="113"/>
      <c r="F94" s="119"/>
      <c r="G94" s="114"/>
      <c r="H94" s="114"/>
    </row>
    <row r="95" spans="1:8" x14ac:dyDescent="0.25">
      <c r="A95" s="112"/>
      <c r="B95" s="112"/>
      <c r="C95" s="113"/>
      <c r="F95" s="119"/>
      <c r="G95" s="114"/>
      <c r="H95" s="114"/>
    </row>
    <row r="96" spans="1:8" x14ac:dyDescent="0.25">
      <c r="A96" s="112"/>
      <c r="B96" s="112"/>
      <c r="C96" s="113"/>
      <c r="F96" s="119"/>
      <c r="G96" s="114"/>
      <c r="H96" s="114"/>
    </row>
    <row r="97" spans="1:8" x14ac:dyDescent="0.25">
      <c r="A97" s="112"/>
      <c r="B97" s="112"/>
      <c r="C97" s="113"/>
      <c r="F97" s="119"/>
      <c r="G97" s="114"/>
      <c r="H97" s="114"/>
    </row>
    <row r="98" spans="1:8" x14ac:dyDescent="0.25">
      <c r="A98" s="112"/>
      <c r="B98" s="112"/>
      <c r="C98" s="113"/>
      <c r="F98" s="119"/>
      <c r="G98" s="114"/>
      <c r="H98" s="114"/>
    </row>
    <row r="99" spans="1:8" x14ac:dyDescent="0.25">
      <c r="A99" s="112"/>
      <c r="B99" s="112"/>
      <c r="C99" s="113"/>
      <c r="F99" s="119"/>
      <c r="G99" s="114"/>
      <c r="H99" s="114"/>
    </row>
    <row r="100" spans="1:8" x14ac:dyDescent="0.25">
      <c r="A100" s="112"/>
      <c r="B100" s="112"/>
      <c r="C100" s="113"/>
      <c r="F100" s="119"/>
      <c r="G100" s="114"/>
      <c r="H100" s="114"/>
    </row>
    <row r="101" spans="1:8" x14ac:dyDescent="0.25">
      <c r="A101" s="112"/>
      <c r="B101" s="112"/>
      <c r="C101" s="113"/>
      <c r="F101" s="119"/>
      <c r="G101" s="114"/>
      <c r="H101" s="114"/>
    </row>
    <row r="102" spans="1:8" x14ac:dyDescent="0.25">
      <c r="A102" s="112"/>
      <c r="B102" s="112"/>
      <c r="C102" s="113"/>
      <c r="F102" s="119"/>
      <c r="G102" s="114"/>
      <c r="H102" s="114"/>
    </row>
    <row r="103" spans="1:8" x14ac:dyDescent="0.25">
      <c r="A103" s="112"/>
      <c r="B103" s="112"/>
      <c r="C103" s="113"/>
      <c r="F103" s="119"/>
      <c r="G103" s="114"/>
      <c r="H103" s="114"/>
    </row>
    <row r="104" spans="1:8" x14ac:dyDescent="0.25">
      <c r="A104" s="112"/>
      <c r="B104" s="112"/>
      <c r="C104" s="113"/>
      <c r="F104" s="119"/>
      <c r="G104" s="114"/>
      <c r="H104" s="114"/>
    </row>
    <row r="105" spans="1:8" x14ac:dyDescent="0.25">
      <c r="A105" s="112"/>
      <c r="B105" s="112"/>
      <c r="C105" s="113"/>
      <c r="F105" s="119"/>
      <c r="G105" s="114"/>
      <c r="H105" s="114"/>
    </row>
    <row r="106" spans="1:8" x14ac:dyDescent="0.25">
      <c r="A106" s="112"/>
      <c r="B106" s="112"/>
      <c r="C106" s="113"/>
      <c r="F106" s="119"/>
      <c r="G106" s="114"/>
      <c r="H106" s="114"/>
    </row>
    <row r="107" spans="1:8" x14ac:dyDescent="0.25">
      <c r="A107" s="112"/>
      <c r="B107" s="112"/>
      <c r="C107" s="113"/>
      <c r="F107" s="119"/>
      <c r="G107" s="114"/>
      <c r="H107" s="114"/>
    </row>
    <row r="108" spans="1:8" x14ac:dyDescent="0.25">
      <c r="A108" s="112"/>
      <c r="B108" s="112"/>
      <c r="C108" s="113"/>
      <c r="F108" s="119"/>
      <c r="G108" s="114"/>
      <c r="H108" s="114"/>
    </row>
    <row r="109" spans="1:8" x14ac:dyDescent="0.25">
      <c r="A109" s="112"/>
      <c r="B109" s="112"/>
      <c r="C109" s="113"/>
      <c r="F109" s="119"/>
      <c r="G109" s="114"/>
      <c r="H109" s="114"/>
    </row>
    <row r="110" spans="1:8" x14ac:dyDescent="0.25">
      <c r="A110" s="112"/>
      <c r="B110" s="112"/>
      <c r="C110" s="113"/>
      <c r="F110" s="119"/>
      <c r="G110" s="114"/>
      <c r="H110" s="114"/>
    </row>
    <row r="111" spans="1:8" x14ac:dyDescent="0.25">
      <c r="A111" s="112"/>
      <c r="B111" s="112"/>
      <c r="C111" s="113"/>
      <c r="F111" s="119"/>
      <c r="G111" s="114"/>
      <c r="H111" s="114"/>
    </row>
    <row r="112" spans="1:8" x14ac:dyDescent="0.25">
      <c r="A112" s="112"/>
      <c r="B112" s="112"/>
      <c r="C112" s="113"/>
      <c r="F112" s="119"/>
      <c r="G112" s="114"/>
      <c r="H112" s="114"/>
    </row>
    <row r="113" spans="1:8" x14ac:dyDescent="0.25">
      <c r="A113" s="112"/>
      <c r="B113" s="112"/>
      <c r="C113" s="113"/>
      <c r="F113" s="119"/>
      <c r="G113" s="114"/>
      <c r="H113" s="114"/>
    </row>
    <row r="114" spans="1:8" x14ac:dyDescent="0.25">
      <c r="A114" s="112"/>
      <c r="B114" s="112"/>
      <c r="C114" s="113"/>
      <c r="F114" s="119"/>
      <c r="G114" s="114"/>
      <c r="H114" s="114"/>
    </row>
    <row r="115" spans="1:8" x14ac:dyDescent="0.25">
      <c r="A115" s="112"/>
      <c r="B115" s="112"/>
      <c r="C115" s="113"/>
      <c r="F115" s="119"/>
      <c r="G115" s="114"/>
      <c r="H115" s="114"/>
    </row>
    <row r="116" spans="1:8" x14ac:dyDescent="0.25">
      <c r="A116" s="112"/>
      <c r="B116" s="112"/>
      <c r="C116" s="113"/>
      <c r="F116" s="119"/>
      <c r="G116" s="114"/>
      <c r="H116" s="119"/>
    </row>
    <row r="117" spans="1:8" x14ac:dyDescent="0.25">
      <c r="A117" s="112"/>
      <c r="B117" s="112"/>
      <c r="C117" s="113"/>
      <c r="F117" s="119"/>
      <c r="G117" s="114"/>
    </row>
    <row r="118" spans="1:8" x14ac:dyDescent="0.25">
      <c r="A118" s="112"/>
      <c r="B118" s="112"/>
      <c r="C118" s="113"/>
      <c r="F118" s="119"/>
      <c r="G118" s="114"/>
    </row>
    <row r="119" spans="1:8" x14ac:dyDescent="0.25">
      <c r="A119" s="112"/>
      <c r="B119" s="112"/>
      <c r="C119" s="113"/>
      <c r="F119" s="119"/>
      <c r="G119" s="114"/>
    </row>
    <row r="120" spans="1:8" x14ac:dyDescent="0.25">
      <c r="A120" s="112"/>
      <c r="B120" s="112"/>
      <c r="C120" s="113"/>
      <c r="F120" s="119"/>
      <c r="G120" s="114"/>
    </row>
    <row r="121" spans="1:8" x14ac:dyDescent="0.25">
      <c r="A121" s="112"/>
      <c r="B121" s="112"/>
      <c r="C121" s="113"/>
      <c r="F121" s="119"/>
      <c r="G121" s="114"/>
    </row>
    <row r="122" spans="1:8" x14ac:dyDescent="0.25">
      <c r="A122" s="112"/>
      <c r="B122" s="112"/>
      <c r="C122" s="113"/>
      <c r="F122" s="119"/>
      <c r="G122" s="114"/>
    </row>
    <row r="123" spans="1:8" x14ac:dyDescent="0.25">
      <c r="A123" s="112"/>
      <c r="B123" s="112"/>
      <c r="C123" s="113"/>
      <c r="F123" s="119"/>
      <c r="G123" s="114"/>
    </row>
    <row r="124" spans="1:8" x14ac:dyDescent="0.25">
      <c r="A124" s="112"/>
      <c r="B124" s="112"/>
      <c r="C124" s="113"/>
      <c r="F124" s="119"/>
      <c r="G124" s="114"/>
    </row>
    <row r="125" spans="1:8" x14ac:dyDescent="0.25">
      <c r="A125" s="112"/>
      <c r="B125" s="112"/>
      <c r="C125" s="113"/>
      <c r="F125" s="119"/>
      <c r="G125" s="114"/>
    </row>
    <row r="126" spans="1:8" x14ac:dyDescent="0.25">
      <c r="A126" s="112"/>
      <c r="B126" s="112"/>
      <c r="C126" s="113"/>
      <c r="F126" s="119"/>
      <c r="G126" s="114"/>
    </row>
    <row r="127" spans="1:8" x14ac:dyDescent="0.25">
      <c r="A127" s="112"/>
      <c r="B127" s="112"/>
      <c r="C127" s="113"/>
      <c r="F127" s="119"/>
      <c r="G127" s="114"/>
    </row>
    <row r="128" spans="1:8" x14ac:dyDescent="0.25">
      <c r="A128" s="112"/>
      <c r="B128" s="112"/>
      <c r="C128" s="113"/>
      <c r="F128" s="119"/>
      <c r="G128" s="114"/>
    </row>
    <row r="129" spans="1:7" x14ac:dyDescent="0.25">
      <c r="A129" s="112"/>
      <c r="B129" s="112"/>
      <c r="C129" s="113"/>
      <c r="F129" s="119"/>
      <c r="G129" s="114"/>
    </row>
    <row r="130" spans="1:7" x14ac:dyDescent="0.25">
      <c r="A130" s="112"/>
      <c r="B130" s="112"/>
      <c r="C130" s="113"/>
      <c r="F130" s="119"/>
      <c r="G130" s="114"/>
    </row>
    <row r="131" spans="1:7" x14ac:dyDescent="0.25">
      <c r="A131" s="112"/>
      <c r="B131" s="112"/>
      <c r="C131" s="114"/>
      <c r="F131" s="119"/>
      <c r="G131" s="114"/>
    </row>
    <row r="132" spans="1:7" x14ac:dyDescent="0.25">
      <c r="F132" s="119"/>
      <c r="G132" s="114"/>
    </row>
    <row r="133" spans="1:7" x14ac:dyDescent="0.25">
      <c r="F133" s="119"/>
      <c r="G133" s="114"/>
    </row>
    <row r="134" spans="1:7" x14ac:dyDescent="0.25">
      <c r="F134" s="119"/>
      <c r="G134" s="114"/>
    </row>
    <row r="135" spans="1:7" x14ac:dyDescent="0.25">
      <c r="F135" s="119"/>
      <c r="G135" s="114"/>
    </row>
    <row r="136" spans="1:7" x14ac:dyDescent="0.25">
      <c r="F136" s="119"/>
      <c r="G136" s="114"/>
    </row>
    <row r="137" spans="1:7" x14ac:dyDescent="0.25">
      <c r="F137" s="119"/>
      <c r="G137" s="114"/>
    </row>
    <row r="138" spans="1:7" x14ac:dyDescent="0.25">
      <c r="F138" s="119"/>
      <c r="G138" s="114"/>
    </row>
    <row r="139" spans="1:7" x14ac:dyDescent="0.25">
      <c r="F139" s="119"/>
      <c r="G139" s="114"/>
    </row>
    <row r="140" spans="1:7" x14ac:dyDescent="0.25">
      <c r="F140" s="119"/>
      <c r="G140" s="114"/>
    </row>
    <row r="141" spans="1:7" x14ac:dyDescent="0.25">
      <c r="F141" s="119"/>
      <c r="G141" s="114"/>
    </row>
    <row r="142" spans="1:7" x14ac:dyDescent="0.25">
      <c r="F142" s="119"/>
      <c r="G142" s="114"/>
    </row>
    <row r="143" spans="1:7" x14ac:dyDescent="0.25">
      <c r="F143" s="119"/>
      <c r="G143" s="114"/>
    </row>
    <row r="144" spans="1:7" x14ac:dyDescent="0.25">
      <c r="F144" s="119"/>
      <c r="G144" s="114"/>
    </row>
    <row r="145" spans="6:7" x14ac:dyDescent="0.25">
      <c r="F145" s="119"/>
      <c r="G145" s="114"/>
    </row>
    <row r="146" spans="6:7" x14ac:dyDescent="0.25">
      <c r="F146" s="119"/>
      <c r="G146" s="114"/>
    </row>
    <row r="147" spans="6:7" x14ac:dyDescent="0.25">
      <c r="F147" s="119"/>
      <c r="G147" s="114"/>
    </row>
    <row r="148" spans="6:7" x14ac:dyDescent="0.25">
      <c r="F148" s="119"/>
      <c r="G148" s="114"/>
    </row>
    <row r="149" spans="6:7" x14ac:dyDescent="0.25">
      <c r="F149" s="119"/>
      <c r="G149" s="114"/>
    </row>
    <row r="150" spans="6:7" x14ac:dyDescent="0.25">
      <c r="F150" s="119"/>
      <c r="G150" s="114"/>
    </row>
    <row r="151" spans="6:7" x14ac:dyDescent="0.25">
      <c r="F151" s="119"/>
      <c r="G151" s="114"/>
    </row>
    <row r="152" spans="6:7" x14ac:dyDescent="0.25">
      <c r="F152" s="119"/>
      <c r="G152" s="114"/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3"/>
  <sheetViews>
    <sheetView workbookViewId="0">
      <selection activeCell="C15" sqref="C15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49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27</v>
      </c>
      <c r="D5" s="137" t="s">
        <v>9</v>
      </c>
      <c r="H5" s="35" t="s">
        <v>50</v>
      </c>
    </row>
    <row r="6" spans="1:19" x14ac:dyDescent="0.25">
      <c r="A6" s="138">
        <f>B6+273.15</f>
        <v>1023.15</v>
      </c>
      <c r="B6" s="115">
        <v>750</v>
      </c>
      <c r="C6" s="140">
        <f>'BSCF,Wang (Electrochem)'!J49</f>
        <v>381.57382598439921</v>
      </c>
      <c r="D6" s="157">
        <f t="shared" ref="D6:D12" si="0">C6*D16</f>
        <v>1.3792222928190956E-2</v>
      </c>
    </row>
    <row r="7" spans="1:19" x14ac:dyDescent="0.25">
      <c r="A7" s="138">
        <f t="shared" ref="A7:A12" si="1">B7+273.15</f>
        <v>998.15</v>
      </c>
      <c r="B7" s="115">
        <v>725</v>
      </c>
      <c r="C7" s="140">
        <f>'BSCF,Wang (Electrochem)'!J50</f>
        <v>444.84760794818874</v>
      </c>
      <c r="D7" s="157">
        <f t="shared" si="0"/>
        <v>8.9407484156894222E-3</v>
      </c>
      <c r="H7" s="111" t="s">
        <v>18</v>
      </c>
    </row>
    <row r="8" spans="1:19" ht="15.75" x14ac:dyDescent="0.25">
      <c r="A8" s="138">
        <f t="shared" si="1"/>
        <v>973.15</v>
      </c>
      <c r="B8" s="115">
        <v>700</v>
      </c>
      <c r="C8" s="140">
        <f>'BSCF,Wang (Electrochem)'!J51</f>
        <v>442.45416078984482</v>
      </c>
      <c r="D8" s="157">
        <f t="shared" si="0"/>
        <v>5.0363322007867875E-3</v>
      </c>
      <c r="G8" s="111">
        <v>1</v>
      </c>
      <c r="H8" s="35" t="s">
        <v>133</v>
      </c>
    </row>
    <row r="9" spans="1:19" ht="15.75" x14ac:dyDescent="0.25">
      <c r="A9" s="138">
        <f t="shared" si="1"/>
        <v>948.15</v>
      </c>
      <c r="B9" s="115">
        <v>675</v>
      </c>
      <c r="C9" s="140">
        <f>'BSCF,Wang (Electrochem)'!J52</f>
        <v>583.53569067204035</v>
      </c>
      <c r="D9" s="157">
        <f t="shared" si="0"/>
        <v>3.7477113535448218E-3</v>
      </c>
      <c r="G9" s="111">
        <v>2</v>
      </c>
      <c r="H9" s="35" t="s">
        <v>143</v>
      </c>
    </row>
    <row r="10" spans="1:19" ht="16.5" thickBot="1" x14ac:dyDescent="0.3">
      <c r="A10" s="138">
        <f t="shared" si="1"/>
        <v>923.15</v>
      </c>
      <c r="B10" s="115">
        <v>650</v>
      </c>
      <c r="C10" s="140">
        <f>'BSCF,Wang (Electrochem)'!J53</f>
        <v>973.22677796485573</v>
      </c>
      <c r="D10" s="157">
        <f t="shared" si="0"/>
        <v>3.2333073152859843E-3</v>
      </c>
      <c r="J10" s="2"/>
    </row>
    <row r="11" spans="1:19" ht="19.5" thickBot="1" x14ac:dyDescent="0.3">
      <c r="A11" s="138">
        <f t="shared" si="1"/>
        <v>898.15</v>
      </c>
      <c r="B11" s="115">
        <v>625</v>
      </c>
      <c r="C11" s="140">
        <f>'BSCF,Wang (Electrochem)'!J54</f>
        <v>1010.2096802509998</v>
      </c>
      <c r="D11" s="157">
        <f t="shared" si="0"/>
        <v>1.7654011617692276E-3</v>
      </c>
      <c r="H11" s="169" t="s">
        <v>184</v>
      </c>
    </row>
    <row r="12" spans="1:19" ht="15.75" thickBot="1" x14ac:dyDescent="0.3">
      <c r="A12" s="141">
        <f t="shared" si="1"/>
        <v>873.15</v>
      </c>
      <c r="B12" s="126">
        <v>600</v>
      </c>
      <c r="C12" s="130">
        <f>'BSCF,Wang (Electrochem)'!J55</f>
        <v>1427.2003071312029</v>
      </c>
      <c r="D12" s="158">
        <f t="shared" si="0"/>
        <v>1.2453556976710753E-3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2"/>
      <c r="D13" s="11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48" thickBot="1" x14ac:dyDescent="0.3">
      <c r="A15" s="136" t="s">
        <v>16</v>
      </c>
      <c r="B15" s="115" t="s">
        <v>14</v>
      </c>
      <c r="C15" s="142" t="s">
        <v>21</v>
      </c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1023.15</v>
      </c>
      <c r="B16" s="115">
        <v>750</v>
      </c>
      <c r="C16" s="140">
        <f>'BSCF,Girdauskaite (Solid State)'!I38</f>
        <v>6.9441127314501791E-2</v>
      </c>
      <c r="D16" s="157">
        <f t="shared" ref="D16:D22" si="2">($C$2*$A$2*A16)/(4*($E$2^2)*D26*C16)</f>
        <v>3.6145621080296154E-5</v>
      </c>
    </row>
    <row r="17" spans="1:12" x14ac:dyDescent="0.25">
      <c r="A17" s="138">
        <f t="shared" ref="A17:A22" si="3">B17+273.15</f>
        <v>998.15</v>
      </c>
      <c r="B17" s="115">
        <v>725</v>
      </c>
      <c r="C17" s="140">
        <f>'BSCF,Girdauskaite (Solid State)'!I39</f>
        <v>6.9540072542692122E-2</v>
      </c>
      <c r="D17" s="157">
        <f t="shared" si="2"/>
        <v>2.0098452269818093E-5</v>
      </c>
    </row>
    <row r="18" spans="1:12" x14ac:dyDescent="0.25">
      <c r="A18" s="138">
        <f t="shared" si="3"/>
        <v>973.15</v>
      </c>
      <c r="B18" s="115">
        <v>700</v>
      </c>
      <c r="C18" s="140">
        <f>'BSCF,Girdauskaite (Solid State)'!I40</f>
        <v>6.9536814621409926E-2</v>
      </c>
      <c r="D18" s="157">
        <f t="shared" si="2"/>
        <v>1.138272084908458E-5</v>
      </c>
    </row>
    <row r="19" spans="1:12" x14ac:dyDescent="0.25">
      <c r="A19" s="138">
        <f t="shared" si="3"/>
        <v>948.15</v>
      </c>
      <c r="B19" s="115">
        <v>675</v>
      </c>
      <c r="C19" s="140">
        <f>'BSCF,Girdauskaite (Solid State)'!I41</f>
        <v>6.9749095037585487E-2</v>
      </c>
      <c r="D19" s="157">
        <f t="shared" si="2"/>
        <v>6.4224201080634786E-6</v>
      </c>
    </row>
    <row r="20" spans="1:12" x14ac:dyDescent="0.25">
      <c r="A20" s="138">
        <f t="shared" si="3"/>
        <v>923.15</v>
      </c>
      <c r="B20" s="115">
        <v>650</v>
      </c>
      <c r="C20" s="140">
        <f>'BSCF,Girdauskaite (Solid State)'!I42</f>
        <v>6.9859741563353756E-2</v>
      </c>
      <c r="D20" s="157">
        <f t="shared" si="2"/>
        <v>3.322254780172872E-6</v>
      </c>
    </row>
    <row r="21" spans="1:12" x14ac:dyDescent="0.25">
      <c r="A21" s="138">
        <f t="shared" si="3"/>
        <v>898.15</v>
      </c>
      <c r="B21" s="115">
        <v>625</v>
      </c>
      <c r="C21" s="140">
        <f>'BSCF,Girdauskaite (Solid State)'!I43</f>
        <v>6.9974914250726356E-2</v>
      </c>
      <c r="D21" s="157">
        <f t="shared" si="2"/>
        <v>1.7475591417126299E-6</v>
      </c>
    </row>
    <row r="22" spans="1:12" ht="15.75" thickBot="1" x14ac:dyDescent="0.3">
      <c r="A22" s="141">
        <f t="shared" si="3"/>
        <v>873.15</v>
      </c>
      <c r="B22" s="126">
        <v>600</v>
      </c>
      <c r="C22" s="130">
        <f>'BSCF,Girdauskaite (Solid State)'!I44</f>
        <v>7.0002323759791124E-2</v>
      </c>
      <c r="D22" s="158">
        <f t="shared" si="2"/>
        <v>8.7258648379522069E-7</v>
      </c>
    </row>
    <row r="23" spans="1:12" ht="15.75" thickBot="1" x14ac:dyDescent="0.3">
      <c r="A23" s="112"/>
      <c r="D23" s="114"/>
    </row>
    <row r="24" spans="1:12" ht="15.75" x14ac:dyDescent="0.25">
      <c r="A24" s="133" t="s">
        <v>19</v>
      </c>
      <c r="B24" s="134"/>
      <c r="C24" s="134"/>
      <c r="D24" s="135"/>
      <c r="G24" s="119"/>
      <c r="H24" s="119"/>
    </row>
    <row r="25" spans="1:12" x14ac:dyDescent="0.25">
      <c r="A25" s="136" t="s">
        <v>16</v>
      </c>
      <c r="B25" s="115" t="s">
        <v>14</v>
      </c>
      <c r="C25" s="142"/>
      <c r="D25" s="143" t="s">
        <v>35</v>
      </c>
      <c r="G25" s="119"/>
      <c r="H25" s="114"/>
    </row>
    <row r="26" spans="1:12" x14ac:dyDescent="0.25">
      <c r="A26" s="138">
        <f t="shared" ref="A26:A32" si="4">B26+273.15</f>
        <v>1023.15</v>
      </c>
      <c r="B26" s="115">
        <v>750</v>
      </c>
      <c r="C26" s="115"/>
      <c r="D26" s="167">
        <f>C37</f>
        <v>9.0971238975310106E-2</v>
      </c>
      <c r="G26" s="119"/>
      <c r="H26" s="114"/>
      <c r="K26" s="118"/>
      <c r="L26" s="118"/>
    </row>
    <row r="27" spans="1:12" x14ac:dyDescent="0.25">
      <c r="A27" s="138">
        <f t="shared" si="4"/>
        <v>998.15</v>
      </c>
      <c r="B27" s="115">
        <v>725</v>
      </c>
      <c r="C27" s="115"/>
      <c r="D27" s="167">
        <f>C57</f>
        <v>0.159380546639491</v>
      </c>
      <c r="G27" s="119"/>
      <c r="H27" s="114"/>
      <c r="J27" s="113"/>
      <c r="K27" s="113"/>
      <c r="L27" s="113"/>
    </row>
    <row r="28" spans="1:12" x14ac:dyDescent="0.25">
      <c r="A28" s="138">
        <f t="shared" si="4"/>
        <v>973.15</v>
      </c>
      <c r="B28" s="115">
        <v>700</v>
      </c>
      <c r="C28" s="115"/>
      <c r="D28" s="167">
        <f>C73</f>
        <v>0.27438234558085001</v>
      </c>
      <c r="G28" s="119"/>
      <c r="H28" s="114"/>
      <c r="J28" s="113"/>
      <c r="K28" s="113"/>
      <c r="L28" s="113"/>
    </row>
    <row r="29" spans="1:12" x14ac:dyDescent="0.25">
      <c r="A29" s="138">
        <f t="shared" si="4"/>
        <v>948.15</v>
      </c>
      <c r="B29" s="115">
        <v>675</v>
      </c>
      <c r="C29" s="115"/>
      <c r="D29" s="167">
        <f>C92</f>
        <v>0.47236424490838602</v>
      </c>
      <c r="G29" s="119"/>
      <c r="H29" s="114"/>
      <c r="J29" s="113"/>
      <c r="K29" s="113"/>
      <c r="L29" s="113"/>
    </row>
    <row r="30" spans="1:12" x14ac:dyDescent="0.25">
      <c r="A30" s="138">
        <f t="shared" si="4"/>
        <v>923.15</v>
      </c>
      <c r="B30" s="115">
        <v>650</v>
      </c>
      <c r="C30" s="115"/>
      <c r="D30" s="167">
        <f>C116</f>
        <v>0.88766606935591497</v>
      </c>
      <c r="G30" s="119"/>
      <c r="H30" s="114"/>
      <c r="J30" s="113"/>
      <c r="K30" s="113"/>
      <c r="L30" s="113"/>
    </row>
    <row r="31" spans="1:12" x14ac:dyDescent="0.25">
      <c r="A31" s="138">
        <f t="shared" si="4"/>
        <v>898.15</v>
      </c>
      <c r="B31" s="115">
        <v>625</v>
      </c>
      <c r="C31" s="115"/>
      <c r="D31" s="167">
        <f>C141</f>
        <v>1.6391242373378401</v>
      </c>
      <c r="G31" s="119"/>
      <c r="H31" s="114"/>
      <c r="J31" s="113"/>
      <c r="K31" s="113"/>
      <c r="L31" s="113"/>
    </row>
    <row r="32" spans="1:12" ht="15.75" thickBot="1" x14ac:dyDescent="0.3">
      <c r="A32" s="141">
        <f t="shared" si="4"/>
        <v>873.15</v>
      </c>
      <c r="B32" s="126">
        <v>600</v>
      </c>
      <c r="C32" s="126"/>
      <c r="D32" s="168">
        <f>C163</f>
        <v>3.1901064489470299</v>
      </c>
      <c r="G32" s="119"/>
      <c r="H32" s="114"/>
      <c r="J32" s="113"/>
      <c r="K32" s="113"/>
      <c r="L32" s="113"/>
    </row>
    <row r="33" spans="1:12" x14ac:dyDescent="0.25">
      <c r="D33" s="113"/>
      <c r="G33" s="119"/>
      <c r="H33" s="114"/>
      <c r="J33" s="113"/>
      <c r="K33" s="113"/>
      <c r="L33" s="113"/>
    </row>
    <row r="34" spans="1:12" s="126" customFormat="1" ht="15.75" thickBot="1" x14ac:dyDescent="0.3">
      <c r="G34" s="128"/>
      <c r="H34" s="129"/>
      <c r="J34" s="130"/>
      <c r="K34" s="130"/>
      <c r="L34" s="130"/>
    </row>
    <row r="35" spans="1:12" ht="60" x14ac:dyDescent="0.25">
      <c r="A35" s="118" t="s">
        <v>26</v>
      </c>
      <c r="G35" s="119"/>
      <c r="H35" s="114"/>
    </row>
    <row r="36" spans="1:12" ht="45" x14ac:dyDescent="0.25">
      <c r="A36" s="111" t="s">
        <v>16</v>
      </c>
      <c r="B36" s="111" t="s">
        <v>14</v>
      </c>
      <c r="C36" s="118" t="s">
        <v>35</v>
      </c>
      <c r="E36" s="111" t="s">
        <v>16</v>
      </c>
      <c r="F36" s="111" t="s">
        <v>14</v>
      </c>
      <c r="G36" s="118" t="s">
        <v>51</v>
      </c>
      <c r="H36" s="118" t="s">
        <v>20</v>
      </c>
    </row>
    <row r="37" spans="1:12" x14ac:dyDescent="0.25">
      <c r="A37" s="112">
        <f>B37+273.15</f>
        <v>1024.0549828178694</v>
      </c>
      <c r="B37" s="112">
        <v>750.90498281786938</v>
      </c>
      <c r="C37" s="113">
        <v>9.0971238975310106E-2</v>
      </c>
      <c r="E37" s="112">
        <f>F37+273.15</f>
        <v>1023.15</v>
      </c>
      <c r="F37" s="111">
        <v>750</v>
      </c>
      <c r="G37" s="113">
        <f>'BSCF,Wang (Electrochem)'!D20</f>
        <v>3.4332999999999998E-6</v>
      </c>
      <c r="H37" s="113">
        <f t="shared" ref="H37:H43" si="5">($C$2*E37*$A$2)/(4*($E$2^2)*G37*D26)</f>
        <v>0.73107292555226322</v>
      </c>
      <c r="J37" s="113"/>
    </row>
    <row r="38" spans="1:12" x14ac:dyDescent="0.25">
      <c r="A38" s="112">
        <f t="shared" ref="A38:A101" si="6">B38+273.15</f>
        <v>1023.0003432887058</v>
      </c>
      <c r="B38" s="112">
        <v>749.85034328870586</v>
      </c>
      <c r="C38" s="113">
        <v>9.4216032041044701E-2</v>
      </c>
      <c r="E38" s="112">
        <f t="shared" ref="E38:E43" si="7">F38+273.15</f>
        <v>998.15</v>
      </c>
      <c r="F38" s="111">
        <v>725</v>
      </c>
      <c r="G38" s="113">
        <f>'BSCF,Wang (Electrochem)'!D21</f>
        <v>2.1390000000000002E-6</v>
      </c>
      <c r="H38" s="113">
        <f t="shared" si="5"/>
        <v>0.65341179468863286</v>
      </c>
      <c r="J38" s="113"/>
    </row>
    <row r="39" spans="1:12" x14ac:dyDescent="0.25">
      <c r="A39" s="112">
        <f t="shared" si="6"/>
        <v>1021.5975317106622</v>
      </c>
      <c r="B39" s="112">
        <v>748.44753171066225</v>
      </c>
      <c r="C39" s="113">
        <v>9.7576561488497596E-2</v>
      </c>
      <c r="E39" s="112">
        <f t="shared" si="7"/>
        <v>973.15</v>
      </c>
      <c r="F39" s="111">
        <v>700</v>
      </c>
      <c r="G39" s="113">
        <f>'BSCF,Wang (Electrochem)'!D22</f>
        <v>1.418E-6</v>
      </c>
      <c r="H39" s="113">
        <f t="shared" si="5"/>
        <v>0.55819333538085492</v>
      </c>
      <c r="J39" s="113"/>
    </row>
    <row r="40" spans="1:12" x14ac:dyDescent="0.25">
      <c r="A40" s="112">
        <f t="shared" si="6"/>
        <v>1020.54794520548</v>
      </c>
      <c r="B40" s="112">
        <v>747.39794520548003</v>
      </c>
      <c r="C40" s="113">
        <v>0.101056955442261</v>
      </c>
      <c r="E40" s="112">
        <f t="shared" si="7"/>
        <v>948.15</v>
      </c>
      <c r="F40" s="111">
        <v>675</v>
      </c>
      <c r="G40" s="113">
        <f>'BSCF,Wang (Electrochem)'!D23</f>
        <v>8.3107999999999995E-7</v>
      </c>
      <c r="H40" s="113">
        <f t="shared" si="5"/>
        <v>0.53900706368655193</v>
      </c>
      <c r="J40" s="113"/>
    </row>
    <row r="41" spans="1:12" x14ac:dyDescent="0.25">
      <c r="A41" s="112">
        <f t="shared" si="6"/>
        <v>1019.5005131713998</v>
      </c>
      <c r="B41" s="112">
        <v>746.35051317139983</v>
      </c>
      <c r="C41" s="113">
        <v>0.101056955442261</v>
      </c>
      <c r="E41" s="112">
        <f t="shared" si="7"/>
        <v>923.15</v>
      </c>
      <c r="F41" s="111">
        <v>650</v>
      </c>
      <c r="G41" s="113">
        <f>'BSCF,Wang (Electrochem)'!D24</f>
        <v>4.2169000000000001E-7</v>
      </c>
      <c r="H41" s="113">
        <f t="shared" si="5"/>
        <v>0.55038502300384995</v>
      </c>
      <c r="J41" s="113"/>
    </row>
    <row r="42" spans="1:12" x14ac:dyDescent="0.25">
      <c r="A42" s="112">
        <f t="shared" si="6"/>
        <v>1018.4552289815452</v>
      </c>
      <c r="B42" s="112">
        <v>745.30522898154527</v>
      </c>
      <c r="C42" s="113">
        <v>0.102843431767456</v>
      </c>
      <c r="E42" s="112">
        <f t="shared" si="7"/>
        <v>898.15</v>
      </c>
      <c r="F42" s="111">
        <v>625</v>
      </c>
      <c r="G42" s="113">
        <f>'BSCF,Wang (Electrochem)'!D25</f>
        <v>2.3230000000000001E-7</v>
      </c>
      <c r="H42" s="113">
        <f t="shared" si="5"/>
        <v>0.52641111101771088</v>
      </c>
      <c r="J42" s="113"/>
    </row>
    <row r="43" spans="1:12" x14ac:dyDescent="0.25">
      <c r="A43" s="112">
        <f t="shared" si="6"/>
        <v>1017.7595628415309</v>
      </c>
      <c r="B43" s="112">
        <v>744.60956284153087</v>
      </c>
      <c r="C43" s="113">
        <v>0.106511686240125</v>
      </c>
      <c r="E43" s="112">
        <f t="shared" si="7"/>
        <v>873.15</v>
      </c>
      <c r="F43" s="111">
        <v>600</v>
      </c>
      <c r="G43" s="113">
        <f>'BSCF,Wang (Electrochem)'!D26</f>
        <v>1.0419E-7</v>
      </c>
      <c r="H43" s="113">
        <f t="shared" si="5"/>
        <v>0.5862662592096245</v>
      </c>
      <c r="J43" s="113"/>
    </row>
    <row r="44" spans="1:12" x14ac:dyDescent="0.25">
      <c r="A44" s="112">
        <f t="shared" si="6"/>
        <v>1016.7178437393389</v>
      </c>
      <c r="B44" s="112">
        <v>743.56784373933897</v>
      </c>
      <c r="C44" s="113">
        <v>0.108394590835774</v>
      </c>
      <c r="E44" s="113"/>
      <c r="H44" s="113"/>
      <c r="J44" s="113"/>
    </row>
    <row r="45" spans="1:12" x14ac:dyDescent="0.25">
      <c r="A45" s="112">
        <f t="shared" si="6"/>
        <v>1015.332197614992</v>
      </c>
      <c r="B45" s="112">
        <v>742.18219761499199</v>
      </c>
      <c r="C45" s="113">
        <v>0.11031078125987601</v>
      </c>
      <c r="E45" s="113"/>
      <c r="H45" s="113"/>
      <c r="J45" s="113"/>
    </row>
    <row r="46" spans="1:12" x14ac:dyDescent="0.25">
      <c r="A46" s="112">
        <f t="shared" si="6"/>
        <v>1014.6407899216895</v>
      </c>
      <c r="B46" s="112">
        <v>741.4907899216895</v>
      </c>
      <c r="C46" s="113">
        <v>0.11424538369180499</v>
      </c>
      <c r="E46" s="113"/>
      <c r="H46" s="113"/>
    </row>
    <row r="47" spans="1:12" x14ac:dyDescent="0.25">
      <c r="A47" s="112">
        <f t="shared" si="6"/>
        <v>1012.9163834126444</v>
      </c>
      <c r="B47" s="112">
        <v>739.76638341264447</v>
      </c>
      <c r="C47" s="113">
        <v>0.116265003937982</v>
      </c>
      <c r="E47" s="113"/>
      <c r="H47" s="114"/>
    </row>
    <row r="48" spans="1:12" x14ac:dyDescent="0.25">
      <c r="A48" s="112">
        <f t="shared" si="6"/>
        <v>1011.5410726408696</v>
      </c>
      <c r="B48" s="112">
        <v>738.39107264086965</v>
      </c>
      <c r="C48" s="113">
        <v>0.12041198360776501</v>
      </c>
      <c r="E48" s="113"/>
      <c r="H48" s="114"/>
    </row>
    <row r="49" spans="1:8" x14ac:dyDescent="0.25">
      <c r="A49" s="112">
        <f t="shared" si="6"/>
        <v>1010.169491525424</v>
      </c>
      <c r="B49" s="112">
        <v>737.01949152542397</v>
      </c>
      <c r="C49" s="113">
        <v>0.124706879157641</v>
      </c>
      <c r="E49" s="113"/>
      <c r="H49" s="114"/>
    </row>
    <row r="50" spans="1:8" x14ac:dyDescent="0.25">
      <c r="A50" s="112">
        <f t="shared" si="6"/>
        <v>1008.1190798376186</v>
      </c>
      <c r="B50" s="112">
        <v>734.96907983761866</v>
      </c>
      <c r="C50" s="113">
        <v>0.13143815709362999</v>
      </c>
      <c r="E50" s="113"/>
      <c r="H50" s="114"/>
    </row>
    <row r="51" spans="1:8" x14ac:dyDescent="0.25">
      <c r="A51" s="112">
        <f t="shared" si="6"/>
        <v>1006.7567567567577</v>
      </c>
      <c r="B51" s="112">
        <v>733.6067567567577</v>
      </c>
      <c r="C51" s="113">
        <v>0.136126337946329</v>
      </c>
      <c r="E51" s="113"/>
      <c r="H51" s="114"/>
    </row>
    <row r="52" spans="1:8" x14ac:dyDescent="0.25">
      <c r="A52" s="112">
        <f t="shared" si="6"/>
        <v>1005.398110661269</v>
      </c>
      <c r="B52" s="112">
        <v>732.24811066126904</v>
      </c>
      <c r="C52" s="113">
        <v>0.138532767854219</v>
      </c>
      <c r="E52" s="113"/>
      <c r="H52" s="114"/>
    </row>
    <row r="53" spans="1:8" x14ac:dyDescent="0.25">
      <c r="A53" s="112">
        <f t="shared" si="6"/>
        <v>1004.0431266846363</v>
      </c>
      <c r="B53" s="112">
        <v>730.89312668463629</v>
      </c>
      <c r="C53" s="113">
        <v>0.14347400169442701</v>
      </c>
      <c r="E53" s="113"/>
      <c r="H53" s="114"/>
    </row>
    <row r="54" spans="1:8" x14ac:dyDescent="0.25">
      <c r="A54" s="112">
        <f t="shared" si="6"/>
        <v>1002.0174848688636</v>
      </c>
      <c r="B54" s="112">
        <v>728.86748486886358</v>
      </c>
      <c r="C54" s="113">
        <v>0.14859148114238299</v>
      </c>
      <c r="E54" s="113"/>
      <c r="H54" s="114"/>
    </row>
    <row r="55" spans="1:8" x14ac:dyDescent="0.25">
      <c r="A55" s="112">
        <f t="shared" si="6"/>
        <v>1001.0077258985556</v>
      </c>
      <c r="B55" s="112">
        <v>727.8577258985556</v>
      </c>
      <c r="C55" s="113">
        <v>0.15389149258631701</v>
      </c>
      <c r="E55" s="113"/>
      <c r="H55" s="114"/>
    </row>
    <row r="56" spans="1:8" x14ac:dyDescent="0.25">
      <c r="A56" s="112">
        <f t="shared" si="6"/>
        <v>999.66454209997505</v>
      </c>
      <c r="B56" s="112">
        <v>726.51454209997507</v>
      </c>
      <c r="C56" s="113">
        <v>0.156611973397868</v>
      </c>
      <c r="F56" s="114"/>
      <c r="G56" s="112"/>
      <c r="H56" s="114"/>
    </row>
    <row r="57" spans="1:8" x14ac:dyDescent="0.25">
      <c r="A57" s="112">
        <f t="shared" si="6"/>
        <v>997.99062290690074</v>
      </c>
      <c r="B57" s="112">
        <v>724.84062290690076</v>
      </c>
      <c r="C57" s="113">
        <v>0.159380546639491</v>
      </c>
      <c r="F57" s="114"/>
      <c r="G57" s="117"/>
      <c r="H57" s="114"/>
    </row>
    <row r="58" spans="1:8" x14ac:dyDescent="0.25">
      <c r="A58" s="112">
        <f t="shared" si="6"/>
        <v>996.65551839465536</v>
      </c>
      <c r="B58" s="112">
        <v>723.50551839465538</v>
      </c>
      <c r="C58" s="113">
        <v>0.16219806248510499</v>
      </c>
      <c r="F58" s="114"/>
      <c r="G58" s="117"/>
      <c r="H58" s="114"/>
    </row>
    <row r="59" spans="1:8" x14ac:dyDescent="0.25">
      <c r="A59" s="112">
        <f t="shared" si="6"/>
        <v>994.65954606142361</v>
      </c>
      <c r="B59" s="112">
        <v>721.50954606142363</v>
      </c>
      <c r="C59" s="113">
        <v>0.16798339809617699</v>
      </c>
      <c r="F59" s="114"/>
      <c r="G59" s="112"/>
      <c r="H59" s="114"/>
    </row>
    <row r="60" spans="1:8" x14ac:dyDescent="0.25">
      <c r="A60" s="112">
        <f t="shared" si="6"/>
        <v>993.33333333333655</v>
      </c>
      <c r="B60" s="112">
        <v>720.18333333333658</v>
      </c>
      <c r="C60" s="113">
        <v>0.17397508702380601</v>
      </c>
      <c r="F60" s="114"/>
      <c r="G60" s="117"/>
      <c r="H60" s="114"/>
    </row>
    <row r="61" spans="1:8" x14ac:dyDescent="0.25">
      <c r="A61" s="112">
        <f t="shared" si="6"/>
        <v>991.68053244592988</v>
      </c>
      <c r="B61" s="112">
        <v>718.53053244592991</v>
      </c>
      <c r="C61" s="113">
        <v>0.17705060392199101</v>
      </c>
      <c r="F61" s="114"/>
      <c r="G61" s="117"/>
      <c r="H61" s="114"/>
    </row>
    <row r="62" spans="1:8" x14ac:dyDescent="0.25">
      <c r="A62" s="112">
        <f t="shared" si="6"/>
        <v>991.02095111407084</v>
      </c>
      <c r="B62" s="112">
        <v>717.87095111407086</v>
      </c>
      <c r="C62" s="113">
        <v>0.18660722847858</v>
      </c>
      <c r="F62" s="114"/>
      <c r="G62" s="112"/>
      <c r="H62" s="114"/>
    </row>
    <row r="63" spans="1:8" x14ac:dyDescent="0.25">
      <c r="A63" s="112">
        <f t="shared" si="6"/>
        <v>988.71930988719737</v>
      </c>
      <c r="B63" s="112">
        <v>715.56930988719739</v>
      </c>
      <c r="C63" s="113">
        <v>0.193263198517062</v>
      </c>
      <c r="F63" s="114"/>
      <c r="G63" s="117"/>
      <c r="H63" s="114"/>
    </row>
    <row r="64" spans="1:8" x14ac:dyDescent="0.25">
      <c r="A64" s="112">
        <f t="shared" si="6"/>
        <v>987.40888005302406</v>
      </c>
      <c r="B64" s="112">
        <v>714.25888005302409</v>
      </c>
      <c r="C64" s="113">
        <v>0.19667968902156199</v>
      </c>
      <c r="F64" s="114"/>
      <c r="G64" s="117"/>
      <c r="H64" s="114"/>
    </row>
    <row r="65" spans="1:8" x14ac:dyDescent="0.25">
      <c r="A65" s="112">
        <f t="shared" si="6"/>
        <v>986.42833498841935</v>
      </c>
      <c r="B65" s="112">
        <v>713.27833498841937</v>
      </c>
      <c r="C65" s="113">
        <v>0.207295828725405</v>
      </c>
      <c r="F65" s="114"/>
      <c r="G65" s="112"/>
      <c r="H65" s="114"/>
    </row>
    <row r="66" spans="1:8" x14ac:dyDescent="0.25">
      <c r="A66" s="112">
        <f t="shared" si="6"/>
        <v>984.47307565246797</v>
      </c>
      <c r="B66" s="112">
        <v>711.32307565246799</v>
      </c>
      <c r="C66" s="113">
        <v>0.21468972678791801</v>
      </c>
      <c r="F66" s="114"/>
      <c r="G66" s="117"/>
      <c r="H66" s="114"/>
    </row>
    <row r="67" spans="1:8" x14ac:dyDescent="0.25">
      <c r="A67" s="112">
        <f t="shared" si="6"/>
        <v>982.52555225849858</v>
      </c>
      <c r="B67" s="112">
        <v>709.3755522584986</v>
      </c>
      <c r="C67" s="113">
        <v>0.21848499364996299</v>
      </c>
      <c r="F67" s="114"/>
      <c r="G67" s="117"/>
      <c r="H67" s="114"/>
    </row>
    <row r="68" spans="1:8" x14ac:dyDescent="0.25">
      <c r="A68" s="112">
        <f t="shared" si="6"/>
        <v>980.58571898650951</v>
      </c>
      <c r="B68" s="112">
        <v>707.43571898650953</v>
      </c>
      <c r="C68" s="113">
        <v>0.234348950913879</v>
      </c>
      <c r="F68" s="114"/>
      <c r="G68" s="112"/>
      <c r="H68" s="114"/>
    </row>
    <row r="69" spans="1:8" x14ac:dyDescent="0.25">
      <c r="A69" s="112">
        <f t="shared" si="6"/>
        <v>978.33223900197117</v>
      </c>
      <c r="B69" s="112">
        <v>705.1822390019712</v>
      </c>
      <c r="C69" s="113">
        <v>0.238491751880024</v>
      </c>
      <c r="F69" s="114"/>
      <c r="G69" s="117"/>
      <c r="H69" s="114"/>
    </row>
    <row r="70" spans="1:8" x14ac:dyDescent="0.25">
      <c r="A70" s="112">
        <f t="shared" si="6"/>
        <v>977.36962938669126</v>
      </c>
      <c r="B70" s="112">
        <v>704.21962938669128</v>
      </c>
      <c r="C70" s="113">
        <v>0.24699835673065401</v>
      </c>
      <c r="F70" s="114"/>
      <c r="G70" s="117"/>
      <c r="H70" s="114"/>
    </row>
    <row r="71" spans="1:8" x14ac:dyDescent="0.25">
      <c r="A71" s="112">
        <f t="shared" si="6"/>
        <v>975.45008183306948</v>
      </c>
      <c r="B71" s="112">
        <v>702.3000818330695</v>
      </c>
      <c r="C71" s="113">
        <v>0.25580837805382201</v>
      </c>
      <c r="F71" s="114"/>
      <c r="G71" s="112"/>
      <c r="H71" s="114"/>
    </row>
    <row r="72" spans="1:8" x14ac:dyDescent="0.25">
      <c r="A72" s="112">
        <f t="shared" si="6"/>
        <v>974.1745668519161</v>
      </c>
      <c r="B72" s="112">
        <v>701.02456685191612</v>
      </c>
      <c r="C72" s="113">
        <v>0.26033053696094199</v>
      </c>
      <c r="F72" s="114"/>
      <c r="G72" s="117"/>
      <c r="H72" s="114"/>
    </row>
    <row r="73" spans="1:8" x14ac:dyDescent="0.25">
      <c r="A73" s="112">
        <f t="shared" si="6"/>
        <v>972.90238328436988</v>
      </c>
      <c r="B73" s="112">
        <v>699.7523832843699</v>
      </c>
      <c r="C73" s="113">
        <v>0.27438234558085001</v>
      </c>
      <c r="F73" s="114"/>
      <c r="G73" s="117"/>
      <c r="H73" s="114"/>
    </row>
    <row r="74" spans="1:8" x14ac:dyDescent="0.25">
      <c r="A74" s="112">
        <f t="shared" si="6"/>
        <v>971.3168187744476</v>
      </c>
      <c r="B74" s="112">
        <v>698.16681877444762</v>
      </c>
      <c r="C74" s="113">
        <v>0.28416910832398901</v>
      </c>
      <c r="F74" s="114"/>
      <c r="G74" s="112"/>
      <c r="H74" s="114"/>
    </row>
    <row r="75" spans="1:8" x14ac:dyDescent="0.25">
      <c r="A75" s="112">
        <f t="shared" si="6"/>
        <v>970.36795831977304</v>
      </c>
      <c r="B75" s="112">
        <v>697.21795831977306</v>
      </c>
      <c r="C75" s="113">
        <v>0.28919262582608302</v>
      </c>
      <c r="F75" s="114"/>
      <c r="G75" s="117"/>
      <c r="H75" s="114"/>
    </row>
    <row r="76" spans="1:8" x14ac:dyDescent="0.25">
      <c r="A76" s="112">
        <f t="shared" si="6"/>
        <v>969.10569105691286</v>
      </c>
      <c r="B76" s="112">
        <v>695.95569105691288</v>
      </c>
      <c r="C76" s="113">
        <v>0.304802317565806</v>
      </c>
      <c r="F76" s="114"/>
      <c r="G76" s="117"/>
      <c r="H76" s="114"/>
    </row>
    <row r="77" spans="1:8" x14ac:dyDescent="0.25">
      <c r="A77" s="112">
        <f t="shared" si="6"/>
        <v>967.21843557287002</v>
      </c>
      <c r="B77" s="112">
        <v>694.06843557287004</v>
      </c>
      <c r="C77" s="113">
        <v>0.31567411020705799</v>
      </c>
      <c r="F77" s="114"/>
      <c r="G77" s="112"/>
      <c r="H77" s="114"/>
    </row>
    <row r="78" spans="1:8" x14ac:dyDescent="0.25">
      <c r="A78" s="112">
        <f t="shared" si="6"/>
        <v>966.27756160830131</v>
      </c>
      <c r="B78" s="112">
        <v>693.12756160830133</v>
      </c>
      <c r="C78" s="113">
        <v>0.32125457047220102</v>
      </c>
      <c r="F78" s="114"/>
      <c r="G78" s="117"/>
      <c r="H78" s="114"/>
    </row>
    <row r="79" spans="1:8" x14ac:dyDescent="0.25">
      <c r="A79" s="112">
        <f t="shared" si="6"/>
        <v>965.02590673575605</v>
      </c>
      <c r="B79" s="112">
        <v>691.87590673575608</v>
      </c>
      <c r="C79" s="113">
        <v>0.32693368164270498</v>
      </c>
      <c r="F79" s="114"/>
      <c r="G79" s="117"/>
      <c r="H79" s="114"/>
    </row>
    <row r="80" spans="1:8" x14ac:dyDescent="0.25">
      <c r="A80" s="112">
        <f t="shared" si="6"/>
        <v>963.77749029755091</v>
      </c>
      <c r="B80" s="112">
        <v>690.62749029755093</v>
      </c>
      <c r="C80" s="113">
        <v>0.33271318766094499</v>
      </c>
      <c r="F80" s="114"/>
      <c r="G80" s="112"/>
      <c r="H80" s="114"/>
    </row>
    <row r="81" spans="1:8" x14ac:dyDescent="0.25">
      <c r="A81" s="112">
        <f t="shared" si="6"/>
        <v>962.22150468195298</v>
      </c>
      <c r="B81" s="112">
        <v>689.071504681953</v>
      </c>
      <c r="C81" s="113">
        <v>0.34458051470145801</v>
      </c>
      <c r="F81" s="114"/>
      <c r="G81" s="117"/>
      <c r="H81" s="114"/>
    </row>
    <row r="82" spans="1:8" x14ac:dyDescent="0.25">
      <c r="A82" s="112">
        <f t="shared" si="6"/>
        <v>960.98032892615981</v>
      </c>
      <c r="B82" s="112">
        <v>687.83032892615984</v>
      </c>
      <c r="C82" s="113">
        <v>0.350671979944435</v>
      </c>
      <c r="F82" s="114"/>
      <c r="G82" s="117"/>
      <c r="H82" s="114"/>
    </row>
    <row r="83" spans="1:8" x14ac:dyDescent="0.25">
      <c r="A83" s="112">
        <f t="shared" si="6"/>
        <v>960.05154639175589</v>
      </c>
      <c r="B83" s="112">
        <v>686.90154639175591</v>
      </c>
      <c r="C83" s="113">
        <v>0.356871129595623</v>
      </c>
      <c r="F83" s="114"/>
      <c r="G83" s="112"/>
      <c r="H83" s="114"/>
    </row>
    <row r="84" spans="1:8" x14ac:dyDescent="0.25">
      <c r="A84" s="112">
        <f t="shared" si="6"/>
        <v>958.19935691318835</v>
      </c>
      <c r="B84" s="112">
        <v>685.04935691318838</v>
      </c>
      <c r="C84" s="113">
        <v>0.37613389021367599</v>
      </c>
      <c r="F84" s="114"/>
      <c r="G84" s="117"/>
      <c r="H84" s="114"/>
    </row>
    <row r="85" spans="1:8" x14ac:dyDescent="0.25">
      <c r="A85" s="112">
        <f t="shared" si="6"/>
        <v>956.66131621188617</v>
      </c>
      <c r="B85" s="112">
        <v>683.5113162118862</v>
      </c>
      <c r="C85" s="113">
        <v>0.40344456203683998</v>
      </c>
      <c r="F85" s="114"/>
      <c r="G85" s="117"/>
      <c r="H85" s="114"/>
    </row>
    <row r="86" spans="1:8" x14ac:dyDescent="0.25">
      <c r="A86" s="112">
        <f t="shared" si="6"/>
        <v>955.74085952534108</v>
      </c>
      <c r="B86" s="112">
        <v>682.5908595253411</v>
      </c>
      <c r="C86" s="113">
        <v>0.40344456203683998</v>
      </c>
      <c r="F86" s="114"/>
      <c r="G86" s="112"/>
      <c r="H86" s="114"/>
    </row>
    <row r="87" spans="1:8" x14ac:dyDescent="0.25">
      <c r="A87" s="112">
        <f t="shared" si="6"/>
        <v>955.12820512820713</v>
      </c>
      <c r="B87" s="112">
        <v>681.97820512820715</v>
      </c>
      <c r="C87" s="113">
        <v>0.41783475977461898</v>
      </c>
      <c r="F87" s="114"/>
      <c r="G87" s="117"/>
      <c r="H87" s="114"/>
    </row>
    <row r="88" spans="1:8" x14ac:dyDescent="0.25">
      <c r="A88" s="112">
        <f t="shared" si="6"/>
        <v>953.6000000000048</v>
      </c>
      <c r="B88" s="112">
        <v>680.45000000000482</v>
      </c>
      <c r="C88" s="113">
        <v>0.42522120737650998</v>
      </c>
      <c r="F88" s="114"/>
      <c r="G88" s="117"/>
      <c r="H88" s="114"/>
    </row>
    <row r="89" spans="1:8" x14ac:dyDescent="0.25">
      <c r="A89" s="112">
        <f t="shared" si="6"/>
        <v>952.68542199488616</v>
      </c>
      <c r="B89" s="112">
        <v>679.53542199488618</v>
      </c>
      <c r="C89" s="113">
        <v>0.44038814190043202</v>
      </c>
      <c r="F89" s="114"/>
      <c r="G89" s="112"/>
      <c r="H89" s="114"/>
    </row>
    <row r="90" spans="1:8" x14ac:dyDescent="0.25">
      <c r="A90" s="112">
        <f t="shared" si="6"/>
        <v>950.86151882578474</v>
      </c>
      <c r="B90" s="112">
        <v>677.71151882578476</v>
      </c>
      <c r="C90" s="113">
        <v>0.45609605579900098</v>
      </c>
      <c r="F90" s="114"/>
      <c r="G90" s="117"/>
      <c r="H90" s="114"/>
    </row>
    <row r="91" spans="1:8" x14ac:dyDescent="0.25">
      <c r="A91" s="112">
        <f t="shared" si="6"/>
        <v>949.64945825367192</v>
      </c>
      <c r="B91" s="112">
        <v>676.49945825367195</v>
      </c>
      <c r="C91" s="113">
        <v>0.46415888336127697</v>
      </c>
      <c r="F91" s="114"/>
      <c r="G91" s="117"/>
      <c r="H91" s="114"/>
    </row>
    <row r="92" spans="1:8" x14ac:dyDescent="0.25">
      <c r="A92" s="112">
        <f t="shared" si="6"/>
        <v>948.44048376830278</v>
      </c>
      <c r="B92" s="112">
        <v>675.29048376830281</v>
      </c>
      <c r="C92" s="113">
        <v>0.47236424490838602</v>
      </c>
      <c r="F92" s="114"/>
      <c r="G92" s="112"/>
      <c r="H92" s="114"/>
    </row>
    <row r="93" spans="1:8" x14ac:dyDescent="0.25">
      <c r="A93" s="112">
        <f t="shared" si="6"/>
        <v>947.53577106519049</v>
      </c>
      <c r="B93" s="112">
        <v>674.38577106519051</v>
      </c>
      <c r="C93" s="113">
        <v>0.48071466014407599</v>
      </c>
      <c r="F93" s="114"/>
      <c r="G93" s="117"/>
      <c r="H93" s="114"/>
    </row>
    <row r="94" spans="1:8" x14ac:dyDescent="0.25">
      <c r="A94" s="112">
        <f t="shared" si="6"/>
        <v>946.63278271919091</v>
      </c>
      <c r="B94" s="112">
        <v>673.48278271919094</v>
      </c>
      <c r="C94" s="113">
        <v>0.49786095399916902</v>
      </c>
      <c r="F94" s="114"/>
      <c r="G94" s="117"/>
      <c r="H94" s="114"/>
    </row>
    <row r="95" spans="1:8" x14ac:dyDescent="0.25">
      <c r="A95" s="112">
        <f t="shared" si="6"/>
        <v>945.73151380514162</v>
      </c>
      <c r="B95" s="112">
        <v>672.58151380514164</v>
      </c>
      <c r="C95" s="113">
        <v>0.51561882769015999</v>
      </c>
      <c r="F95" s="114"/>
      <c r="G95" s="112"/>
      <c r="H95" s="114"/>
    </row>
    <row r="96" spans="1:8" x14ac:dyDescent="0.25">
      <c r="A96" s="112">
        <f t="shared" si="6"/>
        <v>944.83195941661961</v>
      </c>
      <c r="B96" s="112">
        <v>671.68195941661963</v>
      </c>
      <c r="C96" s="113">
        <v>0.52473389378790503</v>
      </c>
      <c r="F96" s="114"/>
      <c r="G96" s="117"/>
      <c r="H96" s="114"/>
    </row>
    <row r="97" spans="1:8" x14ac:dyDescent="0.25">
      <c r="A97" s="112">
        <f t="shared" si="6"/>
        <v>943.63521215959554</v>
      </c>
      <c r="B97" s="112">
        <v>670.48521215959556</v>
      </c>
      <c r="C97" s="113">
        <v>0.53401009525446397</v>
      </c>
      <c r="F97" s="114"/>
      <c r="G97" s="117"/>
      <c r="H97" s="114"/>
    </row>
    <row r="98" spans="1:8" x14ac:dyDescent="0.25">
      <c r="A98" s="112">
        <f t="shared" si="6"/>
        <v>942.14353461903636</v>
      </c>
      <c r="B98" s="112">
        <v>668.99353461903638</v>
      </c>
      <c r="C98" s="113">
        <v>0.55305734879999702</v>
      </c>
      <c r="F98" s="114"/>
      <c r="G98" s="112"/>
      <c r="H98" s="114"/>
    </row>
    <row r="99" spans="1:8" x14ac:dyDescent="0.25">
      <c r="A99" s="112">
        <f t="shared" si="6"/>
        <v>940.95358383328869</v>
      </c>
      <c r="B99" s="112">
        <v>667.80358383328871</v>
      </c>
      <c r="C99" s="113">
        <v>0.56283424991266395</v>
      </c>
      <c r="F99" s="114"/>
      <c r="G99" s="117"/>
      <c r="H99" s="114"/>
    </row>
    <row r="100" spans="1:8" x14ac:dyDescent="0.25">
      <c r="A100" s="112">
        <f t="shared" si="6"/>
        <v>939.76663513087681</v>
      </c>
      <c r="B100" s="112">
        <v>666.61663513087683</v>
      </c>
      <c r="C100" s="113">
        <v>0.57278398625765403</v>
      </c>
      <c r="F100" s="114"/>
      <c r="G100" s="117"/>
      <c r="H100" s="114"/>
    </row>
    <row r="101" spans="1:8" x14ac:dyDescent="0.25">
      <c r="A101" s="112">
        <f t="shared" si="6"/>
        <v>938.87838689351815</v>
      </c>
      <c r="B101" s="112">
        <v>665.72838689351818</v>
      </c>
      <c r="C101" s="113">
        <v>0.57278398625765403</v>
      </c>
      <c r="F101" s="114"/>
      <c r="G101" s="112"/>
      <c r="H101" s="114"/>
    </row>
    <row r="102" spans="1:8" x14ac:dyDescent="0.25">
      <c r="A102" s="112">
        <f t="shared" ref="A102:A163" si="8">B102+273.15</f>
        <v>937.99181617878992</v>
      </c>
      <c r="B102" s="112">
        <v>664.84181617878994</v>
      </c>
      <c r="C102" s="113">
        <v>0.60370103137037601</v>
      </c>
      <c r="F102" s="114"/>
      <c r="G102" s="117"/>
      <c r="H102" s="114"/>
    </row>
    <row r="103" spans="1:8" x14ac:dyDescent="0.25">
      <c r="A103" s="112">
        <f t="shared" si="8"/>
        <v>936.51791326210707</v>
      </c>
      <c r="B103" s="112">
        <v>663.36791326210709</v>
      </c>
      <c r="C103" s="113">
        <v>0.63628687955971197</v>
      </c>
      <c r="F103" s="114"/>
      <c r="G103" s="117"/>
      <c r="H103" s="114"/>
    </row>
    <row r="104" spans="1:8" x14ac:dyDescent="0.25">
      <c r="A104" s="112">
        <f t="shared" si="8"/>
        <v>935.34212178280291</v>
      </c>
      <c r="B104" s="112">
        <v>662.19212178280293</v>
      </c>
      <c r="C104" s="113">
        <v>0.64753510528936098</v>
      </c>
      <c r="F104" s="114"/>
      <c r="G104" s="112"/>
      <c r="H104" s="119"/>
    </row>
    <row r="105" spans="1:8" x14ac:dyDescent="0.25">
      <c r="A105" s="112">
        <f t="shared" si="8"/>
        <v>933.87652773425862</v>
      </c>
      <c r="B105" s="112">
        <v>660.72652773425864</v>
      </c>
      <c r="C105" s="113">
        <v>0.67063160747103201</v>
      </c>
      <c r="F105" s="114"/>
      <c r="G105" s="117"/>
    </row>
    <row r="106" spans="1:8" x14ac:dyDescent="0.25">
      <c r="A106" s="112">
        <f t="shared" si="8"/>
        <v>933.29157532101829</v>
      </c>
      <c r="B106" s="112">
        <v>660.14157532101831</v>
      </c>
      <c r="C106" s="113">
        <v>0.69455192354120299</v>
      </c>
      <c r="F106" s="114"/>
      <c r="G106" s="117"/>
    </row>
    <row r="107" spans="1:8" x14ac:dyDescent="0.25">
      <c r="A107" s="112">
        <f t="shared" si="8"/>
        <v>932.41551939924909</v>
      </c>
      <c r="B107" s="112">
        <v>659.26551939924911</v>
      </c>
      <c r="C107" s="113">
        <v>0.70683015379853398</v>
      </c>
      <c r="F107" s="114"/>
      <c r="G107" s="112"/>
    </row>
    <row r="108" spans="1:8" x14ac:dyDescent="0.25">
      <c r="A108" s="112">
        <f t="shared" si="8"/>
        <v>931.54110659581647</v>
      </c>
      <c r="B108" s="112">
        <v>658.3911065958165</v>
      </c>
      <c r="C108" s="113">
        <v>0.71932543757359801</v>
      </c>
      <c r="F108" s="114"/>
      <c r="G108" s="117"/>
    </row>
    <row r="109" spans="1:8" x14ac:dyDescent="0.25">
      <c r="A109" s="112">
        <f t="shared" si="8"/>
        <v>930.37777083983826</v>
      </c>
      <c r="B109" s="112">
        <v>657.22777083983829</v>
      </c>
      <c r="C109" s="113">
        <v>0.71932543757359801</v>
      </c>
      <c r="F109" s="114"/>
      <c r="G109" s="117"/>
    </row>
    <row r="110" spans="1:8" x14ac:dyDescent="0.25">
      <c r="A110" s="112">
        <f t="shared" si="8"/>
        <v>928.63820504830392</v>
      </c>
      <c r="B110" s="112">
        <v>655.48820504830394</v>
      </c>
      <c r="C110" s="113">
        <v>0.74498258172306697</v>
      </c>
      <c r="F110" s="114"/>
      <c r="G110" s="112"/>
    </row>
    <row r="111" spans="1:8" x14ac:dyDescent="0.25">
      <c r="A111" s="112">
        <f t="shared" si="8"/>
        <v>927.77085927771589</v>
      </c>
      <c r="B111" s="112">
        <v>654.62085927771591</v>
      </c>
      <c r="C111" s="113">
        <v>0.77155487360890296</v>
      </c>
      <c r="F111" s="114"/>
      <c r="G111" s="117"/>
    </row>
    <row r="112" spans="1:8" x14ac:dyDescent="0.25">
      <c r="A112" s="112">
        <f t="shared" si="8"/>
        <v>926.61691542288827</v>
      </c>
      <c r="B112" s="112">
        <v>653.46691542288829</v>
      </c>
      <c r="C112" s="113">
        <v>0.79907495503155401</v>
      </c>
      <c r="F112" s="114"/>
      <c r="G112" s="117"/>
    </row>
    <row r="113" spans="1:7" x14ac:dyDescent="0.25">
      <c r="A113" s="112">
        <f t="shared" si="8"/>
        <v>925.46583850932348</v>
      </c>
      <c r="B113" s="112">
        <v>652.3158385093235</v>
      </c>
      <c r="C113" s="113">
        <v>0.81320093461378695</v>
      </c>
      <c r="F113" s="114"/>
      <c r="G113" s="112"/>
    </row>
    <row r="114" spans="1:7" x14ac:dyDescent="0.25">
      <c r="A114" s="112">
        <f t="shared" si="8"/>
        <v>924.89137181875049</v>
      </c>
      <c r="B114" s="112">
        <v>651.74137181875051</v>
      </c>
      <c r="C114" s="113">
        <v>0.85709491661113402</v>
      </c>
      <c r="F114" s="114"/>
      <c r="G114" s="117"/>
    </row>
    <row r="115" spans="1:7" x14ac:dyDescent="0.25">
      <c r="A115" s="112">
        <f t="shared" si="8"/>
        <v>923.74457532548888</v>
      </c>
      <c r="B115" s="112">
        <v>650.5945753254889</v>
      </c>
      <c r="C115" s="113">
        <v>0.87224656817504298</v>
      </c>
      <c r="F115" s="114"/>
      <c r="G115" s="117"/>
    </row>
    <row r="116" spans="1:7" x14ac:dyDescent="0.25">
      <c r="A116" s="112">
        <f t="shared" si="8"/>
        <v>922.88634252090912</v>
      </c>
      <c r="B116" s="112">
        <v>649.73634252090915</v>
      </c>
      <c r="C116" s="113">
        <v>0.88766606935591497</v>
      </c>
      <c r="F116" s="114"/>
      <c r="G116" s="112"/>
    </row>
    <row r="117" spans="1:7" x14ac:dyDescent="0.25">
      <c r="A117" s="112">
        <f t="shared" si="8"/>
        <v>921.74450974327283</v>
      </c>
      <c r="B117" s="112">
        <v>648.59450974327285</v>
      </c>
      <c r="C117" s="113">
        <v>0.91932764436552605</v>
      </c>
      <c r="F117" s="114"/>
      <c r="G117" s="117"/>
    </row>
    <row r="118" spans="1:7" x14ac:dyDescent="0.25">
      <c r="A118" s="112">
        <f t="shared" si="8"/>
        <v>920.03704847175243</v>
      </c>
      <c r="B118" s="112">
        <v>646.88704847175245</v>
      </c>
      <c r="C118" s="113">
        <v>0.935579440835831</v>
      </c>
      <c r="F118" s="114"/>
      <c r="G118" s="117"/>
    </row>
    <row r="119" spans="1:7" x14ac:dyDescent="0.25">
      <c r="A119" s="112">
        <f t="shared" si="8"/>
        <v>918.90225100216435</v>
      </c>
      <c r="B119" s="112">
        <v>645.75225100216437</v>
      </c>
      <c r="C119" s="114">
        <v>0.95211853519185596</v>
      </c>
      <c r="F119" s="114"/>
      <c r="G119" s="112"/>
    </row>
    <row r="120" spans="1:7" x14ac:dyDescent="0.25">
      <c r="A120" s="112">
        <f t="shared" si="8"/>
        <v>918.0529882932866</v>
      </c>
      <c r="B120" s="112">
        <v>644.90298829328663</v>
      </c>
      <c r="C120" s="113">
        <v>0.98607902265522296</v>
      </c>
      <c r="F120" s="114"/>
      <c r="G120" s="117"/>
    </row>
    <row r="121" spans="1:7" x14ac:dyDescent="0.25">
      <c r="A121" s="112">
        <f t="shared" si="8"/>
        <v>917.48768472906431</v>
      </c>
      <c r="B121" s="112">
        <v>644.33768472906434</v>
      </c>
      <c r="C121" s="113">
        <v>1.00351084435453</v>
      </c>
      <c r="F121" s="114"/>
      <c r="G121" s="117"/>
    </row>
    <row r="122" spans="1:7" x14ac:dyDescent="0.25">
      <c r="A122" s="112">
        <f t="shared" si="8"/>
        <v>916.64103352815039</v>
      </c>
      <c r="B122" s="112">
        <v>643.49103352815041</v>
      </c>
      <c r="C122" s="113">
        <v>1.02125082432593</v>
      </c>
      <c r="F122" s="114"/>
      <c r="G122" s="112"/>
    </row>
    <row r="123" spans="1:7" x14ac:dyDescent="0.25">
      <c r="A123" s="112">
        <f t="shared" si="8"/>
        <v>915.51459293394851</v>
      </c>
      <c r="B123" s="112">
        <v>642.36459293394853</v>
      </c>
      <c r="C123" s="113">
        <v>1.02125082432593</v>
      </c>
      <c r="F123" s="114"/>
      <c r="G123" s="117"/>
    </row>
    <row r="124" spans="1:7" x14ac:dyDescent="0.25">
      <c r="A124" s="112">
        <f t="shared" si="8"/>
        <v>914.11042944785618</v>
      </c>
      <c r="B124" s="112">
        <v>640.9604294478562</v>
      </c>
      <c r="C124" s="113">
        <v>1.0576771457707499</v>
      </c>
      <c r="F124" s="114"/>
      <c r="G124" s="117"/>
    </row>
    <row r="125" spans="1:7" x14ac:dyDescent="0.25">
      <c r="A125" s="112">
        <f t="shared" si="8"/>
        <v>913.54996934396195</v>
      </c>
      <c r="B125" s="112">
        <v>640.39996934396197</v>
      </c>
      <c r="C125" s="113">
        <v>1.11476717065804</v>
      </c>
      <c r="F125" s="114"/>
      <c r="G125" s="112"/>
    </row>
    <row r="126" spans="1:7" x14ac:dyDescent="0.25">
      <c r="A126" s="112">
        <f t="shared" si="8"/>
        <v>912.43110838947223</v>
      </c>
      <c r="B126" s="112">
        <v>639.28110838947225</v>
      </c>
      <c r="C126" s="113">
        <v>1.15452906492268</v>
      </c>
      <c r="F126" s="114"/>
      <c r="G126" s="117"/>
    </row>
    <row r="127" spans="1:7" x14ac:dyDescent="0.25">
      <c r="A127" s="112">
        <f t="shared" si="8"/>
        <v>911.59375955950009</v>
      </c>
      <c r="B127" s="112">
        <v>638.44375955950011</v>
      </c>
      <c r="C127" s="113">
        <v>1.1749387322455001</v>
      </c>
      <c r="F127" s="114"/>
      <c r="G127" s="117"/>
    </row>
    <row r="128" spans="1:7" x14ac:dyDescent="0.25">
      <c r="A128" s="112">
        <f t="shared" si="8"/>
        <v>910.20158827123237</v>
      </c>
      <c r="B128" s="112">
        <v>637.05158827123239</v>
      </c>
      <c r="C128" s="113">
        <v>1.19570919994389</v>
      </c>
      <c r="F128" s="114"/>
      <c r="G128" s="112"/>
    </row>
    <row r="129" spans="1:7" x14ac:dyDescent="0.25">
      <c r="A129" s="112">
        <f t="shared" si="8"/>
        <v>909.36832468721502</v>
      </c>
      <c r="B129" s="112">
        <v>636.21832468721504</v>
      </c>
      <c r="C129" s="113">
        <v>1.2168468462164199</v>
      </c>
      <c r="F129" s="114"/>
      <c r="G129" s="117"/>
    </row>
    <row r="130" spans="1:7" x14ac:dyDescent="0.25">
      <c r="A130" s="112">
        <f t="shared" si="8"/>
        <v>908.53658536585976</v>
      </c>
      <c r="B130" s="112">
        <v>635.38658536585979</v>
      </c>
      <c r="C130" s="113">
        <v>1.2602497530377299</v>
      </c>
      <c r="F130" s="114"/>
      <c r="G130" s="117"/>
    </row>
    <row r="131" spans="1:7" x14ac:dyDescent="0.25">
      <c r="A131" s="112">
        <f t="shared" si="8"/>
        <v>907.42996345919778</v>
      </c>
      <c r="B131" s="112">
        <v>634.2799634591978</v>
      </c>
      <c r="C131" s="113">
        <v>1.2825283417581399</v>
      </c>
      <c r="F131" s="114"/>
      <c r="G131" s="112"/>
    </row>
    <row r="132" spans="1:7" x14ac:dyDescent="0.25">
      <c r="A132" s="112">
        <f t="shared" si="8"/>
        <v>906.87766281193706</v>
      </c>
      <c r="B132" s="112">
        <v>633.72766281193708</v>
      </c>
      <c r="C132" s="113">
        <v>1.30520076948877</v>
      </c>
      <c r="F132" s="114"/>
      <c r="G132" s="117"/>
    </row>
    <row r="133" spans="1:7" x14ac:dyDescent="0.25">
      <c r="A133" s="112">
        <f t="shared" si="8"/>
        <v>906.32603406326575</v>
      </c>
      <c r="B133" s="112">
        <v>633.17603406326577</v>
      </c>
      <c r="C133" s="113">
        <v>1.3282739984823899</v>
      </c>
      <c r="F133" s="114"/>
      <c r="G133" s="117"/>
    </row>
    <row r="134" spans="1:7" x14ac:dyDescent="0.25">
      <c r="A134" s="112">
        <f t="shared" si="8"/>
        <v>905.22478736330595</v>
      </c>
      <c r="B134" s="112">
        <v>632.07478736330597</v>
      </c>
      <c r="C134" s="113">
        <v>1.3282739984823899</v>
      </c>
      <c r="F134" s="114"/>
      <c r="G134" s="112"/>
    </row>
    <row r="135" spans="1:7" x14ac:dyDescent="0.25">
      <c r="A135" s="112">
        <f t="shared" si="8"/>
        <v>904.12621359223783</v>
      </c>
      <c r="B135" s="112">
        <v>630.97621359223785</v>
      </c>
      <c r="C135" s="113">
        <v>1.3999699748337</v>
      </c>
      <c r="F135" s="114"/>
      <c r="G135" s="117"/>
    </row>
    <row r="136" spans="1:7" x14ac:dyDescent="0.25">
      <c r="A136" s="112">
        <f t="shared" si="8"/>
        <v>903.57792601576966</v>
      </c>
      <c r="B136" s="112">
        <v>630.42792601576969</v>
      </c>
      <c r="C136" s="113">
        <v>1.4247185258372299</v>
      </c>
      <c r="F136" s="114"/>
      <c r="G136" s="117"/>
    </row>
    <row r="137" spans="1:7" x14ac:dyDescent="0.25">
      <c r="A137" s="112">
        <f t="shared" si="8"/>
        <v>903.03030303030334</v>
      </c>
      <c r="B137" s="112">
        <v>629.88030303030337</v>
      </c>
      <c r="C137" s="113">
        <v>1.47553587036647</v>
      </c>
      <c r="F137" s="114"/>
      <c r="G137" s="112"/>
    </row>
    <row r="138" spans="1:7" x14ac:dyDescent="0.25">
      <c r="A138" s="112">
        <f t="shared" si="8"/>
        <v>901.66414523449623</v>
      </c>
      <c r="B138" s="112">
        <v>628.51414523449625</v>
      </c>
      <c r="C138" s="113">
        <v>1.50162026889055</v>
      </c>
      <c r="F138" s="114"/>
      <c r="G138" s="117"/>
    </row>
    <row r="139" spans="1:7" x14ac:dyDescent="0.25">
      <c r="A139" s="112">
        <f t="shared" si="8"/>
        <v>900.57419159867709</v>
      </c>
      <c r="B139" s="112">
        <v>627.42419159867711</v>
      </c>
      <c r="C139" s="113">
        <v>1.5281657852092001</v>
      </c>
      <c r="F139" s="114"/>
      <c r="G139" s="117"/>
    </row>
    <row r="140" spans="1:7" x14ac:dyDescent="0.25">
      <c r="A140" s="112">
        <f t="shared" si="8"/>
        <v>899.48686990643171</v>
      </c>
      <c r="B140" s="112">
        <v>626.33686990643173</v>
      </c>
      <c r="C140" s="113">
        <v>1.5826729217393001</v>
      </c>
      <c r="F140" s="114"/>
      <c r="G140" s="112"/>
    </row>
    <row r="141" spans="1:7" x14ac:dyDescent="0.25">
      <c r="A141" s="112">
        <f t="shared" si="8"/>
        <v>898.40217063612317</v>
      </c>
      <c r="B141" s="112">
        <v>625.2521706361232</v>
      </c>
      <c r="C141" s="113">
        <v>1.6391242373378401</v>
      </c>
      <c r="F141" s="114"/>
      <c r="G141" s="117"/>
    </row>
    <row r="142" spans="1:7" x14ac:dyDescent="0.25">
      <c r="A142" s="112">
        <f t="shared" si="8"/>
        <v>897.59036144578602</v>
      </c>
      <c r="B142" s="112">
        <v>624.44036144578604</v>
      </c>
      <c r="C142" s="113">
        <v>1.6681005372000599</v>
      </c>
      <c r="F142" s="114"/>
      <c r="G142" s="117"/>
    </row>
    <row r="143" spans="1:7" x14ac:dyDescent="0.25">
      <c r="A143" s="112">
        <f t="shared" si="8"/>
        <v>896.78001805598126</v>
      </c>
      <c r="B143" s="112">
        <v>623.63001805598128</v>
      </c>
      <c r="C143" s="113">
        <v>1.6975890776445099</v>
      </c>
      <c r="F143" s="114"/>
      <c r="G143" s="112"/>
    </row>
    <row r="144" spans="1:7" x14ac:dyDescent="0.25">
      <c r="A144" s="112">
        <f t="shared" si="8"/>
        <v>895.97113650030508</v>
      </c>
      <c r="B144" s="112">
        <v>622.8211365003051</v>
      </c>
      <c r="C144" s="113">
        <v>1.7275989140169801</v>
      </c>
      <c r="F144" s="114"/>
      <c r="G144" s="117"/>
    </row>
    <row r="145" spans="1:7" x14ac:dyDescent="0.25">
      <c r="A145" s="112">
        <f t="shared" si="8"/>
        <v>894.89489489489506</v>
      </c>
      <c r="B145" s="112">
        <v>621.74489489489508</v>
      </c>
      <c r="C145" s="113">
        <v>1.75813926174284</v>
      </c>
      <c r="F145" s="114"/>
      <c r="G145" s="117"/>
    </row>
    <row r="146" spans="1:7" x14ac:dyDescent="0.25">
      <c r="A146" s="112">
        <f t="shared" si="8"/>
        <v>893.28537170263962</v>
      </c>
      <c r="B146" s="112">
        <v>620.13537170263965</v>
      </c>
      <c r="C146" s="113">
        <v>1.8530379882678101</v>
      </c>
      <c r="F146" s="114"/>
      <c r="G146" s="112"/>
    </row>
    <row r="147" spans="1:7" x14ac:dyDescent="0.25">
      <c r="A147" s="112">
        <f t="shared" si="8"/>
        <v>891.94851840766671</v>
      </c>
      <c r="B147" s="112">
        <v>618.79851840766673</v>
      </c>
      <c r="C147" s="113">
        <v>1.9191327769351001</v>
      </c>
      <c r="F147" s="114"/>
      <c r="G147" s="117"/>
    </row>
    <row r="148" spans="1:7" x14ac:dyDescent="0.25">
      <c r="A148" s="112">
        <f t="shared" si="8"/>
        <v>890.61566049014448</v>
      </c>
      <c r="B148" s="112">
        <v>617.4656604901445</v>
      </c>
      <c r="C148" s="113">
        <v>1.9530590441167699</v>
      </c>
      <c r="F148" s="114"/>
      <c r="G148" s="117"/>
    </row>
    <row r="149" spans="1:7" x14ac:dyDescent="0.25">
      <c r="A149" s="112">
        <f t="shared" si="8"/>
        <v>889.8178560764444</v>
      </c>
      <c r="B149" s="112">
        <v>616.66785607644442</v>
      </c>
      <c r="C149" s="113">
        <v>2.0227214177933601</v>
      </c>
      <c r="F149" s="114"/>
      <c r="G149" s="112"/>
    </row>
    <row r="150" spans="1:7" x14ac:dyDescent="0.25">
      <c r="A150" s="112">
        <f t="shared" si="8"/>
        <v>888.49135360763898</v>
      </c>
      <c r="B150" s="112">
        <v>615.34135360763901</v>
      </c>
      <c r="C150" s="113">
        <v>2.05847891622123</v>
      </c>
      <c r="F150" s="114"/>
      <c r="G150" s="117"/>
    </row>
    <row r="151" spans="1:7" x14ac:dyDescent="0.25">
      <c r="A151" s="112">
        <f t="shared" si="8"/>
        <v>887.43299583085377</v>
      </c>
      <c r="B151" s="112">
        <v>614.28299583085379</v>
      </c>
      <c r="C151" s="113">
        <v>2.0948685326869998</v>
      </c>
      <c r="F151" s="114"/>
      <c r="G151" s="117"/>
    </row>
    <row r="152" spans="1:7" x14ac:dyDescent="0.25">
      <c r="A152" s="112">
        <f t="shared" si="8"/>
        <v>886.37715645449714</v>
      </c>
      <c r="B152" s="112">
        <v>613.22715645449716</v>
      </c>
      <c r="C152" s="113">
        <v>2.1695890153918</v>
      </c>
      <c r="F152" s="114"/>
      <c r="G152" s="112"/>
    </row>
    <row r="153" spans="1:7" x14ac:dyDescent="0.25">
      <c r="A153" s="112">
        <f t="shared" si="8"/>
        <v>885.06088506088554</v>
      </c>
      <c r="B153" s="112">
        <v>611.91088506088556</v>
      </c>
      <c r="C153" s="113">
        <v>2.2079428268087198</v>
      </c>
      <c r="F153" s="114"/>
      <c r="G153" s="117"/>
    </row>
    <row r="154" spans="1:7" x14ac:dyDescent="0.25">
      <c r="A154" s="112">
        <f t="shared" si="8"/>
        <v>884.01067932364685</v>
      </c>
      <c r="B154" s="112">
        <v>610.86067932364688</v>
      </c>
      <c r="C154" s="113">
        <v>2.36825914904446</v>
      </c>
      <c r="F154" s="114"/>
      <c r="G154" s="117"/>
    </row>
    <row r="155" spans="1:7" x14ac:dyDescent="0.25">
      <c r="A155" s="112">
        <f t="shared" si="8"/>
        <v>882.96296296297055</v>
      </c>
      <c r="B155" s="112">
        <v>609.81296296297057</v>
      </c>
      <c r="C155" s="113">
        <v>2.41012503430865</v>
      </c>
      <c r="F155" s="114"/>
      <c r="G155" s="112"/>
    </row>
    <row r="156" spans="1:7" x14ac:dyDescent="0.25">
      <c r="A156" s="112">
        <f t="shared" si="8"/>
        <v>881.91772713821001</v>
      </c>
      <c r="B156" s="112">
        <v>608.76772713821003</v>
      </c>
      <c r="C156" s="113">
        <v>2.5402158647103001</v>
      </c>
      <c r="F156" s="114"/>
      <c r="G156" s="117"/>
    </row>
    <row r="157" spans="1:7" x14ac:dyDescent="0.25">
      <c r="A157" s="112">
        <f t="shared" si="8"/>
        <v>881.13542282672995</v>
      </c>
      <c r="B157" s="112">
        <v>607.98542282672997</v>
      </c>
      <c r="C157" s="113">
        <v>2.5851215862742301</v>
      </c>
      <c r="F157" s="114"/>
      <c r="G157" s="117"/>
    </row>
    <row r="158" spans="1:7" x14ac:dyDescent="0.25">
      <c r="A158" s="112">
        <f t="shared" si="8"/>
        <v>880.35450516987203</v>
      </c>
      <c r="B158" s="112">
        <v>607.20450516987205</v>
      </c>
      <c r="C158" s="113">
        <v>2.6308211473921999</v>
      </c>
      <c r="F158" s="114"/>
      <c r="G158" s="112"/>
    </row>
    <row r="159" spans="1:7" x14ac:dyDescent="0.25">
      <c r="A159" s="112">
        <f t="shared" si="8"/>
        <v>878.53773584906196</v>
      </c>
      <c r="B159" s="112">
        <v>605.38773584906198</v>
      </c>
      <c r="C159" s="113">
        <v>2.7246581700864101</v>
      </c>
      <c r="F159" s="114"/>
      <c r="G159" s="117"/>
    </row>
    <row r="160" spans="1:7" x14ac:dyDescent="0.25">
      <c r="A160" s="112">
        <f t="shared" si="8"/>
        <v>877.50294464075512</v>
      </c>
      <c r="B160" s="112">
        <v>604.35294464075514</v>
      </c>
      <c r="C160" s="113">
        <v>2.8717264917964598</v>
      </c>
      <c r="F160" s="114"/>
      <c r="G160" s="117"/>
    </row>
    <row r="161" spans="1:7" x14ac:dyDescent="0.25">
      <c r="A161" s="112">
        <f t="shared" si="8"/>
        <v>875.69791360564375</v>
      </c>
      <c r="B161" s="112">
        <v>602.54791360564377</v>
      </c>
      <c r="C161" s="113">
        <v>2.97415620817964</v>
      </c>
      <c r="F161" s="114"/>
      <c r="G161" s="112"/>
    </row>
    <row r="162" spans="1:7" x14ac:dyDescent="0.25">
      <c r="A162" s="112">
        <f t="shared" si="8"/>
        <v>874.66979747579035</v>
      </c>
      <c r="B162" s="112">
        <v>601.51979747579037</v>
      </c>
      <c r="C162" s="113">
        <v>3.0802394224945799</v>
      </c>
      <c r="F162" s="114"/>
      <c r="G162" s="117"/>
    </row>
    <row r="163" spans="1:7" x14ac:dyDescent="0.25">
      <c r="A163" s="112">
        <f t="shared" si="8"/>
        <v>873.64409264145525</v>
      </c>
      <c r="B163" s="112">
        <v>600.49409264145527</v>
      </c>
      <c r="C163" s="113">
        <v>3.1901064489470299</v>
      </c>
      <c r="F163" s="114"/>
      <c r="G163" s="117"/>
    </row>
    <row r="164" spans="1:7" x14ac:dyDescent="0.25">
      <c r="F164" s="114"/>
      <c r="G164" s="112"/>
    </row>
    <row r="165" spans="1:7" x14ac:dyDescent="0.25">
      <c r="F165" s="114"/>
      <c r="G165" s="117"/>
    </row>
    <row r="166" spans="1:7" x14ac:dyDescent="0.25">
      <c r="F166" s="114"/>
      <c r="G166" s="117"/>
    </row>
    <row r="167" spans="1:7" x14ac:dyDescent="0.25">
      <c r="F167" s="114"/>
      <c r="G167" s="112"/>
    </row>
    <row r="168" spans="1:7" x14ac:dyDescent="0.25">
      <c r="F168" s="114"/>
      <c r="G168" s="117"/>
    </row>
    <row r="169" spans="1:7" x14ac:dyDescent="0.25">
      <c r="F169" s="114"/>
      <c r="G169" s="117"/>
    </row>
    <row r="170" spans="1:7" x14ac:dyDescent="0.25">
      <c r="F170" s="114"/>
      <c r="G170" s="112"/>
    </row>
    <row r="171" spans="1:7" x14ac:dyDescent="0.25">
      <c r="F171" s="114"/>
      <c r="G171" s="117"/>
    </row>
    <row r="172" spans="1:7" x14ac:dyDescent="0.25">
      <c r="F172" s="114"/>
      <c r="G172" s="117"/>
    </row>
    <row r="173" spans="1:7" x14ac:dyDescent="0.25">
      <c r="F173" s="114"/>
      <c r="G173" s="112"/>
    </row>
    <row r="174" spans="1:7" x14ac:dyDescent="0.25">
      <c r="F174" s="114"/>
      <c r="G174" s="117"/>
    </row>
    <row r="175" spans="1:7" x14ac:dyDescent="0.25">
      <c r="F175" s="114"/>
      <c r="G175" s="117"/>
    </row>
    <row r="176" spans="1:7" x14ac:dyDescent="0.25">
      <c r="F176" s="114"/>
      <c r="G176" s="112"/>
    </row>
    <row r="177" spans="6:7" x14ac:dyDescent="0.25">
      <c r="F177" s="114"/>
      <c r="G177" s="117"/>
    </row>
    <row r="178" spans="6:7" x14ac:dyDescent="0.25">
      <c r="F178" s="114"/>
      <c r="G178" s="117"/>
    </row>
    <row r="179" spans="6:7" x14ac:dyDescent="0.25">
      <c r="F179" s="114"/>
      <c r="G179" s="112"/>
    </row>
    <row r="180" spans="6:7" x14ac:dyDescent="0.25">
      <c r="F180" s="114"/>
      <c r="G180" s="117"/>
    </row>
    <row r="181" spans="6:7" x14ac:dyDescent="0.25">
      <c r="F181" s="114"/>
      <c r="G181" s="117"/>
    </row>
    <row r="182" spans="6:7" x14ac:dyDescent="0.25">
      <c r="F182" s="114"/>
      <c r="G182" s="112"/>
    </row>
    <row r="183" spans="6:7" x14ac:dyDescent="0.25">
      <c r="F183" s="119"/>
    </row>
  </sheetData>
  <sortState ref="E59:G185">
    <sortCondition descending="1" ref="E59"/>
  </sortState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5"/>
  <sheetViews>
    <sheetView workbookViewId="0">
      <selection activeCell="F23" sqref="F23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167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4"/>
      <c r="E4" s="135"/>
      <c r="H4" s="1" t="s">
        <v>17</v>
      </c>
    </row>
    <row r="5" spans="1:19" ht="45" x14ac:dyDescent="0.25">
      <c r="A5" s="136" t="s">
        <v>16</v>
      </c>
      <c r="B5" s="115" t="s">
        <v>14</v>
      </c>
      <c r="C5" s="142" t="s">
        <v>157</v>
      </c>
      <c r="D5" s="142" t="s">
        <v>40</v>
      </c>
      <c r="E5" s="137" t="s">
        <v>9</v>
      </c>
      <c r="H5" s="35" t="s">
        <v>143</v>
      </c>
    </row>
    <row r="6" spans="1:19" x14ac:dyDescent="0.25">
      <c r="A6" s="138">
        <f>B6+273.15</f>
        <v>1022.9132569558101</v>
      </c>
      <c r="B6" s="139">
        <v>749.76325695581011</v>
      </c>
      <c r="C6" s="140">
        <f>'BSCF,Bucher (Solid State Ionics'!C58</f>
        <v>2.3117403678565648E-5</v>
      </c>
      <c r="D6" s="140">
        <f t="shared" ref="D6:D16" si="0">C6/E49</f>
        <v>19.833677083380653</v>
      </c>
      <c r="E6" s="157">
        <f t="shared" ref="E6:E16" si="1">D6*D20</f>
        <v>6.8094963530370794E-5</v>
      </c>
    </row>
    <row r="7" spans="1:19" x14ac:dyDescent="0.25">
      <c r="A7" s="138">
        <f t="shared" ref="A7:A16" si="2">B7+273.15</f>
        <v>998.15</v>
      </c>
      <c r="B7" s="139">
        <v>725</v>
      </c>
      <c r="C7" s="140">
        <f>'BSCF,Bucher (Solid State Ionics'!C59</f>
        <v>1.6399999999999999E-5</v>
      </c>
      <c r="D7" s="140">
        <f t="shared" si="0"/>
        <v>16.550133858349387</v>
      </c>
      <c r="E7" s="157">
        <f t="shared" si="1"/>
        <v>3.540073632300934E-5</v>
      </c>
      <c r="H7" s="111" t="s">
        <v>18</v>
      </c>
    </row>
    <row r="8" spans="1:19" ht="15.75" x14ac:dyDescent="0.25">
      <c r="A8" s="138">
        <f t="shared" si="2"/>
        <v>972.87621123088309</v>
      </c>
      <c r="B8" s="139">
        <v>699.72621123088311</v>
      </c>
      <c r="C8" s="140">
        <f>'BSCF,Bucher (Solid State Ionics'!C60</f>
        <v>1.1287999999999999E-5</v>
      </c>
      <c r="D8" s="140">
        <f t="shared" si="0"/>
        <v>13.512699514226229</v>
      </c>
      <c r="E8" s="157">
        <f t="shared" si="1"/>
        <v>1.9161007911172793E-5</v>
      </c>
      <c r="G8" s="111">
        <v>1</v>
      </c>
      <c r="H8" s="35" t="s">
        <v>139</v>
      </c>
    </row>
    <row r="9" spans="1:19" ht="15.75" x14ac:dyDescent="0.25">
      <c r="A9" s="138">
        <f t="shared" si="2"/>
        <v>948.31673779042205</v>
      </c>
      <c r="B9" s="139">
        <v>675.16673779042208</v>
      </c>
      <c r="C9" s="140">
        <f>'BSCF,Bucher (Solid State Ionics'!C61</f>
        <v>9.0699999999999996E-6</v>
      </c>
      <c r="D9" s="140">
        <f t="shared" si="0"/>
        <v>12.887057238367808</v>
      </c>
      <c r="E9" s="157">
        <f t="shared" si="1"/>
        <v>1.0710175529662717E-5</v>
      </c>
      <c r="G9" s="111">
        <v>2</v>
      </c>
      <c r="H9" s="35" t="s">
        <v>130</v>
      </c>
    </row>
    <row r="10" spans="1:19" ht="16.5" thickBot="1" x14ac:dyDescent="0.3">
      <c r="A10" s="138">
        <f t="shared" si="2"/>
        <v>923.15</v>
      </c>
      <c r="B10" s="139">
        <v>650</v>
      </c>
      <c r="C10" s="140">
        <f>'BSCF,Bucher (Solid State Ionics'!C62</f>
        <v>7.2899999999999997E-6</v>
      </c>
      <c r="D10" s="140">
        <f t="shared" si="0"/>
        <v>12.409368246326963</v>
      </c>
      <c r="E10" s="157">
        <f t="shared" si="1"/>
        <v>5.2329064957936172E-6</v>
      </c>
      <c r="J10" s="2"/>
    </row>
    <row r="11" spans="1:19" ht="19.5" thickBot="1" x14ac:dyDescent="0.3">
      <c r="A11" s="138">
        <f t="shared" si="2"/>
        <v>898.34345466958939</v>
      </c>
      <c r="B11" s="139">
        <v>625.19345466958941</v>
      </c>
      <c r="C11" s="140">
        <f>'BSCF,Bucher (Solid State Ionics'!C63</f>
        <v>4.0779999999999997E-6</v>
      </c>
      <c r="D11" s="140">
        <f t="shared" si="0"/>
        <v>8.3757419910754098</v>
      </c>
      <c r="E11" s="157">
        <f t="shared" si="1"/>
        <v>1.9456848645268177E-6</v>
      </c>
      <c r="H11" s="169" t="s">
        <v>184</v>
      </c>
    </row>
    <row r="12" spans="1:19" x14ac:dyDescent="0.25">
      <c r="A12" s="138">
        <f t="shared" si="2"/>
        <v>873.59133397396693</v>
      </c>
      <c r="B12" s="139">
        <v>600.44133397396695</v>
      </c>
      <c r="C12" s="140">
        <f>'BSCF,Bucher (Solid State Ionics'!C64</f>
        <v>3.7900000000000001E-6</v>
      </c>
      <c r="D12" s="140">
        <f t="shared" si="0"/>
        <v>8.2117063367455874</v>
      </c>
      <c r="E12" s="157">
        <f t="shared" si="1"/>
        <v>8.5557768322552268E-7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si="2"/>
        <v>848.15</v>
      </c>
      <c r="B13" s="139">
        <v>575</v>
      </c>
      <c r="C13" s="140">
        <f>'BSCF,Bucher (Solid State Ionics'!C65</f>
        <v>1.9139999999999998E-6</v>
      </c>
      <c r="D13" s="140">
        <f t="shared" si="0"/>
        <v>5.8600087458508474</v>
      </c>
      <c r="E13" s="157">
        <f t="shared" si="1"/>
        <v>2.6827120038505177E-7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si="2"/>
        <v>823.24853873384382</v>
      </c>
      <c r="B14" s="139">
        <v>550.09853873384384</v>
      </c>
      <c r="C14" s="140">
        <f>'BSCF,Bucher (Solid State Ionics'!C66</f>
        <v>1.539E-6</v>
      </c>
      <c r="D14" s="140">
        <f t="shared" si="0"/>
        <v>5.829430154272881</v>
      </c>
      <c r="E14" s="157">
        <f t="shared" si="1"/>
        <v>1.1488640948040994E-7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2"/>
        <v>797.98269973506967</v>
      </c>
      <c r="B15" s="139">
        <v>524.8326997350697</v>
      </c>
      <c r="C15" s="140">
        <f>'BSCF,Bucher (Solid State Ionics'!C67</f>
        <v>1.0546107670106781E-6</v>
      </c>
      <c r="D15" s="140">
        <f t="shared" si="0"/>
        <v>4.9912747473243924</v>
      </c>
      <c r="E15" s="157">
        <f t="shared" si="1"/>
        <v>3.9810407384659351E-8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6.5" thickBot="1" x14ac:dyDescent="0.3">
      <c r="A16" s="141">
        <f t="shared" si="2"/>
        <v>773.6345350456445</v>
      </c>
      <c r="B16" s="131">
        <v>500.48453504564452</v>
      </c>
      <c r="C16" s="130">
        <f>'BSCF,Bucher (Solid State Ionics'!C68</f>
        <v>6.9131425032459126E-7</v>
      </c>
      <c r="D16" s="130">
        <f t="shared" si="0"/>
        <v>3.8050959853539239</v>
      </c>
      <c r="E16" s="158">
        <f t="shared" si="1"/>
        <v>1.2537791271741178E-8</v>
      </c>
      <c r="J16" s="2"/>
    </row>
    <row r="17" spans="1:8" ht="15.75" thickBot="1" x14ac:dyDescent="0.3">
      <c r="A17" s="112"/>
      <c r="B17" s="112"/>
      <c r="D17" s="114"/>
    </row>
    <row r="18" spans="1:8" ht="15.75" x14ac:dyDescent="0.25">
      <c r="A18" s="133" t="s">
        <v>13</v>
      </c>
      <c r="B18" s="134"/>
      <c r="C18" s="134"/>
      <c r="D18" s="135"/>
    </row>
    <row r="19" spans="1:8" x14ac:dyDescent="0.25">
      <c r="A19" s="136" t="s">
        <v>16</v>
      </c>
      <c r="B19" s="115" t="s">
        <v>14</v>
      </c>
      <c r="C19" s="142"/>
      <c r="D19" s="137" t="s">
        <v>15</v>
      </c>
    </row>
    <row r="20" spans="1:8" x14ac:dyDescent="0.25">
      <c r="A20" s="138">
        <f>B20+273.15</f>
        <v>1023.5205011156373</v>
      </c>
      <c r="B20" s="139">
        <v>750.37050111563735</v>
      </c>
      <c r="C20" s="140"/>
      <c r="D20" s="155">
        <v>3.4332999999999998E-6</v>
      </c>
    </row>
    <row r="21" spans="1:8" x14ac:dyDescent="0.25">
      <c r="A21" s="138">
        <f t="shared" ref="A21:A30" si="3">B21+273.15</f>
        <v>997.98407217420822</v>
      </c>
      <c r="B21" s="139">
        <v>724.83407217420825</v>
      </c>
      <c r="C21" s="140"/>
      <c r="D21" s="155">
        <v>2.1390000000000002E-6</v>
      </c>
    </row>
    <row r="22" spans="1:8" x14ac:dyDescent="0.25">
      <c r="A22" s="138">
        <f t="shared" si="3"/>
        <v>973.0447152968469</v>
      </c>
      <c r="B22" s="139">
        <v>699.89471529684693</v>
      </c>
      <c r="C22" s="140"/>
      <c r="D22" s="155">
        <v>1.418E-6</v>
      </c>
    </row>
    <row r="23" spans="1:8" x14ac:dyDescent="0.25">
      <c r="A23" s="138">
        <f t="shared" si="3"/>
        <v>948.1369109699441</v>
      </c>
      <c r="B23" s="139">
        <v>674.98691096994412</v>
      </c>
      <c r="C23" s="140"/>
      <c r="D23" s="155">
        <v>8.3107999999999995E-7</v>
      </c>
    </row>
    <row r="24" spans="1:8" x14ac:dyDescent="0.25">
      <c r="A24" s="138">
        <f t="shared" si="3"/>
        <v>922.69648821716589</v>
      </c>
      <c r="B24" s="139">
        <v>649.54648821716592</v>
      </c>
      <c r="C24" s="140"/>
      <c r="D24" s="155">
        <v>4.2169000000000001E-7</v>
      </c>
    </row>
    <row r="25" spans="1:8" x14ac:dyDescent="0.25">
      <c r="A25" s="138">
        <f t="shared" si="3"/>
        <v>898.05826332594972</v>
      </c>
      <c r="B25" s="139">
        <v>624.90826332594975</v>
      </c>
      <c r="C25" s="140"/>
      <c r="D25" s="155">
        <v>2.3230000000000001E-7</v>
      </c>
    </row>
    <row r="26" spans="1:8" x14ac:dyDescent="0.25">
      <c r="A26" s="138">
        <f t="shared" si="3"/>
        <v>873.67528984177738</v>
      </c>
      <c r="B26" s="139">
        <v>600.52528984177741</v>
      </c>
      <c r="C26" s="140"/>
      <c r="D26" s="155">
        <v>1.0419E-7</v>
      </c>
    </row>
    <row r="27" spans="1:8" x14ac:dyDescent="0.25">
      <c r="A27" s="138">
        <f t="shared" si="3"/>
        <v>848.62412570499453</v>
      </c>
      <c r="B27" s="139">
        <v>575.47412570499455</v>
      </c>
      <c r="C27" s="140"/>
      <c r="D27" s="155">
        <v>4.5779999999999997E-8</v>
      </c>
    </row>
    <row r="28" spans="1:8" x14ac:dyDescent="0.25">
      <c r="A28" s="138">
        <f t="shared" si="3"/>
        <v>823.59500868480939</v>
      </c>
      <c r="B28" s="139">
        <v>550.44500868480941</v>
      </c>
      <c r="C28" s="140"/>
      <c r="D28" s="155">
        <v>1.9708E-8</v>
      </c>
    </row>
    <row r="29" spans="1:8" x14ac:dyDescent="0.25">
      <c r="A29" s="138">
        <f t="shared" si="3"/>
        <v>798.27444994899031</v>
      </c>
      <c r="B29" s="139">
        <v>525.12444994899033</v>
      </c>
      <c r="C29" s="140"/>
      <c r="D29" s="155">
        <v>7.9759999999999998E-9</v>
      </c>
    </row>
    <row r="30" spans="1:8" ht="15.75" thickBot="1" x14ac:dyDescent="0.3">
      <c r="A30" s="141">
        <f t="shared" si="3"/>
        <v>773.24976462277164</v>
      </c>
      <c r="B30" s="131">
        <v>500.09976462277166</v>
      </c>
      <c r="C30" s="130"/>
      <c r="D30" s="156">
        <v>3.2949999999999999E-9</v>
      </c>
    </row>
    <row r="31" spans="1:8" ht="15.75" thickBot="1" x14ac:dyDescent="0.3">
      <c r="A31" s="112"/>
      <c r="D31" s="114"/>
    </row>
    <row r="32" spans="1:8" ht="15.75" x14ac:dyDescent="0.25">
      <c r="A32" s="133" t="s">
        <v>19</v>
      </c>
      <c r="B32" s="134"/>
      <c r="C32" s="134"/>
      <c r="D32" s="135"/>
      <c r="G32" s="119"/>
      <c r="H32" s="119"/>
    </row>
    <row r="33" spans="1:12" x14ac:dyDescent="0.25">
      <c r="A33" s="136" t="s">
        <v>16</v>
      </c>
      <c r="B33" s="115" t="s">
        <v>14</v>
      </c>
      <c r="C33" s="142"/>
      <c r="D33" s="143" t="s">
        <v>35</v>
      </c>
      <c r="G33" s="119"/>
      <c r="H33" s="114"/>
    </row>
    <row r="34" spans="1:12" x14ac:dyDescent="0.25">
      <c r="A34" s="138">
        <f t="shared" ref="A34:A44" si="4">B34+273.15</f>
        <v>1022.9132569558101</v>
      </c>
      <c r="B34" s="139">
        <v>749.76325695581011</v>
      </c>
      <c r="C34" s="115"/>
      <c r="D34" s="157">
        <f>($C$2*$A$2*A34)/(4*($E$2^2)*D20*D109)</f>
        <v>1.0434598397348831</v>
      </c>
      <c r="G34" s="119"/>
      <c r="H34" s="114"/>
      <c r="K34" s="118"/>
      <c r="L34" s="118"/>
    </row>
    <row r="35" spans="1:12" x14ac:dyDescent="0.25">
      <c r="A35" s="138">
        <f t="shared" si="4"/>
        <v>998.15</v>
      </c>
      <c r="B35" s="139">
        <v>725</v>
      </c>
      <c r="C35" s="115"/>
      <c r="D35" s="157">
        <f>($C$2*$A$2*A35)/(4*($E$2^2)*D21*D114)</f>
        <v>1.6306461840383535</v>
      </c>
      <c r="G35" s="119"/>
      <c r="H35" s="114"/>
      <c r="J35" s="113"/>
      <c r="K35" s="113"/>
      <c r="L35" s="113"/>
    </row>
    <row r="36" spans="1:12" x14ac:dyDescent="0.25">
      <c r="A36" s="138">
        <f t="shared" si="4"/>
        <v>972.87621123088309</v>
      </c>
      <c r="B36" s="139">
        <v>699.72621123088311</v>
      </c>
      <c r="C36" s="115"/>
      <c r="D36" s="157">
        <f>($C$2*$A$2*A36)/(4*($E$2^2)*D22*D118)</f>
        <v>2.3931970360957635</v>
      </c>
      <c r="G36" s="119"/>
      <c r="H36" s="114"/>
      <c r="J36" s="113"/>
      <c r="K36" s="113"/>
      <c r="L36" s="113"/>
    </row>
    <row r="37" spans="1:12" x14ac:dyDescent="0.25">
      <c r="A37" s="138">
        <f t="shared" si="4"/>
        <v>948.31673779042205</v>
      </c>
      <c r="B37" s="139">
        <v>675.16673779042208</v>
      </c>
      <c r="C37" s="115"/>
      <c r="D37" s="157">
        <f>($C$2*$A$2*A37)/(4*($E$2^2)*D23*D122)</f>
        <v>3.9713451245578391</v>
      </c>
      <c r="G37" s="119"/>
      <c r="H37" s="114"/>
      <c r="J37" s="113"/>
      <c r="K37" s="113"/>
      <c r="L37" s="113"/>
    </row>
    <row r="38" spans="1:12" x14ac:dyDescent="0.25">
      <c r="A38" s="138">
        <f t="shared" si="4"/>
        <v>923.15</v>
      </c>
      <c r="B38" s="139">
        <v>650</v>
      </c>
      <c r="C38" s="115"/>
      <c r="D38" s="157">
        <f>($C$2*$A$2*A38)/(4*($E$2^2)*D24*D125)</f>
        <v>7.6055658115542029</v>
      </c>
      <c r="G38" s="119"/>
      <c r="H38" s="114"/>
      <c r="J38" s="113"/>
      <c r="K38" s="113"/>
      <c r="L38" s="113"/>
    </row>
    <row r="39" spans="1:12" x14ac:dyDescent="0.25">
      <c r="A39" s="138">
        <f t="shared" si="4"/>
        <v>898.34345466958939</v>
      </c>
      <c r="B39" s="139">
        <v>625.19345466958941</v>
      </c>
      <c r="C39" s="115"/>
      <c r="D39" s="157">
        <f>($C$2*$A$2*A39)/(4*($E$2^2)*D25*D129)</f>
        <v>13.405393977304891</v>
      </c>
      <c r="G39" s="119"/>
      <c r="H39" s="114"/>
      <c r="J39" s="113"/>
      <c r="K39" s="113"/>
      <c r="L39" s="113"/>
    </row>
    <row r="40" spans="1:12" x14ac:dyDescent="0.25">
      <c r="A40" s="138">
        <f t="shared" si="4"/>
        <v>873.59133397396693</v>
      </c>
      <c r="B40" s="139">
        <v>600.44133397396695</v>
      </c>
      <c r="C40" s="115"/>
      <c r="D40" s="157">
        <f>($C$2*$A$2*A40)/(4*($E$2^2)*D26*D133)</f>
        <v>28.974744984121518</v>
      </c>
      <c r="G40" s="119"/>
      <c r="H40" s="114"/>
      <c r="J40" s="113"/>
      <c r="K40" s="113"/>
      <c r="L40" s="113"/>
    </row>
    <row r="41" spans="1:12" x14ac:dyDescent="0.25">
      <c r="A41" s="138">
        <f t="shared" si="4"/>
        <v>848.15</v>
      </c>
      <c r="B41" s="139">
        <v>575</v>
      </c>
      <c r="C41" s="115"/>
      <c r="D41" s="157">
        <f>($C$2*$A$2*A41)/(4*($E$2^2)*D27*D136)</f>
        <v>63.937748819003495</v>
      </c>
      <c r="G41" s="119"/>
      <c r="H41" s="114"/>
      <c r="J41" s="113"/>
      <c r="K41" s="113"/>
      <c r="L41" s="113"/>
    </row>
    <row r="42" spans="1:12" x14ac:dyDescent="0.25">
      <c r="A42" s="138">
        <f t="shared" si="4"/>
        <v>823.24853873384382</v>
      </c>
      <c r="B42" s="139">
        <v>550.09853873384384</v>
      </c>
      <c r="C42" s="115"/>
      <c r="D42" s="157">
        <f>($C$2*$A$2*A42)/(4*($E$2^2)*D28*D141)</f>
        <v>143.77964652927673</v>
      </c>
      <c r="G42" s="119"/>
      <c r="H42" s="114"/>
      <c r="J42" s="113"/>
      <c r="K42" s="113"/>
      <c r="L42" s="113"/>
    </row>
    <row r="43" spans="1:12" x14ac:dyDescent="0.25">
      <c r="A43" s="138">
        <f t="shared" si="4"/>
        <v>797.98269973506967</v>
      </c>
      <c r="B43" s="139">
        <v>524.8326997350697</v>
      </c>
      <c r="C43" s="115"/>
      <c r="D43" s="157">
        <f>($C$2*$A$2*A43)/(4*($E$2^2)*D29*D146)</f>
        <v>343.30315695315147</v>
      </c>
      <c r="G43" s="119"/>
      <c r="H43" s="114"/>
      <c r="J43" s="113"/>
      <c r="K43" s="113"/>
      <c r="L43" s="113"/>
    </row>
    <row r="44" spans="1:12" ht="15.75" thickBot="1" x14ac:dyDescent="0.3">
      <c r="A44" s="141">
        <f t="shared" si="4"/>
        <v>773.6345350456445</v>
      </c>
      <c r="B44" s="131">
        <v>500.48453504564452</v>
      </c>
      <c r="C44" s="126"/>
      <c r="D44" s="158">
        <f>($C$2*$A$2*A44)/(4*($E$2^2)*D30*D151)</f>
        <v>803.53538523851364</v>
      </c>
      <c r="G44" s="119"/>
      <c r="H44" s="114"/>
      <c r="J44" s="113"/>
      <c r="K44" s="113"/>
      <c r="L44" s="113"/>
    </row>
    <row r="45" spans="1:12" x14ac:dyDescent="0.25">
      <c r="D45" s="113"/>
      <c r="G45" s="119"/>
      <c r="H45" s="114"/>
      <c r="J45" s="113"/>
      <c r="K45" s="113"/>
      <c r="L45" s="113"/>
    </row>
    <row r="46" spans="1:12" s="126" customFormat="1" ht="15.75" thickBot="1" x14ac:dyDescent="0.3">
      <c r="G46" s="128"/>
      <c r="H46" s="129"/>
      <c r="J46" s="130"/>
      <c r="K46" s="130"/>
      <c r="L46" s="130"/>
    </row>
    <row r="47" spans="1:12" ht="60" x14ac:dyDescent="0.25">
      <c r="A47" s="118" t="s">
        <v>26</v>
      </c>
      <c r="G47" s="119"/>
      <c r="H47" s="114"/>
    </row>
    <row r="48" spans="1:12" ht="30" x14ac:dyDescent="0.25">
      <c r="A48" s="111" t="s">
        <v>16</v>
      </c>
      <c r="B48" s="111" t="s">
        <v>14</v>
      </c>
      <c r="C48" s="111" t="s">
        <v>97</v>
      </c>
      <c r="D48" s="118" t="s">
        <v>117</v>
      </c>
      <c r="E48" s="111" t="s">
        <v>99</v>
      </c>
      <c r="F48" s="118"/>
      <c r="G48" s="111" t="s">
        <v>16</v>
      </c>
      <c r="H48" s="111" t="s">
        <v>14</v>
      </c>
      <c r="I48" s="118" t="s">
        <v>160</v>
      </c>
      <c r="J48" s="118" t="s">
        <v>146</v>
      </c>
    </row>
    <row r="49" spans="1:10" x14ac:dyDescent="0.25">
      <c r="A49" s="112">
        <f>B49+273.15</f>
        <v>1023.15</v>
      </c>
      <c r="B49" s="112">
        <v>750</v>
      </c>
      <c r="C49" s="113"/>
      <c r="D49" s="113">
        <v>0.69</v>
      </c>
      <c r="E49" s="114">
        <f>(2*10^-20)*(B49^4.7879)</f>
        <v>1.1655631772857968E-6</v>
      </c>
      <c r="F49" s="113"/>
      <c r="G49" s="112">
        <f>H49+273.15</f>
        <v>1023.5205011156373</v>
      </c>
      <c r="H49" s="112">
        <v>750.37050111563735</v>
      </c>
      <c r="I49" s="113">
        <f>'BSCF,Burriel (Solid State)'!D6</f>
        <v>1.3100574167522376E-3</v>
      </c>
      <c r="J49" s="114">
        <f t="shared" ref="J49:J59" si="5">I49/D20</f>
        <v>381.57382598439921</v>
      </c>
    </row>
    <row r="50" spans="1:10" x14ac:dyDescent="0.25">
      <c r="A50" s="112">
        <f t="shared" ref="A50:A61" si="6">B50+273.15</f>
        <v>998.15</v>
      </c>
      <c r="B50" s="112">
        <v>725</v>
      </c>
      <c r="C50" s="113"/>
      <c r="D50" s="113">
        <v>0.69</v>
      </c>
      <c r="E50" s="114">
        <f>(2*10^-20)*(B50^4.7879)</f>
        <v>9.9092854114447862E-7</v>
      </c>
      <c r="F50" s="113"/>
      <c r="G50" s="112">
        <f t="shared" ref="G50:G59" si="7">H50+273.15</f>
        <v>997.98407217420822</v>
      </c>
      <c r="H50" s="112">
        <v>724.83407217420825</v>
      </c>
      <c r="I50" s="113">
        <f>'BSCF,Burriel (Solid State)'!D7</f>
        <v>9.5152903340117582E-4</v>
      </c>
      <c r="J50" s="114">
        <f t="shared" si="5"/>
        <v>444.84760794818874</v>
      </c>
    </row>
    <row r="51" spans="1:10" x14ac:dyDescent="0.25">
      <c r="A51" s="112">
        <f t="shared" si="6"/>
        <v>971.73230718401692</v>
      </c>
      <c r="B51" s="112">
        <v>698.58230718401694</v>
      </c>
      <c r="C51" s="113">
        <v>5.764E-7</v>
      </c>
      <c r="D51" s="113">
        <v>0.69</v>
      </c>
      <c r="E51" s="114">
        <f>C51/D51</f>
        <v>8.353623188405798E-7</v>
      </c>
      <c r="F51" s="113"/>
      <c r="G51" s="112">
        <f t="shared" si="7"/>
        <v>973.0447152968469</v>
      </c>
      <c r="H51" s="112">
        <v>699.89471529684693</v>
      </c>
      <c r="I51" s="113">
        <f>'BSCF,Burriel (Solid State)'!D8</f>
        <v>6.2739999999999996E-4</v>
      </c>
      <c r="J51" s="114">
        <f t="shared" si="5"/>
        <v>442.45416078984482</v>
      </c>
    </row>
    <row r="52" spans="1:10" x14ac:dyDescent="0.25">
      <c r="A52" s="112">
        <f t="shared" si="6"/>
        <v>948.15</v>
      </c>
      <c r="B52" s="112">
        <v>675</v>
      </c>
      <c r="C52" s="113"/>
      <c r="D52" s="113">
        <v>0.69</v>
      </c>
      <c r="E52" s="114">
        <f>(2*10^-20)*(B52^4.7879)</f>
        <v>7.0380691512694391E-7</v>
      </c>
      <c r="F52" s="113"/>
      <c r="G52" s="112">
        <f t="shared" si="7"/>
        <v>948.1369109699441</v>
      </c>
      <c r="H52" s="112">
        <v>674.98691096994412</v>
      </c>
      <c r="I52" s="113">
        <f>'BSCF,Burriel (Solid State)'!D9</f>
        <v>4.8496484180371923E-4</v>
      </c>
      <c r="J52" s="114">
        <f t="shared" si="5"/>
        <v>583.53569067204035</v>
      </c>
    </row>
    <row r="53" spans="1:10" x14ac:dyDescent="0.25">
      <c r="A53" s="112">
        <f t="shared" si="6"/>
        <v>923.15</v>
      </c>
      <c r="B53" s="112">
        <v>650</v>
      </c>
      <c r="C53" s="113"/>
      <c r="D53" s="113">
        <v>0.69</v>
      </c>
      <c r="E53" s="114">
        <f>(2*10^-20)*(B53^4.7879)</f>
        <v>5.8745939803646009E-7</v>
      </c>
      <c r="F53" s="113"/>
      <c r="G53" s="112">
        <f t="shared" si="7"/>
        <v>922.69648821716589</v>
      </c>
      <c r="H53" s="112">
        <v>649.54648821716592</v>
      </c>
      <c r="I53" s="113">
        <f>'BSCF,Burriel (Solid State)'!D10</f>
        <v>4.104E-4</v>
      </c>
      <c r="J53" s="114">
        <f t="shared" si="5"/>
        <v>973.22677796485573</v>
      </c>
    </row>
    <row r="54" spans="1:10" x14ac:dyDescent="0.25">
      <c r="A54" s="112">
        <f t="shared" si="6"/>
        <v>898.15</v>
      </c>
      <c r="B54" s="112">
        <v>625</v>
      </c>
      <c r="C54" s="113"/>
      <c r="D54" s="113">
        <v>0.69</v>
      </c>
      <c r="E54" s="114">
        <f>(2*10^-20)*(B54^4.7879)</f>
        <v>4.8688223734031252E-7</v>
      </c>
      <c r="F54" s="113"/>
      <c r="G54" s="112">
        <f t="shared" si="7"/>
        <v>898.05826332594972</v>
      </c>
      <c r="H54" s="112">
        <v>624.90826332594975</v>
      </c>
      <c r="I54" s="113">
        <f>'BSCF,Burriel (Solid State)'!D11</f>
        <v>2.3467170872230726E-4</v>
      </c>
      <c r="J54" s="114">
        <f t="shared" si="5"/>
        <v>1010.2096802509998</v>
      </c>
    </row>
    <row r="55" spans="1:10" x14ac:dyDescent="0.25">
      <c r="A55" s="112">
        <f t="shared" si="6"/>
        <v>873.01933737832292</v>
      </c>
      <c r="B55" s="112">
        <v>599.86933737832294</v>
      </c>
      <c r="C55" s="113">
        <v>3.1846000000000001E-7</v>
      </c>
      <c r="D55" s="113">
        <v>0.69</v>
      </c>
      <c r="E55" s="114">
        <f>C55/D55</f>
        <v>4.61536231884058E-7</v>
      </c>
      <c r="F55" s="113"/>
      <c r="G55" s="112">
        <f t="shared" si="7"/>
        <v>873.67528984177738</v>
      </c>
      <c r="H55" s="112">
        <v>600.52528984177741</v>
      </c>
      <c r="I55" s="113">
        <f>'BSCF,Burriel (Solid State)'!D12</f>
        <v>1.4870000000000001E-4</v>
      </c>
      <c r="J55" s="114">
        <f t="shared" si="5"/>
        <v>1427.2003071312029</v>
      </c>
    </row>
    <row r="56" spans="1:10" x14ac:dyDescent="0.25">
      <c r="A56" s="112">
        <f t="shared" si="6"/>
        <v>848.15</v>
      </c>
      <c r="B56" s="112">
        <v>575</v>
      </c>
      <c r="C56" s="113"/>
      <c r="D56" s="113">
        <v>0.69</v>
      </c>
      <c r="E56" s="114">
        <f>(2*10^-20)*(B56^4.7879)</f>
        <v>3.2662067293930215E-7</v>
      </c>
      <c r="F56" s="113"/>
      <c r="G56" s="112">
        <f t="shared" si="7"/>
        <v>848.62412570499453</v>
      </c>
      <c r="H56" s="112">
        <v>575.47412570499455</v>
      </c>
      <c r="I56" s="113">
        <f>'BSCF,Burriel (Solid State)'!D13</f>
        <v>1.0688361753784974E-4</v>
      </c>
      <c r="J56" s="114">
        <f t="shared" si="5"/>
        <v>2334.722969371991</v>
      </c>
    </row>
    <row r="57" spans="1:10" x14ac:dyDescent="0.25">
      <c r="A57" s="112">
        <f t="shared" si="6"/>
        <v>823.15</v>
      </c>
      <c r="B57" s="112">
        <v>550</v>
      </c>
      <c r="C57" s="113"/>
      <c r="D57" s="113">
        <v>0.69</v>
      </c>
      <c r="E57" s="114">
        <f>(2*10^-20)*(B57^4.7879)</f>
        <v>2.6400522165480223E-7</v>
      </c>
      <c r="F57" s="113"/>
      <c r="G57" s="112">
        <f t="shared" si="7"/>
        <v>823.59500868480939</v>
      </c>
      <c r="H57" s="112">
        <v>550.44500868480941</v>
      </c>
      <c r="I57" s="113">
        <f>'BSCF,Burriel (Solid State)'!D14</f>
        <v>6.1309999999999994E-5</v>
      </c>
      <c r="J57" s="114">
        <f t="shared" si="5"/>
        <v>3110.9194235843311</v>
      </c>
    </row>
    <row r="58" spans="1:10" x14ac:dyDescent="0.25">
      <c r="A58" s="112">
        <f t="shared" si="6"/>
        <v>798.15</v>
      </c>
      <c r="B58" s="112">
        <v>525</v>
      </c>
      <c r="C58" s="113"/>
      <c r="D58" s="113">
        <v>0.69</v>
      </c>
      <c r="E58" s="114">
        <f>(2*10^-20)*(B58^4.7879)</f>
        <v>2.1129086664203562E-7</v>
      </c>
      <c r="F58" s="113"/>
      <c r="G58" s="112">
        <f t="shared" si="7"/>
        <v>798.27444994899031</v>
      </c>
      <c r="H58" s="112">
        <v>525.12444994899033</v>
      </c>
      <c r="I58" s="113">
        <f>'BSCF,Burriel (Solid State)'!D15</f>
        <v>4.5317978996085134E-5</v>
      </c>
      <c r="J58" s="114">
        <f t="shared" si="5"/>
        <v>5681.792752768949</v>
      </c>
    </row>
    <row r="59" spans="1:10" x14ac:dyDescent="0.25">
      <c r="A59" s="112">
        <f t="shared" si="6"/>
        <v>773.57468863618783</v>
      </c>
      <c r="B59" s="112">
        <v>500.42468863618785</v>
      </c>
      <c r="C59" s="113">
        <v>1.2536000000000001E-7</v>
      </c>
      <c r="D59" s="113">
        <v>0.69</v>
      </c>
      <c r="E59" s="114">
        <f>C59/D59</f>
        <v>1.8168115942028988E-7</v>
      </c>
      <c r="F59" s="113"/>
      <c r="G59" s="112">
        <f t="shared" si="7"/>
        <v>773.24976462277164</v>
      </c>
      <c r="H59" s="112">
        <v>500.09976462277166</v>
      </c>
      <c r="I59" s="113">
        <f>'BSCF,Burriel (Solid State)'!D16</f>
        <v>2.9300000000000001E-5</v>
      </c>
      <c r="J59" s="114">
        <f t="shared" si="5"/>
        <v>8892.2610015174505</v>
      </c>
    </row>
    <row r="60" spans="1:10" x14ac:dyDescent="0.25">
      <c r="A60" s="112">
        <f t="shared" si="6"/>
        <v>723.69373281227388</v>
      </c>
      <c r="B60" s="112">
        <v>450.5437328122739</v>
      </c>
      <c r="C60" s="113">
        <v>7.1246000000000002E-8</v>
      </c>
      <c r="D60" s="113">
        <v>0.69</v>
      </c>
      <c r="E60" s="114">
        <f>C60/D60</f>
        <v>1.0325507246376813E-7</v>
      </c>
      <c r="H60" s="114"/>
    </row>
    <row r="61" spans="1:10" x14ac:dyDescent="0.25">
      <c r="A61" s="112">
        <f t="shared" si="6"/>
        <v>674.03612833647878</v>
      </c>
      <c r="B61" s="112">
        <v>400.88612833647881</v>
      </c>
      <c r="C61" s="113">
        <v>4.2844999999999998E-8</v>
      </c>
      <c r="D61" s="113">
        <v>0.69</v>
      </c>
      <c r="E61" s="114">
        <f>C61/D61</f>
        <v>6.2094202898550727E-8</v>
      </c>
      <c r="H61" s="114"/>
    </row>
    <row r="62" spans="1:10" x14ac:dyDescent="0.25">
      <c r="A62" s="112"/>
      <c r="B62" s="112"/>
      <c r="C62" s="113"/>
      <c r="E62" s="113"/>
      <c r="H62" s="114"/>
    </row>
    <row r="63" spans="1:10" x14ac:dyDescent="0.25">
      <c r="A63" s="112"/>
      <c r="B63" s="112"/>
      <c r="C63" s="113"/>
      <c r="E63" s="113"/>
      <c r="H63" s="114"/>
    </row>
    <row r="64" spans="1:10" ht="62.25" x14ac:dyDescent="0.25">
      <c r="A64" s="119" t="s">
        <v>16</v>
      </c>
      <c r="B64" s="119" t="s">
        <v>14</v>
      </c>
      <c r="C64" s="121" t="s">
        <v>158</v>
      </c>
      <c r="D64" s="119" t="s">
        <v>156</v>
      </c>
      <c r="E64" s="113"/>
      <c r="F64" s="111" t="s">
        <v>16</v>
      </c>
      <c r="G64" s="111" t="s">
        <v>14</v>
      </c>
      <c r="H64" s="111" t="s">
        <v>145</v>
      </c>
      <c r="I64" s="118" t="s">
        <v>22</v>
      </c>
    </row>
    <row r="65" spans="1:9" x14ac:dyDescent="0.25">
      <c r="A65" s="112">
        <f t="shared" ref="A65:A96" si="8">B65+273.15</f>
        <v>1273.1500000000001</v>
      </c>
      <c r="B65" s="112">
        <v>1000</v>
      </c>
      <c r="C65" s="113">
        <v>38.299999999999997</v>
      </c>
      <c r="D65" s="113">
        <f>H65/C65</f>
        <v>6.249150541864857E-2</v>
      </c>
      <c r="F65" s="112">
        <f>G65+273.15</f>
        <v>1273.1500000000001</v>
      </c>
      <c r="G65" s="112">
        <v>1000</v>
      </c>
      <c r="H65" s="124">
        <v>2.3934246575342399</v>
      </c>
      <c r="I65" s="125">
        <f>3-H65</f>
        <v>0.60657534246576006</v>
      </c>
    </row>
    <row r="66" spans="1:9" x14ac:dyDescent="0.25">
      <c r="A66" s="112">
        <f t="shared" si="8"/>
        <v>1268.8100361663651</v>
      </c>
      <c r="B66" s="112">
        <v>995.66003616636499</v>
      </c>
      <c r="C66" s="113">
        <v>38.299999999999997</v>
      </c>
      <c r="D66" s="113">
        <f t="shared" ref="D66:D129" si="9">H66/C66</f>
        <v>6.249150541864857E-2</v>
      </c>
      <c r="F66" s="112">
        <f t="shared" ref="F66:F129" si="10">G66+273.15</f>
        <v>1268.8100361663651</v>
      </c>
      <c r="G66" s="112">
        <v>995.66003616636499</v>
      </c>
      <c r="H66" s="124">
        <v>2.3934246575342399</v>
      </c>
      <c r="I66" s="125">
        <f t="shared" ref="I66:I129" si="11">3-H66</f>
        <v>0.60657534246576006</v>
      </c>
    </row>
    <row r="67" spans="1:9" x14ac:dyDescent="0.25">
      <c r="A67" s="112">
        <f t="shared" si="8"/>
        <v>1261.576763110307</v>
      </c>
      <c r="B67" s="112">
        <v>988.42676311030698</v>
      </c>
      <c r="C67" s="113">
        <v>38.299999999999997</v>
      </c>
      <c r="D67" s="113">
        <f t="shared" si="9"/>
        <v>6.2548732071962404E-2</v>
      </c>
      <c r="F67" s="112">
        <f t="shared" si="10"/>
        <v>1261.576763110307</v>
      </c>
      <c r="G67" s="112">
        <v>988.42676311030698</v>
      </c>
      <c r="H67" s="124">
        <v>2.3956164383561598</v>
      </c>
      <c r="I67" s="125">
        <f t="shared" si="11"/>
        <v>0.60438356164384022</v>
      </c>
    </row>
    <row r="68" spans="1:9" x14ac:dyDescent="0.25">
      <c r="A68" s="112">
        <f t="shared" si="8"/>
        <v>1255.790144665461</v>
      </c>
      <c r="B68" s="112">
        <v>982.64014466546098</v>
      </c>
      <c r="C68" s="113">
        <v>38.299999999999997</v>
      </c>
      <c r="D68" s="113">
        <f t="shared" si="9"/>
        <v>6.2548732071962404E-2</v>
      </c>
      <c r="F68" s="112">
        <f t="shared" si="10"/>
        <v>1255.790144665461</v>
      </c>
      <c r="G68" s="112">
        <v>982.64014466546098</v>
      </c>
      <c r="H68" s="124">
        <v>2.3956164383561598</v>
      </c>
      <c r="I68" s="125">
        <f t="shared" si="11"/>
        <v>0.60438356164384022</v>
      </c>
    </row>
    <row r="69" spans="1:9" x14ac:dyDescent="0.25">
      <c r="A69" s="112">
        <f t="shared" si="8"/>
        <v>1252.8968354430381</v>
      </c>
      <c r="B69" s="112">
        <v>979.74683544303798</v>
      </c>
      <c r="C69" s="113">
        <v>38.299999999999997</v>
      </c>
      <c r="D69" s="113">
        <f t="shared" si="9"/>
        <v>6.2577345398619325E-2</v>
      </c>
      <c r="F69" s="112">
        <f t="shared" si="10"/>
        <v>1252.8968354430381</v>
      </c>
      <c r="G69" s="112">
        <v>979.74683544303798</v>
      </c>
      <c r="H69" s="124">
        <v>2.3967123287671201</v>
      </c>
      <c r="I69" s="125">
        <f t="shared" si="11"/>
        <v>0.60328767123287985</v>
      </c>
    </row>
    <row r="70" spans="1:9" x14ac:dyDescent="0.25">
      <c r="A70" s="112">
        <f t="shared" si="8"/>
        <v>1247.1102169981909</v>
      </c>
      <c r="B70" s="112">
        <v>973.96021699819096</v>
      </c>
      <c r="C70" s="113">
        <v>38.299999999999997</v>
      </c>
      <c r="D70" s="113">
        <f t="shared" si="9"/>
        <v>6.2605958725276245E-2</v>
      </c>
      <c r="F70" s="112">
        <f t="shared" si="10"/>
        <v>1247.1102169981909</v>
      </c>
      <c r="G70" s="112">
        <v>973.96021699819096</v>
      </c>
      <c r="H70" s="124">
        <v>2.3978082191780801</v>
      </c>
      <c r="I70" s="125">
        <f t="shared" si="11"/>
        <v>0.60219178082191993</v>
      </c>
    </row>
    <row r="71" spans="1:9" x14ac:dyDescent="0.25">
      <c r="A71" s="112">
        <f t="shared" si="8"/>
        <v>1241.3235985533449</v>
      </c>
      <c r="B71" s="112">
        <v>968.17359855334496</v>
      </c>
      <c r="C71" s="113">
        <v>38.299999999999997</v>
      </c>
      <c r="D71" s="113">
        <f t="shared" si="9"/>
        <v>6.2634572051933166E-2</v>
      </c>
      <c r="F71" s="112">
        <f t="shared" si="10"/>
        <v>1241.3235985533449</v>
      </c>
      <c r="G71" s="112">
        <v>968.17359855334496</v>
      </c>
      <c r="H71" s="124">
        <v>2.39890410958904</v>
      </c>
      <c r="I71" s="125">
        <f t="shared" si="11"/>
        <v>0.60109589041096001</v>
      </c>
    </row>
    <row r="72" spans="1:9" x14ac:dyDescent="0.25">
      <c r="A72" s="112">
        <f t="shared" si="8"/>
        <v>1235.5369801084989</v>
      </c>
      <c r="B72" s="112">
        <v>962.38698010849896</v>
      </c>
      <c r="C72" s="113">
        <v>38.299999999999997</v>
      </c>
      <c r="D72" s="113">
        <f t="shared" si="9"/>
        <v>6.2663185378590086E-2</v>
      </c>
      <c r="F72" s="112">
        <f t="shared" si="10"/>
        <v>1235.5369801084989</v>
      </c>
      <c r="G72" s="112">
        <v>962.38698010849896</v>
      </c>
      <c r="H72" s="124">
        <v>2.4</v>
      </c>
      <c r="I72" s="125">
        <f t="shared" si="11"/>
        <v>0.60000000000000009</v>
      </c>
    </row>
    <row r="73" spans="1:9" x14ac:dyDescent="0.25">
      <c r="A73" s="112">
        <f t="shared" si="8"/>
        <v>1229.750361663652</v>
      </c>
      <c r="B73" s="112">
        <v>956.60036166365205</v>
      </c>
      <c r="C73" s="113">
        <v>38.299999999999997</v>
      </c>
      <c r="D73" s="113">
        <f t="shared" si="9"/>
        <v>6.2663185378590086E-2</v>
      </c>
      <c r="F73" s="112">
        <f t="shared" si="10"/>
        <v>1229.750361663652</v>
      </c>
      <c r="G73" s="112">
        <v>956.60036166365205</v>
      </c>
      <c r="H73" s="124">
        <v>2.4</v>
      </c>
      <c r="I73" s="125">
        <f t="shared" si="11"/>
        <v>0.60000000000000009</v>
      </c>
    </row>
    <row r="74" spans="1:9" x14ac:dyDescent="0.25">
      <c r="A74" s="112">
        <f t="shared" si="8"/>
        <v>1226.8570524412289</v>
      </c>
      <c r="B74" s="112">
        <v>953.70705244122905</v>
      </c>
      <c r="C74" s="113">
        <v>38.299999999999997</v>
      </c>
      <c r="D74" s="113">
        <f t="shared" si="9"/>
        <v>6.2663185378590086E-2</v>
      </c>
      <c r="F74" s="112">
        <f t="shared" si="10"/>
        <v>1226.8570524412289</v>
      </c>
      <c r="G74" s="112">
        <v>953.70705244122905</v>
      </c>
      <c r="H74" s="124">
        <v>2.4</v>
      </c>
      <c r="I74" s="125">
        <f t="shared" si="11"/>
        <v>0.60000000000000009</v>
      </c>
    </row>
    <row r="75" spans="1:9" x14ac:dyDescent="0.25">
      <c r="A75" s="112">
        <f t="shared" si="8"/>
        <v>1221.0704339963831</v>
      </c>
      <c r="B75" s="112">
        <v>947.92043399638305</v>
      </c>
      <c r="C75" s="113">
        <v>38.299999999999997</v>
      </c>
      <c r="D75" s="113">
        <f t="shared" si="9"/>
        <v>6.2691798705246743E-2</v>
      </c>
      <c r="F75" s="112">
        <f t="shared" si="10"/>
        <v>1221.0704339963831</v>
      </c>
      <c r="G75" s="112">
        <v>947.92043399638305</v>
      </c>
      <c r="H75" s="124">
        <v>2.4010958904109501</v>
      </c>
      <c r="I75" s="125">
        <f t="shared" si="11"/>
        <v>0.59890410958904994</v>
      </c>
    </row>
    <row r="76" spans="1:9" x14ac:dyDescent="0.25">
      <c r="A76" s="112">
        <f t="shared" si="8"/>
        <v>1215.2838155515369</v>
      </c>
      <c r="B76" s="112">
        <v>942.13381555153705</v>
      </c>
      <c r="C76" s="113">
        <v>38.299999999999997</v>
      </c>
      <c r="D76" s="113">
        <f t="shared" si="9"/>
        <v>6.2720412031903663E-2</v>
      </c>
      <c r="F76" s="112">
        <f t="shared" si="10"/>
        <v>1215.2838155515369</v>
      </c>
      <c r="G76" s="112">
        <v>942.13381555153705</v>
      </c>
      <c r="H76" s="124">
        <v>2.40219178082191</v>
      </c>
      <c r="I76" s="125">
        <f t="shared" si="11"/>
        <v>0.59780821917809002</v>
      </c>
    </row>
    <row r="77" spans="1:9" x14ac:dyDescent="0.25">
      <c r="A77" s="112">
        <f t="shared" si="8"/>
        <v>1209.49719710669</v>
      </c>
      <c r="B77" s="112">
        <v>936.34719710669003</v>
      </c>
      <c r="C77" s="113">
        <v>38.299999999999997</v>
      </c>
      <c r="D77" s="113">
        <f t="shared" si="9"/>
        <v>6.2806252011874425E-2</v>
      </c>
      <c r="F77" s="112">
        <f t="shared" si="10"/>
        <v>1209.49719710669</v>
      </c>
      <c r="G77" s="112">
        <v>936.34719710669003</v>
      </c>
      <c r="H77" s="124">
        <v>2.4054794520547902</v>
      </c>
      <c r="I77" s="125">
        <f t="shared" si="11"/>
        <v>0.59452054794520981</v>
      </c>
    </row>
    <row r="78" spans="1:9" x14ac:dyDescent="0.25">
      <c r="A78" s="112">
        <f t="shared" si="8"/>
        <v>1203.710578661844</v>
      </c>
      <c r="B78" s="112">
        <v>930.56057866184403</v>
      </c>
      <c r="C78" s="113">
        <v>38.299999999999997</v>
      </c>
      <c r="D78" s="113">
        <f t="shared" si="9"/>
        <v>6.2834865338531345E-2</v>
      </c>
      <c r="F78" s="112">
        <f t="shared" si="10"/>
        <v>1203.710578661844</v>
      </c>
      <c r="G78" s="112">
        <v>930.56057866184403</v>
      </c>
      <c r="H78" s="124">
        <v>2.4065753424657501</v>
      </c>
      <c r="I78" s="125">
        <f t="shared" si="11"/>
        <v>0.59342465753424989</v>
      </c>
    </row>
    <row r="79" spans="1:9" x14ac:dyDescent="0.25">
      <c r="A79" s="112">
        <f t="shared" si="8"/>
        <v>1199.370614828209</v>
      </c>
      <c r="B79" s="112">
        <v>926.22061482820902</v>
      </c>
      <c r="C79" s="113">
        <v>38.299999999999997</v>
      </c>
      <c r="D79" s="113">
        <f t="shared" si="9"/>
        <v>6.2834865338531345E-2</v>
      </c>
      <c r="F79" s="112">
        <f t="shared" si="10"/>
        <v>1199.370614828209</v>
      </c>
      <c r="G79" s="112">
        <v>926.22061482820902</v>
      </c>
      <c r="H79" s="124">
        <v>2.4065753424657501</v>
      </c>
      <c r="I79" s="125">
        <f t="shared" si="11"/>
        <v>0.59342465753424989</v>
      </c>
    </row>
    <row r="80" spans="1:9" x14ac:dyDescent="0.25">
      <c r="A80" s="112">
        <f t="shared" si="8"/>
        <v>1192.137341772152</v>
      </c>
      <c r="B80" s="112">
        <v>918.98734177215204</v>
      </c>
      <c r="C80" s="113">
        <v>38.299999999999997</v>
      </c>
      <c r="D80" s="113">
        <f t="shared" si="9"/>
        <v>6.2834865338531345E-2</v>
      </c>
      <c r="F80" s="112">
        <f t="shared" si="10"/>
        <v>1192.137341772152</v>
      </c>
      <c r="G80" s="112">
        <v>918.98734177215204</v>
      </c>
      <c r="H80" s="124">
        <v>2.4065753424657501</v>
      </c>
      <c r="I80" s="125">
        <f t="shared" si="11"/>
        <v>0.59342465753424989</v>
      </c>
    </row>
    <row r="81" spans="1:9" x14ac:dyDescent="0.25">
      <c r="A81" s="112">
        <f t="shared" si="8"/>
        <v>1186.3507233273049</v>
      </c>
      <c r="B81" s="112">
        <v>913.20072332730501</v>
      </c>
      <c r="C81" s="113">
        <v>38.299999999999997</v>
      </c>
      <c r="D81" s="113">
        <f t="shared" si="9"/>
        <v>6.2920705318502093E-2</v>
      </c>
      <c r="F81" s="112">
        <f t="shared" si="10"/>
        <v>1186.3507233273049</v>
      </c>
      <c r="G81" s="112">
        <v>913.20072332730501</v>
      </c>
      <c r="H81" s="124">
        <v>2.4098630136986299</v>
      </c>
      <c r="I81" s="125">
        <f t="shared" si="11"/>
        <v>0.59013698630137013</v>
      </c>
    </row>
    <row r="82" spans="1:9" x14ac:dyDescent="0.25">
      <c r="A82" s="112">
        <f t="shared" si="8"/>
        <v>1177.670795660036</v>
      </c>
      <c r="B82" s="112">
        <v>904.52079566003601</v>
      </c>
      <c r="C82" s="113">
        <v>38.299999999999997</v>
      </c>
      <c r="D82" s="113">
        <f t="shared" si="9"/>
        <v>6.2920705318502093E-2</v>
      </c>
      <c r="F82" s="112">
        <f t="shared" si="10"/>
        <v>1177.670795660036</v>
      </c>
      <c r="G82" s="112">
        <v>904.52079566003601</v>
      </c>
      <c r="H82" s="124">
        <v>2.4098630136986299</v>
      </c>
      <c r="I82" s="125">
        <f t="shared" si="11"/>
        <v>0.59013698630137013</v>
      </c>
    </row>
    <row r="83" spans="1:9" x14ac:dyDescent="0.25">
      <c r="A83" s="112">
        <f t="shared" si="8"/>
        <v>1171.88417721519</v>
      </c>
      <c r="B83" s="112">
        <v>898.73417721519002</v>
      </c>
      <c r="C83" s="113">
        <v>38.299999999999997</v>
      </c>
      <c r="D83" s="113">
        <f t="shared" si="9"/>
        <v>6.294931864515875E-2</v>
      </c>
      <c r="F83" s="112">
        <f t="shared" si="10"/>
        <v>1171.88417721519</v>
      </c>
      <c r="G83" s="112">
        <v>898.73417721519002</v>
      </c>
      <c r="H83" s="124">
        <v>2.41095890410958</v>
      </c>
      <c r="I83" s="125">
        <f t="shared" si="11"/>
        <v>0.58904109589041997</v>
      </c>
    </row>
    <row r="84" spans="1:9" x14ac:dyDescent="0.25">
      <c r="A84" s="112">
        <f t="shared" si="8"/>
        <v>1167.544213381555</v>
      </c>
      <c r="B84" s="112">
        <v>894.39421338155501</v>
      </c>
      <c r="C84" s="113">
        <v>38.299999999999997</v>
      </c>
      <c r="D84" s="113">
        <f t="shared" si="9"/>
        <v>6.294931864515875E-2</v>
      </c>
      <c r="F84" s="112">
        <f t="shared" si="10"/>
        <v>1167.544213381555</v>
      </c>
      <c r="G84" s="112">
        <v>894.39421338155501</v>
      </c>
      <c r="H84" s="124">
        <v>2.41095890410958</v>
      </c>
      <c r="I84" s="125">
        <f t="shared" si="11"/>
        <v>0.58904109589041997</v>
      </c>
    </row>
    <row r="85" spans="1:9" x14ac:dyDescent="0.25">
      <c r="A85" s="112">
        <f t="shared" si="8"/>
        <v>1161.7575949367078</v>
      </c>
      <c r="B85" s="112">
        <v>888.60759493670798</v>
      </c>
      <c r="C85" s="113">
        <v>38.299999999999997</v>
      </c>
      <c r="D85" s="113">
        <f t="shared" si="9"/>
        <v>6.3006545298472591E-2</v>
      </c>
      <c r="F85" s="112">
        <f t="shared" si="10"/>
        <v>1161.7575949367078</v>
      </c>
      <c r="G85" s="112">
        <v>888.60759493670798</v>
      </c>
      <c r="H85" s="124">
        <v>2.4131506849314999</v>
      </c>
      <c r="I85" s="125">
        <f t="shared" si="11"/>
        <v>0.58684931506850013</v>
      </c>
    </row>
    <row r="86" spans="1:9" x14ac:dyDescent="0.25">
      <c r="A86" s="112">
        <f t="shared" si="8"/>
        <v>1154.5243218806509</v>
      </c>
      <c r="B86" s="112">
        <v>881.374321880651</v>
      </c>
      <c r="C86" s="113">
        <v>38.299999999999997</v>
      </c>
      <c r="D86" s="113">
        <f t="shared" si="9"/>
        <v>6.3092385278443353E-2</v>
      </c>
      <c r="F86" s="112">
        <f t="shared" si="10"/>
        <v>1154.5243218806509</v>
      </c>
      <c r="G86" s="112">
        <v>881.374321880651</v>
      </c>
      <c r="H86" s="124">
        <v>2.4164383561643801</v>
      </c>
      <c r="I86" s="125">
        <f t="shared" si="11"/>
        <v>0.58356164383561993</v>
      </c>
    </row>
    <row r="87" spans="1:9" x14ac:dyDescent="0.25">
      <c r="A87" s="112">
        <f t="shared" si="8"/>
        <v>1147.291048824593</v>
      </c>
      <c r="B87" s="112">
        <v>874.14104882459299</v>
      </c>
      <c r="C87" s="113">
        <v>38.299999999999997</v>
      </c>
      <c r="D87" s="113">
        <f t="shared" si="9"/>
        <v>6.3120998605100259E-2</v>
      </c>
      <c r="F87" s="112">
        <f t="shared" si="10"/>
        <v>1147.291048824593</v>
      </c>
      <c r="G87" s="112">
        <v>874.14104882459299</v>
      </c>
      <c r="H87" s="124">
        <v>2.41753424657534</v>
      </c>
      <c r="I87" s="125">
        <f t="shared" si="11"/>
        <v>0.58246575342466</v>
      </c>
    </row>
    <row r="88" spans="1:9" x14ac:dyDescent="0.25">
      <c r="A88" s="112">
        <f t="shared" si="8"/>
        <v>1138.6111211573229</v>
      </c>
      <c r="B88" s="112">
        <v>865.46112115732296</v>
      </c>
      <c r="C88" s="113">
        <v>38.299999999999997</v>
      </c>
      <c r="D88" s="113">
        <f t="shared" si="9"/>
        <v>6.314961193175718E-2</v>
      </c>
      <c r="F88" s="112">
        <f t="shared" si="10"/>
        <v>1138.6111211573229</v>
      </c>
      <c r="G88" s="112">
        <v>865.46112115732296</v>
      </c>
      <c r="H88" s="124">
        <v>2.4186301369862999</v>
      </c>
      <c r="I88" s="125">
        <f t="shared" si="11"/>
        <v>0.58136986301370008</v>
      </c>
    </row>
    <row r="89" spans="1:9" x14ac:dyDescent="0.25">
      <c r="A89" s="112">
        <f t="shared" si="8"/>
        <v>1132.8245027124769</v>
      </c>
      <c r="B89" s="112">
        <v>859.67450271247696</v>
      </c>
      <c r="C89" s="113">
        <v>38.299999999999997</v>
      </c>
      <c r="D89" s="113">
        <f t="shared" si="9"/>
        <v>6.314961193175718E-2</v>
      </c>
      <c r="F89" s="112">
        <f t="shared" si="10"/>
        <v>1132.8245027124769</v>
      </c>
      <c r="G89" s="112">
        <v>859.67450271247696</v>
      </c>
      <c r="H89" s="124">
        <v>2.4186301369862999</v>
      </c>
      <c r="I89" s="125">
        <f t="shared" si="11"/>
        <v>0.58136986301370008</v>
      </c>
    </row>
    <row r="90" spans="1:9" x14ac:dyDescent="0.25">
      <c r="A90" s="112">
        <f t="shared" si="8"/>
        <v>1127.0378842676309</v>
      </c>
      <c r="B90" s="112">
        <v>853.88788426763097</v>
      </c>
      <c r="C90" s="113">
        <v>38.299999999999997</v>
      </c>
      <c r="D90" s="113">
        <f t="shared" si="9"/>
        <v>6.31782252584141E-2</v>
      </c>
      <c r="F90" s="112">
        <f t="shared" si="10"/>
        <v>1127.0378842676309</v>
      </c>
      <c r="G90" s="112">
        <v>853.88788426763097</v>
      </c>
      <c r="H90" s="124">
        <v>2.4197260273972598</v>
      </c>
      <c r="I90" s="125">
        <f t="shared" si="11"/>
        <v>0.58027397260274016</v>
      </c>
    </row>
    <row r="91" spans="1:9" x14ac:dyDescent="0.25">
      <c r="A91" s="112">
        <f t="shared" si="8"/>
        <v>1122.6979204339959</v>
      </c>
      <c r="B91" s="112">
        <v>849.54792043399596</v>
      </c>
      <c r="C91" s="113">
        <v>38.299999999999997</v>
      </c>
      <c r="D91" s="113">
        <f t="shared" si="9"/>
        <v>6.3206838585070757E-2</v>
      </c>
      <c r="F91" s="112">
        <f t="shared" si="10"/>
        <v>1122.6979204339959</v>
      </c>
      <c r="G91" s="112">
        <v>849.54792043399596</v>
      </c>
      <c r="H91" s="124">
        <v>2.42082191780821</v>
      </c>
      <c r="I91" s="125">
        <f t="shared" si="11"/>
        <v>0.57917808219179001</v>
      </c>
    </row>
    <row r="92" spans="1:9" x14ac:dyDescent="0.25">
      <c r="A92" s="112">
        <f t="shared" si="8"/>
        <v>1115.464647377938</v>
      </c>
      <c r="B92" s="112">
        <v>842.31464737793794</v>
      </c>
      <c r="C92" s="113">
        <v>38.299999999999997</v>
      </c>
      <c r="D92" s="113">
        <f t="shared" si="9"/>
        <v>6.3264065238384598E-2</v>
      </c>
      <c r="F92" s="112">
        <f t="shared" si="10"/>
        <v>1115.464647377938</v>
      </c>
      <c r="G92" s="112">
        <v>842.31464737793794</v>
      </c>
      <c r="H92" s="124">
        <v>2.4230136986301298</v>
      </c>
      <c r="I92" s="125">
        <f t="shared" si="11"/>
        <v>0.57698630136987017</v>
      </c>
    </row>
    <row r="93" spans="1:9" x14ac:dyDescent="0.25">
      <c r="A93" s="112">
        <f t="shared" si="8"/>
        <v>1108.2313743218801</v>
      </c>
      <c r="B93" s="112">
        <v>835.08137432188005</v>
      </c>
      <c r="C93" s="113">
        <v>38.299999999999997</v>
      </c>
      <c r="D93" s="113">
        <f t="shared" si="9"/>
        <v>6.3321291891698439E-2</v>
      </c>
      <c r="F93" s="112">
        <f t="shared" si="10"/>
        <v>1108.2313743218801</v>
      </c>
      <c r="G93" s="112">
        <v>835.08137432188005</v>
      </c>
      <c r="H93" s="124">
        <v>2.4252054794520501</v>
      </c>
      <c r="I93" s="125">
        <f t="shared" si="11"/>
        <v>0.57479452054794988</v>
      </c>
    </row>
    <row r="94" spans="1:9" x14ac:dyDescent="0.25">
      <c r="A94" s="112">
        <f t="shared" si="8"/>
        <v>1103.891410488246</v>
      </c>
      <c r="B94" s="112">
        <v>830.74141048824595</v>
      </c>
      <c r="C94" s="113">
        <v>38.299999999999997</v>
      </c>
      <c r="D94" s="113">
        <f t="shared" si="9"/>
        <v>6.3321291891698439E-2</v>
      </c>
      <c r="F94" s="112">
        <f t="shared" si="10"/>
        <v>1103.891410488246</v>
      </c>
      <c r="G94" s="112">
        <v>830.74141048824595</v>
      </c>
      <c r="H94" s="124">
        <v>2.4252054794520501</v>
      </c>
      <c r="I94" s="125">
        <f t="shared" si="11"/>
        <v>0.57479452054794988</v>
      </c>
    </row>
    <row r="95" spans="1:9" x14ac:dyDescent="0.25">
      <c r="A95" s="112">
        <f t="shared" si="8"/>
        <v>1099.551446654611</v>
      </c>
      <c r="B95" s="112">
        <v>826.40144665461105</v>
      </c>
      <c r="C95" s="113">
        <v>38.299999999999997</v>
      </c>
      <c r="D95" s="113">
        <f t="shared" si="9"/>
        <v>6.334990521835536E-2</v>
      </c>
      <c r="F95" s="112">
        <f t="shared" si="10"/>
        <v>1099.551446654611</v>
      </c>
      <c r="G95" s="112">
        <v>826.40144665461105</v>
      </c>
      <c r="H95" s="124">
        <v>2.42630136986301</v>
      </c>
      <c r="I95" s="125">
        <f t="shared" si="11"/>
        <v>0.57369863013698996</v>
      </c>
    </row>
    <row r="96" spans="1:9" x14ac:dyDescent="0.25">
      <c r="A96" s="112">
        <f t="shared" si="8"/>
        <v>1093.7648282097639</v>
      </c>
      <c r="B96" s="112">
        <v>820.61482820976403</v>
      </c>
      <c r="C96" s="113">
        <v>38.299999999999997</v>
      </c>
      <c r="D96" s="113">
        <f t="shared" si="9"/>
        <v>6.337851854501228E-2</v>
      </c>
      <c r="F96" s="112">
        <f t="shared" si="10"/>
        <v>1093.7648282097639</v>
      </c>
      <c r="G96" s="112">
        <v>820.61482820976403</v>
      </c>
      <c r="H96" s="124">
        <v>2.42739726027397</v>
      </c>
      <c r="I96" s="125">
        <f t="shared" si="11"/>
        <v>0.57260273972603004</v>
      </c>
    </row>
    <row r="97" spans="1:9" x14ac:dyDescent="0.25">
      <c r="A97" s="112">
        <f t="shared" ref="A97:A128" si="12">B97+273.15</f>
        <v>1089.42486437613</v>
      </c>
      <c r="B97" s="112">
        <v>816.27486437613004</v>
      </c>
      <c r="C97" s="113">
        <v>38.299999999999997</v>
      </c>
      <c r="D97" s="113">
        <f t="shared" si="9"/>
        <v>6.337851854501228E-2</v>
      </c>
      <c r="F97" s="112">
        <f t="shared" si="10"/>
        <v>1089.42486437613</v>
      </c>
      <c r="G97" s="112">
        <v>816.27486437613004</v>
      </c>
      <c r="H97" s="124">
        <v>2.42739726027397</v>
      </c>
      <c r="I97" s="125">
        <f t="shared" si="11"/>
        <v>0.57260273972603004</v>
      </c>
    </row>
    <row r="98" spans="1:9" x14ac:dyDescent="0.25">
      <c r="A98" s="112">
        <f t="shared" si="12"/>
        <v>1082.1915913200719</v>
      </c>
      <c r="B98" s="112">
        <v>809.04159132007203</v>
      </c>
      <c r="C98" s="113">
        <v>38.299999999999997</v>
      </c>
      <c r="D98" s="113">
        <f t="shared" si="9"/>
        <v>6.3407131871669187E-2</v>
      </c>
      <c r="F98" s="112">
        <f t="shared" si="10"/>
        <v>1082.1915913200719</v>
      </c>
      <c r="G98" s="112">
        <v>809.04159132007203</v>
      </c>
      <c r="H98" s="124">
        <v>2.4284931506849299</v>
      </c>
      <c r="I98" s="125">
        <f t="shared" si="11"/>
        <v>0.57150684931507012</v>
      </c>
    </row>
    <row r="99" spans="1:9" x14ac:dyDescent="0.25">
      <c r="A99" s="112">
        <f t="shared" si="12"/>
        <v>1079.298282097649</v>
      </c>
      <c r="B99" s="112">
        <v>806.14828209764903</v>
      </c>
      <c r="C99" s="113">
        <v>38.299999999999997</v>
      </c>
      <c r="D99" s="113">
        <f t="shared" si="9"/>
        <v>6.3464358524982778E-2</v>
      </c>
      <c r="F99" s="112">
        <f t="shared" si="10"/>
        <v>1079.298282097649</v>
      </c>
      <c r="G99" s="112">
        <v>806.14828209764903</v>
      </c>
      <c r="H99" s="124">
        <v>2.43068493150684</v>
      </c>
      <c r="I99" s="125">
        <f t="shared" si="11"/>
        <v>0.56931506849316005</v>
      </c>
    </row>
    <row r="100" spans="1:9" x14ac:dyDescent="0.25">
      <c r="A100" s="112">
        <f t="shared" si="12"/>
        <v>1072.0650090415911</v>
      </c>
      <c r="B100" s="112">
        <v>798.91500904159102</v>
      </c>
      <c r="C100" s="113">
        <v>38.299999999999997</v>
      </c>
      <c r="D100" s="113">
        <f t="shared" si="9"/>
        <v>6.3464358524982778E-2</v>
      </c>
      <c r="F100" s="112">
        <f t="shared" si="10"/>
        <v>1072.0650090415911</v>
      </c>
      <c r="G100" s="112">
        <v>798.91500904159102</v>
      </c>
      <c r="H100" s="124">
        <v>2.43068493150684</v>
      </c>
      <c r="I100" s="125">
        <f t="shared" si="11"/>
        <v>0.56931506849316005</v>
      </c>
    </row>
    <row r="101" spans="1:9" x14ac:dyDescent="0.25">
      <c r="A101" s="112">
        <f t="shared" si="12"/>
        <v>1066.2783905967449</v>
      </c>
      <c r="B101" s="112">
        <v>793.12839059674502</v>
      </c>
      <c r="C101" s="113">
        <v>38.299999999999997</v>
      </c>
      <c r="D101" s="113">
        <f t="shared" si="9"/>
        <v>6.3521585178296605E-2</v>
      </c>
      <c r="F101" s="112">
        <f t="shared" si="10"/>
        <v>1066.2783905967449</v>
      </c>
      <c r="G101" s="112">
        <v>793.12839059674502</v>
      </c>
      <c r="H101" s="124">
        <v>2.4328767123287598</v>
      </c>
      <c r="I101" s="125">
        <f t="shared" si="11"/>
        <v>0.56712328767124021</v>
      </c>
    </row>
    <row r="102" spans="1:9" x14ac:dyDescent="0.25">
      <c r="A102" s="112">
        <f t="shared" si="12"/>
        <v>1057.5984629294749</v>
      </c>
      <c r="B102" s="112">
        <v>784.448462929475</v>
      </c>
      <c r="C102" s="113">
        <v>38.299999999999997</v>
      </c>
      <c r="D102" s="113">
        <f t="shared" si="9"/>
        <v>6.355019850495354E-2</v>
      </c>
      <c r="F102" s="112">
        <f t="shared" si="10"/>
        <v>1057.5984629294749</v>
      </c>
      <c r="G102" s="112">
        <v>784.448462929475</v>
      </c>
      <c r="H102" s="124">
        <v>2.4339726027397202</v>
      </c>
      <c r="I102" s="125">
        <f t="shared" si="11"/>
        <v>0.56602739726027984</v>
      </c>
    </row>
    <row r="103" spans="1:9" x14ac:dyDescent="0.25">
      <c r="A103" s="112">
        <f t="shared" si="12"/>
        <v>1054.705153707052</v>
      </c>
      <c r="B103" s="112">
        <v>781.555153707052</v>
      </c>
      <c r="C103" s="113">
        <v>38.299999999999997</v>
      </c>
      <c r="D103" s="113">
        <f t="shared" si="9"/>
        <v>6.3578811831610446E-2</v>
      </c>
      <c r="F103" s="112">
        <f t="shared" si="10"/>
        <v>1054.705153707052</v>
      </c>
      <c r="G103" s="112">
        <v>781.555153707052</v>
      </c>
      <c r="H103" s="124">
        <v>2.4350684931506801</v>
      </c>
      <c r="I103" s="125">
        <f t="shared" si="11"/>
        <v>0.56493150684931992</v>
      </c>
    </row>
    <row r="104" spans="1:9" x14ac:dyDescent="0.25">
      <c r="A104" s="112">
        <f t="shared" si="12"/>
        <v>1050.3651898734179</v>
      </c>
      <c r="B104" s="112">
        <v>777.21518987341801</v>
      </c>
      <c r="C104" s="113">
        <v>38.299999999999997</v>
      </c>
      <c r="D104" s="113">
        <f t="shared" si="9"/>
        <v>6.3607425158267367E-2</v>
      </c>
      <c r="F104" s="112">
        <f t="shared" si="10"/>
        <v>1050.3651898734179</v>
      </c>
      <c r="G104" s="112">
        <v>777.21518987341801</v>
      </c>
      <c r="H104" s="124">
        <v>2.43616438356164</v>
      </c>
      <c r="I104" s="125">
        <f t="shared" si="11"/>
        <v>0.56383561643836</v>
      </c>
    </row>
    <row r="105" spans="1:9" x14ac:dyDescent="0.25">
      <c r="A105" s="112">
        <f t="shared" si="12"/>
        <v>1044.578571428571</v>
      </c>
      <c r="B105" s="112">
        <v>771.42857142857099</v>
      </c>
      <c r="C105" s="113">
        <v>38.299999999999997</v>
      </c>
      <c r="D105" s="113">
        <f t="shared" si="9"/>
        <v>6.3607425158267367E-2</v>
      </c>
      <c r="F105" s="112">
        <f t="shared" si="10"/>
        <v>1044.578571428571</v>
      </c>
      <c r="G105" s="112">
        <v>771.42857142857099</v>
      </c>
      <c r="H105" s="124">
        <v>2.43616438356164</v>
      </c>
      <c r="I105" s="125">
        <f t="shared" si="11"/>
        <v>0.56383561643836</v>
      </c>
    </row>
    <row r="106" spans="1:9" x14ac:dyDescent="0.25">
      <c r="A106" s="112">
        <f t="shared" si="12"/>
        <v>1040.238607594936</v>
      </c>
      <c r="B106" s="112">
        <v>767.08860759493598</v>
      </c>
      <c r="C106" s="113">
        <v>38.299999999999997</v>
      </c>
      <c r="D106" s="113">
        <f t="shared" si="9"/>
        <v>6.3636038484924287E-2</v>
      </c>
      <c r="F106" s="112">
        <f t="shared" si="10"/>
        <v>1040.238607594936</v>
      </c>
      <c r="G106" s="112">
        <v>767.08860759493598</v>
      </c>
      <c r="H106" s="124">
        <v>2.4372602739725999</v>
      </c>
      <c r="I106" s="125">
        <f t="shared" si="11"/>
        <v>0.56273972602740008</v>
      </c>
    </row>
    <row r="107" spans="1:9" x14ac:dyDescent="0.25">
      <c r="A107" s="112">
        <f t="shared" si="12"/>
        <v>1034.45198915009</v>
      </c>
      <c r="B107" s="112">
        <v>761.30198915008998</v>
      </c>
      <c r="C107" s="113">
        <v>38.299999999999997</v>
      </c>
      <c r="D107" s="113">
        <f t="shared" si="9"/>
        <v>6.3664651811581208E-2</v>
      </c>
      <c r="F107" s="112">
        <f t="shared" si="10"/>
        <v>1034.45198915009</v>
      </c>
      <c r="G107" s="112">
        <v>761.30198915008998</v>
      </c>
      <c r="H107" s="124">
        <v>2.4383561643835598</v>
      </c>
      <c r="I107" s="125">
        <f t="shared" si="11"/>
        <v>0.56164383561644016</v>
      </c>
    </row>
    <row r="108" spans="1:9" x14ac:dyDescent="0.25">
      <c r="A108" s="112">
        <f t="shared" si="12"/>
        <v>1028.665370705244</v>
      </c>
      <c r="B108" s="112">
        <v>755.51537070524398</v>
      </c>
      <c r="C108" s="113">
        <v>38.299999999999997</v>
      </c>
      <c r="D108" s="113">
        <f t="shared" si="9"/>
        <v>6.3664651811581208E-2</v>
      </c>
      <c r="F108" s="112">
        <f t="shared" si="10"/>
        <v>1028.665370705244</v>
      </c>
      <c r="G108" s="112">
        <v>755.51537070524398</v>
      </c>
      <c r="H108" s="124">
        <v>2.4383561643835598</v>
      </c>
      <c r="I108" s="125">
        <f t="shared" si="11"/>
        <v>0.56164383561644016</v>
      </c>
    </row>
    <row r="109" spans="1:9" x14ac:dyDescent="0.25">
      <c r="A109" s="112">
        <f t="shared" si="12"/>
        <v>1022.8787522603969</v>
      </c>
      <c r="B109" s="112">
        <v>749.72875226039696</v>
      </c>
      <c r="C109" s="113">
        <v>38.299999999999997</v>
      </c>
      <c r="D109" s="113">
        <f t="shared" si="9"/>
        <v>6.3721878464894785E-2</v>
      </c>
      <c r="F109" s="112">
        <f t="shared" si="10"/>
        <v>1022.8787522603969</v>
      </c>
      <c r="G109" s="112">
        <v>749.72875226039696</v>
      </c>
      <c r="H109" s="124">
        <v>2.4405479452054699</v>
      </c>
      <c r="I109" s="125">
        <f t="shared" si="11"/>
        <v>0.55945205479453008</v>
      </c>
    </row>
    <row r="110" spans="1:9" x14ac:dyDescent="0.25">
      <c r="A110" s="112">
        <f t="shared" si="12"/>
        <v>1018.5387884267629</v>
      </c>
      <c r="B110" s="112">
        <v>745.38878842676297</v>
      </c>
      <c r="C110" s="113">
        <v>38.299999999999997</v>
      </c>
      <c r="D110" s="113">
        <f t="shared" si="9"/>
        <v>6.3721878464894785E-2</v>
      </c>
      <c r="F110" s="112">
        <f t="shared" si="10"/>
        <v>1018.5387884267629</v>
      </c>
      <c r="G110" s="112">
        <v>745.38878842676297</v>
      </c>
      <c r="H110" s="124">
        <v>2.4405479452054699</v>
      </c>
      <c r="I110" s="125">
        <f t="shared" si="11"/>
        <v>0.55945205479453008</v>
      </c>
    </row>
    <row r="111" spans="1:9" x14ac:dyDescent="0.25">
      <c r="A111" s="112">
        <f t="shared" si="12"/>
        <v>1014.1988245931279</v>
      </c>
      <c r="B111" s="112">
        <v>741.04882459312796</v>
      </c>
      <c r="C111" s="113">
        <v>38.299999999999997</v>
      </c>
      <c r="D111" s="113">
        <f t="shared" si="9"/>
        <v>6.3779105118208626E-2</v>
      </c>
      <c r="F111" s="112">
        <f t="shared" si="10"/>
        <v>1014.1988245931279</v>
      </c>
      <c r="G111" s="112">
        <v>741.04882459312796</v>
      </c>
      <c r="H111" s="124">
        <v>2.4427397260273902</v>
      </c>
      <c r="I111" s="125">
        <f t="shared" si="11"/>
        <v>0.5572602739726098</v>
      </c>
    </row>
    <row r="112" spans="1:9" x14ac:dyDescent="0.25">
      <c r="A112" s="112">
        <f t="shared" si="12"/>
        <v>1009.8588607594929</v>
      </c>
      <c r="B112" s="112">
        <v>736.70886075949295</v>
      </c>
      <c r="C112" s="113">
        <v>38.299999999999997</v>
      </c>
      <c r="D112" s="113">
        <f t="shared" si="9"/>
        <v>6.3779105118208626E-2</v>
      </c>
      <c r="F112" s="112">
        <f t="shared" si="10"/>
        <v>1009.8588607594929</v>
      </c>
      <c r="G112" s="112">
        <v>736.70886075949295</v>
      </c>
      <c r="H112" s="124">
        <v>2.4427397260273902</v>
      </c>
      <c r="I112" s="125">
        <f t="shared" si="11"/>
        <v>0.5572602739726098</v>
      </c>
    </row>
    <row r="113" spans="1:9" x14ac:dyDescent="0.25">
      <c r="A113" s="112">
        <f t="shared" si="12"/>
        <v>1004.0722423146469</v>
      </c>
      <c r="B113" s="112">
        <v>730.92224231464695</v>
      </c>
      <c r="C113" s="113">
        <v>38.299999999999997</v>
      </c>
      <c r="D113" s="113">
        <f t="shared" si="9"/>
        <v>6.3836331771522467E-2</v>
      </c>
      <c r="F113" s="112">
        <f t="shared" si="10"/>
        <v>1004.0722423146469</v>
      </c>
      <c r="G113" s="112">
        <v>730.92224231464695</v>
      </c>
      <c r="H113" s="124">
        <v>2.44493150684931</v>
      </c>
      <c r="I113" s="125">
        <f t="shared" si="11"/>
        <v>0.55506849315068996</v>
      </c>
    </row>
    <row r="114" spans="1:9" x14ac:dyDescent="0.25">
      <c r="A114" s="112">
        <f t="shared" si="12"/>
        <v>999.73227848101203</v>
      </c>
      <c r="B114" s="112">
        <v>726.58227848101205</v>
      </c>
      <c r="C114" s="113">
        <v>38.299999999999997</v>
      </c>
      <c r="D114" s="113">
        <f t="shared" si="9"/>
        <v>6.3864945098179374E-2</v>
      </c>
      <c r="F114" s="112">
        <f t="shared" si="10"/>
        <v>999.73227848101203</v>
      </c>
      <c r="G114" s="112">
        <v>726.58227848101205</v>
      </c>
      <c r="H114" s="124">
        <v>2.44602739726027</v>
      </c>
      <c r="I114" s="125">
        <f t="shared" si="11"/>
        <v>0.55397260273973004</v>
      </c>
    </row>
    <row r="115" spans="1:9" x14ac:dyDescent="0.25">
      <c r="A115" s="112">
        <f t="shared" si="12"/>
        <v>992.49900542495493</v>
      </c>
      <c r="B115" s="112">
        <v>719.34900542495495</v>
      </c>
      <c r="C115" s="113">
        <v>38.299999999999997</v>
      </c>
      <c r="D115" s="113">
        <f t="shared" si="9"/>
        <v>6.3893558424836294E-2</v>
      </c>
      <c r="F115" s="112">
        <f t="shared" si="10"/>
        <v>992.49900542495493</v>
      </c>
      <c r="G115" s="112">
        <v>719.34900542495495</v>
      </c>
      <c r="H115" s="124">
        <v>2.4471232876712299</v>
      </c>
      <c r="I115" s="125">
        <f t="shared" si="11"/>
        <v>0.55287671232877011</v>
      </c>
    </row>
    <row r="116" spans="1:9" x14ac:dyDescent="0.25">
      <c r="A116" s="112">
        <f t="shared" si="12"/>
        <v>986.71238698010802</v>
      </c>
      <c r="B116" s="112">
        <v>713.56238698010804</v>
      </c>
      <c r="C116" s="113">
        <v>38.299999999999997</v>
      </c>
      <c r="D116" s="113">
        <f t="shared" si="9"/>
        <v>6.3950785078150135E-2</v>
      </c>
      <c r="F116" s="112">
        <f t="shared" si="10"/>
        <v>986.71238698010802</v>
      </c>
      <c r="G116" s="112">
        <v>713.56238698010804</v>
      </c>
      <c r="H116" s="124">
        <v>2.4493150684931502</v>
      </c>
      <c r="I116" s="125">
        <f t="shared" si="11"/>
        <v>0.55068493150684983</v>
      </c>
    </row>
    <row r="117" spans="1:9" x14ac:dyDescent="0.25">
      <c r="A117" s="112">
        <f t="shared" si="12"/>
        <v>978.03245931283902</v>
      </c>
      <c r="B117" s="112">
        <v>704.88245931283905</v>
      </c>
      <c r="C117" s="113">
        <v>38.299999999999997</v>
      </c>
      <c r="D117" s="113">
        <f t="shared" si="9"/>
        <v>6.3979398404806792E-2</v>
      </c>
      <c r="F117" s="112">
        <f t="shared" si="10"/>
        <v>978.03245931283902</v>
      </c>
      <c r="G117" s="112">
        <v>704.88245931283905</v>
      </c>
      <c r="H117" s="124">
        <v>2.4504109589040999</v>
      </c>
      <c r="I117" s="125">
        <f t="shared" si="11"/>
        <v>0.54958904109590012</v>
      </c>
    </row>
    <row r="118" spans="1:9" x14ac:dyDescent="0.25">
      <c r="A118" s="112">
        <f t="shared" si="12"/>
        <v>973.69249547920401</v>
      </c>
      <c r="B118" s="112">
        <v>700.54249547920404</v>
      </c>
      <c r="C118" s="113">
        <v>38.299999999999997</v>
      </c>
      <c r="D118" s="113">
        <f t="shared" si="9"/>
        <v>6.3979398404806792E-2</v>
      </c>
      <c r="F118" s="112">
        <f t="shared" si="10"/>
        <v>973.69249547920401</v>
      </c>
      <c r="G118" s="112">
        <v>700.54249547920404</v>
      </c>
      <c r="H118" s="124">
        <v>2.4504109589040999</v>
      </c>
      <c r="I118" s="125">
        <f t="shared" si="11"/>
        <v>0.54958904109590012</v>
      </c>
    </row>
    <row r="119" spans="1:9" x14ac:dyDescent="0.25">
      <c r="A119" s="112">
        <f t="shared" si="12"/>
        <v>967.90587703435801</v>
      </c>
      <c r="B119" s="112">
        <v>694.75587703435804</v>
      </c>
      <c r="C119" s="113">
        <v>38.299999999999997</v>
      </c>
      <c r="D119" s="113">
        <f t="shared" si="9"/>
        <v>6.4036625058120633E-2</v>
      </c>
      <c r="F119" s="112">
        <f t="shared" si="10"/>
        <v>967.90587703435801</v>
      </c>
      <c r="G119" s="112">
        <v>694.75587703435804</v>
      </c>
      <c r="H119" s="124">
        <v>2.4526027397260202</v>
      </c>
      <c r="I119" s="125">
        <f t="shared" si="11"/>
        <v>0.54739726027397984</v>
      </c>
    </row>
    <row r="120" spans="1:9" x14ac:dyDescent="0.25">
      <c r="A120" s="112">
        <f t="shared" si="12"/>
        <v>960.6726039783</v>
      </c>
      <c r="B120" s="112">
        <v>687.52260397830003</v>
      </c>
      <c r="C120" s="113">
        <v>38.299999999999997</v>
      </c>
      <c r="D120" s="113">
        <f t="shared" si="9"/>
        <v>6.4065238384777554E-2</v>
      </c>
      <c r="F120" s="112">
        <f t="shared" si="10"/>
        <v>960.6726039783</v>
      </c>
      <c r="G120" s="112">
        <v>687.52260397830003</v>
      </c>
      <c r="H120" s="124">
        <v>2.4536986301369801</v>
      </c>
      <c r="I120" s="125">
        <f t="shared" si="11"/>
        <v>0.54630136986301991</v>
      </c>
    </row>
    <row r="121" spans="1:9" x14ac:dyDescent="0.25">
      <c r="A121" s="112">
        <f t="shared" si="12"/>
        <v>951.99267631102998</v>
      </c>
      <c r="B121" s="112">
        <v>678.84267631103</v>
      </c>
      <c r="C121" s="113">
        <v>38.299999999999997</v>
      </c>
      <c r="D121" s="113">
        <f t="shared" si="9"/>
        <v>6.4093851711434474E-2</v>
      </c>
      <c r="F121" s="112">
        <f t="shared" si="10"/>
        <v>951.99267631102998</v>
      </c>
      <c r="G121" s="112">
        <v>678.84267631103</v>
      </c>
      <c r="H121" s="124">
        <v>2.45479452054794</v>
      </c>
      <c r="I121" s="125">
        <f t="shared" si="11"/>
        <v>0.54520547945205999</v>
      </c>
    </row>
    <row r="122" spans="1:9" x14ac:dyDescent="0.25">
      <c r="A122" s="112">
        <f t="shared" si="12"/>
        <v>947.65271247739599</v>
      </c>
      <c r="B122" s="112">
        <v>674.50271247739602</v>
      </c>
      <c r="C122" s="113">
        <v>38.299999999999997</v>
      </c>
      <c r="D122" s="113">
        <f t="shared" si="9"/>
        <v>6.4122465038091381E-2</v>
      </c>
      <c r="F122" s="112">
        <f t="shared" si="10"/>
        <v>947.65271247739599</v>
      </c>
      <c r="G122" s="112">
        <v>674.50271247739602</v>
      </c>
      <c r="H122" s="124">
        <v>2.4558904109588999</v>
      </c>
      <c r="I122" s="125">
        <f t="shared" si="11"/>
        <v>0.54410958904110007</v>
      </c>
    </row>
    <row r="123" spans="1:9" x14ac:dyDescent="0.25">
      <c r="A123" s="112">
        <f t="shared" si="12"/>
        <v>937.52613019891498</v>
      </c>
      <c r="B123" s="112">
        <v>664.37613019891501</v>
      </c>
      <c r="C123" s="113">
        <v>38.299999999999997</v>
      </c>
      <c r="D123" s="113">
        <f t="shared" si="9"/>
        <v>6.4179691691405236E-2</v>
      </c>
      <c r="F123" s="112">
        <f t="shared" si="10"/>
        <v>937.52613019891498</v>
      </c>
      <c r="G123" s="112">
        <v>664.37613019891501</v>
      </c>
      <c r="H123" s="124">
        <v>2.4580821917808202</v>
      </c>
      <c r="I123" s="125">
        <f t="shared" si="11"/>
        <v>0.54191780821917979</v>
      </c>
    </row>
    <row r="124" spans="1:9" x14ac:dyDescent="0.25">
      <c r="A124" s="112">
        <f t="shared" si="12"/>
        <v>930.29285714285697</v>
      </c>
      <c r="B124" s="112">
        <v>657.142857142857</v>
      </c>
      <c r="C124" s="113">
        <v>38.299999999999997</v>
      </c>
      <c r="D124" s="113">
        <f t="shared" si="9"/>
        <v>6.4236918344718799E-2</v>
      </c>
      <c r="F124" s="112">
        <f t="shared" si="10"/>
        <v>930.29285714285697</v>
      </c>
      <c r="G124" s="112">
        <v>657.142857142857</v>
      </c>
      <c r="H124" s="124">
        <v>2.4602739726027298</v>
      </c>
      <c r="I124" s="125">
        <f t="shared" si="11"/>
        <v>0.53972602739727016</v>
      </c>
    </row>
    <row r="125" spans="1:9" x14ac:dyDescent="0.25">
      <c r="A125" s="112">
        <f t="shared" si="12"/>
        <v>923.05958408679896</v>
      </c>
      <c r="B125" s="112">
        <v>649.90958408679899</v>
      </c>
      <c r="C125" s="113">
        <v>38.299999999999997</v>
      </c>
      <c r="D125" s="113">
        <f t="shared" si="9"/>
        <v>6.4236918344718799E-2</v>
      </c>
      <c r="F125" s="112">
        <f t="shared" si="10"/>
        <v>923.05958408679896</v>
      </c>
      <c r="G125" s="112">
        <v>649.90958408679899</v>
      </c>
      <c r="H125" s="124">
        <v>2.4602739726027298</v>
      </c>
      <c r="I125" s="125">
        <f t="shared" si="11"/>
        <v>0.53972602739727016</v>
      </c>
    </row>
    <row r="126" spans="1:9" x14ac:dyDescent="0.25">
      <c r="A126" s="112">
        <f t="shared" si="12"/>
        <v>917.27296564195296</v>
      </c>
      <c r="B126" s="112">
        <v>644.12296564195299</v>
      </c>
      <c r="C126" s="113">
        <v>38.299999999999997</v>
      </c>
      <c r="D126" s="113">
        <f t="shared" si="9"/>
        <v>6.429414499803264E-2</v>
      </c>
      <c r="F126" s="112">
        <f t="shared" si="10"/>
        <v>917.27296564195296</v>
      </c>
      <c r="G126" s="112">
        <v>644.12296564195299</v>
      </c>
      <c r="H126" s="124">
        <v>2.4624657534246501</v>
      </c>
      <c r="I126" s="125">
        <f t="shared" si="11"/>
        <v>0.53753424657534987</v>
      </c>
    </row>
    <row r="127" spans="1:9" x14ac:dyDescent="0.25">
      <c r="A127" s="112">
        <f t="shared" si="12"/>
        <v>908.59303797468294</v>
      </c>
      <c r="B127" s="112">
        <v>635.44303797468297</v>
      </c>
      <c r="C127" s="113">
        <v>38.299999999999997</v>
      </c>
      <c r="D127" s="113">
        <f t="shared" si="9"/>
        <v>6.4322758324689561E-2</v>
      </c>
      <c r="F127" s="112">
        <f t="shared" si="10"/>
        <v>908.59303797468294</v>
      </c>
      <c r="G127" s="112">
        <v>635.44303797468297</v>
      </c>
      <c r="H127" s="124">
        <v>2.46356164383561</v>
      </c>
      <c r="I127" s="125">
        <f t="shared" si="11"/>
        <v>0.53643835616438995</v>
      </c>
    </row>
    <row r="128" spans="1:9" x14ac:dyDescent="0.25">
      <c r="A128" s="112">
        <f t="shared" si="12"/>
        <v>904.25307414104793</v>
      </c>
      <c r="B128" s="112">
        <v>631.10307414104795</v>
      </c>
      <c r="C128" s="113">
        <v>38.299999999999997</v>
      </c>
      <c r="D128" s="113">
        <f t="shared" si="9"/>
        <v>6.4379984978003402E-2</v>
      </c>
      <c r="F128" s="112">
        <f t="shared" si="10"/>
        <v>904.25307414104793</v>
      </c>
      <c r="G128" s="112">
        <v>631.10307414104795</v>
      </c>
      <c r="H128" s="124">
        <v>2.4657534246575299</v>
      </c>
      <c r="I128" s="125">
        <f t="shared" si="11"/>
        <v>0.53424657534247011</v>
      </c>
    </row>
    <row r="129" spans="1:9" x14ac:dyDescent="0.25">
      <c r="A129" s="112">
        <f t="shared" ref="A129:A160" si="13">B129+273.15</f>
        <v>895.57314647377893</v>
      </c>
      <c r="B129" s="112">
        <v>622.42314647377896</v>
      </c>
      <c r="C129" s="113">
        <v>38.299999999999997</v>
      </c>
      <c r="D129" s="113">
        <f t="shared" si="9"/>
        <v>6.4379984978003402E-2</v>
      </c>
      <c r="F129" s="112">
        <f t="shared" si="10"/>
        <v>895.57314647377893</v>
      </c>
      <c r="G129" s="112">
        <v>622.42314647377896</v>
      </c>
      <c r="H129" s="124">
        <v>2.4657534246575299</v>
      </c>
      <c r="I129" s="125">
        <f t="shared" si="11"/>
        <v>0.53424657534247011</v>
      </c>
    </row>
    <row r="130" spans="1:9" x14ac:dyDescent="0.25">
      <c r="A130" s="112">
        <f t="shared" si="13"/>
        <v>886.89321880650994</v>
      </c>
      <c r="B130" s="112">
        <v>613.74321880650996</v>
      </c>
      <c r="C130" s="113">
        <v>38.299999999999997</v>
      </c>
      <c r="D130" s="113">
        <f t="shared" ref="D130:D169" si="14">H130/C130</f>
        <v>6.4437211631317243E-2</v>
      </c>
      <c r="F130" s="112">
        <f t="shared" ref="F130:F169" si="15">G130+273.15</f>
        <v>886.89321880650994</v>
      </c>
      <c r="G130" s="112">
        <v>613.74321880650996</v>
      </c>
      <c r="H130" s="124">
        <v>2.4679452054794502</v>
      </c>
      <c r="I130" s="125">
        <f t="shared" ref="I130:I169" si="16">3-H130</f>
        <v>0.53205479452054982</v>
      </c>
    </row>
    <row r="131" spans="1:9" x14ac:dyDescent="0.25">
      <c r="A131" s="112">
        <f t="shared" si="13"/>
        <v>882.55325497287492</v>
      </c>
      <c r="B131" s="112">
        <v>609.40325497287495</v>
      </c>
      <c r="C131" s="114">
        <v>38.299999999999997</v>
      </c>
      <c r="D131" s="113">
        <f t="shared" si="14"/>
        <v>6.449443828463107E-2</v>
      </c>
      <c r="F131" s="112">
        <f t="shared" si="15"/>
        <v>882.55325497287492</v>
      </c>
      <c r="G131" s="112">
        <v>609.40325497287495</v>
      </c>
      <c r="H131" s="124">
        <v>2.47013698630137</v>
      </c>
      <c r="I131" s="125">
        <f t="shared" si="16"/>
        <v>0.52986301369862998</v>
      </c>
    </row>
    <row r="132" spans="1:9" x14ac:dyDescent="0.25">
      <c r="A132" s="112">
        <f t="shared" si="13"/>
        <v>876.76663652802893</v>
      </c>
      <c r="B132" s="112">
        <v>603.61663652802895</v>
      </c>
      <c r="C132" s="113">
        <v>38.299999999999997</v>
      </c>
      <c r="D132" s="113">
        <f t="shared" si="14"/>
        <v>6.449443828463107E-2</v>
      </c>
      <c r="F132" s="112">
        <f t="shared" si="15"/>
        <v>876.76663652802893</v>
      </c>
      <c r="G132" s="112">
        <v>603.61663652802895</v>
      </c>
      <c r="H132" s="124">
        <v>2.47013698630137</v>
      </c>
      <c r="I132" s="125">
        <f t="shared" si="16"/>
        <v>0.52986301369862998</v>
      </c>
    </row>
    <row r="133" spans="1:9" x14ac:dyDescent="0.25">
      <c r="A133" s="112">
        <f t="shared" si="13"/>
        <v>870.98001808318202</v>
      </c>
      <c r="B133" s="112">
        <v>597.83001808318204</v>
      </c>
      <c r="C133" s="113">
        <v>38.299999999999997</v>
      </c>
      <c r="D133" s="113">
        <f t="shared" si="14"/>
        <v>6.4580278264601568E-2</v>
      </c>
      <c r="F133" s="112">
        <f t="shared" si="15"/>
        <v>870.98001808318202</v>
      </c>
      <c r="G133" s="112">
        <v>597.83001808318204</v>
      </c>
      <c r="H133" s="124">
        <v>2.47342465753424</v>
      </c>
      <c r="I133" s="125">
        <f t="shared" si="16"/>
        <v>0.52657534246575999</v>
      </c>
    </row>
    <row r="134" spans="1:9" x14ac:dyDescent="0.25">
      <c r="A134" s="112">
        <f t="shared" si="13"/>
        <v>866.64005424954701</v>
      </c>
      <c r="B134" s="112">
        <v>593.49005424954703</v>
      </c>
      <c r="C134" s="113">
        <v>38.299999999999997</v>
      </c>
      <c r="D134" s="113">
        <f t="shared" si="14"/>
        <v>6.4580278264601568E-2</v>
      </c>
      <c r="F134" s="112">
        <f t="shared" si="15"/>
        <v>866.64005424954701</v>
      </c>
      <c r="G134" s="112">
        <v>593.49005424954703</v>
      </c>
      <c r="H134" s="124">
        <v>2.47342465753424</v>
      </c>
      <c r="I134" s="125">
        <f t="shared" si="16"/>
        <v>0.52657534246575999</v>
      </c>
    </row>
    <row r="135" spans="1:9" x14ac:dyDescent="0.25">
      <c r="A135" s="112">
        <f t="shared" si="13"/>
        <v>859.40678119349002</v>
      </c>
      <c r="B135" s="112">
        <v>586.25678119349004</v>
      </c>
      <c r="C135" s="113">
        <v>38.299999999999997</v>
      </c>
      <c r="D135" s="113">
        <f t="shared" si="14"/>
        <v>6.4637504917915409E-2</v>
      </c>
      <c r="F135" s="112">
        <f t="shared" si="15"/>
        <v>859.40678119349002</v>
      </c>
      <c r="G135" s="112">
        <v>586.25678119349004</v>
      </c>
      <c r="H135" s="124">
        <v>2.4756164383561599</v>
      </c>
      <c r="I135" s="125">
        <f t="shared" si="16"/>
        <v>0.52438356164384015</v>
      </c>
    </row>
    <row r="136" spans="1:9" x14ac:dyDescent="0.25">
      <c r="A136" s="112">
        <f t="shared" si="13"/>
        <v>852.17350813743201</v>
      </c>
      <c r="B136" s="112">
        <v>579.02350813743203</v>
      </c>
      <c r="C136" s="113">
        <v>38.299999999999997</v>
      </c>
      <c r="D136" s="113">
        <f t="shared" si="14"/>
        <v>6.4666118244572329E-2</v>
      </c>
      <c r="F136" s="112">
        <f t="shared" si="15"/>
        <v>852.17350813743201</v>
      </c>
      <c r="G136" s="112">
        <v>579.02350813743203</v>
      </c>
      <c r="H136" s="124">
        <v>2.4767123287671202</v>
      </c>
      <c r="I136" s="125">
        <f t="shared" si="16"/>
        <v>0.52328767123287978</v>
      </c>
    </row>
    <row r="137" spans="1:9" x14ac:dyDescent="0.25">
      <c r="A137" s="112">
        <f t="shared" si="13"/>
        <v>844.940235081374</v>
      </c>
      <c r="B137" s="112">
        <v>571.79023508137402</v>
      </c>
      <c r="C137" s="113">
        <v>38.299999999999997</v>
      </c>
      <c r="D137" s="113">
        <f t="shared" si="14"/>
        <v>6.472334489788617E-2</v>
      </c>
      <c r="F137" s="112">
        <f t="shared" si="15"/>
        <v>844.940235081374</v>
      </c>
      <c r="G137" s="112">
        <v>571.79023508137402</v>
      </c>
      <c r="H137" s="124">
        <v>2.4789041095890401</v>
      </c>
      <c r="I137" s="125">
        <f t="shared" si="16"/>
        <v>0.52109589041095994</v>
      </c>
    </row>
    <row r="138" spans="1:9" x14ac:dyDescent="0.25">
      <c r="A138" s="112">
        <f t="shared" si="13"/>
        <v>840.60027124773899</v>
      </c>
      <c r="B138" s="112">
        <v>567.45027124773901</v>
      </c>
      <c r="C138" s="113">
        <v>38.299999999999997</v>
      </c>
      <c r="D138" s="113">
        <f t="shared" si="14"/>
        <v>6.472334489788617E-2</v>
      </c>
      <c r="F138" s="112">
        <f t="shared" si="15"/>
        <v>840.60027124773899</v>
      </c>
      <c r="G138" s="112">
        <v>567.45027124773901</v>
      </c>
      <c r="H138" s="124">
        <v>2.4789041095890401</v>
      </c>
      <c r="I138" s="125">
        <f t="shared" si="16"/>
        <v>0.52109589041095994</v>
      </c>
    </row>
    <row r="139" spans="1:9" x14ac:dyDescent="0.25">
      <c r="A139" s="112">
        <f t="shared" si="13"/>
        <v>836.260307414105</v>
      </c>
      <c r="B139" s="112">
        <v>563.11030741410502</v>
      </c>
      <c r="C139" s="113">
        <v>38.299999999999997</v>
      </c>
      <c r="D139" s="113">
        <f t="shared" si="14"/>
        <v>6.4780571551199748E-2</v>
      </c>
      <c r="F139" s="112">
        <f t="shared" si="15"/>
        <v>836.260307414105</v>
      </c>
      <c r="G139" s="112">
        <v>563.11030741410502</v>
      </c>
      <c r="H139" s="124">
        <v>2.4810958904109501</v>
      </c>
      <c r="I139" s="125">
        <f t="shared" si="16"/>
        <v>0.51890410958904987</v>
      </c>
    </row>
    <row r="140" spans="1:9" x14ac:dyDescent="0.25">
      <c r="A140" s="112">
        <f t="shared" si="13"/>
        <v>831.92034358046999</v>
      </c>
      <c r="B140" s="112">
        <v>558.77034358047001</v>
      </c>
      <c r="C140" s="113">
        <v>38.299999999999997</v>
      </c>
      <c r="D140" s="113">
        <f t="shared" si="14"/>
        <v>6.4809184877856668E-2</v>
      </c>
      <c r="F140" s="112">
        <f t="shared" si="15"/>
        <v>831.92034358046999</v>
      </c>
      <c r="G140" s="112">
        <v>558.77034358047001</v>
      </c>
      <c r="H140" s="124">
        <v>2.4821917808219101</v>
      </c>
      <c r="I140" s="125">
        <f t="shared" si="16"/>
        <v>0.51780821917808995</v>
      </c>
    </row>
    <row r="141" spans="1:9" x14ac:dyDescent="0.25">
      <c r="A141" s="112">
        <f t="shared" si="13"/>
        <v>823.24041591319997</v>
      </c>
      <c r="B141" s="112">
        <v>550.09041591319999</v>
      </c>
      <c r="C141" s="113">
        <v>38.299999999999997</v>
      </c>
      <c r="D141" s="113">
        <f t="shared" si="14"/>
        <v>6.4837798204513575E-2</v>
      </c>
      <c r="F141" s="112">
        <f t="shared" si="15"/>
        <v>823.24041591319997</v>
      </c>
      <c r="G141" s="112">
        <v>550.09041591319999</v>
      </c>
      <c r="H141" s="124">
        <v>2.48328767123287</v>
      </c>
      <c r="I141" s="125">
        <f t="shared" si="16"/>
        <v>0.51671232876713002</v>
      </c>
    </row>
    <row r="142" spans="1:9" x14ac:dyDescent="0.25">
      <c r="A142" s="112">
        <f t="shared" si="13"/>
        <v>818.90045207956598</v>
      </c>
      <c r="B142" s="112">
        <v>545.750452079566</v>
      </c>
      <c r="C142" s="113">
        <v>38.299999999999997</v>
      </c>
      <c r="D142" s="113">
        <f t="shared" si="14"/>
        <v>6.4866411531170495E-2</v>
      </c>
      <c r="F142" s="112">
        <f t="shared" si="15"/>
        <v>818.90045207956598</v>
      </c>
      <c r="G142" s="112">
        <v>545.750452079566</v>
      </c>
      <c r="H142" s="124">
        <v>2.4843835616438299</v>
      </c>
      <c r="I142" s="125">
        <f t="shared" si="16"/>
        <v>0.5156164383561701</v>
      </c>
    </row>
    <row r="143" spans="1:9" x14ac:dyDescent="0.25">
      <c r="A143" s="112">
        <f t="shared" si="13"/>
        <v>814.56048824593097</v>
      </c>
      <c r="B143" s="112">
        <v>541.41048824593099</v>
      </c>
      <c r="C143" s="113">
        <v>38.299999999999997</v>
      </c>
      <c r="D143" s="113">
        <f t="shared" si="14"/>
        <v>6.492363818448435E-2</v>
      </c>
      <c r="F143" s="112">
        <f t="shared" si="15"/>
        <v>814.56048824593097</v>
      </c>
      <c r="G143" s="112">
        <v>541.41048824593099</v>
      </c>
      <c r="H143" s="124">
        <v>2.4865753424657502</v>
      </c>
      <c r="I143" s="125">
        <f t="shared" si="16"/>
        <v>0.51342465753424982</v>
      </c>
    </row>
    <row r="144" spans="1:9" x14ac:dyDescent="0.25">
      <c r="A144" s="112">
        <f t="shared" si="13"/>
        <v>811.66717902350797</v>
      </c>
      <c r="B144" s="112">
        <v>538.51717902350799</v>
      </c>
      <c r="C144" s="113">
        <v>38.299999999999997</v>
      </c>
      <c r="D144" s="113">
        <f t="shared" si="14"/>
        <v>6.492363818448435E-2</v>
      </c>
      <c r="F144" s="112">
        <f t="shared" si="15"/>
        <v>811.66717902350797</v>
      </c>
      <c r="G144" s="112">
        <v>538.51717902350799</v>
      </c>
      <c r="H144" s="124">
        <v>2.4865753424657502</v>
      </c>
      <c r="I144" s="125">
        <f t="shared" si="16"/>
        <v>0.51342465753424982</v>
      </c>
    </row>
    <row r="145" spans="1:9" x14ac:dyDescent="0.25">
      <c r="A145" s="112">
        <f t="shared" si="13"/>
        <v>804.43390596744996</v>
      </c>
      <c r="B145" s="112">
        <v>531.28390596744998</v>
      </c>
      <c r="C145" s="113">
        <v>38.299999999999997</v>
      </c>
      <c r="D145" s="113">
        <f t="shared" si="14"/>
        <v>6.4980864837798177E-2</v>
      </c>
      <c r="F145" s="112">
        <f t="shared" si="15"/>
        <v>804.43390596744996</v>
      </c>
      <c r="G145" s="112">
        <v>531.28390596744998</v>
      </c>
      <c r="H145" s="124">
        <v>2.48876712328767</v>
      </c>
      <c r="I145" s="125">
        <f t="shared" si="16"/>
        <v>0.51123287671232998</v>
      </c>
    </row>
    <row r="146" spans="1:9" x14ac:dyDescent="0.25">
      <c r="A146" s="112">
        <f t="shared" si="13"/>
        <v>797.20063291139195</v>
      </c>
      <c r="B146" s="112">
        <v>524.05063291139197</v>
      </c>
      <c r="C146" s="113">
        <v>38.299999999999997</v>
      </c>
      <c r="D146" s="113">
        <f t="shared" si="14"/>
        <v>6.5038091491111755E-2</v>
      </c>
      <c r="F146" s="112">
        <f t="shared" si="15"/>
        <v>797.20063291139195</v>
      </c>
      <c r="G146" s="112">
        <v>524.05063291139197</v>
      </c>
      <c r="H146" s="124">
        <v>2.4909589041095801</v>
      </c>
      <c r="I146" s="125">
        <f t="shared" si="16"/>
        <v>0.5090410958904199</v>
      </c>
    </row>
    <row r="147" spans="1:9" x14ac:dyDescent="0.25">
      <c r="A147" s="112">
        <f t="shared" si="13"/>
        <v>794.30732368896895</v>
      </c>
      <c r="B147" s="112">
        <v>521.15732368896897</v>
      </c>
      <c r="C147" s="113">
        <v>38.299999999999997</v>
      </c>
      <c r="D147" s="113">
        <f t="shared" si="14"/>
        <v>6.5038091491111755E-2</v>
      </c>
      <c r="F147" s="112">
        <f t="shared" si="15"/>
        <v>794.30732368896895</v>
      </c>
      <c r="G147" s="112">
        <v>521.15732368896897</v>
      </c>
      <c r="H147" s="124">
        <v>2.4909589041095801</v>
      </c>
      <c r="I147" s="125">
        <f t="shared" si="16"/>
        <v>0.5090410958904199</v>
      </c>
    </row>
    <row r="148" spans="1:9" x14ac:dyDescent="0.25">
      <c r="A148" s="112">
        <f t="shared" si="13"/>
        <v>787.07405063291094</v>
      </c>
      <c r="B148" s="112">
        <v>513.92405063291096</v>
      </c>
      <c r="C148" s="113">
        <v>38.299999999999997</v>
      </c>
      <c r="D148" s="113">
        <f t="shared" si="14"/>
        <v>6.5066704817768675E-2</v>
      </c>
      <c r="F148" s="112">
        <f t="shared" si="15"/>
        <v>787.07405063291094</v>
      </c>
      <c r="G148" s="112">
        <v>513.92405063291096</v>
      </c>
      <c r="H148" s="124">
        <v>2.49205479452054</v>
      </c>
      <c r="I148" s="125">
        <f t="shared" si="16"/>
        <v>0.50794520547945998</v>
      </c>
    </row>
    <row r="149" spans="1:9" x14ac:dyDescent="0.25">
      <c r="A149" s="112">
        <f t="shared" si="13"/>
        <v>782.73408679927695</v>
      </c>
      <c r="B149" s="112">
        <v>509.58408679927697</v>
      </c>
      <c r="C149" s="113">
        <v>38.299999999999997</v>
      </c>
      <c r="D149" s="113">
        <f t="shared" si="14"/>
        <v>6.5095318144425596E-2</v>
      </c>
      <c r="F149" s="112">
        <f t="shared" si="15"/>
        <v>782.73408679927695</v>
      </c>
      <c r="G149" s="112">
        <v>509.58408679927697</v>
      </c>
      <c r="H149" s="124">
        <v>2.4931506849314999</v>
      </c>
      <c r="I149" s="125">
        <f t="shared" si="16"/>
        <v>0.50684931506850006</v>
      </c>
    </row>
    <row r="150" spans="1:9" x14ac:dyDescent="0.25">
      <c r="A150" s="112">
        <f t="shared" si="13"/>
        <v>776.94746835442993</v>
      </c>
      <c r="B150" s="112">
        <v>503.79746835443001</v>
      </c>
      <c r="C150" s="113">
        <v>38.299999999999997</v>
      </c>
      <c r="D150" s="113">
        <f t="shared" si="14"/>
        <v>6.5152544797739423E-2</v>
      </c>
      <c r="F150" s="112">
        <f t="shared" si="15"/>
        <v>776.94746835442993</v>
      </c>
      <c r="G150" s="112">
        <v>503.79746835443001</v>
      </c>
      <c r="H150" s="124">
        <v>2.4953424657534198</v>
      </c>
      <c r="I150" s="125">
        <f t="shared" si="16"/>
        <v>0.50465753424658022</v>
      </c>
    </row>
    <row r="151" spans="1:9" x14ac:dyDescent="0.25">
      <c r="A151" s="112">
        <f t="shared" si="13"/>
        <v>771.16084990958393</v>
      </c>
      <c r="B151" s="112">
        <v>498.01084990958401</v>
      </c>
      <c r="C151" s="113">
        <v>38.299999999999997</v>
      </c>
      <c r="D151" s="113">
        <f t="shared" si="14"/>
        <v>6.5209771451053264E-2</v>
      </c>
      <c r="F151" s="112">
        <f t="shared" si="15"/>
        <v>771.16084990958393</v>
      </c>
      <c r="G151" s="112">
        <v>498.01084990958401</v>
      </c>
      <c r="H151" s="124">
        <v>2.4975342465753401</v>
      </c>
      <c r="I151" s="125">
        <f t="shared" si="16"/>
        <v>0.50246575342465993</v>
      </c>
    </row>
    <row r="152" spans="1:9" x14ac:dyDescent="0.25">
      <c r="A152" s="112">
        <f t="shared" si="13"/>
        <v>766.82088607594892</v>
      </c>
      <c r="B152" s="112">
        <v>493.670886075949</v>
      </c>
      <c r="C152" s="113">
        <v>38.299999999999997</v>
      </c>
      <c r="D152" s="113">
        <f t="shared" si="14"/>
        <v>6.5238384777710184E-2</v>
      </c>
      <c r="F152" s="112">
        <f t="shared" si="15"/>
        <v>766.82088607594892</v>
      </c>
      <c r="G152" s="112">
        <v>493.670886075949</v>
      </c>
      <c r="H152" s="124">
        <v>2.4986301369863</v>
      </c>
      <c r="I152" s="125">
        <f t="shared" si="16"/>
        <v>0.50136986301370001</v>
      </c>
    </row>
    <row r="153" spans="1:9" x14ac:dyDescent="0.25">
      <c r="A153" s="112">
        <f t="shared" si="13"/>
        <v>761.03426763110292</v>
      </c>
      <c r="B153" s="112">
        <v>487.884267631103</v>
      </c>
      <c r="C153" s="113">
        <v>38.299999999999997</v>
      </c>
      <c r="D153" s="113">
        <f t="shared" si="14"/>
        <v>6.5266998104367105E-2</v>
      </c>
      <c r="F153" s="112">
        <f t="shared" si="15"/>
        <v>761.03426763110292</v>
      </c>
      <c r="G153" s="112">
        <v>487.884267631103</v>
      </c>
      <c r="H153" s="124">
        <v>2.4997260273972599</v>
      </c>
      <c r="I153" s="125">
        <f t="shared" si="16"/>
        <v>0.50027397260274009</v>
      </c>
    </row>
    <row r="154" spans="1:9" x14ac:dyDescent="0.25">
      <c r="A154" s="112">
        <f t="shared" si="13"/>
        <v>756.69430379746791</v>
      </c>
      <c r="B154" s="112">
        <v>483.54430379746799</v>
      </c>
      <c r="C154" s="113">
        <v>38.299999999999997</v>
      </c>
      <c r="D154" s="113">
        <f t="shared" si="14"/>
        <v>6.5295611431023762E-2</v>
      </c>
      <c r="F154" s="112">
        <f t="shared" si="15"/>
        <v>756.69430379746791</v>
      </c>
      <c r="G154" s="112">
        <v>483.54430379746799</v>
      </c>
      <c r="H154" s="124">
        <v>2.5008219178082101</v>
      </c>
      <c r="I154" s="125">
        <f t="shared" si="16"/>
        <v>0.49917808219178994</v>
      </c>
    </row>
    <row r="155" spans="1:9" x14ac:dyDescent="0.25">
      <c r="A155" s="112">
        <f t="shared" si="13"/>
        <v>749.46103074141001</v>
      </c>
      <c r="B155" s="112">
        <v>476.31103074140998</v>
      </c>
      <c r="C155" s="113">
        <v>38.299999999999997</v>
      </c>
      <c r="D155" s="113">
        <f t="shared" si="14"/>
        <v>6.5352838084337603E-2</v>
      </c>
      <c r="F155" s="112">
        <f t="shared" si="15"/>
        <v>749.46103074141001</v>
      </c>
      <c r="G155" s="112">
        <v>476.31103074140998</v>
      </c>
      <c r="H155" s="124">
        <v>2.5030136986301299</v>
      </c>
      <c r="I155" s="125">
        <f t="shared" si="16"/>
        <v>0.4969863013698701</v>
      </c>
    </row>
    <row r="156" spans="1:9" x14ac:dyDescent="0.25">
      <c r="A156" s="112">
        <f t="shared" si="13"/>
        <v>743.67441229656401</v>
      </c>
      <c r="B156" s="112">
        <v>470.52441229656398</v>
      </c>
      <c r="C156" s="113">
        <v>38.299999999999997</v>
      </c>
      <c r="D156" s="113">
        <f t="shared" si="14"/>
        <v>6.5410064737651444E-2</v>
      </c>
      <c r="F156" s="112">
        <f t="shared" si="15"/>
        <v>743.67441229656401</v>
      </c>
      <c r="G156" s="112">
        <v>470.52441229656398</v>
      </c>
      <c r="H156" s="124">
        <v>2.5052054794520502</v>
      </c>
      <c r="I156" s="125">
        <f t="shared" si="16"/>
        <v>0.49479452054794981</v>
      </c>
    </row>
    <row r="157" spans="1:9" x14ac:dyDescent="0.25">
      <c r="A157" s="112">
        <f t="shared" si="13"/>
        <v>734.99448462929399</v>
      </c>
      <c r="B157" s="112">
        <v>461.84448462929402</v>
      </c>
      <c r="C157" s="113">
        <v>38.299999999999997</v>
      </c>
      <c r="D157" s="113">
        <f t="shared" si="14"/>
        <v>6.5467291390965285E-2</v>
      </c>
      <c r="F157" s="112">
        <f t="shared" si="15"/>
        <v>734.99448462929399</v>
      </c>
      <c r="G157" s="112">
        <v>461.84448462929402</v>
      </c>
      <c r="H157" s="124">
        <v>2.50739726027397</v>
      </c>
      <c r="I157" s="125">
        <f t="shared" si="16"/>
        <v>0.49260273972602997</v>
      </c>
    </row>
    <row r="158" spans="1:9" x14ac:dyDescent="0.25">
      <c r="A158" s="112">
        <f t="shared" si="13"/>
        <v>729.20786618444799</v>
      </c>
      <c r="B158" s="112">
        <v>456.05786618444802</v>
      </c>
      <c r="C158" s="113">
        <v>38.299999999999997</v>
      </c>
      <c r="D158" s="113">
        <f t="shared" si="14"/>
        <v>6.5524518044279112E-2</v>
      </c>
      <c r="F158" s="112">
        <f t="shared" si="15"/>
        <v>729.20786618444799</v>
      </c>
      <c r="G158" s="112">
        <v>456.05786618444802</v>
      </c>
      <c r="H158" s="124">
        <v>2.5095890410958899</v>
      </c>
      <c r="I158" s="125">
        <f t="shared" si="16"/>
        <v>0.49041095890411013</v>
      </c>
    </row>
    <row r="159" spans="1:9" x14ac:dyDescent="0.25">
      <c r="A159" s="112">
        <f t="shared" si="13"/>
        <v>720.527938517179</v>
      </c>
      <c r="B159" s="112">
        <v>447.37793851717902</v>
      </c>
      <c r="C159" s="113">
        <v>38.299999999999997</v>
      </c>
      <c r="D159" s="113">
        <f t="shared" si="14"/>
        <v>6.561035802424961E-2</v>
      </c>
      <c r="F159" s="112">
        <f t="shared" si="15"/>
        <v>720.527938517179</v>
      </c>
      <c r="G159" s="112">
        <v>447.37793851717902</v>
      </c>
      <c r="H159" s="124">
        <v>2.5128767123287599</v>
      </c>
      <c r="I159" s="125">
        <f t="shared" si="16"/>
        <v>0.48712328767124013</v>
      </c>
    </row>
    <row r="160" spans="1:9" x14ac:dyDescent="0.25">
      <c r="A160" s="112">
        <f t="shared" si="13"/>
        <v>716.18797468354398</v>
      </c>
      <c r="B160" s="112">
        <v>443.03797468354401</v>
      </c>
      <c r="C160" s="113">
        <v>38.299999999999997</v>
      </c>
      <c r="D160" s="113">
        <f t="shared" si="14"/>
        <v>6.563897135090653E-2</v>
      </c>
      <c r="F160" s="112">
        <f t="shared" si="15"/>
        <v>716.18797468354398</v>
      </c>
      <c r="G160" s="112">
        <v>443.03797468354401</v>
      </c>
      <c r="H160" s="124">
        <v>2.5139726027397198</v>
      </c>
      <c r="I160" s="125">
        <f t="shared" si="16"/>
        <v>0.48602739726028021</v>
      </c>
    </row>
    <row r="161" spans="1:9" x14ac:dyDescent="0.25">
      <c r="A161" s="112">
        <f t="shared" ref="A161:A169" si="17">B161+273.15</f>
        <v>711.84801084990897</v>
      </c>
      <c r="B161" s="112">
        <v>438.698010849909</v>
      </c>
      <c r="C161" s="113">
        <v>38.299999999999997</v>
      </c>
      <c r="D161" s="113">
        <f t="shared" si="14"/>
        <v>6.5724811330877292E-2</v>
      </c>
      <c r="F161" s="112">
        <f t="shared" si="15"/>
        <v>711.84801084990897</v>
      </c>
      <c r="G161" s="112">
        <v>438.698010849909</v>
      </c>
      <c r="H161" s="124">
        <v>2.5172602739726</v>
      </c>
      <c r="I161" s="125">
        <f t="shared" si="16"/>
        <v>0.48273972602740001</v>
      </c>
    </row>
    <row r="162" spans="1:9" x14ac:dyDescent="0.25">
      <c r="A162" s="112">
        <f t="shared" si="17"/>
        <v>707.50804701627499</v>
      </c>
      <c r="B162" s="112">
        <v>434.35804701627501</v>
      </c>
      <c r="C162" s="113">
        <v>38.299999999999997</v>
      </c>
      <c r="D162" s="113">
        <f t="shared" si="14"/>
        <v>6.5724811330877292E-2</v>
      </c>
      <c r="F162" s="112">
        <f t="shared" si="15"/>
        <v>707.50804701627499</v>
      </c>
      <c r="G162" s="112">
        <v>434.35804701627501</v>
      </c>
      <c r="H162" s="124">
        <v>2.5172602739726</v>
      </c>
      <c r="I162" s="125">
        <f t="shared" si="16"/>
        <v>0.48273972602740001</v>
      </c>
    </row>
    <row r="163" spans="1:9" x14ac:dyDescent="0.25">
      <c r="A163" s="112">
        <f t="shared" si="17"/>
        <v>703.16808318263998</v>
      </c>
      <c r="B163" s="112">
        <v>430.01808318264</v>
      </c>
      <c r="C163" s="113">
        <v>38.299999999999997</v>
      </c>
      <c r="D163" s="113">
        <f t="shared" si="14"/>
        <v>6.5753424657534212E-2</v>
      </c>
      <c r="F163" s="112">
        <f t="shared" si="15"/>
        <v>703.16808318263998</v>
      </c>
      <c r="G163" s="112">
        <v>430.01808318264</v>
      </c>
      <c r="H163" s="124">
        <v>2.5183561643835599</v>
      </c>
      <c r="I163" s="125">
        <f t="shared" si="16"/>
        <v>0.48164383561644009</v>
      </c>
    </row>
    <row r="164" spans="1:9" x14ac:dyDescent="0.25">
      <c r="A164" s="112">
        <f t="shared" si="17"/>
        <v>700.27477396021698</v>
      </c>
      <c r="B164" s="112">
        <v>427.124773960217</v>
      </c>
      <c r="C164" s="113">
        <v>38.299999999999997</v>
      </c>
      <c r="D164" s="113">
        <f t="shared" si="14"/>
        <v>6.581065131084779E-2</v>
      </c>
      <c r="F164" s="112">
        <f t="shared" si="15"/>
        <v>700.27477396021698</v>
      </c>
      <c r="G164" s="112">
        <v>427.124773960217</v>
      </c>
      <c r="H164" s="124">
        <v>2.52054794520547</v>
      </c>
      <c r="I164" s="125">
        <f t="shared" si="16"/>
        <v>0.47945205479453001</v>
      </c>
    </row>
    <row r="165" spans="1:9" x14ac:dyDescent="0.25">
      <c r="A165" s="112">
        <f t="shared" si="17"/>
        <v>694.48815551536995</v>
      </c>
      <c r="B165" s="112">
        <v>421.33815551536998</v>
      </c>
      <c r="C165" s="113">
        <v>38.299999999999997</v>
      </c>
      <c r="D165" s="113">
        <f t="shared" si="14"/>
        <v>6.5867877964161617E-2</v>
      </c>
      <c r="F165" s="112">
        <f t="shared" si="15"/>
        <v>694.48815551536995</v>
      </c>
      <c r="G165" s="112">
        <v>421.33815551536998</v>
      </c>
      <c r="H165" s="124">
        <v>2.5227397260273898</v>
      </c>
      <c r="I165" s="125">
        <f t="shared" si="16"/>
        <v>0.47726027397261017</v>
      </c>
    </row>
    <row r="166" spans="1:9" x14ac:dyDescent="0.25">
      <c r="A166" s="112">
        <f t="shared" si="17"/>
        <v>685.80822784810096</v>
      </c>
      <c r="B166" s="112">
        <v>412.65822784810098</v>
      </c>
      <c r="C166" s="113">
        <v>38.299999999999997</v>
      </c>
      <c r="D166" s="113">
        <f t="shared" si="14"/>
        <v>6.5953717944132378E-2</v>
      </c>
      <c r="F166" s="112">
        <f t="shared" si="15"/>
        <v>685.80822784810096</v>
      </c>
      <c r="G166" s="112">
        <v>412.65822784810098</v>
      </c>
      <c r="H166" s="124">
        <v>2.52602739726027</v>
      </c>
      <c r="I166" s="125">
        <f t="shared" si="16"/>
        <v>0.47397260273972996</v>
      </c>
    </row>
    <row r="167" spans="1:9" x14ac:dyDescent="0.25">
      <c r="A167" s="112">
        <f t="shared" si="17"/>
        <v>680.02160940325496</v>
      </c>
      <c r="B167" s="112">
        <v>406.87160940325498</v>
      </c>
      <c r="C167" s="113">
        <v>38.299999999999997</v>
      </c>
      <c r="D167" s="113">
        <f t="shared" si="14"/>
        <v>6.5982331270789299E-2</v>
      </c>
      <c r="F167" s="112">
        <f t="shared" si="15"/>
        <v>680.02160940325496</v>
      </c>
      <c r="G167" s="112">
        <v>406.87160940325498</v>
      </c>
      <c r="H167" s="124">
        <v>2.52712328767123</v>
      </c>
      <c r="I167" s="125">
        <f t="shared" si="16"/>
        <v>0.47287671232877004</v>
      </c>
    </row>
    <row r="168" spans="1:9" x14ac:dyDescent="0.25">
      <c r="A168" s="112">
        <f t="shared" si="17"/>
        <v>674.23499095840793</v>
      </c>
      <c r="B168" s="112">
        <v>401.08499095840801</v>
      </c>
      <c r="C168" s="113">
        <v>38.299999999999997</v>
      </c>
      <c r="D168" s="113">
        <f t="shared" si="14"/>
        <v>6.6039557924103126E-2</v>
      </c>
      <c r="F168" s="112">
        <f t="shared" si="15"/>
        <v>674.23499095840793</v>
      </c>
      <c r="G168" s="112">
        <v>401.08499095840801</v>
      </c>
      <c r="H168" s="124">
        <v>2.5293150684931498</v>
      </c>
      <c r="I168" s="125">
        <f t="shared" si="16"/>
        <v>0.4706849315068502</v>
      </c>
    </row>
    <row r="169" spans="1:9" x14ac:dyDescent="0.25">
      <c r="A169" s="112">
        <f t="shared" si="17"/>
        <v>673.15</v>
      </c>
      <c r="B169" s="112">
        <v>400</v>
      </c>
      <c r="C169" s="113">
        <v>38.299999999999997</v>
      </c>
      <c r="D169" s="113">
        <f t="shared" si="14"/>
        <v>6.6096784577416717E-2</v>
      </c>
      <c r="F169" s="112">
        <f t="shared" si="15"/>
        <v>673.15</v>
      </c>
      <c r="G169" s="112">
        <v>400</v>
      </c>
      <c r="H169" s="124">
        <v>2.5315068493150599</v>
      </c>
      <c r="I169" s="125">
        <f t="shared" si="16"/>
        <v>0.46849315068494013</v>
      </c>
    </row>
    <row r="170" spans="1:9" x14ac:dyDescent="0.25">
      <c r="E170" s="112"/>
      <c r="G170" s="112"/>
    </row>
    <row r="171" spans="1:9" x14ac:dyDescent="0.25">
      <c r="E171" s="112"/>
      <c r="G171" s="112"/>
    </row>
    <row r="172" spans="1:9" x14ac:dyDescent="0.25">
      <c r="E172" s="112"/>
      <c r="G172" s="112"/>
    </row>
    <row r="173" spans="1:9" x14ac:dyDescent="0.25">
      <c r="E173" s="112"/>
      <c r="G173" s="112"/>
    </row>
    <row r="174" spans="1:9" x14ac:dyDescent="0.25">
      <c r="E174" s="112"/>
      <c r="G174" s="112"/>
    </row>
    <row r="175" spans="1:9" x14ac:dyDescent="0.25">
      <c r="E175" s="112"/>
      <c r="G175" s="112"/>
    </row>
    <row r="176" spans="1:9" x14ac:dyDescent="0.25">
      <c r="E176" s="112"/>
      <c r="G176" s="112"/>
    </row>
    <row r="177" spans="5:7" x14ac:dyDescent="0.25">
      <c r="E177" s="112"/>
      <c r="G177" s="112"/>
    </row>
    <row r="178" spans="5:7" x14ac:dyDescent="0.25">
      <c r="E178" s="112"/>
      <c r="G178" s="112"/>
    </row>
    <row r="179" spans="5:7" x14ac:dyDescent="0.25">
      <c r="E179" s="112"/>
      <c r="G179" s="112"/>
    </row>
    <row r="180" spans="5:7" x14ac:dyDescent="0.25">
      <c r="E180" s="112"/>
      <c r="G180" s="112"/>
    </row>
    <row r="181" spans="5:7" x14ac:dyDescent="0.25">
      <c r="E181" s="112"/>
      <c r="G181" s="112"/>
    </row>
    <row r="182" spans="5:7" x14ac:dyDescent="0.25">
      <c r="E182" s="112"/>
      <c r="G182" s="112"/>
    </row>
    <row r="183" spans="5:7" x14ac:dyDescent="0.25">
      <c r="E183" s="112"/>
      <c r="G183" s="112"/>
    </row>
    <row r="184" spans="5:7" x14ac:dyDescent="0.25">
      <c r="E184" s="112"/>
      <c r="G184" s="112"/>
    </row>
    <row r="185" spans="5:7" x14ac:dyDescent="0.25">
      <c r="E185" s="112"/>
      <c r="G185" s="112"/>
    </row>
    <row r="186" spans="5:7" x14ac:dyDescent="0.25">
      <c r="E186" s="112"/>
      <c r="G186" s="112"/>
    </row>
    <row r="187" spans="5:7" x14ac:dyDescent="0.25">
      <c r="E187" s="112"/>
      <c r="G187" s="112"/>
    </row>
    <row r="188" spans="5:7" x14ac:dyDescent="0.25">
      <c r="E188" s="112"/>
      <c r="G188" s="112"/>
    </row>
    <row r="189" spans="5:7" x14ac:dyDescent="0.25">
      <c r="E189" s="112"/>
      <c r="G189" s="112"/>
    </row>
    <row r="190" spans="5:7" x14ac:dyDescent="0.25">
      <c r="E190" s="112"/>
      <c r="G190" s="112"/>
    </row>
    <row r="191" spans="5:7" x14ac:dyDescent="0.25">
      <c r="E191" s="112"/>
      <c r="G191" s="112"/>
    </row>
    <row r="192" spans="5:7" x14ac:dyDescent="0.25">
      <c r="E192" s="112"/>
      <c r="G192" s="112"/>
    </row>
    <row r="193" spans="5:7" x14ac:dyDescent="0.25">
      <c r="E193" s="112"/>
      <c r="G193" s="112"/>
    </row>
    <row r="194" spans="5:7" x14ac:dyDescent="0.25">
      <c r="E194" s="112"/>
      <c r="G194" s="112"/>
    </row>
    <row r="195" spans="5:7" x14ac:dyDescent="0.25">
      <c r="E195" s="112"/>
      <c r="G195" s="112"/>
    </row>
  </sheetData>
  <sortState ref="F68:H198">
    <sortCondition descending="1" ref="F68"/>
  </sortState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3"/>
  <sheetViews>
    <sheetView workbookViewId="0">
      <selection activeCell="E17" sqref="E17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190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2" t="s">
        <v>195</v>
      </c>
    </row>
    <row r="6" spans="1:19" ht="15.75" thickBot="1" x14ac:dyDescent="0.3">
      <c r="A6" s="141">
        <f>B6+273.15</f>
        <v>1173.1500000000001</v>
      </c>
      <c r="B6" s="126">
        <v>900</v>
      </c>
      <c r="C6" s="130"/>
      <c r="D6" s="154">
        <v>5.3048408357083928E-4</v>
      </c>
    </row>
    <row r="7" spans="1:19" ht="15.75" thickBot="1" x14ac:dyDescent="0.3">
      <c r="A7" s="172"/>
      <c r="B7" s="150"/>
      <c r="C7" s="144"/>
      <c r="D7" s="171"/>
      <c r="H7" s="111" t="s">
        <v>18</v>
      </c>
    </row>
    <row r="8" spans="1:19" ht="15.75" x14ac:dyDescent="0.25">
      <c r="A8" s="133" t="s">
        <v>13</v>
      </c>
      <c r="B8" s="134"/>
      <c r="C8" s="134"/>
      <c r="D8" s="135"/>
      <c r="G8" s="111">
        <v>1</v>
      </c>
      <c r="H8" s="35" t="s">
        <v>139</v>
      </c>
    </row>
    <row r="9" spans="1:19" ht="75" x14ac:dyDescent="0.25">
      <c r="A9" s="136" t="s">
        <v>16</v>
      </c>
      <c r="B9" s="115" t="s">
        <v>14</v>
      </c>
      <c r="C9" s="142" t="s">
        <v>37</v>
      </c>
      <c r="D9" s="137" t="s">
        <v>15</v>
      </c>
      <c r="H9" s="35"/>
    </row>
    <row r="10" spans="1:19" ht="16.5" thickBot="1" x14ac:dyDescent="0.3">
      <c r="A10" s="141">
        <f>B10+273.15</f>
        <v>1173.1500000000001</v>
      </c>
      <c r="B10" s="126">
        <v>900</v>
      </c>
      <c r="C10" s="130">
        <f>'BSCF,Bucher (Solid State Ionics'!C40</f>
        <v>95</v>
      </c>
      <c r="D10" s="158">
        <f>D6/C10</f>
        <v>5.5840429849562031E-6</v>
      </c>
      <c r="J10" s="2"/>
    </row>
    <row r="11" spans="1:19" ht="19.5" thickBot="1" x14ac:dyDescent="0.3">
      <c r="A11" s="172"/>
      <c r="B11" s="150"/>
      <c r="C11" s="144"/>
      <c r="D11" s="144"/>
      <c r="H11" s="169" t="s">
        <v>184</v>
      </c>
    </row>
    <row r="12" spans="1:19" ht="15.75" x14ac:dyDescent="0.25">
      <c r="A12" s="133" t="s">
        <v>19</v>
      </c>
      <c r="B12" s="134"/>
      <c r="C12" s="134"/>
      <c r="D12" s="135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47.25" x14ac:dyDescent="0.25">
      <c r="A13" s="136" t="s">
        <v>16</v>
      </c>
      <c r="B13" s="115" t="s">
        <v>14</v>
      </c>
      <c r="C13" s="142" t="s">
        <v>21</v>
      </c>
      <c r="D13" s="143" t="s">
        <v>35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thickBot="1" x14ac:dyDescent="0.3">
      <c r="A14" s="141">
        <f t="shared" ref="A14" si="0">B14+273.15</f>
        <v>1173.1500000000001</v>
      </c>
      <c r="B14" s="126">
        <v>900</v>
      </c>
      <c r="C14" s="130">
        <f>'BSCF,Bucher (Solid State Ionics'!H40</f>
        <v>6.522976501305483E-2</v>
      </c>
      <c r="D14" s="158">
        <f>($C$2*$A$2*A14)/(4*($E$2^2)*D10*C14)</f>
        <v>0.71878041197609288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D16" s="115"/>
    </row>
    <row r="17" spans="1:12" x14ac:dyDescent="0.25">
      <c r="A17" s="172"/>
      <c r="B17" s="150"/>
      <c r="C17" s="144"/>
      <c r="D17" s="144"/>
    </row>
    <row r="18" spans="1:12" x14ac:dyDescent="0.25">
      <c r="A18" s="172"/>
      <c r="B18" s="150"/>
      <c r="C18" s="144"/>
      <c r="D18" s="144"/>
    </row>
    <row r="19" spans="1:12" x14ac:dyDescent="0.25">
      <c r="A19" s="172"/>
      <c r="B19" s="150"/>
      <c r="C19" s="144"/>
      <c r="D19" s="144"/>
    </row>
    <row r="20" spans="1:12" x14ac:dyDescent="0.25">
      <c r="A20" s="172"/>
      <c r="B20" s="150"/>
      <c r="C20" s="144"/>
      <c r="D20" s="144"/>
    </row>
    <row r="21" spans="1:12" x14ac:dyDescent="0.25">
      <c r="A21" s="172"/>
      <c r="B21" s="150"/>
      <c r="C21" s="144"/>
      <c r="D21" s="144"/>
    </row>
    <row r="22" spans="1:12" x14ac:dyDescent="0.25">
      <c r="A22" s="148"/>
      <c r="B22" s="150"/>
      <c r="C22" s="144"/>
      <c r="D22" s="144"/>
    </row>
    <row r="23" spans="1:12" x14ac:dyDescent="0.25">
      <c r="A23" s="112"/>
      <c r="D23" s="114"/>
    </row>
    <row r="24" spans="1:12" x14ac:dyDescent="0.25">
      <c r="G24" s="119"/>
      <c r="H24" s="119"/>
    </row>
    <row r="25" spans="1:12" x14ac:dyDescent="0.25">
      <c r="G25" s="119"/>
      <c r="H25" s="114"/>
    </row>
    <row r="26" spans="1:12" x14ac:dyDescent="0.25">
      <c r="D26" s="115"/>
      <c r="G26" s="119"/>
      <c r="H26" s="114"/>
      <c r="K26" s="118"/>
      <c r="L26" s="118"/>
    </row>
    <row r="27" spans="1:12" x14ac:dyDescent="0.25">
      <c r="A27" s="138"/>
      <c r="B27" s="115"/>
      <c r="C27" s="115"/>
      <c r="D27" s="144"/>
      <c r="G27" s="119"/>
      <c r="H27" s="114"/>
      <c r="J27" s="113"/>
      <c r="K27" s="113"/>
      <c r="L27" s="113"/>
    </row>
    <row r="28" spans="1:12" x14ac:dyDescent="0.25">
      <c r="A28" s="138"/>
      <c r="B28" s="115"/>
      <c r="C28" s="115"/>
      <c r="D28" s="144"/>
      <c r="G28" s="119"/>
      <c r="H28" s="114"/>
      <c r="J28" s="113"/>
      <c r="K28" s="113"/>
      <c r="L28" s="113"/>
    </row>
    <row r="29" spans="1:12" x14ac:dyDescent="0.25">
      <c r="A29" s="138"/>
      <c r="B29" s="115"/>
      <c r="C29" s="115"/>
      <c r="D29" s="144"/>
      <c r="G29" s="119"/>
      <c r="H29" s="114"/>
      <c r="J29" s="113"/>
      <c r="K29" s="113"/>
      <c r="L29" s="113"/>
    </row>
    <row r="30" spans="1:12" x14ac:dyDescent="0.25">
      <c r="A30" s="138"/>
      <c r="B30" s="115"/>
      <c r="C30" s="115"/>
      <c r="D30" s="144"/>
      <c r="G30" s="119"/>
      <c r="H30" s="114"/>
      <c r="J30" s="113"/>
      <c r="K30" s="113"/>
      <c r="L30" s="113"/>
    </row>
    <row r="31" spans="1:12" x14ac:dyDescent="0.25">
      <c r="A31" s="138"/>
      <c r="B31" s="115"/>
      <c r="C31" s="115"/>
      <c r="D31" s="144"/>
      <c r="G31" s="119"/>
      <c r="H31" s="114"/>
      <c r="J31" s="113"/>
      <c r="K31" s="113"/>
      <c r="L31" s="113"/>
    </row>
    <row r="32" spans="1:12" x14ac:dyDescent="0.25">
      <c r="A32" s="139"/>
      <c r="B32" s="115"/>
      <c r="C32" s="115"/>
      <c r="D32" s="144"/>
      <c r="G32" s="119"/>
      <c r="H32" s="114"/>
      <c r="J32" s="113"/>
      <c r="K32" s="113"/>
      <c r="L32" s="113"/>
    </row>
    <row r="33" spans="1:19" x14ac:dyDescent="0.25">
      <c r="D33" s="113"/>
      <c r="G33" s="119"/>
      <c r="H33" s="114"/>
      <c r="J33" s="113"/>
      <c r="K33" s="113"/>
      <c r="L33" s="113"/>
    </row>
    <row r="34" spans="1:19" s="126" customFormat="1" ht="15.75" thickBot="1" x14ac:dyDescent="0.3">
      <c r="A34" s="115"/>
      <c r="B34" s="115"/>
      <c r="C34" s="115"/>
      <c r="D34" s="115"/>
      <c r="E34" s="115"/>
      <c r="F34" s="115"/>
      <c r="G34" s="150"/>
      <c r="H34" s="144"/>
      <c r="I34" s="115"/>
      <c r="J34" s="140"/>
      <c r="K34" s="140"/>
      <c r="L34" s="140"/>
      <c r="M34" s="115"/>
      <c r="N34" s="115"/>
      <c r="O34" s="115"/>
      <c r="P34" s="115"/>
      <c r="Q34" s="115"/>
      <c r="R34" s="115"/>
      <c r="S34" s="115"/>
    </row>
    <row r="35" spans="1:19" x14ac:dyDescent="0.25">
      <c r="A35" s="142"/>
      <c r="B35" s="115"/>
      <c r="C35" s="115"/>
      <c r="D35" s="115"/>
      <c r="E35" s="115"/>
      <c r="F35" s="115"/>
      <c r="G35" s="150"/>
      <c r="H35" s="144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</row>
    <row r="36" spans="1:19" x14ac:dyDescent="0.25">
      <c r="C36" s="118"/>
      <c r="G36" s="118"/>
      <c r="H36" s="118"/>
    </row>
    <row r="37" spans="1:19" x14ac:dyDescent="0.25">
      <c r="A37" s="112"/>
      <c r="B37" s="112"/>
      <c r="C37" s="113"/>
      <c r="E37" s="112"/>
      <c r="G37" s="113"/>
      <c r="H37" s="113"/>
      <c r="J37" s="113"/>
    </row>
    <row r="38" spans="1:19" x14ac:dyDescent="0.25">
      <c r="A38" s="112"/>
      <c r="B38" s="112"/>
      <c r="C38" s="113"/>
      <c r="E38" s="112"/>
      <c r="G38" s="113"/>
      <c r="H38" s="113"/>
      <c r="J38" s="113"/>
    </row>
    <row r="39" spans="1:19" x14ac:dyDescent="0.25">
      <c r="A39" s="112"/>
      <c r="B39" s="112"/>
      <c r="C39" s="113"/>
      <c r="E39" s="112"/>
      <c r="G39" s="113"/>
      <c r="H39" s="113"/>
      <c r="J39" s="113"/>
    </row>
    <row r="40" spans="1:19" x14ac:dyDescent="0.25">
      <c r="A40" s="112"/>
      <c r="B40" s="112"/>
      <c r="C40" s="113"/>
      <c r="E40" s="112"/>
      <c r="G40" s="113"/>
      <c r="H40" s="113"/>
      <c r="J40" s="113"/>
    </row>
    <row r="41" spans="1:19" x14ac:dyDescent="0.25">
      <c r="A41" s="112"/>
      <c r="B41" s="112"/>
      <c r="C41" s="113"/>
      <c r="E41" s="112"/>
      <c r="G41" s="113"/>
      <c r="H41" s="113"/>
      <c r="J41" s="113"/>
    </row>
    <row r="42" spans="1:19" x14ac:dyDescent="0.25">
      <c r="A42" s="112"/>
      <c r="B42" s="112"/>
      <c r="C42" s="113"/>
      <c r="E42" s="112"/>
      <c r="G42" s="113"/>
      <c r="H42" s="113"/>
      <c r="J42" s="113"/>
    </row>
    <row r="43" spans="1:19" x14ac:dyDescent="0.25">
      <c r="A43" s="112"/>
      <c r="B43" s="112"/>
      <c r="C43" s="113"/>
      <c r="E43" s="112"/>
      <c r="G43" s="113"/>
      <c r="H43" s="113"/>
      <c r="J43" s="113"/>
    </row>
    <row r="44" spans="1:19" x14ac:dyDescent="0.25">
      <c r="A44" s="112"/>
      <c r="B44" s="112"/>
      <c r="C44" s="113"/>
      <c r="E44" s="113"/>
      <c r="H44" s="113"/>
      <c r="J44" s="113"/>
    </row>
    <row r="45" spans="1:19" x14ac:dyDescent="0.25">
      <c r="A45" s="112"/>
      <c r="B45" s="112"/>
      <c r="C45" s="113"/>
      <c r="E45" s="113"/>
      <c r="H45" s="113"/>
      <c r="J45" s="113"/>
    </row>
    <row r="46" spans="1:19" x14ac:dyDescent="0.25">
      <c r="A46" s="112"/>
      <c r="B46" s="112"/>
      <c r="C46" s="113"/>
      <c r="E46" s="113"/>
      <c r="H46" s="113"/>
    </row>
    <row r="47" spans="1:19" x14ac:dyDescent="0.25">
      <c r="A47" s="112"/>
      <c r="B47" s="112"/>
      <c r="C47" s="113"/>
      <c r="E47" s="113"/>
      <c r="H47" s="114"/>
    </row>
    <row r="48" spans="1:19" x14ac:dyDescent="0.25">
      <c r="A48" s="112"/>
      <c r="B48" s="112"/>
      <c r="C48" s="113"/>
      <c r="E48" s="113"/>
      <c r="H48" s="114"/>
    </row>
    <row r="49" spans="1:8" x14ac:dyDescent="0.25">
      <c r="A49" s="112"/>
      <c r="B49" s="112"/>
      <c r="C49" s="113"/>
      <c r="E49" s="113"/>
      <c r="H49" s="114"/>
    </row>
    <row r="50" spans="1:8" x14ac:dyDescent="0.25">
      <c r="A50" s="112"/>
      <c r="B50" s="112"/>
      <c r="C50" s="113"/>
      <c r="E50" s="113"/>
      <c r="H50" s="114"/>
    </row>
    <row r="51" spans="1:8" x14ac:dyDescent="0.25">
      <c r="A51" s="112"/>
      <c r="B51" s="112"/>
      <c r="C51" s="113"/>
      <c r="E51" s="113"/>
      <c r="H51" s="114"/>
    </row>
    <row r="52" spans="1:8" x14ac:dyDescent="0.25">
      <c r="A52" s="112"/>
      <c r="B52" s="112"/>
      <c r="C52" s="113"/>
      <c r="E52" s="113"/>
      <c r="H52" s="114"/>
    </row>
    <row r="53" spans="1:8" x14ac:dyDescent="0.25">
      <c r="A53" s="112"/>
      <c r="B53" s="112"/>
      <c r="C53" s="113"/>
      <c r="E53" s="113"/>
      <c r="H53" s="114"/>
    </row>
    <row r="54" spans="1:8" x14ac:dyDescent="0.25">
      <c r="A54" s="112"/>
      <c r="B54" s="112"/>
      <c r="C54" s="113"/>
      <c r="E54" s="113"/>
      <c r="H54" s="114"/>
    </row>
    <row r="55" spans="1:8" x14ac:dyDescent="0.25">
      <c r="A55" s="112"/>
      <c r="B55" s="112"/>
      <c r="C55" s="113"/>
      <c r="E55" s="113"/>
      <c r="H55" s="114"/>
    </row>
    <row r="56" spans="1:8" x14ac:dyDescent="0.25">
      <c r="A56" s="112"/>
      <c r="B56" s="112"/>
      <c r="C56" s="113"/>
      <c r="F56" s="114"/>
      <c r="G56" s="112"/>
      <c r="H56" s="114"/>
    </row>
    <row r="57" spans="1:8" x14ac:dyDescent="0.25">
      <c r="A57" s="112"/>
      <c r="B57" s="112"/>
      <c r="C57" s="113"/>
      <c r="F57" s="114"/>
      <c r="G57" s="117"/>
      <c r="H57" s="114"/>
    </row>
    <row r="58" spans="1:8" x14ac:dyDescent="0.25">
      <c r="A58" s="112"/>
      <c r="B58" s="112"/>
      <c r="C58" s="113"/>
      <c r="F58" s="114"/>
      <c r="G58" s="117"/>
      <c r="H58" s="114"/>
    </row>
    <row r="59" spans="1:8" x14ac:dyDescent="0.25">
      <c r="A59" s="112"/>
      <c r="B59" s="112"/>
      <c r="C59" s="113"/>
      <c r="F59" s="114"/>
      <c r="G59" s="112"/>
      <c r="H59" s="114"/>
    </row>
    <row r="60" spans="1:8" x14ac:dyDescent="0.25">
      <c r="A60" s="112"/>
      <c r="B60" s="112"/>
      <c r="C60" s="113"/>
      <c r="F60" s="114"/>
      <c r="G60" s="117"/>
      <c r="H60" s="114"/>
    </row>
    <row r="61" spans="1:8" x14ac:dyDescent="0.25">
      <c r="A61" s="112"/>
      <c r="B61" s="112"/>
      <c r="C61" s="113"/>
      <c r="F61" s="114"/>
      <c r="G61" s="117"/>
      <c r="H61" s="114"/>
    </row>
    <row r="62" spans="1:8" x14ac:dyDescent="0.25">
      <c r="A62" s="112"/>
      <c r="B62" s="112"/>
      <c r="C62" s="113"/>
      <c r="F62" s="114"/>
      <c r="G62" s="112"/>
      <c r="H62" s="114"/>
    </row>
    <row r="63" spans="1:8" x14ac:dyDescent="0.25">
      <c r="A63" s="112"/>
      <c r="B63" s="112"/>
      <c r="C63" s="113"/>
      <c r="F63" s="114"/>
      <c r="G63" s="117"/>
      <c r="H63" s="114"/>
    </row>
    <row r="64" spans="1:8" x14ac:dyDescent="0.25">
      <c r="A64" s="112"/>
      <c r="B64" s="112"/>
      <c r="C64" s="113"/>
      <c r="F64" s="114"/>
      <c r="G64" s="117"/>
      <c r="H64" s="114"/>
    </row>
    <row r="65" spans="1:8" x14ac:dyDescent="0.25">
      <c r="A65" s="112"/>
      <c r="B65" s="112"/>
      <c r="C65" s="113"/>
      <c r="F65" s="114"/>
      <c r="G65" s="112"/>
      <c r="H65" s="114"/>
    </row>
    <row r="66" spans="1:8" x14ac:dyDescent="0.25">
      <c r="A66" s="112"/>
      <c r="B66" s="112"/>
      <c r="C66" s="113"/>
      <c r="F66" s="114"/>
      <c r="G66" s="117"/>
      <c r="H66" s="114"/>
    </row>
    <row r="67" spans="1:8" x14ac:dyDescent="0.25">
      <c r="A67" s="112"/>
      <c r="B67" s="112"/>
      <c r="C67" s="113"/>
      <c r="F67" s="114"/>
      <c r="G67" s="117"/>
      <c r="H67" s="114"/>
    </row>
    <row r="68" spans="1:8" x14ac:dyDescent="0.25">
      <c r="A68" s="112"/>
      <c r="B68" s="112"/>
      <c r="C68" s="113"/>
      <c r="F68" s="114"/>
      <c r="G68" s="112"/>
      <c r="H68" s="114"/>
    </row>
    <row r="69" spans="1:8" x14ac:dyDescent="0.25">
      <c r="A69" s="112"/>
      <c r="B69" s="112"/>
      <c r="C69" s="113"/>
      <c r="F69" s="114"/>
      <c r="G69" s="117"/>
      <c r="H69" s="114"/>
    </row>
    <row r="70" spans="1:8" x14ac:dyDescent="0.25">
      <c r="A70" s="112"/>
      <c r="B70" s="112"/>
      <c r="C70" s="113"/>
      <c r="F70" s="114"/>
      <c r="G70" s="117"/>
      <c r="H70" s="114"/>
    </row>
    <row r="71" spans="1:8" x14ac:dyDescent="0.25">
      <c r="A71" s="112"/>
      <c r="B71" s="112"/>
      <c r="C71" s="113"/>
      <c r="F71" s="114"/>
      <c r="G71" s="112"/>
      <c r="H71" s="114"/>
    </row>
    <row r="72" spans="1:8" x14ac:dyDescent="0.25">
      <c r="A72" s="112"/>
      <c r="B72" s="112"/>
      <c r="C72" s="113"/>
      <c r="F72" s="114"/>
      <c r="G72" s="117"/>
      <c r="H72" s="114"/>
    </row>
    <row r="73" spans="1:8" x14ac:dyDescent="0.25">
      <c r="A73" s="112"/>
      <c r="B73" s="112"/>
      <c r="C73" s="113"/>
      <c r="F73" s="114"/>
      <c r="G73" s="117"/>
      <c r="H73" s="114"/>
    </row>
    <row r="74" spans="1:8" x14ac:dyDescent="0.25">
      <c r="A74" s="112"/>
      <c r="B74" s="112"/>
      <c r="C74" s="113"/>
      <c r="F74" s="114"/>
      <c r="G74" s="112"/>
      <c r="H74" s="114"/>
    </row>
    <row r="75" spans="1:8" x14ac:dyDescent="0.25">
      <c r="A75" s="112"/>
      <c r="B75" s="112"/>
      <c r="C75" s="113"/>
      <c r="F75" s="114"/>
      <c r="G75" s="117"/>
      <c r="H75" s="114"/>
    </row>
    <row r="76" spans="1:8" x14ac:dyDescent="0.25">
      <c r="A76" s="112"/>
      <c r="B76" s="112"/>
      <c r="C76" s="113"/>
      <c r="F76" s="114"/>
      <c r="G76" s="117"/>
      <c r="H76" s="114"/>
    </row>
    <row r="77" spans="1:8" x14ac:dyDescent="0.25">
      <c r="A77" s="112"/>
      <c r="B77" s="112"/>
      <c r="C77" s="113"/>
      <c r="F77" s="114"/>
      <c r="G77" s="112"/>
      <c r="H77" s="114"/>
    </row>
    <row r="78" spans="1:8" x14ac:dyDescent="0.25">
      <c r="A78" s="112"/>
      <c r="B78" s="112"/>
      <c r="C78" s="113"/>
      <c r="F78" s="114"/>
      <c r="G78" s="117"/>
      <c r="H78" s="114"/>
    </row>
    <row r="79" spans="1:8" x14ac:dyDescent="0.25">
      <c r="A79" s="112"/>
      <c r="B79" s="112"/>
      <c r="C79" s="113"/>
      <c r="F79" s="114"/>
      <c r="G79" s="117"/>
      <c r="H79" s="114"/>
    </row>
    <row r="80" spans="1:8" x14ac:dyDescent="0.25">
      <c r="A80" s="112"/>
      <c r="B80" s="112"/>
      <c r="C80" s="113"/>
      <c r="F80" s="114"/>
      <c r="G80" s="112"/>
      <c r="H80" s="114"/>
    </row>
    <row r="81" spans="1:8" x14ac:dyDescent="0.25">
      <c r="A81" s="112"/>
      <c r="B81" s="112"/>
      <c r="C81" s="113"/>
      <c r="F81" s="114"/>
      <c r="G81" s="117"/>
      <c r="H81" s="114"/>
    </row>
    <row r="82" spans="1:8" x14ac:dyDescent="0.25">
      <c r="A82" s="112"/>
      <c r="B82" s="112"/>
      <c r="C82" s="113"/>
      <c r="F82" s="114"/>
      <c r="G82" s="117"/>
      <c r="H82" s="114"/>
    </row>
    <row r="83" spans="1:8" x14ac:dyDescent="0.25">
      <c r="A83" s="112"/>
      <c r="B83" s="112"/>
      <c r="C83" s="113"/>
      <c r="F83" s="114"/>
      <c r="G83" s="112"/>
      <c r="H83" s="114"/>
    </row>
    <row r="84" spans="1:8" x14ac:dyDescent="0.25">
      <c r="A84" s="112"/>
      <c r="B84" s="112"/>
      <c r="C84" s="113"/>
      <c r="F84" s="114"/>
      <c r="G84" s="117"/>
      <c r="H84" s="114"/>
    </row>
    <row r="85" spans="1:8" x14ac:dyDescent="0.25">
      <c r="A85" s="112"/>
      <c r="B85" s="112"/>
      <c r="C85" s="113"/>
      <c r="F85" s="114"/>
      <c r="G85" s="117"/>
      <c r="H85" s="114"/>
    </row>
    <row r="86" spans="1:8" x14ac:dyDescent="0.25">
      <c r="A86" s="112"/>
      <c r="B86" s="112"/>
      <c r="C86" s="113"/>
      <c r="F86" s="114"/>
      <c r="G86" s="112"/>
      <c r="H86" s="114"/>
    </row>
    <row r="87" spans="1:8" x14ac:dyDescent="0.25">
      <c r="A87" s="112"/>
      <c r="B87" s="112"/>
      <c r="C87" s="113"/>
      <c r="F87" s="114"/>
      <c r="G87" s="117"/>
      <c r="H87" s="114"/>
    </row>
    <row r="88" spans="1:8" x14ac:dyDescent="0.25">
      <c r="A88" s="112"/>
      <c r="B88" s="112"/>
      <c r="C88" s="113"/>
      <c r="F88" s="114"/>
      <c r="G88" s="117"/>
      <c r="H88" s="114"/>
    </row>
    <row r="89" spans="1:8" x14ac:dyDescent="0.25">
      <c r="A89" s="112"/>
      <c r="B89" s="112"/>
      <c r="C89" s="113"/>
      <c r="F89" s="114"/>
      <c r="G89" s="112"/>
      <c r="H89" s="114"/>
    </row>
    <row r="90" spans="1:8" x14ac:dyDescent="0.25">
      <c r="A90" s="112"/>
      <c r="B90" s="112"/>
      <c r="C90" s="113"/>
      <c r="F90" s="114"/>
      <c r="G90" s="117"/>
      <c r="H90" s="114"/>
    </row>
    <row r="91" spans="1:8" x14ac:dyDescent="0.25">
      <c r="A91" s="112"/>
      <c r="B91" s="112"/>
      <c r="C91" s="113"/>
      <c r="F91" s="114"/>
      <c r="G91" s="117"/>
      <c r="H91" s="114"/>
    </row>
    <row r="92" spans="1:8" x14ac:dyDescent="0.25">
      <c r="A92" s="112"/>
      <c r="B92" s="112"/>
      <c r="C92" s="113"/>
      <c r="F92" s="114"/>
      <c r="G92" s="112"/>
      <c r="H92" s="114"/>
    </row>
    <row r="93" spans="1:8" x14ac:dyDescent="0.25">
      <c r="A93" s="112"/>
      <c r="B93" s="112"/>
      <c r="C93" s="113"/>
      <c r="F93" s="114"/>
      <c r="G93" s="117"/>
      <c r="H93" s="114"/>
    </row>
    <row r="94" spans="1:8" x14ac:dyDescent="0.25">
      <c r="A94" s="112"/>
      <c r="B94" s="112"/>
      <c r="C94" s="113"/>
      <c r="F94" s="114"/>
      <c r="G94" s="117"/>
      <c r="H94" s="114"/>
    </row>
    <row r="95" spans="1:8" x14ac:dyDescent="0.25">
      <c r="A95" s="112"/>
      <c r="B95" s="112"/>
      <c r="C95" s="113"/>
      <c r="F95" s="114"/>
      <c r="G95" s="112"/>
      <c r="H95" s="114"/>
    </row>
    <row r="96" spans="1:8" x14ac:dyDescent="0.25">
      <c r="A96" s="112"/>
      <c r="B96" s="112"/>
      <c r="C96" s="113"/>
      <c r="F96" s="114"/>
      <c r="G96" s="117"/>
      <c r="H96" s="114"/>
    </row>
    <row r="97" spans="1:8" x14ac:dyDescent="0.25">
      <c r="A97" s="112"/>
      <c r="B97" s="112"/>
      <c r="C97" s="113"/>
      <c r="F97" s="114"/>
      <c r="G97" s="117"/>
      <c r="H97" s="114"/>
    </row>
    <row r="98" spans="1:8" x14ac:dyDescent="0.25">
      <c r="A98" s="112"/>
      <c r="B98" s="112"/>
      <c r="C98" s="113"/>
      <c r="F98" s="114"/>
      <c r="G98" s="112"/>
      <c r="H98" s="114"/>
    </row>
    <row r="99" spans="1:8" x14ac:dyDescent="0.25">
      <c r="A99" s="112"/>
      <c r="B99" s="112"/>
      <c r="C99" s="113"/>
      <c r="F99" s="114"/>
      <c r="G99" s="117"/>
      <c r="H99" s="114"/>
    </row>
    <row r="100" spans="1:8" x14ac:dyDescent="0.25">
      <c r="A100" s="112"/>
      <c r="B100" s="112"/>
      <c r="C100" s="113"/>
      <c r="F100" s="114"/>
      <c r="G100" s="117"/>
      <c r="H100" s="114"/>
    </row>
    <row r="101" spans="1:8" x14ac:dyDescent="0.25">
      <c r="A101" s="112"/>
      <c r="B101" s="112"/>
      <c r="C101" s="113"/>
      <c r="F101" s="114"/>
      <c r="G101" s="112"/>
      <c r="H101" s="114"/>
    </row>
    <row r="102" spans="1:8" x14ac:dyDescent="0.25">
      <c r="A102" s="112"/>
      <c r="B102" s="112"/>
      <c r="C102" s="113"/>
      <c r="F102" s="114"/>
      <c r="G102" s="117"/>
      <c r="H102" s="114"/>
    </row>
    <row r="103" spans="1:8" x14ac:dyDescent="0.25">
      <c r="A103" s="112"/>
      <c r="B103" s="112"/>
      <c r="C103" s="113"/>
      <c r="F103" s="114"/>
      <c r="G103" s="117"/>
      <c r="H103" s="114"/>
    </row>
    <row r="104" spans="1:8" x14ac:dyDescent="0.25">
      <c r="A104" s="112"/>
      <c r="B104" s="112"/>
      <c r="C104" s="113"/>
      <c r="F104" s="114"/>
      <c r="G104" s="112"/>
      <c r="H104" s="119"/>
    </row>
    <row r="105" spans="1:8" x14ac:dyDescent="0.25">
      <c r="A105" s="112"/>
      <c r="B105" s="112"/>
      <c r="C105" s="113"/>
      <c r="F105" s="114"/>
      <c r="G105" s="117"/>
    </row>
    <row r="106" spans="1:8" x14ac:dyDescent="0.25">
      <c r="A106" s="112"/>
      <c r="B106" s="112"/>
      <c r="C106" s="113"/>
      <c r="F106" s="114"/>
      <c r="G106" s="117"/>
    </row>
    <row r="107" spans="1:8" x14ac:dyDescent="0.25">
      <c r="A107" s="112"/>
      <c r="B107" s="112"/>
      <c r="C107" s="113"/>
      <c r="F107" s="114"/>
      <c r="G107" s="112"/>
    </row>
    <row r="108" spans="1:8" x14ac:dyDescent="0.25">
      <c r="A108" s="112"/>
      <c r="B108" s="112"/>
      <c r="C108" s="113"/>
      <c r="F108" s="114"/>
      <c r="G108" s="117"/>
    </row>
    <row r="109" spans="1:8" x14ac:dyDescent="0.25">
      <c r="A109" s="112"/>
      <c r="B109" s="112"/>
      <c r="C109" s="113"/>
      <c r="F109" s="114"/>
      <c r="G109" s="117"/>
    </row>
    <row r="110" spans="1:8" x14ac:dyDescent="0.25">
      <c r="A110" s="112"/>
      <c r="B110" s="112"/>
      <c r="C110" s="113"/>
      <c r="F110" s="114"/>
      <c r="G110" s="112"/>
    </row>
    <row r="111" spans="1:8" x14ac:dyDescent="0.25">
      <c r="A111" s="112"/>
      <c r="B111" s="112"/>
      <c r="C111" s="113"/>
      <c r="F111" s="114"/>
      <c r="G111" s="117"/>
    </row>
    <row r="112" spans="1:8" x14ac:dyDescent="0.25">
      <c r="A112" s="112"/>
      <c r="B112" s="112"/>
      <c r="C112" s="113"/>
      <c r="F112" s="114"/>
      <c r="G112" s="117"/>
    </row>
    <row r="113" spans="1:7" x14ac:dyDescent="0.25">
      <c r="A113" s="112"/>
      <c r="B113" s="112"/>
      <c r="C113" s="113"/>
      <c r="F113" s="114"/>
      <c r="G113" s="112"/>
    </row>
    <row r="114" spans="1:7" x14ac:dyDescent="0.25">
      <c r="A114" s="112"/>
      <c r="B114" s="112"/>
      <c r="C114" s="113"/>
      <c r="F114" s="114"/>
      <c r="G114" s="117"/>
    </row>
    <row r="115" spans="1:7" x14ac:dyDescent="0.25">
      <c r="A115" s="112"/>
      <c r="B115" s="112"/>
      <c r="C115" s="113"/>
      <c r="F115" s="114"/>
      <c r="G115" s="117"/>
    </row>
    <row r="116" spans="1:7" x14ac:dyDescent="0.25">
      <c r="A116" s="112"/>
      <c r="B116" s="112"/>
      <c r="C116" s="113"/>
      <c r="F116" s="114"/>
      <c r="G116" s="112"/>
    </row>
    <row r="117" spans="1:7" x14ac:dyDescent="0.25">
      <c r="A117" s="112"/>
      <c r="B117" s="112"/>
      <c r="C117" s="113"/>
      <c r="F117" s="114"/>
      <c r="G117" s="117"/>
    </row>
    <row r="118" spans="1:7" x14ac:dyDescent="0.25">
      <c r="A118" s="112"/>
      <c r="B118" s="112"/>
      <c r="C118" s="113"/>
      <c r="F118" s="114"/>
      <c r="G118" s="117"/>
    </row>
    <row r="119" spans="1:7" x14ac:dyDescent="0.25">
      <c r="A119" s="112"/>
      <c r="B119" s="112"/>
      <c r="C119" s="114"/>
      <c r="F119" s="114"/>
      <c r="G119" s="112"/>
    </row>
    <row r="120" spans="1:7" x14ac:dyDescent="0.25">
      <c r="A120" s="112"/>
      <c r="B120" s="112"/>
      <c r="C120" s="113"/>
      <c r="F120" s="114"/>
      <c r="G120" s="117"/>
    </row>
    <row r="121" spans="1:7" x14ac:dyDescent="0.25">
      <c r="A121" s="112"/>
      <c r="B121" s="112"/>
      <c r="C121" s="113"/>
      <c r="F121" s="114"/>
      <c r="G121" s="117"/>
    </row>
    <row r="122" spans="1:7" x14ac:dyDescent="0.25">
      <c r="A122" s="112"/>
      <c r="B122" s="112"/>
      <c r="C122" s="113"/>
      <c r="F122" s="114"/>
      <c r="G122" s="112"/>
    </row>
    <row r="123" spans="1:7" x14ac:dyDescent="0.25">
      <c r="A123" s="112"/>
      <c r="B123" s="112"/>
      <c r="C123" s="113"/>
      <c r="F123" s="114"/>
      <c r="G123" s="117"/>
    </row>
    <row r="124" spans="1:7" x14ac:dyDescent="0.25">
      <c r="A124" s="112"/>
      <c r="B124" s="112"/>
      <c r="C124" s="113"/>
      <c r="F124" s="114"/>
      <c r="G124" s="117"/>
    </row>
    <row r="125" spans="1:7" x14ac:dyDescent="0.25">
      <c r="A125" s="112"/>
      <c r="B125" s="112"/>
      <c r="C125" s="113"/>
      <c r="F125" s="114"/>
      <c r="G125" s="112"/>
    </row>
    <row r="126" spans="1:7" x14ac:dyDescent="0.25">
      <c r="A126" s="112"/>
      <c r="B126" s="112"/>
      <c r="C126" s="113"/>
      <c r="F126" s="114"/>
      <c r="G126" s="117"/>
    </row>
    <row r="127" spans="1:7" x14ac:dyDescent="0.25">
      <c r="A127" s="112"/>
      <c r="B127" s="112"/>
      <c r="C127" s="113"/>
      <c r="F127" s="114"/>
      <c r="G127" s="117"/>
    </row>
    <row r="128" spans="1:7" x14ac:dyDescent="0.25">
      <c r="A128" s="112"/>
      <c r="B128" s="112"/>
      <c r="C128" s="113"/>
      <c r="F128" s="114"/>
      <c r="G128" s="112"/>
    </row>
    <row r="129" spans="1:7" x14ac:dyDescent="0.25">
      <c r="A129" s="112"/>
      <c r="B129" s="112"/>
      <c r="C129" s="113"/>
      <c r="F129" s="114"/>
      <c r="G129" s="117"/>
    </row>
    <row r="130" spans="1:7" x14ac:dyDescent="0.25">
      <c r="A130" s="112"/>
      <c r="B130" s="112"/>
      <c r="C130" s="113"/>
      <c r="F130" s="114"/>
      <c r="G130" s="117"/>
    </row>
    <row r="131" spans="1:7" x14ac:dyDescent="0.25">
      <c r="A131" s="112"/>
      <c r="B131" s="112"/>
      <c r="C131" s="113"/>
      <c r="F131" s="114"/>
      <c r="G131" s="112"/>
    </row>
    <row r="132" spans="1:7" x14ac:dyDescent="0.25">
      <c r="A132" s="112"/>
      <c r="B132" s="112"/>
      <c r="C132" s="113"/>
      <c r="F132" s="114"/>
      <c r="G132" s="117"/>
    </row>
    <row r="133" spans="1:7" x14ac:dyDescent="0.25">
      <c r="A133" s="112"/>
      <c r="B133" s="112"/>
      <c r="C133" s="113"/>
      <c r="F133" s="114"/>
      <c r="G133" s="117"/>
    </row>
    <row r="134" spans="1:7" x14ac:dyDescent="0.25">
      <c r="A134" s="112"/>
      <c r="B134" s="112"/>
      <c r="C134" s="113"/>
      <c r="F134" s="114"/>
      <c r="G134" s="112"/>
    </row>
    <row r="135" spans="1:7" x14ac:dyDescent="0.25">
      <c r="A135" s="112"/>
      <c r="B135" s="112"/>
      <c r="C135" s="113"/>
      <c r="F135" s="114"/>
      <c r="G135" s="117"/>
    </row>
    <row r="136" spans="1:7" x14ac:dyDescent="0.25">
      <c r="A136" s="112"/>
      <c r="B136" s="112"/>
      <c r="C136" s="113"/>
      <c r="F136" s="114"/>
      <c r="G136" s="117"/>
    </row>
    <row r="137" spans="1:7" x14ac:dyDescent="0.25">
      <c r="A137" s="112"/>
      <c r="B137" s="112"/>
      <c r="C137" s="113"/>
      <c r="F137" s="114"/>
      <c r="G137" s="112"/>
    </row>
    <row r="138" spans="1:7" x14ac:dyDescent="0.25">
      <c r="A138" s="112"/>
      <c r="B138" s="112"/>
      <c r="C138" s="113"/>
      <c r="F138" s="114"/>
      <c r="G138" s="117"/>
    </row>
    <row r="139" spans="1:7" x14ac:dyDescent="0.25">
      <c r="A139" s="112"/>
      <c r="B139" s="112"/>
      <c r="C139" s="113"/>
      <c r="F139" s="114"/>
      <c r="G139" s="117"/>
    </row>
    <row r="140" spans="1:7" x14ac:dyDescent="0.25">
      <c r="A140" s="112"/>
      <c r="B140" s="112"/>
      <c r="C140" s="113"/>
      <c r="F140" s="114"/>
      <c r="G140" s="112"/>
    </row>
    <row r="141" spans="1:7" x14ac:dyDescent="0.25">
      <c r="A141" s="112"/>
      <c r="B141" s="112"/>
      <c r="C141" s="113"/>
      <c r="F141" s="114"/>
      <c r="G141" s="117"/>
    </row>
    <row r="142" spans="1:7" x14ac:dyDescent="0.25">
      <c r="A142" s="112"/>
      <c r="B142" s="112"/>
      <c r="C142" s="113"/>
      <c r="F142" s="114"/>
      <c r="G142" s="117"/>
    </row>
    <row r="143" spans="1:7" x14ac:dyDescent="0.25">
      <c r="A143" s="112"/>
      <c r="B143" s="112"/>
      <c r="C143" s="113"/>
      <c r="F143" s="114"/>
      <c r="G143" s="112"/>
    </row>
    <row r="144" spans="1:7" x14ac:dyDescent="0.25">
      <c r="A144" s="112"/>
      <c r="B144" s="112"/>
      <c r="C144" s="113"/>
      <c r="F144" s="114"/>
      <c r="G144" s="117"/>
    </row>
    <row r="145" spans="1:7" x14ac:dyDescent="0.25">
      <c r="A145" s="112"/>
      <c r="B145" s="112"/>
      <c r="C145" s="113"/>
      <c r="F145" s="114"/>
      <c r="G145" s="117"/>
    </row>
    <row r="146" spans="1:7" x14ac:dyDescent="0.25">
      <c r="A146" s="112"/>
      <c r="B146" s="112"/>
      <c r="C146" s="113"/>
      <c r="F146" s="114"/>
      <c r="G146" s="112"/>
    </row>
    <row r="147" spans="1:7" x14ac:dyDescent="0.25">
      <c r="A147" s="112"/>
      <c r="B147" s="112"/>
      <c r="C147" s="113"/>
      <c r="F147" s="114"/>
      <c r="G147" s="117"/>
    </row>
    <row r="148" spans="1:7" x14ac:dyDescent="0.25">
      <c r="A148" s="112"/>
      <c r="B148" s="112"/>
      <c r="C148" s="113"/>
      <c r="F148" s="114"/>
      <c r="G148" s="117"/>
    </row>
    <row r="149" spans="1:7" x14ac:dyDescent="0.25">
      <c r="A149" s="112"/>
      <c r="B149" s="112"/>
      <c r="C149" s="113"/>
      <c r="F149" s="114"/>
      <c r="G149" s="112"/>
    </row>
    <row r="150" spans="1:7" x14ac:dyDescent="0.25">
      <c r="A150" s="112"/>
      <c r="B150" s="112"/>
      <c r="C150" s="113"/>
      <c r="F150" s="114"/>
      <c r="G150" s="117"/>
    </row>
    <row r="151" spans="1:7" x14ac:dyDescent="0.25">
      <c r="A151" s="112"/>
      <c r="B151" s="112"/>
      <c r="C151" s="113"/>
      <c r="F151" s="114"/>
      <c r="G151" s="117"/>
    </row>
    <row r="152" spans="1:7" x14ac:dyDescent="0.25">
      <c r="A152" s="112"/>
      <c r="B152" s="112"/>
      <c r="C152" s="113"/>
      <c r="F152" s="114"/>
      <c r="G152" s="112"/>
    </row>
    <row r="153" spans="1:7" x14ac:dyDescent="0.25">
      <c r="A153" s="112"/>
      <c r="B153" s="112"/>
      <c r="C153" s="113"/>
      <c r="F153" s="114"/>
      <c r="G153" s="117"/>
    </row>
    <row r="154" spans="1:7" x14ac:dyDescent="0.25">
      <c r="A154" s="112"/>
      <c r="B154" s="112"/>
      <c r="C154" s="113"/>
      <c r="F154" s="114"/>
      <c r="G154" s="117"/>
    </row>
    <row r="155" spans="1:7" x14ac:dyDescent="0.25">
      <c r="A155" s="112"/>
      <c r="B155" s="112"/>
      <c r="C155" s="113"/>
      <c r="F155" s="114"/>
      <c r="G155" s="112"/>
    </row>
    <row r="156" spans="1:7" x14ac:dyDescent="0.25">
      <c r="A156" s="112"/>
      <c r="B156" s="112"/>
      <c r="C156" s="113"/>
      <c r="F156" s="114"/>
      <c r="G156" s="117"/>
    </row>
    <row r="157" spans="1:7" x14ac:dyDescent="0.25">
      <c r="A157" s="112"/>
      <c r="B157" s="112"/>
      <c r="C157" s="113"/>
      <c r="F157" s="114"/>
      <c r="G157" s="117"/>
    </row>
    <row r="158" spans="1:7" x14ac:dyDescent="0.25">
      <c r="A158" s="112"/>
      <c r="B158" s="112"/>
      <c r="C158" s="113"/>
      <c r="F158" s="114"/>
      <c r="G158" s="112"/>
    </row>
    <row r="159" spans="1:7" x14ac:dyDescent="0.25">
      <c r="A159" s="112"/>
      <c r="B159" s="112"/>
      <c r="C159" s="113"/>
      <c r="F159" s="114"/>
      <c r="G159" s="117"/>
    </row>
    <row r="160" spans="1:7" x14ac:dyDescent="0.25">
      <c r="A160" s="112"/>
      <c r="B160" s="112"/>
      <c r="C160" s="113"/>
      <c r="F160" s="114"/>
      <c r="G160" s="117"/>
    </row>
    <row r="161" spans="1:7" x14ac:dyDescent="0.25">
      <c r="A161" s="112"/>
      <c r="B161" s="112"/>
      <c r="C161" s="113"/>
      <c r="F161" s="114"/>
      <c r="G161" s="112"/>
    </row>
    <row r="162" spans="1:7" x14ac:dyDescent="0.25">
      <c r="A162" s="112"/>
      <c r="B162" s="112"/>
      <c r="C162" s="113"/>
      <c r="F162" s="114"/>
      <c r="G162" s="117"/>
    </row>
    <row r="163" spans="1:7" x14ac:dyDescent="0.25">
      <c r="A163" s="112"/>
      <c r="B163" s="112"/>
      <c r="C163" s="113"/>
      <c r="F163" s="114"/>
      <c r="G163" s="117"/>
    </row>
    <row r="164" spans="1:7" x14ac:dyDescent="0.25">
      <c r="F164" s="114"/>
      <c r="G164" s="112"/>
    </row>
    <row r="165" spans="1:7" x14ac:dyDescent="0.25">
      <c r="F165" s="114"/>
      <c r="G165" s="117"/>
    </row>
    <row r="166" spans="1:7" x14ac:dyDescent="0.25">
      <c r="F166" s="114"/>
      <c r="G166" s="117"/>
    </row>
    <row r="167" spans="1:7" x14ac:dyDescent="0.25">
      <c r="F167" s="114"/>
      <c r="G167" s="112"/>
    </row>
    <row r="168" spans="1:7" x14ac:dyDescent="0.25">
      <c r="F168" s="114"/>
      <c r="G168" s="117"/>
    </row>
    <row r="169" spans="1:7" x14ac:dyDescent="0.25">
      <c r="F169" s="114"/>
      <c r="G169" s="117"/>
    </row>
    <row r="170" spans="1:7" x14ac:dyDescent="0.25">
      <c r="F170" s="114"/>
      <c r="G170" s="112"/>
    </row>
    <row r="171" spans="1:7" x14ac:dyDescent="0.25">
      <c r="F171" s="114"/>
      <c r="G171" s="117"/>
    </row>
    <row r="172" spans="1:7" x14ac:dyDescent="0.25">
      <c r="F172" s="114"/>
      <c r="G172" s="117"/>
    </row>
    <row r="173" spans="1:7" x14ac:dyDescent="0.25">
      <c r="F173" s="114"/>
      <c r="G173" s="112"/>
    </row>
    <row r="174" spans="1:7" x14ac:dyDescent="0.25">
      <c r="F174" s="114"/>
      <c r="G174" s="117"/>
    </row>
    <row r="175" spans="1:7" x14ac:dyDescent="0.25">
      <c r="F175" s="114"/>
      <c r="G175" s="117"/>
    </row>
    <row r="176" spans="1:7" x14ac:dyDescent="0.25">
      <c r="F176" s="114"/>
      <c r="G176" s="112"/>
    </row>
    <row r="177" spans="6:7" x14ac:dyDescent="0.25">
      <c r="F177" s="114"/>
      <c r="G177" s="117"/>
    </row>
    <row r="178" spans="6:7" x14ac:dyDescent="0.25">
      <c r="F178" s="114"/>
      <c r="G178" s="117"/>
    </row>
    <row r="179" spans="6:7" x14ac:dyDescent="0.25">
      <c r="F179" s="114"/>
      <c r="G179" s="112"/>
    </row>
    <row r="180" spans="6:7" x14ac:dyDescent="0.25">
      <c r="F180" s="114"/>
      <c r="G180" s="117"/>
    </row>
    <row r="181" spans="6:7" x14ac:dyDescent="0.25">
      <c r="F181" s="114"/>
      <c r="G181" s="117"/>
    </row>
    <row r="182" spans="6:7" x14ac:dyDescent="0.25">
      <c r="F182" s="114"/>
      <c r="G182" s="112"/>
    </row>
    <row r="183" spans="6:7" x14ac:dyDescent="0.25">
      <c r="F183" s="1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58"/>
  <sheetViews>
    <sheetView topLeftCell="B1" workbookViewId="0">
      <selection activeCell="H19" sqref="H19"/>
    </sheetView>
  </sheetViews>
  <sheetFormatPr defaultRowHeight="15" x14ac:dyDescent="0.25"/>
  <cols>
    <col min="1" max="1" width="18.28515625" style="53" bestFit="1" customWidth="1"/>
    <col min="2" max="2" width="16.42578125" style="53" bestFit="1" customWidth="1"/>
    <col min="3" max="3" width="20" style="53" bestFit="1" customWidth="1"/>
    <col min="4" max="4" width="16.5703125" style="53" customWidth="1"/>
    <col min="5" max="5" width="18" style="53" bestFit="1" customWidth="1"/>
    <col min="6" max="6" width="16.42578125" style="53" bestFit="1" customWidth="1"/>
    <col min="7" max="7" width="16.28515625" style="53" bestFit="1" customWidth="1"/>
    <col min="8" max="8" width="16.42578125" style="53" bestFit="1" customWidth="1"/>
    <col min="9" max="9" width="26.140625" style="53" bestFit="1" customWidth="1"/>
    <col min="10" max="10" width="16.140625" style="53" customWidth="1"/>
    <col min="11" max="16384" width="9.140625" style="53"/>
  </cols>
  <sheetData>
    <row r="1" spans="1:19" x14ac:dyDescent="0.25">
      <c r="A1" s="53" t="s">
        <v>1</v>
      </c>
      <c r="C1" s="53" t="s">
        <v>3</v>
      </c>
      <c r="E1" s="53" t="s">
        <v>6</v>
      </c>
      <c r="H1" s="53" t="s">
        <v>12</v>
      </c>
    </row>
    <row r="2" spans="1:19" ht="17.25" x14ac:dyDescent="0.25">
      <c r="A2" s="57">
        <v>6.0219999999999996E+23</v>
      </c>
      <c r="B2" s="58" t="s">
        <v>2</v>
      </c>
      <c r="C2" s="57">
        <v>1.3800000000000001E-23</v>
      </c>
      <c r="D2" s="57" t="s">
        <v>4</v>
      </c>
      <c r="E2" s="93">
        <v>96485.331999999995</v>
      </c>
      <c r="F2" s="53" t="s">
        <v>7</v>
      </c>
      <c r="H2" s="53" t="s">
        <v>43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 t="s">
        <v>8</v>
      </c>
      <c r="D5" s="137" t="s">
        <v>9</v>
      </c>
      <c r="H5" s="35" t="s">
        <v>38</v>
      </c>
    </row>
    <row r="6" spans="1:19" x14ac:dyDescent="0.25">
      <c r="A6" s="138">
        <f>B6+273.15</f>
        <v>1223.1500000000001</v>
      </c>
      <c r="B6" s="115">
        <v>950</v>
      </c>
      <c r="C6" s="140">
        <v>-2.1355</v>
      </c>
      <c r="D6" s="153">
        <f>10^C6</f>
        <v>7.3198132319980758E-3</v>
      </c>
    </row>
    <row r="7" spans="1:19" x14ac:dyDescent="0.25">
      <c r="A7" s="138">
        <f t="shared" ref="A7:A10" si="0">B7+273.15</f>
        <v>1148.1500000000001</v>
      </c>
      <c r="B7" s="115">
        <v>875</v>
      </c>
      <c r="C7" s="140">
        <v>-2.39066</v>
      </c>
      <c r="D7" s="153">
        <f t="shared" ref="D7:D10" si="1">10^C7</f>
        <v>4.0676164967146334E-3</v>
      </c>
      <c r="H7" s="53" t="s">
        <v>18</v>
      </c>
    </row>
    <row r="8" spans="1:19" ht="15.75" x14ac:dyDescent="0.25">
      <c r="A8" s="138">
        <f t="shared" si="0"/>
        <v>1073.1500000000001</v>
      </c>
      <c r="B8" s="115">
        <v>800</v>
      </c>
      <c r="C8" s="140">
        <v>-2.8734999999999999</v>
      </c>
      <c r="D8" s="153">
        <f t="shared" si="1"/>
        <v>1.3381352151540186E-3</v>
      </c>
      <c r="G8" s="63">
        <v>1</v>
      </c>
      <c r="H8" s="2" t="s">
        <v>28</v>
      </c>
    </row>
    <row r="9" spans="1:19" ht="15.75" x14ac:dyDescent="0.25">
      <c r="A9" s="138">
        <f t="shared" si="0"/>
        <v>998.15</v>
      </c>
      <c r="B9" s="115">
        <v>725</v>
      </c>
      <c r="C9" s="140">
        <v>-3.5022000000000002</v>
      </c>
      <c r="D9" s="153">
        <f t="shared" si="1"/>
        <v>3.1462990561619859E-4</v>
      </c>
      <c r="J9" s="2"/>
    </row>
    <row r="10" spans="1:19" ht="16.5" thickBot="1" x14ac:dyDescent="0.3">
      <c r="A10" s="141">
        <f t="shared" si="0"/>
        <v>923.15</v>
      </c>
      <c r="B10" s="126">
        <v>650</v>
      </c>
      <c r="C10" s="130">
        <v>-3.8940000000000001</v>
      </c>
      <c r="D10" s="154">
        <f t="shared" si="1"/>
        <v>1.2764388088113424E-4</v>
      </c>
      <c r="J10" s="2"/>
    </row>
    <row r="11" spans="1:19" ht="19.5" thickBot="1" x14ac:dyDescent="0.3">
      <c r="A11" s="54"/>
      <c r="D11" s="56"/>
      <c r="H11" s="169" t="s">
        <v>184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ht="15.75" x14ac:dyDescent="0.25">
      <c r="A12" s="133" t="s">
        <v>13</v>
      </c>
      <c r="B12" s="134"/>
      <c r="C12" s="134"/>
      <c r="D12" s="135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6" t="s">
        <v>16</v>
      </c>
      <c r="B13" s="115" t="s">
        <v>14</v>
      </c>
      <c r="C13" s="115" t="s">
        <v>39</v>
      </c>
      <c r="D13" s="137" t="s">
        <v>15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>B14+273.15</f>
        <v>1223.1500000000001</v>
      </c>
      <c r="B14" s="115">
        <v>950</v>
      </c>
      <c r="C14" s="140">
        <v>-4.2046000000000001</v>
      </c>
      <c r="D14" s="159">
        <f>10^C14</f>
        <v>6.2430958113560898E-5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ref="A15:A21" si="2">B15+273.15</f>
        <v>1148.1500000000001</v>
      </c>
      <c r="B15" s="115">
        <v>875</v>
      </c>
      <c r="C15" s="140">
        <v>-4.5839999999999996</v>
      </c>
      <c r="D15" s="159">
        <f>10^C15</f>
        <v>2.6061535499988956E-5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2"/>
        <v>1073.1500000000001</v>
      </c>
      <c r="B16" s="115">
        <v>800</v>
      </c>
      <c r="C16" s="140">
        <v>-5.0526</v>
      </c>
      <c r="D16" s="159">
        <f>10^C16</f>
        <v>8.8593120697305131E-6</v>
      </c>
    </row>
    <row r="17" spans="1:4" x14ac:dyDescent="0.25">
      <c r="A17" s="138">
        <f t="shared" si="2"/>
        <v>1048.1500000000001</v>
      </c>
      <c r="B17" s="115">
        <v>775</v>
      </c>
      <c r="C17" s="140"/>
      <c r="D17" s="159">
        <f>(6*10^-45)*(B17^13.461)</f>
        <v>4.6885814807810983E-6</v>
      </c>
    </row>
    <row r="18" spans="1:4" x14ac:dyDescent="0.25">
      <c r="A18" s="138">
        <f t="shared" si="2"/>
        <v>1023.15</v>
      </c>
      <c r="B18" s="115">
        <v>750</v>
      </c>
      <c r="C18" s="140"/>
      <c r="D18" s="159">
        <f>(6*10^-45)*(B18^13.461)</f>
        <v>3.0154415651713398E-6</v>
      </c>
    </row>
    <row r="19" spans="1:4" x14ac:dyDescent="0.25">
      <c r="A19" s="138">
        <f t="shared" si="2"/>
        <v>998.15</v>
      </c>
      <c r="B19" s="115">
        <v>725</v>
      </c>
      <c r="C19" s="140">
        <v>-5.6079999999999997</v>
      </c>
      <c r="D19" s="159">
        <f>10^C19</f>
        <v>2.4660393372343393E-6</v>
      </c>
    </row>
    <row r="20" spans="1:4" x14ac:dyDescent="0.25">
      <c r="A20" s="138">
        <f t="shared" si="2"/>
        <v>948.15</v>
      </c>
      <c r="B20" s="115">
        <v>675</v>
      </c>
      <c r="C20" s="140"/>
      <c r="D20" s="159">
        <f>(6*10^-45)*(B20^13.461)</f>
        <v>7.3014537144126113E-7</v>
      </c>
    </row>
    <row r="21" spans="1:4" ht="15.75" thickBot="1" x14ac:dyDescent="0.3">
      <c r="A21" s="141">
        <f t="shared" si="2"/>
        <v>923.15</v>
      </c>
      <c r="B21" s="126">
        <v>650</v>
      </c>
      <c r="C21" s="130">
        <v>-6.4459999999999997</v>
      </c>
      <c r="D21" s="160">
        <f>10^C21</f>
        <v>3.5809643710263557E-7</v>
      </c>
    </row>
    <row r="22" spans="1:4" s="60" customFormat="1" ht="15.75" thickBot="1" x14ac:dyDescent="0.3">
      <c r="A22" s="61"/>
      <c r="D22" s="62"/>
    </row>
    <row r="23" spans="1:4" s="127" customFormat="1" ht="15.75" x14ac:dyDescent="0.25">
      <c r="A23" s="133" t="s">
        <v>19</v>
      </c>
      <c r="B23" s="146"/>
      <c r="C23" s="146"/>
      <c r="D23" s="147"/>
    </row>
    <row r="24" spans="1:4" ht="47.25" x14ac:dyDescent="0.25">
      <c r="A24" s="136" t="s">
        <v>16</v>
      </c>
      <c r="B24" s="115" t="s">
        <v>14</v>
      </c>
      <c r="C24" s="142" t="s">
        <v>21</v>
      </c>
      <c r="D24" s="143" t="s">
        <v>35</v>
      </c>
    </row>
    <row r="25" spans="1:4" x14ac:dyDescent="0.25">
      <c r="A25" s="138">
        <f>B25+273.15</f>
        <v>1223.1500000000001</v>
      </c>
      <c r="B25" s="115">
        <v>950</v>
      </c>
      <c r="C25" s="140">
        <f>'LSF,Sogaard (Solid State Chem)'!E38</f>
        <v>9.656711367434645E-2</v>
      </c>
      <c r="D25" s="157">
        <f>($C$2*A25*$C34*$A$2)/(4*($E$2^2)*C25*D6)</f>
        <v>4.5278050960733916E-2</v>
      </c>
    </row>
    <row r="26" spans="1:4" x14ac:dyDescent="0.25">
      <c r="A26" s="138">
        <f t="shared" ref="A26:A29" si="3">B26+273.15</f>
        <v>1148.1500000000001</v>
      </c>
      <c r="B26" s="115">
        <v>875</v>
      </c>
      <c r="C26" s="140">
        <f>'LSF,Sogaard (Solid State Chem)'!E40</f>
        <v>9.0155231911936529E-2</v>
      </c>
      <c r="D26" s="157">
        <f>($C$2*A26*$C35*$A$2)/(4*($E$2^2)*C26*D7)</f>
        <v>0.10905484137491413</v>
      </c>
    </row>
    <row r="27" spans="1:4" x14ac:dyDescent="0.25">
      <c r="A27" s="138">
        <f t="shared" si="3"/>
        <v>1073.1500000000001</v>
      </c>
      <c r="B27" s="115">
        <v>800</v>
      </c>
      <c r="C27" s="140">
        <f>'LSF,Sogaard (Solid State Chem)'!E42</f>
        <v>7.9831893510962024E-2</v>
      </c>
      <c r="D27" s="157">
        <f>($C$2*A27*$C36*$A$2)/(4*($E$2^2)*C27*D8)</f>
        <v>0.3386267439714713</v>
      </c>
    </row>
    <row r="28" spans="1:4" x14ac:dyDescent="0.25">
      <c r="A28" s="138">
        <f t="shared" si="3"/>
        <v>998.15</v>
      </c>
      <c r="B28" s="115">
        <v>725</v>
      </c>
      <c r="C28" s="144">
        <f>'LSF,Sogaard (Solid State Chem)'!E45</f>
        <v>7.7410147106395544E-2</v>
      </c>
      <c r="D28" s="157">
        <f>($C$2*A28*$C37*$A$2)/(4*($E$2^2)*C28*D9)</f>
        <v>1.1669041206505759</v>
      </c>
    </row>
    <row r="29" spans="1:4" ht="15.75" thickBot="1" x14ac:dyDescent="0.3">
      <c r="A29" s="141">
        <f t="shared" si="3"/>
        <v>923.15</v>
      </c>
      <c r="B29" s="126">
        <v>650</v>
      </c>
      <c r="C29" s="129">
        <f>'LSF,Sogaard (Solid State Chem)'!E48</f>
        <v>7.1079494213270783E-2</v>
      </c>
      <c r="D29" s="158">
        <f>($C$2*A29*$C38*$A$2)/(4*($E$2^2)*C29*D10)</f>
        <v>8.0940372798249776</v>
      </c>
    </row>
    <row r="30" spans="1:4" x14ac:dyDescent="0.25">
      <c r="A30" s="54"/>
      <c r="B30" s="54"/>
      <c r="C30" s="56"/>
      <c r="D30" s="55"/>
    </row>
    <row r="31" spans="1:4" s="126" customFormat="1" ht="15.75" thickBot="1" x14ac:dyDescent="0.3"/>
    <row r="32" spans="1:4" ht="60" x14ac:dyDescent="0.25">
      <c r="A32" s="59" t="s">
        <v>26</v>
      </c>
    </row>
    <row r="33" spans="1:10" ht="45" x14ac:dyDescent="0.25">
      <c r="A33" s="53" t="s">
        <v>16</v>
      </c>
      <c r="B33" s="53" t="s">
        <v>14</v>
      </c>
      <c r="C33" s="69" t="s">
        <v>41</v>
      </c>
      <c r="E33" s="59"/>
      <c r="J33" s="59"/>
    </row>
    <row r="34" spans="1:10" x14ac:dyDescent="0.25">
      <c r="A34" s="11">
        <f>B34+273.15</f>
        <v>1223.1500000000001</v>
      </c>
      <c r="B34" s="63">
        <v>950</v>
      </c>
      <c r="C34" s="55">
        <f>D6/D14</f>
        <v>117.24653045822963</v>
      </c>
      <c r="D34" s="55"/>
      <c r="E34" s="55"/>
      <c r="G34" s="54"/>
      <c r="I34" s="55"/>
      <c r="J34" s="55"/>
    </row>
    <row r="35" spans="1:10" x14ac:dyDescent="0.25">
      <c r="A35" s="11">
        <f t="shared" ref="A35:A38" si="4">B35+273.15</f>
        <v>1148.1500000000001</v>
      </c>
      <c r="B35" s="63">
        <v>875</v>
      </c>
      <c r="C35" s="65">
        <f>D7/D15</f>
        <v>156.07739216733248</v>
      </c>
      <c r="D35" s="55"/>
      <c r="E35" s="55"/>
      <c r="G35" s="54"/>
      <c r="I35" s="55"/>
      <c r="J35" s="55"/>
    </row>
    <row r="36" spans="1:10" x14ac:dyDescent="0.25">
      <c r="A36" s="11">
        <f t="shared" si="4"/>
        <v>1073.1500000000001</v>
      </c>
      <c r="B36" s="63">
        <v>800</v>
      </c>
      <c r="C36" s="65">
        <f>D8/D16</f>
        <v>151.04279030038984</v>
      </c>
      <c r="D36" s="55"/>
      <c r="E36" s="55"/>
      <c r="G36" s="54"/>
      <c r="I36" s="55"/>
      <c r="J36" s="55"/>
    </row>
    <row r="37" spans="1:10" x14ac:dyDescent="0.25">
      <c r="A37" s="11">
        <f t="shared" si="4"/>
        <v>998.15</v>
      </c>
      <c r="B37" s="63">
        <v>725</v>
      </c>
      <c r="C37" s="65">
        <f>D9/D19</f>
        <v>127.58511223468791</v>
      </c>
      <c r="D37" s="55"/>
      <c r="E37" s="55"/>
      <c r="G37" s="54"/>
      <c r="I37" s="55"/>
      <c r="J37" s="55"/>
    </row>
    <row r="38" spans="1:10" x14ac:dyDescent="0.25">
      <c r="A38" s="11">
        <f t="shared" si="4"/>
        <v>923.15</v>
      </c>
      <c r="B38" s="63">
        <v>650</v>
      </c>
      <c r="C38" s="65">
        <f>D10/D21</f>
        <v>356.45113342624427</v>
      </c>
      <c r="D38" s="55"/>
      <c r="E38" s="55"/>
      <c r="G38" s="54"/>
      <c r="I38" s="55"/>
      <c r="J38" s="55"/>
    </row>
    <row r="39" spans="1:10" x14ac:dyDescent="0.25">
      <c r="A39" s="11"/>
      <c r="B39" s="63"/>
      <c r="C39" s="55"/>
      <c r="D39" s="55"/>
      <c r="E39" s="55"/>
      <c r="G39" s="54"/>
      <c r="I39" s="55"/>
      <c r="J39" s="55"/>
    </row>
    <row r="40" spans="1:10" x14ac:dyDescent="0.25">
      <c r="A40" s="11"/>
      <c r="B40" s="63"/>
      <c r="C40" s="55"/>
      <c r="D40" s="55"/>
      <c r="E40" s="55"/>
      <c r="G40" s="54"/>
      <c r="I40" s="55"/>
      <c r="J40" s="55"/>
    </row>
    <row r="41" spans="1:10" x14ac:dyDescent="0.25">
      <c r="A41" s="11"/>
      <c r="C41" s="55"/>
      <c r="D41" s="55"/>
      <c r="E41" s="55"/>
      <c r="G41" s="54"/>
      <c r="I41" s="55"/>
      <c r="J41" s="55"/>
    </row>
    <row r="42" spans="1:10" x14ac:dyDescent="0.25">
      <c r="A42" s="11"/>
      <c r="C42" s="55"/>
      <c r="D42" s="55"/>
      <c r="E42" s="55"/>
      <c r="G42" s="54"/>
      <c r="I42" s="55"/>
      <c r="J42" s="55"/>
    </row>
    <row r="43" spans="1:10" x14ac:dyDescent="0.25">
      <c r="A43" s="11"/>
      <c r="C43" s="55"/>
      <c r="D43" s="55"/>
      <c r="E43" s="55"/>
      <c r="G43" s="54"/>
      <c r="I43" s="55"/>
      <c r="J43" s="55"/>
    </row>
    <row r="44" spans="1:10" x14ac:dyDescent="0.25">
      <c r="A44" s="11"/>
      <c r="C44" s="55"/>
      <c r="D44" s="55"/>
      <c r="E44" s="55"/>
      <c r="G44" s="54"/>
      <c r="I44" s="55"/>
      <c r="J44" s="55"/>
    </row>
    <row r="45" spans="1:10" x14ac:dyDescent="0.25">
      <c r="A45" s="11"/>
      <c r="C45" s="55"/>
      <c r="D45" s="55"/>
      <c r="E45" s="55"/>
      <c r="G45" s="54"/>
      <c r="I45" s="55"/>
      <c r="J45" s="55"/>
    </row>
    <row r="46" spans="1:10" x14ac:dyDescent="0.25">
      <c r="A46" s="11"/>
      <c r="C46" s="55"/>
      <c r="D46" s="55"/>
      <c r="E46" s="55"/>
      <c r="G46" s="54"/>
      <c r="I46" s="55"/>
      <c r="J46" s="55"/>
    </row>
    <row r="47" spans="1:10" x14ac:dyDescent="0.25">
      <c r="A47" s="11"/>
      <c r="C47" s="55"/>
      <c r="D47" s="55"/>
      <c r="E47" s="55"/>
      <c r="G47" s="54"/>
      <c r="I47" s="55"/>
      <c r="J47" s="55"/>
    </row>
    <row r="48" spans="1:10" x14ac:dyDescent="0.25">
      <c r="A48" s="11"/>
      <c r="C48" s="55"/>
      <c r="D48" s="55"/>
      <c r="E48" s="55"/>
      <c r="G48" s="54"/>
      <c r="I48" s="55"/>
      <c r="J48" s="55"/>
    </row>
    <row r="49" spans="1:10" x14ac:dyDescent="0.25">
      <c r="A49" s="11"/>
      <c r="C49" s="55"/>
      <c r="D49" s="55"/>
      <c r="E49" s="55"/>
      <c r="G49" s="54"/>
      <c r="I49" s="55"/>
      <c r="J49" s="55"/>
    </row>
    <row r="50" spans="1:10" x14ac:dyDescent="0.25">
      <c r="A50" s="11"/>
      <c r="C50" s="55"/>
      <c r="D50" s="55"/>
      <c r="E50" s="55"/>
      <c r="G50" s="54"/>
      <c r="I50" s="55"/>
      <c r="J50" s="55"/>
    </row>
    <row r="51" spans="1:10" x14ac:dyDescent="0.25">
      <c r="A51" s="11"/>
      <c r="C51" s="55"/>
      <c r="D51" s="55"/>
      <c r="E51" s="55"/>
      <c r="G51" s="54"/>
      <c r="I51" s="55"/>
      <c r="J51" s="55"/>
    </row>
    <row r="52" spans="1:10" x14ac:dyDescent="0.25">
      <c r="A52" s="11"/>
      <c r="C52" s="55"/>
      <c r="D52" s="55"/>
      <c r="E52" s="55"/>
      <c r="G52" s="54"/>
      <c r="I52" s="55"/>
      <c r="J52" s="55"/>
    </row>
    <row r="53" spans="1:10" x14ac:dyDescent="0.25">
      <c r="A53" s="11"/>
      <c r="C53" s="55"/>
      <c r="D53" s="55"/>
      <c r="E53" s="55"/>
      <c r="G53" s="54"/>
      <c r="I53" s="55"/>
      <c r="J53" s="55"/>
    </row>
    <row r="54" spans="1:10" x14ac:dyDescent="0.25">
      <c r="A54" s="11"/>
      <c r="C54" s="55"/>
      <c r="D54" s="55"/>
      <c r="E54" s="55"/>
      <c r="G54" s="54"/>
      <c r="I54" s="55"/>
      <c r="J54" s="55"/>
    </row>
    <row r="55" spans="1:10" x14ac:dyDescent="0.25">
      <c r="A55" s="11"/>
      <c r="C55" s="55"/>
      <c r="D55" s="55"/>
      <c r="E55" s="55"/>
    </row>
    <row r="56" spans="1:10" x14ac:dyDescent="0.25">
      <c r="A56" s="11"/>
      <c r="C56" s="55"/>
      <c r="D56" s="55"/>
      <c r="E56" s="55"/>
    </row>
    <row r="57" spans="1:10" x14ac:dyDescent="0.25">
      <c r="A57" s="11"/>
      <c r="C57" s="55"/>
      <c r="D57" s="55"/>
      <c r="E57" s="55"/>
    </row>
    <row r="58" spans="1:10" x14ac:dyDescent="0.25">
      <c r="A58" s="11"/>
      <c r="C58" s="55"/>
      <c r="D58" s="55"/>
      <c r="E58" s="55"/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3"/>
  <sheetViews>
    <sheetView tabSelected="1" topLeftCell="A10" workbookViewId="0">
      <selection activeCell="D29" sqref="D29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1" width="16.28515625" style="111" customWidth="1"/>
    <col min="12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171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2" t="s">
        <v>196</v>
      </c>
    </row>
    <row r="6" spans="1:19" x14ac:dyDescent="0.25">
      <c r="A6" s="138">
        <f>B6+273.15</f>
        <v>1123.1500000000001</v>
      </c>
      <c r="B6" s="115">
        <v>850</v>
      </c>
      <c r="C6" s="140">
        <v>-2.29312169312169</v>
      </c>
      <c r="D6" s="153">
        <f>10^(C6)</f>
        <v>5.0918817207503764E-3</v>
      </c>
    </row>
    <row r="7" spans="1:19" x14ac:dyDescent="0.25">
      <c r="A7" s="138">
        <f t="shared" ref="A7:A11" si="0">B7+273.15</f>
        <v>1073.1500000000001</v>
      </c>
      <c r="B7" s="115">
        <v>800</v>
      </c>
      <c r="C7" s="140">
        <v>-2.5132275132275099</v>
      </c>
      <c r="D7" s="153">
        <f t="shared" ref="D7:D11" si="1">10^(C7)</f>
        <v>3.0674146452977177E-3</v>
      </c>
      <c r="H7" s="111" t="s">
        <v>18</v>
      </c>
    </row>
    <row r="8" spans="1:19" ht="15.75" x14ac:dyDescent="0.25">
      <c r="A8" s="138">
        <f t="shared" si="0"/>
        <v>1023.15</v>
      </c>
      <c r="B8" s="115">
        <v>750</v>
      </c>
      <c r="C8" s="140">
        <v>-2.75026455026455</v>
      </c>
      <c r="D8" s="153">
        <f t="shared" si="1"/>
        <v>1.7771965018933992E-3</v>
      </c>
      <c r="G8" s="111">
        <v>1</v>
      </c>
      <c r="H8" s="35" t="s">
        <v>139</v>
      </c>
    </row>
    <row r="9" spans="1:19" ht="15.75" x14ac:dyDescent="0.25">
      <c r="A9" s="138">
        <f t="shared" si="0"/>
        <v>973.15</v>
      </c>
      <c r="B9" s="115">
        <v>700</v>
      </c>
      <c r="C9" s="140">
        <v>-3.01269841269841</v>
      </c>
      <c r="D9" s="153">
        <f t="shared" si="1"/>
        <v>9.71184152954832E-4</v>
      </c>
      <c r="H9" s="35"/>
    </row>
    <row r="10" spans="1:19" ht="16.5" thickBot="1" x14ac:dyDescent="0.3">
      <c r="A10" s="138">
        <f t="shared" si="0"/>
        <v>923.15</v>
      </c>
      <c r="B10" s="115">
        <v>650</v>
      </c>
      <c r="C10" s="140">
        <v>-3.3005291005291002</v>
      </c>
      <c r="D10" s="153">
        <f t="shared" si="1"/>
        <v>5.0057700951942582E-4</v>
      </c>
      <c r="J10" s="2"/>
    </row>
    <row r="11" spans="1:19" ht="19.5" thickBot="1" x14ac:dyDescent="0.3">
      <c r="A11" s="141">
        <f t="shared" si="0"/>
        <v>873.15</v>
      </c>
      <c r="B11" s="126">
        <v>600</v>
      </c>
      <c r="C11" s="130">
        <v>-3.6306878306878301</v>
      </c>
      <c r="D11" s="153">
        <f t="shared" si="1"/>
        <v>2.3405189908039532E-4</v>
      </c>
      <c r="H11" s="169" t="s">
        <v>184</v>
      </c>
    </row>
    <row r="12" spans="1:19" ht="15.75" thickBot="1" x14ac:dyDescent="0.3">
      <c r="A12" s="173"/>
      <c r="B12" s="174"/>
      <c r="C12" s="171"/>
      <c r="D12" s="171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13</v>
      </c>
      <c r="B13" s="134"/>
      <c r="C13" s="134"/>
      <c r="D13" s="135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75" x14ac:dyDescent="0.25">
      <c r="A14" s="136" t="s">
        <v>16</v>
      </c>
      <c r="B14" s="115" t="s">
        <v>14</v>
      </c>
      <c r="C14" s="142" t="s">
        <v>37</v>
      </c>
      <c r="D14" s="137" t="s">
        <v>15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>B15+273.15</f>
        <v>1123.1500000000001</v>
      </c>
      <c r="B15" s="115">
        <v>850</v>
      </c>
      <c r="C15" s="140">
        <f>'BSCF,Bucher (Solid State Ionics'!C41</f>
        <v>102.93610795862959</v>
      </c>
      <c r="D15" s="157">
        <f>D6/C15</f>
        <v>4.9466429435983949E-5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1073.1500000000001</v>
      </c>
      <c r="B16" s="115">
        <v>800</v>
      </c>
      <c r="C16" s="140">
        <f>'BSCF,Bucher (Solid State Ionics'!C42</f>
        <v>115</v>
      </c>
      <c r="D16" s="157">
        <f t="shared" ref="D16:D20" si="2">D7/C16</f>
        <v>2.6673170828675807E-5</v>
      </c>
    </row>
    <row r="17" spans="1:12" x14ac:dyDescent="0.25">
      <c r="A17" s="138">
        <f>B17+273.15</f>
        <v>1023.15</v>
      </c>
      <c r="B17" s="115">
        <v>750</v>
      </c>
      <c r="C17" s="140">
        <f>'BSCF,Bucher (Solid State Ionics'!C43</f>
        <v>113.92356586698381</v>
      </c>
      <c r="D17" s="157">
        <f t="shared" si="2"/>
        <v>1.5599902341263078E-5</v>
      </c>
    </row>
    <row r="18" spans="1:12" x14ac:dyDescent="0.25">
      <c r="A18" s="138">
        <f>B18+273.15</f>
        <v>973.15</v>
      </c>
      <c r="B18" s="115">
        <v>700</v>
      </c>
      <c r="C18" s="140">
        <f>'BSCF,Bucher (Solid State Ionics'!C45</f>
        <v>138</v>
      </c>
      <c r="D18" s="157">
        <f t="shared" si="2"/>
        <v>7.0375663257596521E-6</v>
      </c>
    </row>
    <row r="19" spans="1:12" x14ac:dyDescent="0.25">
      <c r="A19" s="138">
        <f>B19+273.15</f>
        <v>923.15</v>
      </c>
      <c r="B19" s="115">
        <v>650</v>
      </c>
      <c r="C19" s="140">
        <f>'BSCF,Bucher (Solid State Ionics'!C46</f>
        <v>139.1465575693758</v>
      </c>
      <c r="D19" s="157">
        <f t="shared" si="2"/>
        <v>3.597480370794281E-6</v>
      </c>
    </row>
    <row r="20" spans="1:12" ht="15.75" thickBot="1" x14ac:dyDescent="0.3">
      <c r="A20" s="141">
        <f>B20+273.15</f>
        <v>873.15</v>
      </c>
      <c r="B20" s="126">
        <v>600</v>
      </c>
      <c r="C20" s="130">
        <f>'BSCF,Bucher (Solid State Ionics'!C47</f>
        <v>125</v>
      </c>
      <c r="D20" s="157">
        <f t="shared" si="2"/>
        <v>1.8724151926431626E-6</v>
      </c>
    </row>
    <row r="21" spans="1:12" ht="15.75" thickBot="1" x14ac:dyDescent="0.3">
      <c r="A21" s="173"/>
      <c r="B21" s="174"/>
      <c r="C21" s="171"/>
      <c r="D21" s="171"/>
    </row>
    <row r="22" spans="1:12" ht="15.75" x14ac:dyDescent="0.25">
      <c r="A22" s="133" t="s">
        <v>19</v>
      </c>
      <c r="B22" s="134"/>
      <c r="C22" s="134"/>
      <c r="D22" s="135"/>
    </row>
    <row r="23" spans="1:12" ht="47.25" x14ac:dyDescent="0.25">
      <c r="A23" s="136" t="s">
        <v>16</v>
      </c>
      <c r="B23" s="115" t="s">
        <v>14</v>
      </c>
      <c r="C23" s="142" t="s">
        <v>21</v>
      </c>
      <c r="D23" s="143" t="s">
        <v>35</v>
      </c>
    </row>
    <row r="24" spans="1:12" x14ac:dyDescent="0.25">
      <c r="A24" s="138">
        <f t="shared" ref="A24:A30" si="3">B24+273.15</f>
        <v>1123.1500000000001</v>
      </c>
      <c r="B24" s="115">
        <v>850</v>
      </c>
      <c r="C24" s="140">
        <f>'BSCF,Bucher (Solid State Ionics'!H41</f>
        <v>6.5788511749347259E-2</v>
      </c>
      <c r="D24" s="157">
        <f>($C$2*$A$2*A24)/(4*($E$2^2)*D15*C24)</f>
        <v>7.7021928975858481E-2</v>
      </c>
      <c r="G24" s="119"/>
      <c r="H24" s="119"/>
    </row>
    <row r="25" spans="1:12" x14ac:dyDescent="0.25">
      <c r="A25" s="138">
        <f t="shared" si="3"/>
        <v>1073.1500000000001</v>
      </c>
      <c r="B25" s="115">
        <v>800</v>
      </c>
      <c r="C25" s="140">
        <f>'BSCF,Bucher (Solid State Ionics'!H42</f>
        <v>6.5788511749347259E-2</v>
      </c>
      <c r="D25" s="157">
        <f t="shared" ref="D25:D29" si="4">($C$2*$A$2*A25)/(4*($E$2^2)*D16*C25)</f>
        <v>0.13648124533379874</v>
      </c>
      <c r="G25" s="119"/>
      <c r="H25" s="114"/>
    </row>
    <row r="26" spans="1:12" x14ac:dyDescent="0.25">
      <c r="A26" s="138">
        <f t="shared" si="3"/>
        <v>1023.15</v>
      </c>
      <c r="B26" s="115">
        <v>750</v>
      </c>
      <c r="C26" s="140">
        <f>'BSCF,Bucher (Solid State Ionics'!H43</f>
        <v>6.587526873215778E-2</v>
      </c>
      <c r="D26" s="157">
        <f t="shared" si="4"/>
        <v>0.22219397795356904</v>
      </c>
      <c r="G26" s="119"/>
      <c r="H26" s="114"/>
      <c r="K26" s="118"/>
      <c r="L26" s="118"/>
    </row>
    <row r="27" spans="1:12" x14ac:dyDescent="0.25">
      <c r="A27" s="138">
        <f t="shared" si="3"/>
        <v>973.15</v>
      </c>
      <c r="B27" s="115">
        <v>700</v>
      </c>
      <c r="C27" s="140">
        <f>'BSCF,Bucher (Solid State Ionics'!H45</f>
        <v>6.6297650130548308E-2</v>
      </c>
      <c r="D27" s="157">
        <f t="shared" si="4"/>
        <v>0.46547504839522297</v>
      </c>
      <c r="G27" s="119"/>
      <c r="H27" s="114"/>
      <c r="J27" s="113"/>
      <c r="K27" s="113"/>
      <c r="L27" s="113"/>
    </row>
    <row r="28" spans="1:12" x14ac:dyDescent="0.25">
      <c r="A28" s="138">
        <f t="shared" si="3"/>
        <v>923.15</v>
      </c>
      <c r="B28" s="115">
        <v>650</v>
      </c>
      <c r="C28" s="140">
        <f>'BSCF,Bucher (Solid State Ionics'!H46</f>
        <v>6.6443312259546278E-2</v>
      </c>
      <c r="D28" s="157">
        <f t="shared" si="4"/>
        <v>0.86190583711898772</v>
      </c>
      <c r="G28" s="119"/>
      <c r="H28" s="114"/>
      <c r="J28" s="113"/>
      <c r="K28" s="113"/>
      <c r="L28" s="113"/>
    </row>
    <row r="29" spans="1:12" ht="15.75" thickBot="1" x14ac:dyDescent="0.3">
      <c r="A29" s="141">
        <f t="shared" si="3"/>
        <v>873.15</v>
      </c>
      <c r="B29" s="126">
        <v>600</v>
      </c>
      <c r="C29" s="130">
        <f>'BSCF,Bucher (Solid State Ionics'!H47</f>
        <v>6.6843342036553524E-2</v>
      </c>
      <c r="D29" s="158">
        <f t="shared" si="4"/>
        <v>1.5569182216755524</v>
      </c>
      <c r="G29" s="119"/>
      <c r="H29" s="114"/>
      <c r="J29" s="113"/>
      <c r="K29" s="113"/>
      <c r="L29" s="113"/>
    </row>
    <row r="30" spans="1:12" x14ac:dyDescent="0.25">
      <c r="A30" s="173"/>
      <c r="B30" s="174"/>
      <c r="C30" s="174"/>
      <c r="D30" s="171"/>
      <c r="G30" s="119"/>
      <c r="H30" s="114"/>
      <c r="J30" s="113"/>
      <c r="K30" s="113"/>
      <c r="L30" s="113"/>
    </row>
    <row r="31" spans="1:12" x14ac:dyDescent="0.25">
      <c r="G31" s="119"/>
      <c r="H31" s="114"/>
      <c r="J31" s="113"/>
      <c r="K31" s="113"/>
      <c r="L31" s="113"/>
    </row>
    <row r="32" spans="1:12" x14ac:dyDescent="0.25">
      <c r="G32" s="119"/>
      <c r="H32" s="114"/>
      <c r="J32" s="113"/>
      <c r="K32" s="113"/>
      <c r="L32" s="113"/>
    </row>
    <row r="33" spans="1:21" x14ac:dyDescent="0.25">
      <c r="D33" s="113"/>
      <c r="G33" s="119"/>
      <c r="H33" s="114"/>
      <c r="J33" s="113"/>
      <c r="K33" s="113"/>
      <c r="L33" s="113"/>
    </row>
    <row r="34" spans="1:21" s="126" customFormat="1" ht="15.75" thickBot="1" x14ac:dyDescent="0.3">
      <c r="A34" s="115"/>
      <c r="B34" s="115"/>
      <c r="C34" s="115"/>
      <c r="D34" s="115"/>
      <c r="E34" s="115"/>
      <c r="F34" s="115"/>
      <c r="G34" s="150"/>
      <c r="H34" s="144"/>
      <c r="I34" s="115"/>
      <c r="J34" s="140"/>
      <c r="K34" s="140"/>
      <c r="L34" s="140"/>
      <c r="M34" s="115"/>
      <c r="N34" s="115"/>
      <c r="O34" s="115"/>
      <c r="P34" s="115"/>
      <c r="Q34" s="115"/>
      <c r="R34" s="115"/>
      <c r="S34" s="115"/>
      <c r="T34" s="115"/>
      <c r="U34" s="115"/>
    </row>
    <row r="35" spans="1:21" x14ac:dyDescent="0.25">
      <c r="A35" s="142"/>
      <c r="B35" s="115"/>
      <c r="C35" s="115"/>
      <c r="D35" s="115"/>
      <c r="E35" s="115"/>
      <c r="F35" s="115"/>
      <c r="G35" s="150"/>
      <c r="H35" s="144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</row>
    <row r="36" spans="1:21" x14ac:dyDescent="0.25">
      <c r="C36" s="118"/>
      <c r="G36" s="118"/>
      <c r="H36" s="118"/>
    </row>
    <row r="37" spans="1:21" x14ac:dyDescent="0.25">
      <c r="A37" s="112"/>
      <c r="B37" s="112"/>
      <c r="C37" s="113"/>
      <c r="E37" s="112"/>
      <c r="G37" s="113"/>
      <c r="H37" s="113"/>
      <c r="J37" s="113"/>
    </row>
    <row r="38" spans="1:21" x14ac:dyDescent="0.25">
      <c r="A38" s="112"/>
      <c r="B38" s="112"/>
      <c r="C38" s="113"/>
      <c r="E38" s="112"/>
      <c r="G38" s="113"/>
      <c r="H38" s="113"/>
      <c r="J38" s="113"/>
    </row>
    <row r="39" spans="1:21" x14ac:dyDescent="0.25">
      <c r="A39" s="112"/>
      <c r="B39" s="112"/>
      <c r="C39" s="113"/>
      <c r="E39" s="112"/>
      <c r="G39" s="113"/>
      <c r="H39" s="113"/>
      <c r="J39" s="113"/>
    </row>
    <row r="40" spans="1:21" x14ac:dyDescent="0.25">
      <c r="A40" s="112"/>
      <c r="B40" s="112"/>
      <c r="C40" s="113"/>
      <c r="E40" s="112"/>
      <c r="G40" s="113"/>
      <c r="H40" s="113"/>
      <c r="J40" s="113"/>
    </row>
    <row r="41" spans="1:21" x14ac:dyDescent="0.25">
      <c r="A41" s="112"/>
      <c r="B41" s="112"/>
      <c r="C41" s="113"/>
      <c r="E41" s="112"/>
      <c r="G41" s="113"/>
      <c r="H41" s="113"/>
      <c r="J41" s="113"/>
    </row>
    <row r="42" spans="1:21" x14ac:dyDescent="0.25">
      <c r="A42" s="112"/>
      <c r="B42" s="112"/>
      <c r="C42" s="113"/>
      <c r="E42" s="112"/>
      <c r="G42" s="113"/>
      <c r="H42" s="113"/>
      <c r="J42" s="113"/>
    </row>
    <row r="43" spans="1:21" x14ac:dyDescent="0.25">
      <c r="A43" s="112"/>
      <c r="B43" s="112"/>
      <c r="C43" s="113"/>
      <c r="E43" s="112"/>
      <c r="G43" s="113"/>
      <c r="H43" s="113"/>
      <c r="J43" s="113"/>
    </row>
    <row r="44" spans="1:21" x14ac:dyDescent="0.25">
      <c r="A44" s="112"/>
      <c r="B44" s="112"/>
      <c r="C44" s="113"/>
      <c r="E44" s="113"/>
      <c r="H44" s="113"/>
      <c r="J44" s="113"/>
    </row>
    <row r="45" spans="1:21" x14ac:dyDescent="0.25">
      <c r="A45" s="112"/>
      <c r="B45" s="112"/>
      <c r="C45" s="113"/>
      <c r="E45" s="113"/>
      <c r="H45" s="113"/>
      <c r="J45" s="113"/>
    </row>
    <row r="46" spans="1:21" x14ac:dyDescent="0.25">
      <c r="A46" s="112"/>
      <c r="B46" s="112"/>
      <c r="C46" s="113"/>
      <c r="E46" s="113"/>
      <c r="H46" s="113"/>
    </row>
    <row r="47" spans="1:21" x14ac:dyDescent="0.25">
      <c r="A47" s="112"/>
      <c r="B47" s="112"/>
      <c r="C47" s="113"/>
      <c r="E47" s="113"/>
      <c r="H47" s="114"/>
    </row>
    <row r="48" spans="1:21" x14ac:dyDescent="0.25">
      <c r="A48" s="112"/>
      <c r="B48" s="112"/>
      <c r="C48" s="113"/>
      <c r="E48" s="113"/>
      <c r="H48" s="114"/>
    </row>
    <row r="49" spans="1:8" x14ac:dyDescent="0.25">
      <c r="A49" s="112"/>
      <c r="B49" s="112"/>
      <c r="C49" s="113"/>
      <c r="E49" s="113"/>
      <c r="H49" s="114"/>
    </row>
    <row r="50" spans="1:8" x14ac:dyDescent="0.25">
      <c r="A50" s="112"/>
      <c r="B50" s="112"/>
      <c r="C50" s="113"/>
      <c r="E50" s="113"/>
      <c r="H50" s="114"/>
    </row>
    <row r="51" spans="1:8" x14ac:dyDescent="0.25">
      <c r="A51" s="112"/>
      <c r="B51" s="112"/>
      <c r="C51" s="113"/>
      <c r="E51" s="113"/>
      <c r="H51" s="114"/>
    </row>
    <row r="52" spans="1:8" x14ac:dyDescent="0.25">
      <c r="A52" s="112"/>
      <c r="B52" s="112"/>
      <c r="C52" s="113"/>
      <c r="E52" s="113"/>
      <c r="H52" s="114"/>
    </row>
    <row r="53" spans="1:8" x14ac:dyDescent="0.25">
      <c r="A53" s="112"/>
      <c r="B53" s="112"/>
      <c r="C53" s="113"/>
      <c r="E53" s="113"/>
      <c r="H53" s="114"/>
    </row>
    <row r="54" spans="1:8" x14ac:dyDescent="0.25">
      <c r="A54" s="112"/>
      <c r="B54" s="112"/>
      <c r="C54" s="113"/>
      <c r="E54" s="113"/>
      <c r="H54" s="114"/>
    </row>
    <row r="55" spans="1:8" x14ac:dyDescent="0.25">
      <c r="A55" s="112"/>
      <c r="B55" s="112"/>
      <c r="C55" s="113"/>
      <c r="E55" s="113"/>
      <c r="H55" s="114"/>
    </row>
    <row r="56" spans="1:8" x14ac:dyDescent="0.25">
      <c r="A56" s="112"/>
      <c r="B56" s="112"/>
      <c r="C56" s="113"/>
      <c r="F56" s="114"/>
      <c r="G56" s="112"/>
      <c r="H56" s="114"/>
    </row>
    <row r="57" spans="1:8" x14ac:dyDescent="0.25">
      <c r="A57" s="112"/>
      <c r="B57" s="112"/>
      <c r="C57" s="113"/>
      <c r="F57" s="114"/>
      <c r="G57" s="117"/>
      <c r="H57" s="114"/>
    </row>
    <row r="58" spans="1:8" x14ac:dyDescent="0.25">
      <c r="A58" s="112"/>
      <c r="B58" s="112"/>
      <c r="C58" s="113"/>
      <c r="F58" s="114"/>
      <c r="G58" s="117"/>
      <c r="H58" s="114"/>
    </row>
    <row r="59" spans="1:8" x14ac:dyDescent="0.25">
      <c r="A59" s="112"/>
      <c r="B59" s="112"/>
      <c r="C59" s="113"/>
      <c r="F59" s="114"/>
      <c r="G59" s="112"/>
      <c r="H59" s="114"/>
    </row>
    <row r="60" spans="1:8" x14ac:dyDescent="0.25">
      <c r="A60" s="112"/>
      <c r="B60" s="112"/>
      <c r="C60" s="113"/>
      <c r="F60" s="114"/>
      <c r="G60" s="117"/>
      <c r="H60" s="114"/>
    </row>
    <row r="61" spans="1:8" x14ac:dyDescent="0.25">
      <c r="A61" s="112"/>
      <c r="B61" s="112"/>
      <c r="C61" s="113"/>
      <c r="F61" s="114"/>
      <c r="G61" s="117"/>
      <c r="H61" s="114"/>
    </row>
    <row r="62" spans="1:8" x14ac:dyDescent="0.25">
      <c r="A62" s="112"/>
      <c r="B62" s="112"/>
      <c r="C62" s="113"/>
      <c r="F62" s="114"/>
      <c r="G62" s="112"/>
      <c r="H62" s="114"/>
    </row>
    <row r="63" spans="1:8" x14ac:dyDescent="0.25">
      <c r="A63" s="112"/>
      <c r="B63" s="112"/>
      <c r="C63" s="113"/>
      <c r="F63" s="114"/>
      <c r="G63" s="117"/>
      <c r="H63" s="114"/>
    </row>
    <row r="64" spans="1:8" x14ac:dyDescent="0.25">
      <c r="A64" s="112"/>
      <c r="B64" s="112"/>
      <c r="C64" s="113"/>
      <c r="F64" s="114"/>
      <c r="G64" s="117"/>
      <c r="H64" s="114"/>
    </row>
    <row r="65" spans="1:8" x14ac:dyDescent="0.25">
      <c r="A65" s="112"/>
      <c r="B65" s="112"/>
      <c r="C65" s="113"/>
      <c r="F65" s="114"/>
      <c r="G65" s="112"/>
      <c r="H65" s="114"/>
    </row>
    <row r="66" spans="1:8" x14ac:dyDescent="0.25">
      <c r="A66" s="112"/>
      <c r="B66" s="112"/>
      <c r="C66" s="113"/>
      <c r="F66" s="114"/>
      <c r="G66" s="117"/>
      <c r="H66" s="114"/>
    </row>
    <row r="67" spans="1:8" x14ac:dyDescent="0.25">
      <c r="A67" s="112"/>
      <c r="B67" s="112"/>
      <c r="C67" s="113"/>
      <c r="F67" s="114"/>
      <c r="G67" s="117"/>
      <c r="H67" s="114"/>
    </row>
    <row r="68" spans="1:8" x14ac:dyDescent="0.25">
      <c r="A68" s="112"/>
      <c r="B68" s="112"/>
      <c r="C68" s="113"/>
      <c r="F68" s="114"/>
      <c r="G68" s="112"/>
      <c r="H68" s="114"/>
    </row>
    <row r="69" spans="1:8" x14ac:dyDescent="0.25">
      <c r="A69" s="112"/>
      <c r="B69" s="112"/>
      <c r="C69" s="113"/>
      <c r="F69" s="114"/>
      <c r="G69" s="117"/>
      <c r="H69" s="114"/>
    </row>
    <row r="70" spans="1:8" x14ac:dyDescent="0.25">
      <c r="A70" s="112"/>
      <c r="B70" s="112"/>
      <c r="C70" s="113"/>
      <c r="F70" s="114"/>
      <c r="G70" s="117"/>
      <c r="H70" s="114"/>
    </row>
    <row r="71" spans="1:8" x14ac:dyDescent="0.25">
      <c r="A71" s="112"/>
      <c r="B71" s="112"/>
      <c r="C71" s="113"/>
      <c r="F71" s="114"/>
      <c r="G71" s="112"/>
      <c r="H71" s="114"/>
    </row>
    <row r="72" spans="1:8" x14ac:dyDescent="0.25">
      <c r="A72" s="112"/>
      <c r="B72" s="112"/>
      <c r="C72" s="113"/>
      <c r="F72" s="114"/>
      <c r="G72" s="117"/>
      <c r="H72" s="114"/>
    </row>
    <row r="73" spans="1:8" x14ac:dyDescent="0.25">
      <c r="A73" s="112"/>
      <c r="B73" s="112"/>
      <c r="C73" s="113"/>
      <c r="F73" s="114"/>
      <c r="G73" s="117"/>
      <c r="H73" s="114"/>
    </row>
    <row r="74" spans="1:8" x14ac:dyDescent="0.25">
      <c r="A74" s="112"/>
      <c r="B74" s="112"/>
      <c r="C74" s="113"/>
      <c r="F74" s="114"/>
      <c r="G74" s="112"/>
      <c r="H74" s="114"/>
    </row>
    <row r="75" spans="1:8" x14ac:dyDescent="0.25">
      <c r="A75" s="112"/>
      <c r="B75" s="112"/>
      <c r="C75" s="113"/>
      <c r="F75" s="114"/>
      <c r="G75" s="117"/>
      <c r="H75" s="114"/>
    </row>
    <row r="76" spans="1:8" x14ac:dyDescent="0.25">
      <c r="A76" s="112"/>
      <c r="B76" s="112"/>
      <c r="C76" s="113"/>
      <c r="F76" s="114"/>
      <c r="G76" s="117"/>
      <c r="H76" s="114"/>
    </row>
    <row r="77" spans="1:8" x14ac:dyDescent="0.25">
      <c r="A77" s="112"/>
      <c r="B77" s="112"/>
      <c r="C77" s="113"/>
      <c r="F77" s="114"/>
      <c r="G77" s="112"/>
      <c r="H77" s="114"/>
    </row>
    <row r="78" spans="1:8" x14ac:dyDescent="0.25">
      <c r="A78" s="112"/>
      <c r="B78" s="112"/>
      <c r="C78" s="113"/>
      <c r="F78" s="114"/>
      <c r="G78" s="117"/>
      <c r="H78" s="114"/>
    </row>
    <row r="79" spans="1:8" x14ac:dyDescent="0.25">
      <c r="A79" s="112"/>
      <c r="B79" s="112"/>
      <c r="C79" s="113"/>
      <c r="F79" s="114"/>
      <c r="G79" s="117"/>
      <c r="H79" s="114"/>
    </row>
    <row r="80" spans="1:8" x14ac:dyDescent="0.25">
      <c r="A80" s="112"/>
      <c r="B80" s="112"/>
      <c r="C80" s="113"/>
      <c r="F80" s="114"/>
      <c r="G80" s="112"/>
      <c r="H80" s="114"/>
    </row>
    <row r="81" spans="1:8" x14ac:dyDescent="0.25">
      <c r="A81" s="112"/>
      <c r="B81" s="112"/>
      <c r="C81" s="113"/>
      <c r="F81" s="114"/>
      <c r="G81" s="117"/>
      <c r="H81" s="114"/>
    </row>
    <row r="82" spans="1:8" x14ac:dyDescent="0.25">
      <c r="A82" s="112"/>
      <c r="B82" s="112"/>
      <c r="C82" s="113"/>
      <c r="F82" s="114"/>
      <c r="G82" s="117"/>
      <c r="H82" s="114"/>
    </row>
    <row r="83" spans="1:8" x14ac:dyDescent="0.25">
      <c r="A83" s="112"/>
      <c r="B83" s="112"/>
      <c r="C83" s="113"/>
      <c r="F83" s="114"/>
      <c r="G83" s="112"/>
      <c r="H83" s="114"/>
    </row>
    <row r="84" spans="1:8" x14ac:dyDescent="0.25">
      <c r="A84" s="112"/>
      <c r="B84" s="112"/>
      <c r="C84" s="113"/>
      <c r="F84" s="114"/>
      <c r="G84" s="117"/>
      <c r="H84" s="114"/>
    </row>
    <row r="85" spans="1:8" x14ac:dyDescent="0.25">
      <c r="A85" s="112"/>
      <c r="B85" s="112"/>
      <c r="C85" s="113"/>
      <c r="F85" s="114"/>
      <c r="G85" s="117"/>
      <c r="H85" s="114"/>
    </row>
    <row r="86" spans="1:8" x14ac:dyDescent="0.25">
      <c r="A86" s="112"/>
      <c r="B86" s="112"/>
      <c r="C86" s="113"/>
      <c r="F86" s="114"/>
      <c r="G86" s="112"/>
      <c r="H86" s="114"/>
    </row>
    <row r="87" spans="1:8" x14ac:dyDescent="0.25">
      <c r="A87" s="112"/>
      <c r="B87" s="112"/>
      <c r="C87" s="113"/>
      <c r="F87" s="114"/>
      <c r="G87" s="117"/>
      <c r="H87" s="114"/>
    </row>
    <row r="88" spans="1:8" x14ac:dyDescent="0.25">
      <c r="A88" s="112"/>
      <c r="B88" s="112"/>
      <c r="C88" s="113"/>
      <c r="F88" s="114"/>
      <c r="G88" s="117"/>
      <c r="H88" s="114"/>
    </row>
    <row r="89" spans="1:8" x14ac:dyDescent="0.25">
      <c r="A89" s="112"/>
      <c r="B89" s="112"/>
      <c r="C89" s="113"/>
      <c r="F89" s="114"/>
      <c r="G89" s="112"/>
      <c r="H89" s="114"/>
    </row>
    <row r="90" spans="1:8" x14ac:dyDescent="0.25">
      <c r="A90" s="112"/>
      <c r="B90" s="112"/>
      <c r="C90" s="113"/>
      <c r="F90" s="114"/>
      <c r="G90" s="117"/>
      <c r="H90" s="114"/>
    </row>
    <row r="91" spans="1:8" x14ac:dyDescent="0.25">
      <c r="A91" s="112"/>
      <c r="B91" s="112"/>
      <c r="C91" s="113"/>
      <c r="F91" s="114"/>
      <c r="G91" s="117"/>
      <c r="H91" s="114"/>
    </row>
    <row r="92" spans="1:8" x14ac:dyDescent="0.25">
      <c r="A92" s="112"/>
      <c r="B92" s="112"/>
      <c r="C92" s="113"/>
      <c r="F92" s="114"/>
      <c r="G92" s="112"/>
      <c r="H92" s="114"/>
    </row>
    <row r="93" spans="1:8" x14ac:dyDescent="0.25">
      <c r="A93" s="112"/>
      <c r="B93" s="112"/>
      <c r="C93" s="113"/>
      <c r="F93" s="114"/>
      <c r="G93" s="117"/>
      <c r="H93" s="114"/>
    </row>
    <row r="94" spans="1:8" x14ac:dyDescent="0.25">
      <c r="A94" s="112"/>
      <c r="B94" s="112"/>
      <c r="C94" s="113"/>
      <c r="F94" s="114"/>
      <c r="G94" s="117"/>
      <c r="H94" s="114"/>
    </row>
    <row r="95" spans="1:8" x14ac:dyDescent="0.25">
      <c r="A95" s="112"/>
      <c r="B95" s="112"/>
      <c r="C95" s="113"/>
      <c r="F95" s="114"/>
      <c r="G95" s="112"/>
      <c r="H95" s="114"/>
    </row>
    <row r="96" spans="1:8" x14ac:dyDescent="0.25">
      <c r="A96" s="112"/>
      <c r="B96" s="112"/>
      <c r="C96" s="113"/>
      <c r="F96" s="114"/>
      <c r="G96" s="117"/>
      <c r="H96" s="114"/>
    </row>
    <row r="97" spans="1:8" x14ac:dyDescent="0.25">
      <c r="A97" s="112"/>
      <c r="B97" s="112"/>
      <c r="C97" s="113"/>
      <c r="F97" s="114"/>
      <c r="G97" s="117"/>
      <c r="H97" s="114"/>
    </row>
    <row r="98" spans="1:8" x14ac:dyDescent="0.25">
      <c r="A98" s="112"/>
      <c r="B98" s="112"/>
      <c r="C98" s="113"/>
      <c r="F98" s="114"/>
      <c r="G98" s="112"/>
      <c r="H98" s="114"/>
    </row>
    <row r="99" spans="1:8" x14ac:dyDescent="0.25">
      <c r="A99" s="112"/>
      <c r="B99" s="112"/>
      <c r="C99" s="113"/>
      <c r="F99" s="114"/>
      <c r="G99" s="117"/>
      <c r="H99" s="114"/>
    </row>
    <row r="100" spans="1:8" x14ac:dyDescent="0.25">
      <c r="A100" s="112"/>
      <c r="B100" s="112"/>
      <c r="C100" s="113"/>
      <c r="F100" s="114"/>
      <c r="G100" s="117"/>
      <c r="H100" s="114"/>
    </row>
    <row r="101" spans="1:8" x14ac:dyDescent="0.25">
      <c r="A101" s="112"/>
      <c r="B101" s="112"/>
      <c r="C101" s="113"/>
      <c r="F101" s="114"/>
      <c r="G101" s="112"/>
      <c r="H101" s="114"/>
    </row>
    <row r="102" spans="1:8" x14ac:dyDescent="0.25">
      <c r="A102" s="112"/>
      <c r="B102" s="112"/>
      <c r="C102" s="113"/>
      <c r="F102" s="114"/>
      <c r="G102" s="117"/>
      <c r="H102" s="114"/>
    </row>
    <row r="103" spans="1:8" x14ac:dyDescent="0.25">
      <c r="A103" s="112"/>
      <c r="B103" s="112"/>
      <c r="C103" s="113"/>
      <c r="F103" s="114"/>
      <c r="G103" s="117"/>
      <c r="H103" s="114"/>
    </row>
    <row r="104" spans="1:8" x14ac:dyDescent="0.25">
      <c r="A104" s="112"/>
      <c r="B104" s="112"/>
      <c r="C104" s="113"/>
      <c r="F104" s="114"/>
      <c r="G104" s="112"/>
      <c r="H104" s="119"/>
    </row>
    <row r="105" spans="1:8" x14ac:dyDescent="0.25">
      <c r="A105" s="112"/>
      <c r="B105" s="112"/>
      <c r="C105" s="113"/>
      <c r="F105" s="114"/>
      <c r="G105" s="117"/>
    </row>
    <row r="106" spans="1:8" x14ac:dyDescent="0.25">
      <c r="A106" s="112"/>
      <c r="B106" s="112"/>
      <c r="C106" s="113"/>
      <c r="F106" s="114"/>
      <c r="G106" s="117"/>
    </row>
    <row r="107" spans="1:8" x14ac:dyDescent="0.25">
      <c r="A107" s="112"/>
      <c r="B107" s="112"/>
      <c r="C107" s="113"/>
      <c r="F107" s="114"/>
      <c r="G107" s="112"/>
    </row>
    <row r="108" spans="1:8" x14ac:dyDescent="0.25">
      <c r="A108" s="112"/>
      <c r="B108" s="112"/>
      <c r="C108" s="113"/>
      <c r="F108" s="114"/>
      <c r="G108" s="117"/>
    </row>
    <row r="109" spans="1:8" x14ac:dyDescent="0.25">
      <c r="A109" s="112"/>
      <c r="B109" s="112"/>
      <c r="C109" s="113"/>
      <c r="F109" s="114"/>
      <c r="G109" s="117"/>
    </row>
    <row r="110" spans="1:8" x14ac:dyDescent="0.25">
      <c r="A110" s="112"/>
      <c r="B110" s="112"/>
      <c r="C110" s="113"/>
      <c r="F110" s="114"/>
      <c r="G110" s="112"/>
    </row>
    <row r="111" spans="1:8" x14ac:dyDescent="0.25">
      <c r="A111" s="112"/>
      <c r="B111" s="112"/>
      <c r="C111" s="113"/>
      <c r="F111" s="114"/>
      <c r="G111" s="117"/>
    </row>
    <row r="112" spans="1:8" x14ac:dyDescent="0.25">
      <c r="A112" s="112"/>
      <c r="B112" s="112"/>
      <c r="C112" s="113"/>
      <c r="F112" s="114"/>
      <c r="G112" s="117"/>
    </row>
    <row r="113" spans="1:7" x14ac:dyDescent="0.25">
      <c r="A113" s="112"/>
      <c r="B113" s="112"/>
      <c r="C113" s="113"/>
      <c r="F113" s="114"/>
      <c r="G113" s="112"/>
    </row>
    <row r="114" spans="1:7" x14ac:dyDescent="0.25">
      <c r="A114" s="112"/>
      <c r="B114" s="112"/>
      <c r="C114" s="113"/>
      <c r="F114" s="114"/>
      <c r="G114" s="117"/>
    </row>
    <row r="115" spans="1:7" x14ac:dyDescent="0.25">
      <c r="A115" s="112"/>
      <c r="B115" s="112"/>
      <c r="C115" s="113"/>
      <c r="F115" s="114"/>
      <c r="G115" s="117"/>
    </row>
    <row r="116" spans="1:7" x14ac:dyDescent="0.25">
      <c r="A116" s="112"/>
      <c r="B116" s="112"/>
      <c r="C116" s="113"/>
      <c r="F116" s="114"/>
      <c r="G116" s="112"/>
    </row>
    <row r="117" spans="1:7" x14ac:dyDescent="0.25">
      <c r="A117" s="112"/>
      <c r="B117" s="112"/>
      <c r="C117" s="113"/>
      <c r="F117" s="114"/>
      <c r="G117" s="117"/>
    </row>
    <row r="118" spans="1:7" x14ac:dyDescent="0.25">
      <c r="A118" s="112"/>
      <c r="B118" s="112"/>
      <c r="C118" s="113"/>
      <c r="F118" s="114"/>
      <c r="G118" s="117"/>
    </row>
    <row r="119" spans="1:7" x14ac:dyDescent="0.25">
      <c r="A119" s="112"/>
      <c r="B119" s="112"/>
      <c r="C119" s="114"/>
      <c r="F119" s="114"/>
      <c r="G119" s="112"/>
    </row>
    <row r="120" spans="1:7" x14ac:dyDescent="0.25">
      <c r="A120" s="112"/>
      <c r="B120" s="112"/>
      <c r="C120" s="113"/>
      <c r="F120" s="114"/>
      <c r="G120" s="117"/>
    </row>
    <row r="121" spans="1:7" x14ac:dyDescent="0.25">
      <c r="A121" s="112"/>
      <c r="B121" s="112"/>
      <c r="C121" s="113"/>
      <c r="F121" s="114"/>
      <c r="G121" s="117"/>
    </row>
    <row r="122" spans="1:7" x14ac:dyDescent="0.25">
      <c r="A122" s="112"/>
      <c r="B122" s="112"/>
      <c r="C122" s="113"/>
      <c r="F122" s="114"/>
      <c r="G122" s="112"/>
    </row>
    <row r="123" spans="1:7" x14ac:dyDescent="0.25">
      <c r="A123" s="112"/>
      <c r="B123" s="112"/>
      <c r="C123" s="113"/>
      <c r="F123" s="114"/>
      <c r="G123" s="117"/>
    </row>
    <row r="124" spans="1:7" x14ac:dyDescent="0.25">
      <c r="A124" s="112"/>
      <c r="B124" s="112"/>
      <c r="C124" s="113"/>
      <c r="F124" s="114"/>
      <c r="G124" s="117"/>
    </row>
    <row r="125" spans="1:7" x14ac:dyDescent="0.25">
      <c r="A125" s="112"/>
      <c r="B125" s="112"/>
      <c r="C125" s="113"/>
      <c r="F125" s="114"/>
      <c r="G125" s="112"/>
    </row>
    <row r="126" spans="1:7" x14ac:dyDescent="0.25">
      <c r="A126" s="112"/>
      <c r="B126" s="112"/>
      <c r="C126" s="113"/>
      <c r="F126" s="114"/>
      <c r="G126" s="117"/>
    </row>
    <row r="127" spans="1:7" x14ac:dyDescent="0.25">
      <c r="A127" s="112"/>
      <c r="B127" s="112"/>
      <c r="C127" s="113"/>
      <c r="F127" s="114"/>
      <c r="G127" s="117"/>
    </row>
    <row r="128" spans="1:7" x14ac:dyDescent="0.25">
      <c r="A128" s="112"/>
      <c r="B128" s="112"/>
      <c r="C128" s="113"/>
      <c r="F128" s="114"/>
      <c r="G128" s="112"/>
    </row>
    <row r="129" spans="1:7" x14ac:dyDescent="0.25">
      <c r="A129" s="112"/>
      <c r="B129" s="112"/>
      <c r="C129" s="113"/>
      <c r="F129" s="114"/>
      <c r="G129" s="117"/>
    </row>
    <row r="130" spans="1:7" x14ac:dyDescent="0.25">
      <c r="A130" s="112"/>
      <c r="B130" s="112"/>
      <c r="C130" s="113"/>
      <c r="F130" s="114"/>
      <c r="G130" s="117"/>
    </row>
    <row r="131" spans="1:7" x14ac:dyDescent="0.25">
      <c r="A131" s="112"/>
      <c r="B131" s="112"/>
      <c r="C131" s="113"/>
      <c r="F131" s="114"/>
      <c r="G131" s="112"/>
    </row>
    <row r="132" spans="1:7" x14ac:dyDescent="0.25">
      <c r="A132" s="112"/>
      <c r="B132" s="112"/>
      <c r="C132" s="113"/>
      <c r="F132" s="114"/>
      <c r="G132" s="117"/>
    </row>
    <row r="133" spans="1:7" x14ac:dyDescent="0.25">
      <c r="A133" s="112"/>
      <c r="B133" s="112"/>
      <c r="C133" s="113"/>
      <c r="F133" s="114"/>
      <c r="G133" s="117"/>
    </row>
    <row r="134" spans="1:7" x14ac:dyDescent="0.25">
      <c r="A134" s="112"/>
      <c r="B134" s="112"/>
      <c r="C134" s="113"/>
      <c r="F134" s="114"/>
      <c r="G134" s="112"/>
    </row>
    <row r="135" spans="1:7" x14ac:dyDescent="0.25">
      <c r="A135" s="112"/>
      <c r="B135" s="112"/>
      <c r="C135" s="113"/>
      <c r="F135" s="114"/>
      <c r="G135" s="117"/>
    </row>
    <row r="136" spans="1:7" x14ac:dyDescent="0.25">
      <c r="A136" s="112"/>
      <c r="B136" s="112"/>
      <c r="C136" s="113"/>
      <c r="F136" s="114"/>
      <c r="G136" s="117"/>
    </row>
    <row r="137" spans="1:7" x14ac:dyDescent="0.25">
      <c r="A137" s="112"/>
      <c r="B137" s="112"/>
      <c r="C137" s="113"/>
      <c r="F137" s="114"/>
      <c r="G137" s="112"/>
    </row>
    <row r="138" spans="1:7" x14ac:dyDescent="0.25">
      <c r="A138" s="112"/>
      <c r="B138" s="112"/>
      <c r="C138" s="113"/>
      <c r="F138" s="114"/>
      <c r="G138" s="117"/>
    </row>
    <row r="139" spans="1:7" x14ac:dyDescent="0.25">
      <c r="A139" s="112"/>
      <c r="B139" s="112"/>
      <c r="C139" s="113"/>
      <c r="F139" s="114"/>
      <c r="G139" s="117"/>
    </row>
    <row r="140" spans="1:7" x14ac:dyDescent="0.25">
      <c r="A140" s="112"/>
      <c r="B140" s="112"/>
      <c r="C140" s="113"/>
      <c r="F140" s="114"/>
      <c r="G140" s="112"/>
    </row>
    <row r="141" spans="1:7" x14ac:dyDescent="0.25">
      <c r="A141" s="112"/>
      <c r="B141" s="112"/>
      <c r="C141" s="113"/>
      <c r="F141" s="114"/>
      <c r="G141" s="117"/>
    </row>
    <row r="142" spans="1:7" x14ac:dyDescent="0.25">
      <c r="A142" s="112"/>
      <c r="B142" s="112"/>
      <c r="C142" s="113"/>
      <c r="F142" s="114"/>
      <c r="G142" s="117"/>
    </row>
    <row r="143" spans="1:7" x14ac:dyDescent="0.25">
      <c r="A143" s="112"/>
      <c r="B143" s="112"/>
      <c r="C143" s="113"/>
      <c r="F143" s="114"/>
      <c r="G143" s="112"/>
    </row>
    <row r="144" spans="1:7" x14ac:dyDescent="0.25">
      <c r="A144" s="112"/>
      <c r="B144" s="112"/>
      <c r="C144" s="113"/>
      <c r="F144" s="114"/>
      <c r="G144" s="117"/>
    </row>
    <row r="145" spans="1:7" x14ac:dyDescent="0.25">
      <c r="A145" s="112"/>
      <c r="B145" s="112"/>
      <c r="C145" s="113"/>
      <c r="F145" s="114"/>
      <c r="G145" s="117"/>
    </row>
    <row r="146" spans="1:7" x14ac:dyDescent="0.25">
      <c r="A146" s="112"/>
      <c r="B146" s="112"/>
      <c r="C146" s="113"/>
      <c r="F146" s="114"/>
      <c r="G146" s="112"/>
    </row>
    <row r="147" spans="1:7" x14ac:dyDescent="0.25">
      <c r="A147" s="112"/>
      <c r="B147" s="112"/>
      <c r="C147" s="113"/>
      <c r="F147" s="114"/>
      <c r="G147" s="117"/>
    </row>
    <row r="148" spans="1:7" x14ac:dyDescent="0.25">
      <c r="A148" s="112"/>
      <c r="B148" s="112"/>
      <c r="C148" s="113"/>
      <c r="F148" s="114"/>
      <c r="G148" s="117"/>
    </row>
    <row r="149" spans="1:7" x14ac:dyDescent="0.25">
      <c r="A149" s="112"/>
      <c r="B149" s="112"/>
      <c r="C149" s="113"/>
      <c r="F149" s="114"/>
      <c r="G149" s="112"/>
    </row>
    <row r="150" spans="1:7" x14ac:dyDescent="0.25">
      <c r="A150" s="112"/>
      <c r="B150" s="112"/>
      <c r="C150" s="113"/>
      <c r="F150" s="114"/>
      <c r="G150" s="117"/>
    </row>
    <row r="151" spans="1:7" x14ac:dyDescent="0.25">
      <c r="A151" s="112"/>
      <c r="B151" s="112"/>
      <c r="C151" s="113"/>
      <c r="F151" s="114"/>
      <c r="G151" s="117"/>
    </row>
    <row r="152" spans="1:7" x14ac:dyDescent="0.25">
      <c r="A152" s="112"/>
      <c r="B152" s="112"/>
      <c r="C152" s="113"/>
      <c r="F152" s="114"/>
      <c r="G152" s="112"/>
    </row>
    <row r="153" spans="1:7" x14ac:dyDescent="0.25">
      <c r="A153" s="112"/>
      <c r="B153" s="112"/>
      <c r="C153" s="113"/>
      <c r="F153" s="114"/>
      <c r="G153" s="117"/>
    </row>
    <row r="154" spans="1:7" x14ac:dyDescent="0.25">
      <c r="A154" s="112"/>
      <c r="B154" s="112"/>
      <c r="C154" s="113"/>
      <c r="F154" s="114"/>
      <c r="G154" s="117"/>
    </row>
    <row r="155" spans="1:7" x14ac:dyDescent="0.25">
      <c r="A155" s="112"/>
      <c r="B155" s="112"/>
      <c r="C155" s="113"/>
      <c r="F155" s="114"/>
      <c r="G155" s="112"/>
    </row>
    <row r="156" spans="1:7" x14ac:dyDescent="0.25">
      <c r="A156" s="112"/>
      <c r="B156" s="112"/>
      <c r="C156" s="113"/>
      <c r="F156" s="114"/>
      <c r="G156" s="117"/>
    </row>
    <row r="157" spans="1:7" x14ac:dyDescent="0.25">
      <c r="A157" s="112"/>
      <c r="B157" s="112"/>
      <c r="C157" s="113"/>
      <c r="F157" s="114"/>
      <c r="G157" s="117"/>
    </row>
    <row r="158" spans="1:7" x14ac:dyDescent="0.25">
      <c r="A158" s="112"/>
      <c r="B158" s="112"/>
      <c r="C158" s="113"/>
      <c r="F158" s="114"/>
      <c r="G158" s="112"/>
    </row>
    <row r="159" spans="1:7" x14ac:dyDescent="0.25">
      <c r="A159" s="112"/>
      <c r="B159" s="112"/>
      <c r="C159" s="113"/>
      <c r="F159" s="114"/>
      <c r="G159" s="117"/>
    </row>
    <row r="160" spans="1:7" x14ac:dyDescent="0.25">
      <c r="A160" s="112"/>
      <c r="B160" s="112"/>
      <c r="C160" s="113"/>
      <c r="F160" s="114"/>
      <c r="G160" s="117"/>
    </row>
    <row r="161" spans="1:7" x14ac:dyDescent="0.25">
      <c r="A161" s="112"/>
      <c r="B161" s="112"/>
      <c r="C161" s="113"/>
      <c r="F161" s="114"/>
      <c r="G161" s="112"/>
    </row>
    <row r="162" spans="1:7" x14ac:dyDescent="0.25">
      <c r="A162" s="112"/>
      <c r="B162" s="112"/>
      <c r="C162" s="113"/>
      <c r="F162" s="114"/>
      <c r="G162" s="117"/>
    </row>
    <row r="163" spans="1:7" x14ac:dyDescent="0.25">
      <c r="A163" s="112"/>
      <c r="B163" s="112"/>
      <c r="C163" s="113"/>
      <c r="F163" s="114"/>
      <c r="G163" s="117"/>
    </row>
    <row r="164" spans="1:7" x14ac:dyDescent="0.25">
      <c r="F164" s="114"/>
      <c r="G164" s="112"/>
    </row>
    <row r="165" spans="1:7" x14ac:dyDescent="0.25">
      <c r="F165" s="114"/>
      <c r="G165" s="117"/>
    </row>
    <row r="166" spans="1:7" x14ac:dyDescent="0.25">
      <c r="F166" s="114"/>
      <c r="G166" s="117"/>
    </row>
    <row r="167" spans="1:7" x14ac:dyDescent="0.25">
      <c r="F167" s="114"/>
      <c r="G167" s="112"/>
    </row>
    <row r="168" spans="1:7" x14ac:dyDescent="0.25">
      <c r="F168" s="114"/>
      <c r="G168" s="117"/>
    </row>
    <row r="169" spans="1:7" x14ac:dyDescent="0.25">
      <c r="F169" s="114"/>
      <c r="G169" s="117"/>
    </row>
    <row r="170" spans="1:7" x14ac:dyDescent="0.25">
      <c r="F170" s="114"/>
      <c r="G170" s="112"/>
    </row>
    <row r="171" spans="1:7" x14ac:dyDescent="0.25">
      <c r="F171" s="114"/>
      <c r="G171" s="117"/>
    </row>
    <row r="172" spans="1:7" x14ac:dyDescent="0.25">
      <c r="F172" s="114"/>
      <c r="G172" s="117"/>
    </row>
    <row r="173" spans="1:7" x14ac:dyDescent="0.25">
      <c r="F173" s="114"/>
      <c r="G173" s="112"/>
    </row>
    <row r="174" spans="1:7" x14ac:dyDescent="0.25">
      <c r="F174" s="114"/>
      <c r="G174" s="117"/>
    </row>
    <row r="175" spans="1:7" x14ac:dyDescent="0.25">
      <c r="F175" s="114"/>
      <c r="G175" s="117"/>
    </row>
    <row r="176" spans="1:7" x14ac:dyDescent="0.25">
      <c r="F176" s="114"/>
      <c r="G176" s="112"/>
    </row>
    <row r="177" spans="6:7" x14ac:dyDescent="0.25">
      <c r="F177" s="114"/>
      <c r="G177" s="117"/>
    </row>
    <row r="178" spans="6:7" x14ac:dyDescent="0.25">
      <c r="F178" s="114"/>
      <c r="G178" s="117"/>
    </row>
    <row r="179" spans="6:7" x14ac:dyDescent="0.25">
      <c r="F179" s="114"/>
      <c r="G179" s="112"/>
    </row>
    <row r="180" spans="6:7" x14ac:dyDescent="0.25">
      <c r="F180" s="114"/>
      <c r="G180" s="117"/>
    </row>
    <row r="181" spans="6:7" x14ac:dyDescent="0.25">
      <c r="F181" s="114"/>
      <c r="G181" s="117"/>
    </row>
    <row r="182" spans="6:7" x14ac:dyDescent="0.25">
      <c r="F182" s="114"/>
      <c r="G182" s="112"/>
    </row>
    <row r="183" spans="6:7" x14ac:dyDescent="0.25">
      <c r="F183" s="119"/>
    </row>
  </sheetData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172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161</v>
      </c>
    </row>
    <row r="6" spans="1:19" x14ac:dyDescent="0.25">
      <c r="A6" s="138">
        <f>B6+273.15</f>
        <v>873.15</v>
      </c>
      <c r="B6" s="139">
        <v>600</v>
      </c>
      <c r="C6" s="140"/>
      <c r="D6" s="153">
        <v>2.4173582975521004E-5</v>
      </c>
    </row>
    <row r="7" spans="1:19" x14ac:dyDescent="0.25">
      <c r="A7" s="138">
        <f t="shared" ref="A7:A12" si="0">B7+273.15</f>
        <v>823.15</v>
      </c>
      <c r="B7" s="139">
        <v>550</v>
      </c>
      <c r="C7" s="140"/>
      <c r="D7" s="153">
        <v>6.6136715446189363E-6</v>
      </c>
      <c r="H7" s="111" t="s">
        <v>18</v>
      </c>
    </row>
    <row r="8" spans="1:19" ht="15.75" x14ac:dyDescent="0.25">
      <c r="A8" s="138">
        <f t="shared" si="0"/>
        <v>773.15</v>
      </c>
      <c r="B8" s="139">
        <v>500</v>
      </c>
      <c r="C8" s="140"/>
      <c r="D8" s="153">
        <v>1.7099999999999999E-6</v>
      </c>
      <c r="G8" s="111">
        <v>1</v>
      </c>
      <c r="H8" s="35" t="s">
        <v>162</v>
      </c>
    </row>
    <row r="9" spans="1:19" ht="15.75" x14ac:dyDescent="0.25">
      <c r="A9" s="138">
        <f t="shared" si="0"/>
        <v>748.15</v>
      </c>
      <c r="B9" s="139">
        <v>475</v>
      </c>
      <c r="C9" s="140"/>
      <c r="D9" s="153">
        <v>8.0090000000000003E-7</v>
      </c>
      <c r="G9" s="111">
        <v>2</v>
      </c>
      <c r="H9" s="35" t="s">
        <v>164</v>
      </c>
    </row>
    <row r="10" spans="1:19" ht="16.5" thickBot="1" x14ac:dyDescent="0.3">
      <c r="A10" s="138">
        <f t="shared" si="0"/>
        <v>723.32730560578659</v>
      </c>
      <c r="B10" s="139">
        <v>450.17730560578661</v>
      </c>
      <c r="C10" s="140"/>
      <c r="D10" s="153">
        <v>4.1699999999999999E-7</v>
      </c>
      <c r="J10" s="2"/>
    </row>
    <row r="11" spans="1:19" ht="19.5" thickBot="1" x14ac:dyDescent="0.3">
      <c r="A11" s="138">
        <f t="shared" si="0"/>
        <v>698.15</v>
      </c>
      <c r="B11" s="139">
        <v>425</v>
      </c>
      <c r="C11" s="140"/>
      <c r="D11" s="153">
        <v>1.6330000000000001E-7</v>
      </c>
      <c r="H11" s="169" t="s">
        <v>184</v>
      </c>
    </row>
    <row r="12" spans="1:19" ht="15.75" thickBot="1" x14ac:dyDescent="0.3">
      <c r="A12" s="141">
        <f t="shared" si="0"/>
        <v>673.15</v>
      </c>
      <c r="B12" s="131">
        <v>400</v>
      </c>
      <c r="C12" s="130"/>
      <c r="D12" s="154">
        <v>6.3815999999999994E-8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2"/>
      <c r="D13" s="11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75.75" thickBot="1" x14ac:dyDescent="0.3">
      <c r="A15" s="136" t="s">
        <v>16</v>
      </c>
      <c r="B15" s="115" t="s">
        <v>14</v>
      </c>
      <c r="C15" s="142" t="s">
        <v>37</v>
      </c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773.15</v>
      </c>
      <c r="B16" s="139">
        <v>500</v>
      </c>
      <c r="C16" s="140">
        <f>'PCO,Ma (ACS Appl)'!E36</f>
        <v>338.61545485206557</v>
      </c>
      <c r="D16" s="157">
        <f>D8/C16</f>
        <v>5.0499762355710117E-9</v>
      </c>
    </row>
    <row r="17" spans="1:12" x14ac:dyDescent="0.25">
      <c r="A17" s="138">
        <f t="shared" ref="A17:A20" si="1">B17+273.15</f>
        <v>748.15</v>
      </c>
      <c r="B17" s="139">
        <v>475</v>
      </c>
      <c r="C17" s="140">
        <f>'PCO,Ma (ACS Appl)'!E39</f>
        <v>198.5234093703701</v>
      </c>
      <c r="D17" s="157">
        <f>D9/C17</f>
        <v>4.0342849366737479E-9</v>
      </c>
    </row>
    <row r="18" spans="1:12" x14ac:dyDescent="0.25">
      <c r="A18" s="138">
        <f t="shared" si="1"/>
        <v>723.32730560578659</v>
      </c>
      <c r="B18" s="139">
        <v>450.17730560578661</v>
      </c>
      <c r="C18" s="140">
        <f>'PCO,Ma (ACS Appl)'!E40</f>
        <v>156.55494341643731</v>
      </c>
      <c r="D18" s="157">
        <f>D10/C18</f>
        <v>2.6636016142318603E-9</v>
      </c>
    </row>
    <row r="19" spans="1:12" x14ac:dyDescent="0.25">
      <c r="A19" s="138">
        <f t="shared" si="1"/>
        <v>698.15</v>
      </c>
      <c r="B19" s="139">
        <v>425</v>
      </c>
      <c r="C19" s="140">
        <f>'PCO,Ma (ACS Appl)'!E41</f>
        <v>123.45874164592085</v>
      </c>
      <c r="D19" s="157">
        <f>D11/C19</f>
        <v>1.3227090914983057E-9</v>
      </c>
    </row>
    <row r="20" spans="1:12" ht="15.75" thickBot="1" x14ac:dyDescent="0.3">
      <c r="A20" s="141">
        <f t="shared" si="1"/>
        <v>673.15</v>
      </c>
      <c r="B20" s="131">
        <v>400</v>
      </c>
      <c r="C20" s="130">
        <f>'PCO,Ma (ACS Appl)'!E42</f>
        <v>97.359179826409175</v>
      </c>
      <c r="D20" s="158">
        <f>D12/C20</f>
        <v>6.5546977813271986E-10</v>
      </c>
    </row>
    <row r="21" spans="1:12" ht="15.75" thickBot="1" x14ac:dyDescent="0.3">
      <c r="A21" s="112"/>
      <c r="D21" s="114"/>
    </row>
    <row r="22" spans="1:12" ht="15.75" x14ac:dyDescent="0.25">
      <c r="A22" s="133" t="s">
        <v>19</v>
      </c>
      <c r="B22" s="134"/>
      <c r="C22" s="134"/>
      <c r="D22" s="134"/>
      <c r="E22" s="135"/>
      <c r="G22" s="119"/>
      <c r="H22" s="119"/>
    </row>
    <row r="23" spans="1:12" ht="75" x14ac:dyDescent="0.25">
      <c r="A23" s="136" t="s">
        <v>16</v>
      </c>
      <c r="B23" s="115" t="s">
        <v>14</v>
      </c>
      <c r="C23" s="142" t="s">
        <v>37</v>
      </c>
      <c r="D23" s="142" t="s">
        <v>163</v>
      </c>
      <c r="E23" s="143" t="s">
        <v>35</v>
      </c>
      <c r="G23" s="119"/>
      <c r="H23" s="114"/>
    </row>
    <row r="24" spans="1:12" x14ac:dyDescent="0.25">
      <c r="A24" s="138">
        <f t="shared" ref="A24:A28" si="2">B24+273.15</f>
        <v>773.15</v>
      </c>
      <c r="B24" s="139">
        <v>500</v>
      </c>
      <c r="C24" s="140">
        <f>C16</f>
        <v>338.61545485206557</v>
      </c>
      <c r="D24" s="140">
        <f>'PCO,Chen (Electroceram)'!C50</f>
        <v>8.9095109483913817E-2</v>
      </c>
      <c r="E24" s="157">
        <f>($C$2*$A$2*A24*C24)/(4*($E$2^2)*D24*D8)</f>
        <v>383.49333027650079</v>
      </c>
      <c r="G24" s="119"/>
      <c r="H24" s="114"/>
      <c r="K24" s="118"/>
      <c r="L24" s="118"/>
    </row>
    <row r="25" spans="1:12" x14ac:dyDescent="0.25">
      <c r="A25" s="138">
        <f t="shared" si="2"/>
        <v>748.15</v>
      </c>
      <c r="B25" s="139">
        <v>475</v>
      </c>
      <c r="C25" s="140">
        <f t="shared" ref="C25:C28" si="3">C17</f>
        <v>198.5234093703701</v>
      </c>
      <c r="D25" s="140">
        <f>'PCO,Chen (Electroceram)'!C51</f>
        <v>8.9930740547406005E-2</v>
      </c>
      <c r="E25" s="157">
        <f>($C$2*$A$2*A25*C25)/(4*($E$2^2)*D25*D9)</f>
        <v>460.20485610065617</v>
      </c>
      <c r="G25" s="119"/>
      <c r="H25" s="114"/>
      <c r="J25" s="113"/>
      <c r="K25" s="113"/>
      <c r="L25" s="113"/>
    </row>
    <row r="26" spans="1:12" x14ac:dyDescent="0.25">
      <c r="A26" s="138">
        <f t="shared" si="2"/>
        <v>723.32730560578659</v>
      </c>
      <c r="B26" s="139">
        <v>450.17730560578661</v>
      </c>
      <c r="C26" s="140">
        <f t="shared" si="3"/>
        <v>156.55494341643731</v>
      </c>
      <c r="D26" s="140">
        <f>'PCO,Chen (Electroceram)'!C52</f>
        <v>9.0820048425526559E-2</v>
      </c>
      <c r="E26" s="157">
        <f>($C$2*$A$2*A26*C26)/(4*($E$2^2)*D26*D10)</f>
        <v>667.29998731242222</v>
      </c>
      <c r="G26" s="119"/>
      <c r="H26" s="114"/>
      <c r="J26" s="113"/>
      <c r="K26" s="113"/>
      <c r="L26" s="113"/>
    </row>
    <row r="27" spans="1:12" x14ac:dyDescent="0.25">
      <c r="A27" s="138">
        <f t="shared" si="2"/>
        <v>698.15</v>
      </c>
      <c r="B27" s="139">
        <v>425</v>
      </c>
      <c r="C27" s="140">
        <f t="shared" si="3"/>
        <v>123.45874164592085</v>
      </c>
      <c r="D27" s="140">
        <f>'PCO,Chen (Electroceram)'!C53</f>
        <v>9.176976537753366E-2</v>
      </c>
      <c r="E27" s="157">
        <f>($C$2*$A$2*A27*C27)/(4*($E$2^2)*D27*D11)</f>
        <v>1283.5773279535151</v>
      </c>
      <c r="G27" s="119"/>
      <c r="H27" s="114"/>
      <c r="J27" s="113"/>
      <c r="K27" s="113"/>
      <c r="L27" s="113"/>
    </row>
    <row r="28" spans="1:12" ht="15.75" thickBot="1" x14ac:dyDescent="0.3">
      <c r="A28" s="141">
        <f t="shared" si="2"/>
        <v>673.15</v>
      </c>
      <c r="B28" s="131">
        <v>400</v>
      </c>
      <c r="C28" s="130">
        <f t="shared" si="3"/>
        <v>97.359179826409175</v>
      </c>
      <c r="D28" s="130">
        <f>'PCO,Chen (Electroceram)'!C54</f>
        <v>9.2787930434675661E-2</v>
      </c>
      <c r="E28" s="158">
        <f>($C$2*$A$2*A28*C28)/(4*($E$2^2)*D28*D12)</f>
        <v>2470.0454504737086</v>
      </c>
      <c r="G28" s="119"/>
      <c r="H28" s="114"/>
      <c r="J28" s="113"/>
      <c r="K28" s="113"/>
      <c r="L28" s="113"/>
    </row>
    <row r="29" spans="1:12" x14ac:dyDescent="0.25">
      <c r="D29" s="113"/>
      <c r="G29" s="119"/>
      <c r="H29" s="114"/>
      <c r="J29" s="113"/>
      <c r="K29" s="113"/>
      <c r="L29" s="113"/>
    </row>
    <row r="30" spans="1:12" x14ac:dyDescent="0.25">
      <c r="G30" s="119"/>
      <c r="H30" s="114"/>
      <c r="J30" s="113"/>
      <c r="K30" s="113"/>
      <c r="L30" s="113"/>
    </row>
    <row r="31" spans="1:12" x14ac:dyDescent="0.25">
      <c r="G31" s="119"/>
      <c r="H31" s="114"/>
      <c r="J31" s="113"/>
      <c r="K31" s="113"/>
      <c r="L31" s="113"/>
    </row>
    <row r="32" spans="1:12" x14ac:dyDescent="0.25">
      <c r="A32" s="118"/>
      <c r="G32" s="119"/>
      <c r="H32" s="114"/>
    </row>
    <row r="33" spans="1:10" x14ac:dyDescent="0.25">
      <c r="D33" s="118"/>
      <c r="F33" s="118"/>
      <c r="I33" s="118"/>
      <c r="J33" s="118"/>
    </row>
    <row r="34" spans="1:10" x14ac:dyDescent="0.25">
      <c r="A34" s="112"/>
      <c r="B34" s="112"/>
      <c r="C34" s="113"/>
      <c r="D34" s="113"/>
      <c r="E34" s="114"/>
      <c r="F34" s="113"/>
      <c r="G34" s="112"/>
      <c r="H34" s="112"/>
      <c r="I34" s="113"/>
      <c r="J34" s="114"/>
    </row>
    <row r="35" spans="1:10" x14ac:dyDescent="0.25">
      <c r="A35" s="112"/>
      <c r="B35" s="112"/>
      <c r="C35" s="113"/>
      <c r="D35" s="113"/>
      <c r="E35" s="114"/>
      <c r="F35" s="113"/>
      <c r="G35" s="112"/>
      <c r="H35" s="112"/>
      <c r="I35" s="113"/>
      <c r="J35" s="114"/>
    </row>
    <row r="36" spans="1:10" x14ac:dyDescent="0.25">
      <c r="A36" s="112"/>
      <c r="B36" s="112"/>
      <c r="C36" s="113"/>
      <c r="D36" s="113"/>
      <c r="E36" s="114"/>
      <c r="F36" s="113"/>
      <c r="G36" s="112"/>
      <c r="H36" s="112"/>
      <c r="I36" s="113"/>
      <c r="J36" s="114"/>
    </row>
    <row r="37" spans="1:10" x14ac:dyDescent="0.25">
      <c r="A37" s="112"/>
      <c r="B37" s="112"/>
      <c r="C37" s="113"/>
      <c r="D37" s="113"/>
      <c r="E37" s="114"/>
      <c r="F37" s="113"/>
      <c r="G37" s="112"/>
      <c r="H37" s="112"/>
      <c r="I37" s="113"/>
      <c r="J37" s="114"/>
    </row>
    <row r="38" spans="1:10" x14ac:dyDescent="0.25">
      <c r="A38" s="112"/>
      <c r="B38" s="112"/>
      <c r="C38" s="113"/>
      <c r="D38" s="113"/>
      <c r="E38" s="114"/>
      <c r="F38" s="113"/>
      <c r="G38" s="112"/>
      <c r="H38" s="112"/>
      <c r="I38" s="113"/>
      <c r="J38" s="114"/>
    </row>
    <row r="39" spans="1:10" x14ac:dyDescent="0.25">
      <c r="A39" s="112"/>
      <c r="B39" s="112"/>
      <c r="C39" s="113"/>
      <c r="D39" s="113"/>
      <c r="E39" s="114"/>
      <c r="F39" s="113"/>
      <c r="G39" s="112"/>
      <c r="H39" s="112"/>
      <c r="I39" s="113"/>
      <c r="J39" s="114"/>
    </row>
    <row r="40" spans="1:10" x14ac:dyDescent="0.25">
      <c r="A40" s="112"/>
      <c r="B40" s="112"/>
      <c r="C40" s="113"/>
      <c r="D40" s="113"/>
      <c r="E40" s="114"/>
      <c r="F40" s="113"/>
      <c r="G40" s="112"/>
      <c r="H40" s="112"/>
      <c r="I40" s="113"/>
      <c r="J40" s="114"/>
    </row>
    <row r="41" spans="1:10" x14ac:dyDescent="0.25">
      <c r="A41" s="112"/>
      <c r="B41" s="112"/>
      <c r="C41" s="113"/>
      <c r="D41" s="113"/>
      <c r="E41" s="114"/>
      <c r="F41" s="113"/>
      <c r="G41" s="112"/>
      <c r="H41" s="112"/>
      <c r="I41" s="113"/>
      <c r="J41" s="114"/>
    </row>
    <row r="42" spans="1:10" x14ac:dyDescent="0.25">
      <c r="A42" s="112"/>
      <c r="B42" s="112"/>
      <c r="C42" s="113"/>
      <c r="D42" s="113"/>
      <c r="E42" s="114"/>
      <c r="F42" s="113"/>
      <c r="G42" s="112"/>
      <c r="H42" s="112"/>
      <c r="I42" s="113"/>
      <c r="J42" s="114"/>
    </row>
    <row r="43" spans="1:10" x14ac:dyDescent="0.25">
      <c r="A43" s="112"/>
      <c r="B43" s="112"/>
      <c r="C43" s="113"/>
      <c r="D43" s="113"/>
      <c r="E43" s="114"/>
      <c r="F43" s="113"/>
      <c r="G43" s="112"/>
      <c r="H43" s="112"/>
      <c r="I43" s="113"/>
      <c r="J43" s="114"/>
    </row>
    <row r="44" spans="1:10" x14ac:dyDescent="0.25">
      <c r="A44" s="112"/>
      <c r="B44" s="112"/>
      <c r="C44" s="113"/>
      <c r="D44" s="113"/>
      <c r="E44" s="114"/>
      <c r="F44" s="113"/>
      <c r="G44" s="112"/>
      <c r="H44" s="112"/>
      <c r="I44" s="113"/>
      <c r="J44" s="114"/>
    </row>
    <row r="45" spans="1:10" x14ac:dyDescent="0.25">
      <c r="A45" s="112"/>
      <c r="B45" s="112"/>
      <c r="C45" s="113"/>
      <c r="D45" s="113"/>
      <c r="E45" s="114"/>
      <c r="H45" s="114"/>
    </row>
    <row r="46" spans="1:10" x14ac:dyDescent="0.25">
      <c r="A46" s="112"/>
      <c r="B46" s="112"/>
      <c r="C46" s="113"/>
      <c r="D46" s="113"/>
      <c r="E46" s="114"/>
      <c r="H46" s="114"/>
    </row>
    <row r="47" spans="1:10" x14ac:dyDescent="0.25">
      <c r="A47" s="112"/>
      <c r="B47" s="112"/>
      <c r="C47" s="113"/>
      <c r="E47" s="113"/>
      <c r="H47" s="114"/>
    </row>
    <row r="48" spans="1:10" x14ac:dyDescent="0.25">
      <c r="A48" s="112"/>
      <c r="B48" s="112"/>
      <c r="C48" s="113"/>
      <c r="E48" s="113"/>
      <c r="H48" s="114"/>
    </row>
    <row r="49" spans="1:9" x14ac:dyDescent="0.25">
      <c r="A49" s="119"/>
      <c r="B49" s="119"/>
      <c r="C49" s="121"/>
      <c r="D49" s="119"/>
      <c r="E49" s="113"/>
      <c r="I49" s="118"/>
    </row>
    <row r="50" spans="1:9" x14ac:dyDescent="0.25">
      <c r="A50" s="112"/>
      <c r="B50" s="112"/>
      <c r="C50" s="113"/>
      <c r="D50" s="113"/>
      <c r="F50" s="112"/>
      <c r="G50" s="112"/>
      <c r="H50" s="124"/>
      <c r="I50" s="125"/>
    </row>
    <row r="51" spans="1:9" x14ac:dyDescent="0.25">
      <c r="A51" s="112"/>
      <c r="B51" s="112"/>
      <c r="C51" s="113"/>
      <c r="D51" s="113"/>
      <c r="F51" s="112"/>
      <c r="G51" s="112"/>
      <c r="H51" s="124"/>
      <c r="I51" s="125"/>
    </row>
    <row r="52" spans="1:9" x14ac:dyDescent="0.25">
      <c r="A52" s="112"/>
      <c r="B52" s="112"/>
      <c r="C52" s="113"/>
      <c r="D52" s="113"/>
      <c r="F52" s="112"/>
      <c r="G52" s="112"/>
      <c r="H52" s="124"/>
      <c r="I52" s="125"/>
    </row>
    <row r="53" spans="1:9" x14ac:dyDescent="0.25">
      <c r="A53" s="112"/>
      <c r="B53" s="112"/>
      <c r="C53" s="113"/>
      <c r="D53" s="113"/>
      <c r="F53" s="112"/>
      <c r="G53" s="112"/>
      <c r="H53" s="124"/>
      <c r="I53" s="125"/>
    </row>
    <row r="54" spans="1:9" x14ac:dyDescent="0.25">
      <c r="A54" s="112"/>
      <c r="B54" s="112"/>
      <c r="C54" s="113"/>
      <c r="D54" s="113"/>
      <c r="F54" s="112"/>
      <c r="G54" s="112"/>
      <c r="H54" s="124"/>
      <c r="I54" s="125"/>
    </row>
    <row r="55" spans="1:9" x14ac:dyDescent="0.25">
      <c r="A55" s="112"/>
      <c r="B55" s="112"/>
      <c r="C55" s="113"/>
      <c r="D55" s="113"/>
      <c r="F55" s="112"/>
      <c r="G55" s="112"/>
      <c r="H55" s="124"/>
      <c r="I55" s="125"/>
    </row>
    <row r="56" spans="1:9" x14ac:dyDescent="0.25">
      <c r="A56" s="112"/>
      <c r="B56" s="112"/>
      <c r="C56" s="113"/>
      <c r="D56" s="113"/>
      <c r="F56" s="112"/>
      <c r="G56" s="112"/>
      <c r="H56" s="124"/>
      <c r="I56" s="125"/>
    </row>
    <row r="57" spans="1:9" x14ac:dyDescent="0.25">
      <c r="A57" s="112"/>
      <c r="B57" s="112"/>
      <c r="C57" s="113"/>
      <c r="D57" s="113"/>
      <c r="F57" s="112"/>
      <c r="G57" s="112"/>
      <c r="H57" s="124"/>
      <c r="I57" s="125"/>
    </row>
    <row r="58" spans="1:9" x14ac:dyDescent="0.25">
      <c r="A58" s="112"/>
      <c r="B58" s="112"/>
      <c r="C58" s="113"/>
      <c r="D58" s="113"/>
      <c r="F58" s="112"/>
      <c r="G58" s="112"/>
      <c r="H58" s="124"/>
      <c r="I58" s="125"/>
    </row>
    <row r="59" spans="1:9" x14ac:dyDescent="0.25">
      <c r="A59" s="112"/>
      <c r="B59" s="112"/>
      <c r="C59" s="113"/>
      <c r="D59" s="113"/>
      <c r="F59" s="112"/>
      <c r="G59" s="112"/>
      <c r="H59" s="124"/>
      <c r="I59" s="125"/>
    </row>
    <row r="60" spans="1:9" x14ac:dyDescent="0.25">
      <c r="A60" s="112"/>
      <c r="B60" s="112"/>
      <c r="C60" s="113"/>
      <c r="D60" s="113"/>
      <c r="F60" s="112"/>
      <c r="G60" s="112"/>
      <c r="H60" s="124"/>
      <c r="I60" s="125"/>
    </row>
    <row r="61" spans="1:9" x14ac:dyDescent="0.25">
      <c r="A61" s="112"/>
      <c r="B61" s="112"/>
      <c r="C61" s="113"/>
      <c r="D61" s="113"/>
      <c r="F61" s="112"/>
      <c r="G61" s="112"/>
      <c r="H61" s="124"/>
      <c r="I61" s="125"/>
    </row>
    <row r="62" spans="1:9" x14ac:dyDescent="0.25">
      <c r="A62" s="112"/>
      <c r="B62" s="112"/>
      <c r="C62" s="113"/>
      <c r="D62" s="113"/>
      <c r="F62" s="112"/>
      <c r="G62" s="112"/>
      <c r="H62" s="124"/>
      <c r="I62" s="125"/>
    </row>
    <row r="63" spans="1:9" x14ac:dyDescent="0.25">
      <c r="A63" s="112"/>
      <c r="B63" s="112"/>
      <c r="C63" s="113"/>
      <c r="D63" s="113"/>
      <c r="F63" s="112"/>
      <c r="G63" s="112"/>
      <c r="H63" s="124"/>
      <c r="I63" s="125"/>
    </row>
    <row r="64" spans="1:9" x14ac:dyDescent="0.25">
      <c r="A64" s="112"/>
      <c r="B64" s="112"/>
      <c r="C64" s="113"/>
      <c r="D64" s="113"/>
      <c r="F64" s="112"/>
      <c r="G64" s="112"/>
      <c r="H64" s="124"/>
      <c r="I64" s="125"/>
    </row>
    <row r="65" spans="1:9" x14ac:dyDescent="0.25">
      <c r="A65" s="112"/>
      <c r="B65" s="112"/>
      <c r="C65" s="113"/>
      <c r="D65" s="113"/>
      <c r="F65" s="112"/>
      <c r="G65" s="112"/>
      <c r="H65" s="124"/>
      <c r="I65" s="125"/>
    </row>
    <row r="66" spans="1:9" x14ac:dyDescent="0.25">
      <c r="A66" s="112"/>
      <c r="B66" s="112"/>
      <c r="C66" s="113"/>
      <c r="D66" s="113"/>
      <c r="F66" s="112"/>
      <c r="G66" s="112"/>
      <c r="H66" s="124"/>
      <c r="I66" s="125"/>
    </row>
    <row r="67" spans="1:9" x14ac:dyDescent="0.25">
      <c r="A67" s="112"/>
      <c r="B67" s="112"/>
      <c r="C67" s="113"/>
      <c r="D67" s="113"/>
      <c r="F67" s="112"/>
      <c r="G67" s="112"/>
      <c r="H67" s="124"/>
      <c r="I67" s="125"/>
    </row>
    <row r="68" spans="1:9" x14ac:dyDescent="0.25">
      <c r="A68" s="112"/>
      <c r="B68" s="112"/>
      <c r="C68" s="113"/>
      <c r="D68" s="113"/>
      <c r="F68" s="112"/>
      <c r="G68" s="112"/>
      <c r="H68" s="124"/>
      <c r="I68" s="125"/>
    </row>
    <row r="69" spans="1:9" x14ac:dyDescent="0.25">
      <c r="A69" s="112"/>
      <c r="B69" s="112"/>
      <c r="C69" s="113"/>
      <c r="D69" s="113"/>
      <c r="F69" s="112"/>
      <c r="G69" s="112"/>
      <c r="H69" s="124"/>
      <c r="I69" s="125"/>
    </row>
    <row r="70" spans="1:9" x14ac:dyDescent="0.25">
      <c r="A70" s="112"/>
      <c r="B70" s="112"/>
      <c r="C70" s="113"/>
      <c r="D70" s="113"/>
      <c r="F70" s="112"/>
      <c r="G70" s="112"/>
      <c r="H70" s="124"/>
      <c r="I70" s="125"/>
    </row>
    <row r="71" spans="1:9" x14ac:dyDescent="0.25">
      <c r="A71" s="112"/>
      <c r="B71" s="112"/>
      <c r="C71" s="113"/>
      <c r="D71" s="113"/>
      <c r="F71" s="112"/>
      <c r="G71" s="112"/>
      <c r="H71" s="124"/>
      <c r="I71" s="125"/>
    </row>
    <row r="72" spans="1:9" x14ac:dyDescent="0.25">
      <c r="A72" s="112"/>
      <c r="B72" s="112"/>
      <c r="C72" s="113"/>
      <c r="D72" s="113"/>
      <c r="F72" s="112"/>
      <c r="G72" s="112"/>
      <c r="H72" s="124"/>
      <c r="I72" s="125"/>
    </row>
    <row r="73" spans="1:9" x14ac:dyDescent="0.25">
      <c r="A73" s="112"/>
      <c r="B73" s="112"/>
      <c r="C73" s="113"/>
      <c r="D73" s="113"/>
      <c r="F73" s="112"/>
      <c r="G73" s="112"/>
      <c r="H73" s="124"/>
      <c r="I73" s="125"/>
    </row>
    <row r="74" spans="1:9" x14ac:dyDescent="0.25">
      <c r="A74" s="112"/>
      <c r="B74" s="112"/>
      <c r="C74" s="113"/>
      <c r="D74" s="113"/>
      <c r="F74" s="112"/>
      <c r="G74" s="112"/>
      <c r="H74" s="124"/>
      <c r="I74" s="125"/>
    </row>
    <row r="75" spans="1:9" x14ac:dyDescent="0.25">
      <c r="A75" s="112"/>
      <c r="B75" s="112"/>
      <c r="C75" s="113"/>
      <c r="D75" s="113"/>
      <c r="F75" s="112"/>
      <c r="G75" s="112"/>
      <c r="H75" s="124"/>
      <c r="I75" s="125"/>
    </row>
    <row r="76" spans="1:9" x14ac:dyDescent="0.25">
      <c r="A76" s="112"/>
      <c r="B76" s="112"/>
      <c r="C76" s="113"/>
      <c r="D76" s="113"/>
      <c r="F76" s="112"/>
      <c r="G76" s="112"/>
      <c r="H76" s="124"/>
      <c r="I76" s="125"/>
    </row>
    <row r="77" spans="1:9" x14ac:dyDescent="0.25">
      <c r="A77" s="112"/>
      <c r="B77" s="112"/>
      <c r="C77" s="113"/>
      <c r="D77" s="113"/>
      <c r="F77" s="112"/>
      <c r="G77" s="112"/>
      <c r="H77" s="124"/>
      <c r="I77" s="125"/>
    </row>
    <row r="78" spans="1:9" x14ac:dyDescent="0.25">
      <c r="A78" s="112"/>
      <c r="B78" s="112"/>
      <c r="C78" s="113"/>
      <c r="D78" s="113"/>
      <c r="F78" s="112"/>
      <c r="G78" s="112"/>
      <c r="H78" s="124"/>
      <c r="I78" s="125"/>
    </row>
    <row r="79" spans="1:9" x14ac:dyDescent="0.25">
      <c r="A79" s="112"/>
      <c r="B79" s="112"/>
      <c r="C79" s="113"/>
      <c r="D79" s="113"/>
      <c r="F79" s="112"/>
      <c r="G79" s="112"/>
      <c r="H79" s="124"/>
      <c r="I79" s="125"/>
    </row>
    <row r="80" spans="1:9" x14ac:dyDescent="0.25">
      <c r="A80" s="112"/>
      <c r="B80" s="112"/>
      <c r="C80" s="113"/>
      <c r="D80" s="113"/>
      <c r="F80" s="112"/>
      <c r="G80" s="112"/>
      <c r="H80" s="124"/>
      <c r="I80" s="125"/>
    </row>
    <row r="81" spans="1:9" x14ac:dyDescent="0.25">
      <c r="A81" s="112"/>
      <c r="B81" s="112"/>
      <c r="C81" s="113"/>
      <c r="D81" s="113"/>
      <c r="F81" s="112"/>
      <c r="G81" s="112"/>
      <c r="H81" s="124"/>
      <c r="I81" s="125"/>
    </row>
    <row r="82" spans="1:9" x14ac:dyDescent="0.25">
      <c r="A82" s="112"/>
      <c r="B82" s="112"/>
      <c r="C82" s="113"/>
      <c r="D82" s="113"/>
      <c r="F82" s="112"/>
      <c r="G82" s="112"/>
      <c r="H82" s="124"/>
      <c r="I82" s="125"/>
    </row>
    <row r="83" spans="1:9" x14ac:dyDescent="0.25">
      <c r="A83" s="112"/>
      <c r="B83" s="112"/>
      <c r="C83" s="113"/>
      <c r="D83" s="113"/>
      <c r="F83" s="112"/>
      <c r="G83" s="112"/>
      <c r="H83" s="124"/>
      <c r="I83" s="125"/>
    </row>
    <row r="84" spans="1:9" x14ac:dyDescent="0.25">
      <c r="A84" s="112"/>
      <c r="B84" s="112"/>
      <c r="C84" s="113"/>
      <c r="D84" s="113"/>
      <c r="F84" s="112"/>
      <c r="G84" s="112"/>
      <c r="H84" s="124"/>
      <c r="I84" s="125"/>
    </row>
    <row r="85" spans="1:9" x14ac:dyDescent="0.25">
      <c r="A85" s="112"/>
      <c r="B85" s="112"/>
      <c r="C85" s="113"/>
      <c r="D85" s="113"/>
      <c r="F85" s="112"/>
      <c r="G85" s="112"/>
      <c r="H85" s="124"/>
      <c r="I85" s="125"/>
    </row>
    <row r="86" spans="1:9" x14ac:dyDescent="0.25">
      <c r="A86" s="112"/>
      <c r="B86" s="112"/>
      <c r="C86" s="113"/>
      <c r="D86" s="113"/>
      <c r="F86" s="112"/>
      <c r="G86" s="112"/>
      <c r="H86" s="124"/>
      <c r="I86" s="125"/>
    </row>
    <row r="87" spans="1:9" x14ac:dyDescent="0.25">
      <c r="A87" s="112"/>
      <c r="B87" s="112"/>
      <c r="C87" s="113"/>
      <c r="D87" s="113"/>
      <c r="F87" s="112"/>
      <c r="G87" s="112"/>
      <c r="H87" s="124"/>
      <c r="I87" s="125"/>
    </row>
    <row r="88" spans="1:9" x14ac:dyDescent="0.25">
      <c r="A88" s="112"/>
      <c r="B88" s="112"/>
      <c r="C88" s="113"/>
      <c r="D88" s="113"/>
      <c r="F88" s="112"/>
      <c r="G88" s="112"/>
      <c r="H88" s="124"/>
      <c r="I88" s="125"/>
    </row>
    <row r="89" spans="1:9" x14ac:dyDescent="0.25">
      <c r="A89" s="112"/>
      <c r="B89" s="112"/>
      <c r="C89" s="113"/>
      <c r="D89" s="113"/>
      <c r="F89" s="112"/>
      <c r="G89" s="112"/>
      <c r="H89" s="124"/>
      <c r="I89" s="125"/>
    </row>
    <row r="90" spans="1:9" x14ac:dyDescent="0.25">
      <c r="A90" s="112"/>
      <c r="B90" s="112"/>
      <c r="C90" s="113"/>
      <c r="D90" s="113"/>
      <c r="F90" s="112"/>
      <c r="G90" s="112"/>
      <c r="H90" s="124"/>
      <c r="I90" s="125"/>
    </row>
    <row r="91" spans="1:9" x14ac:dyDescent="0.25">
      <c r="A91" s="112"/>
      <c r="B91" s="112"/>
      <c r="C91" s="113"/>
      <c r="D91" s="113"/>
      <c r="F91" s="112"/>
      <c r="G91" s="112"/>
      <c r="H91" s="124"/>
      <c r="I91" s="125"/>
    </row>
    <row r="92" spans="1:9" x14ac:dyDescent="0.25">
      <c r="A92" s="112"/>
      <c r="B92" s="112"/>
      <c r="C92" s="113"/>
      <c r="D92" s="113"/>
      <c r="F92" s="112"/>
      <c r="G92" s="112"/>
      <c r="H92" s="124"/>
      <c r="I92" s="125"/>
    </row>
    <row r="93" spans="1:9" x14ac:dyDescent="0.25">
      <c r="A93" s="112"/>
      <c r="B93" s="112"/>
      <c r="C93" s="113"/>
      <c r="D93" s="113"/>
      <c r="F93" s="112"/>
      <c r="G93" s="112"/>
      <c r="H93" s="124"/>
      <c r="I93" s="125"/>
    </row>
    <row r="94" spans="1:9" x14ac:dyDescent="0.25">
      <c r="A94" s="112"/>
      <c r="B94" s="112"/>
      <c r="C94" s="113"/>
      <c r="D94" s="113"/>
      <c r="F94" s="112"/>
      <c r="G94" s="112"/>
      <c r="H94" s="124"/>
      <c r="I94" s="125"/>
    </row>
    <row r="95" spans="1:9" x14ac:dyDescent="0.25">
      <c r="A95" s="112"/>
      <c r="B95" s="112"/>
      <c r="C95" s="113"/>
      <c r="D95" s="113"/>
      <c r="F95" s="112"/>
      <c r="G95" s="112"/>
      <c r="H95" s="124"/>
      <c r="I95" s="125"/>
    </row>
    <row r="96" spans="1:9" x14ac:dyDescent="0.25">
      <c r="A96" s="112"/>
      <c r="B96" s="112"/>
      <c r="C96" s="113"/>
      <c r="D96" s="113"/>
      <c r="F96" s="112"/>
      <c r="G96" s="112"/>
      <c r="H96" s="124"/>
      <c r="I96" s="125"/>
    </row>
    <row r="97" spans="1:9" x14ac:dyDescent="0.25">
      <c r="A97" s="112"/>
      <c r="B97" s="112"/>
      <c r="C97" s="113"/>
      <c r="D97" s="113"/>
      <c r="F97" s="112"/>
      <c r="G97" s="112"/>
      <c r="H97" s="124"/>
      <c r="I97" s="125"/>
    </row>
    <row r="98" spans="1:9" x14ac:dyDescent="0.25">
      <c r="A98" s="112"/>
      <c r="B98" s="112"/>
      <c r="C98" s="113"/>
      <c r="D98" s="113"/>
      <c r="F98" s="112"/>
      <c r="G98" s="112"/>
      <c r="H98" s="124"/>
      <c r="I98" s="125"/>
    </row>
    <row r="99" spans="1:9" x14ac:dyDescent="0.25">
      <c r="A99" s="112"/>
      <c r="B99" s="112"/>
      <c r="C99" s="113"/>
      <c r="D99" s="113"/>
      <c r="F99" s="112"/>
      <c r="G99" s="112"/>
      <c r="H99" s="124"/>
      <c r="I99" s="125"/>
    </row>
    <row r="100" spans="1:9" x14ac:dyDescent="0.25">
      <c r="A100" s="112"/>
      <c r="B100" s="112"/>
      <c r="C100" s="113"/>
      <c r="D100" s="113"/>
      <c r="F100" s="112"/>
      <c r="G100" s="112"/>
      <c r="H100" s="124"/>
      <c r="I100" s="125"/>
    </row>
    <row r="101" spans="1:9" x14ac:dyDescent="0.25">
      <c r="A101" s="112"/>
      <c r="B101" s="112"/>
      <c r="C101" s="113"/>
      <c r="D101" s="113"/>
      <c r="F101" s="112"/>
      <c r="G101" s="112"/>
      <c r="H101" s="124"/>
      <c r="I101" s="125"/>
    </row>
    <row r="102" spans="1:9" x14ac:dyDescent="0.25">
      <c r="A102" s="112"/>
      <c r="B102" s="112"/>
      <c r="C102" s="113"/>
      <c r="D102" s="113"/>
      <c r="F102" s="112"/>
      <c r="G102" s="112"/>
      <c r="H102" s="124"/>
      <c r="I102" s="125"/>
    </row>
    <row r="103" spans="1:9" x14ac:dyDescent="0.25">
      <c r="A103" s="112"/>
      <c r="B103" s="112"/>
      <c r="C103" s="113"/>
      <c r="D103" s="113"/>
      <c r="F103" s="112"/>
      <c r="G103" s="112"/>
      <c r="H103" s="124"/>
      <c r="I103" s="125"/>
    </row>
    <row r="104" spans="1:9" x14ac:dyDescent="0.25">
      <c r="A104" s="112"/>
      <c r="B104" s="112"/>
      <c r="C104" s="113"/>
      <c r="D104" s="113"/>
      <c r="F104" s="112"/>
      <c r="G104" s="112"/>
      <c r="H104" s="124"/>
      <c r="I104" s="125"/>
    </row>
    <row r="105" spans="1:9" x14ac:dyDescent="0.25">
      <c r="A105" s="112"/>
      <c r="B105" s="112"/>
      <c r="C105" s="113"/>
      <c r="D105" s="113"/>
      <c r="F105" s="112"/>
      <c r="G105" s="112"/>
      <c r="H105" s="124"/>
      <c r="I105" s="125"/>
    </row>
    <row r="106" spans="1:9" x14ac:dyDescent="0.25">
      <c r="A106" s="112"/>
      <c r="B106" s="112"/>
      <c r="C106" s="113"/>
      <c r="D106" s="113"/>
      <c r="F106" s="112"/>
      <c r="G106" s="112"/>
      <c r="H106" s="124"/>
      <c r="I106" s="125"/>
    </row>
    <row r="107" spans="1:9" x14ac:dyDescent="0.25">
      <c r="A107" s="112"/>
      <c r="B107" s="112"/>
      <c r="C107" s="113"/>
      <c r="D107" s="113"/>
      <c r="F107" s="112"/>
      <c r="G107" s="112"/>
      <c r="H107" s="124"/>
      <c r="I107" s="125"/>
    </row>
    <row r="108" spans="1:9" x14ac:dyDescent="0.25">
      <c r="A108" s="112"/>
      <c r="B108" s="112"/>
      <c r="C108" s="113"/>
      <c r="D108" s="113"/>
      <c r="F108" s="112"/>
      <c r="G108" s="112"/>
      <c r="H108" s="124"/>
      <c r="I108" s="125"/>
    </row>
    <row r="109" spans="1:9" x14ac:dyDescent="0.25">
      <c r="A109" s="112"/>
      <c r="B109" s="112"/>
      <c r="C109" s="113"/>
      <c r="D109" s="113"/>
      <c r="F109" s="112"/>
      <c r="G109" s="112"/>
      <c r="H109" s="124"/>
      <c r="I109" s="125"/>
    </row>
    <row r="110" spans="1:9" x14ac:dyDescent="0.25">
      <c r="A110" s="112"/>
      <c r="B110" s="112"/>
      <c r="C110" s="113"/>
      <c r="D110" s="113"/>
      <c r="F110" s="112"/>
      <c r="G110" s="112"/>
      <c r="H110" s="124"/>
      <c r="I110" s="125"/>
    </row>
    <row r="111" spans="1:9" x14ac:dyDescent="0.25">
      <c r="A111" s="112"/>
      <c r="B111" s="112"/>
      <c r="C111" s="113"/>
      <c r="D111" s="113"/>
      <c r="F111" s="112"/>
      <c r="G111" s="112"/>
      <c r="H111" s="124"/>
      <c r="I111" s="125"/>
    </row>
    <row r="112" spans="1:9" x14ac:dyDescent="0.25">
      <c r="A112" s="112"/>
      <c r="B112" s="112"/>
      <c r="C112" s="113"/>
      <c r="D112" s="113"/>
      <c r="F112" s="112"/>
      <c r="G112" s="112"/>
      <c r="H112" s="124"/>
      <c r="I112" s="125"/>
    </row>
    <row r="113" spans="1:9" x14ac:dyDescent="0.25">
      <c r="A113" s="112"/>
      <c r="B113" s="112"/>
      <c r="C113" s="113"/>
      <c r="D113" s="113"/>
      <c r="F113" s="112"/>
      <c r="G113" s="112"/>
      <c r="H113" s="124"/>
      <c r="I113" s="125"/>
    </row>
    <row r="114" spans="1:9" x14ac:dyDescent="0.25">
      <c r="A114" s="112"/>
      <c r="B114" s="112"/>
      <c r="C114" s="113"/>
      <c r="D114" s="113"/>
      <c r="F114" s="112"/>
      <c r="G114" s="112"/>
      <c r="H114" s="124"/>
      <c r="I114" s="125"/>
    </row>
    <row r="115" spans="1:9" x14ac:dyDescent="0.25">
      <c r="A115" s="112"/>
      <c r="B115" s="112"/>
      <c r="C115" s="113"/>
      <c r="D115" s="113"/>
      <c r="F115" s="112"/>
      <c r="G115" s="112"/>
      <c r="H115" s="124"/>
      <c r="I115" s="125"/>
    </row>
    <row r="116" spans="1:9" x14ac:dyDescent="0.25">
      <c r="A116" s="112"/>
      <c r="B116" s="112"/>
      <c r="C116" s="114"/>
      <c r="D116" s="113"/>
      <c r="F116" s="112"/>
      <c r="G116" s="112"/>
      <c r="H116" s="124"/>
      <c r="I116" s="125"/>
    </row>
    <row r="117" spans="1:9" x14ac:dyDescent="0.25">
      <c r="A117" s="112"/>
      <c r="B117" s="112"/>
      <c r="C117" s="113"/>
      <c r="D117" s="113"/>
      <c r="F117" s="112"/>
      <c r="G117" s="112"/>
      <c r="H117" s="124"/>
      <c r="I117" s="125"/>
    </row>
    <row r="118" spans="1:9" x14ac:dyDescent="0.25">
      <c r="A118" s="112"/>
      <c r="B118" s="112"/>
      <c r="C118" s="113"/>
      <c r="D118" s="113"/>
      <c r="F118" s="112"/>
      <c r="G118" s="112"/>
      <c r="H118" s="124"/>
      <c r="I118" s="125"/>
    </row>
    <row r="119" spans="1:9" x14ac:dyDescent="0.25">
      <c r="A119" s="112"/>
      <c r="B119" s="112"/>
      <c r="C119" s="113"/>
      <c r="D119" s="113"/>
      <c r="F119" s="112"/>
      <c r="G119" s="112"/>
      <c r="H119" s="124"/>
      <c r="I119" s="125"/>
    </row>
    <row r="120" spans="1:9" x14ac:dyDescent="0.25">
      <c r="A120" s="112"/>
      <c r="B120" s="112"/>
      <c r="C120" s="113"/>
      <c r="D120" s="113"/>
      <c r="F120" s="112"/>
      <c r="G120" s="112"/>
      <c r="H120" s="124"/>
      <c r="I120" s="125"/>
    </row>
    <row r="121" spans="1:9" x14ac:dyDescent="0.25">
      <c r="A121" s="112"/>
      <c r="B121" s="112"/>
      <c r="C121" s="113"/>
      <c r="D121" s="113"/>
      <c r="F121" s="112"/>
      <c r="G121" s="112"/>
      <c r="H121" s="124"/>
      <c r="I121" s="125"/>
    </row>
    <row r="122" spans="1:9" x14ac:dyDescent="0.25">
      <c r="A122" s="112"/>
      <c r="B122" s="112"/>
      <c r="C122" s="113"/>
      <c r="D122" s="113"/>
      <c r="F122" s="112"/>
      <c r="G122" s="112"/>
      <c r="H122" s="124"/>
      <c r="I122" s="125"/>
    </row>
    <row r="123" spans="1:9" x14ac:dyDescent="0.25">
      <c r="A123" s="112"/>
      <c r="B123" s="112"/>
      <c r="C123" s="113"/>
      <c r="D123" s="113"/>
      <c r="F123" s="112"/>
      <c r="G123" s="112"/>
      <c r="H123" s="124"/>
      <c r="I123" s="125"/>
    </row>
    <row r="124" spans="1:9" x14ac:dyDescent="0.25">
      <c r="A124" s="112"/>
      <c r="B124" s="112"/>
      <c r="C124" s="113"/>
      <c r="D124" s="113"/>
      <c r="F124" s="112"/>
      <c r="G124" s="112"/>
      <c r="H124" s="124"/>
      <c r="I124" s="125"/>
    </row>
    <row r="125" spans="1:9" x14ac:dyDescent="0.25">
      <c r="A125" s="112"/>
      <c r="B125" s="112"/>
      <c r="C125" s="113"/>
      <c r="D125" s="113"/>
      <c r="F125" s="112"/>
      <c r="G125" s="112"/>
      <c r="H125" s="124"/>
      <c r="I125" s="125"/>
    </row>
    <row r="126" spans="1:9" x14ac:dyDescent="0.25">
      <c r="A126" s="112"/>
      <c r="B126" s="112"/>
      <c r="C126" s="113"/>
      <c r="D126" s="113"/>
      <c r="F126" s="112"/>
      <c r="G126" s="112"/>
      <c r="H126" s="124"/>
      <c r="I126" s="125"/>
    </row>
    <row r="127" spans="1:9" x14ac:dyDescent="0.25">
      <c r="A127" s="112"/>
      <c r="B127" s="112"/>
      <c r="C127" s="113"/>
      <c r="D127" s="113"/>
      <c r="F127" s="112"/>
      <c r="G127" s="112"/>
      <c r="H127" s="124"/>
      <c r="I127" s="125"/>
    </row>
    <row r="128" spans="1:9" x14ac:dyDescent="0.25">
      <c r="A128" s="112"/>
      <c r="B128" s="112"/>
      <c r="C128" s="113"/>
      <c r="D128" s="113"/>
      <c r="F128" s="112"/>
      <c r="G128" s="112"/>
      <c r="H128" s="124"/>
      <c r="I128" s="125"/>
    </row>
    <row r="129" spans="1:9" x14ac:dyDescent="0.25">
      <c r="A129" s="112"/>
      <c r="B129" s="112"/>
      <c r="C129" s="113"/>
      <c r="D129" s="113"/>
      <c r="F129" s="112"/>
      <c r="G129" s="112"/>
      <c r="H129" s="124"/>
      <c r="I129" s="125"/>
    </row>
    <row r="130" spans="1:9" x14ac:dyDescent="0.25">
      <c r="A130" s="112"/>
      <c r="B130" s="112"/>
      <c r="C130" s="113"/>
      <c r="D130" s="113"/>
      <c r="F130" s="112"/>
      <c r="G130" s="112"/>
      <c r="H130" s="124"/>
      <c r="I130" s="125"/>
    </row>
    <row r="131" spans="1:9" x14ac:dyDescent="0.25">
      <c r="A131" s="112"/>
      <c r="B131" s="112"/>
      <c r="C131" s="113"/>
      <c r="D131" s="113"/>
      <c r="F131" s="112"/>
      <c r="G131" s="112"/>
      <c r="H131" s="124"/>
      <c r="I131" s="125"/>
    </row>
    <row r="132" spans="1:9" x14ac:dyDescent="0.25">
      <c r="A132" s="112"/>
      <c r="B132" s="112"/>
      <c r="C132" s="113"/>
      <c r="D132" s="113"/>
      <c r="F132" s="112"/>
      <c r="G132" s="112"/>
      <c r="H132" s="124"/>
      <c r="I132" s="125"/>
    </row>
    <row r="133" spans="1:9" x14ac:dyDescent="0.25">
      <c r="A133" s="112"/>
      <c r="B133" s="112"/>
      <c r="C133" s="113"/>
      <c r="D133" s="113"/>
      <c r="F133" s="112"/>
      <c r="G133" s="112"/>
      <c r="H133" s="124"/>
      <c r="I133" s="125"/>
    </row>
    <row r="134" spans="1:9" x14ac:dyDescent="0.25">
      <c r="A134" s="112"/>
      <c r="B134" s="112"/>
      <c r="C134" s="113"/>
      <c r="D134" s="113"/>
      <c r="F134" s="112"/>
      <c r="G134" s="112"/>
      <c r="H134" s="124"/>
      <c r="I134" s="125"/>
    </row>
    <row r="135" spans="1:9" x14ac:dyDescent="0.25">
      <c r="A135" s="112"/>
      <c r="B135" s="112"/>
      <c r="C135" s="113"/>
      <c r="D135" s="113"/>
      <c r="F135" s="112"/>
      <c r="G135" s="112"/>
      <c r="H135" s="124"/>
      <c r="I135" s="125"/>
    </row>
    <row r="136" spans="1:9" x14ac:dyDescent="0.25">
      <c r="A136" s="112"/>
      <c r="B136" s="112"/>
      <c r="C136" s="113"/>
      <c r="D136" s="113"/>
      <c r="F136" s="112"/>
      <c r="G136" s="112"/>
      <c r="H136" s="124"/>
      <c r="I136" s="125"/>
    </row>
    <row r="137" spans="1:9" x14ac:dyDescent="0.25">
      <c r="A137" s="112"/>
      <c r="B137" s="112"/>
      <c r="C137" s="113"/>
      <c r="D137" s="113"/>
      <c r="F137" s="112"/>
      <c r="G137" s="112"/>
      <c r="H137" s="124"/>
      <c r="I137" s="125"/>
    </row>
    <row r="138" spans="1:9" x14ac:dyDescent="0.25">
      <c r="A138" s="112"/>
      <c r="B138" s="112"/>
      <c r="C138" s="113"/>
      <c r="D138" s="113"/>
      <c r="F138" s="112"/>
      <c r="G138" s="112"/>
      <c r="H138" s="124"/>
      <c r="I138" s="125"/>
    </row>
    <row r="139" spans="1:9" x14ac:dyDescent="0.25">
      <c r="A139" s="112"/>
      <c r="B139" s="112"/>
      <c r="C139" s="113"/>
      <c r="D139" s="113"/>
      <c r="F139" s="112"/>
      <c r="G139" s="112"/>
      <c r="H139" s="124"/>
      <c r="I139" s="125"/>
    </row>
    <row r="140" spans="1:9" x14ac:dyDescent="0.25">
      <c r="A140" s="112"/>
      <c r="B140" s="112"/>
      <c r="C140" s="113"/>
      <c r="D140" s="113"/>
      <c r="F140" s="112"/>
      <c r="G140" s="112"/>
      <c r="H140" s="124"/>
      <c r="I140" s="125"/>
    </row>
    <row r="141" spans="1:9" x14ac:dyDescent="0.25">
      <c r="A141" s="112"/>
      <c r="B141" s="112"/>
      <c r="C141" s="113"/>
      <c r="D141" s="113"/>
      <c r="F141" s="112"/>
      <c r="G141" s="112"/>
      <c r="H141" s="124"/>
      <c r="I141" s="125"/>
    </row>
    <row r="142" spans="1:9" x14ac:dyDescent="0.25">
      <c r="A142" s="112"/>
      <c r="B142" s="112"/>
      <c r="C142" s="113"/>
      <c r="D142" s="113"/>
      <c r="F142" s="112"/>
      <c r="G142" s="112"/>
      <c r="H142" s="124"/>
      <c r="I142" s="125"/>
    </row>
    <row r="143" spans="1:9" x14ac:dyDescent="0.25">
      <c r="A143" s="112"/>
      <c r="B143" s="112"/>
      <c r="C143" s="113"/>
      <c r="D143" s="113"/>
      <c r="F143" s="112"/>
      <c r="G143" s="112"/>
      <c r="H143" s="124"/>
      <c r="I143" s="125"/>
    </row>
    <row r="144" spans="1:9" x14ac:dyDescent="0.25">
      <c r="A144" s="112"/>
      <c r="B144" s="112"/>
      <c r="C144" s="113"/>
      <c r="D144" s="113"/>
      <c r="F144" s="112"/>
      <c r="G144" s="112"/>
      <c r="H144" s="124"/>
      <c r="I144" s="125"/>
    </row>
    <row r="145" spans="1:9" x14ac:dyDescent="0.25">
      <c r="A145" s="112"/>
      <c r="B145" s="112"/>
      <c r="C145" s="113"/>
      <c r="D145" s="113"/>
      <c r="F145" s="112"/>
      <c r="G145" s="112"/>
      <c r="H145" s="124"/>
      <c r="I145" s="125"/>
    </row>
    <row r="146" spans="1:9" x14ac:dyDescent="0.25">
      <c r="A146" s="112"/>
      <c r="B146" s="112"/>
      <c r="C146" s="113"/>
      <c r="D146" s="113"/>
      <c r="F146" s="112"/>
      <c r="G146" s="112"/>
      <c r="H146" s="124"/>
      <c r="I146" s="125"/>
    </row>
    <row r="147" spans="1:9" x14ac:dyDescent="0.25">
      <c r="A147" s="112"/>
      <c r="B147" s="112"/>
      <c r="C147" s="113"/>
      <c r="D147" s="113"/>
      <c r="F147" s="112"/>
      <c r="G147" s="112"/>
      <c r="H147" s="124"/>
      <c r="I147" s="125"/>
    </row>
    <row r="148" spans="1:9" x14ac:dyDescent="0.25">
      <c r="A148" s="112"/>
      <c r="B148" s="112"/>
      <c r="C148" s="113"/>
      <c r="D148" s="113"/>
      <c r="F148" s="112"/>
      <c r="G148" s="112"/>
      <c r="H148" s="124"/>
      <c r="I148" s="125"/>
    </row>
    <row r="149" spans="1:9" x14ac:dyDescent="0.25">
      <c r="A149" s="112"/>
      <c r="B149" s="112"/>
      <c r="C149" s="113"/>
      <c r="D149" s="113"/>
      <c r="F149" s="112"/>
      <c r="G149" s="112"/>
      <c r="H149" s="124"/>
      <c r="I149" s="125"/>
    </row>
    <row r="150" spans="1:9" x14ac:dyDescent="0.25">
      <c r="A150" s="112"/>
      <c r="B150" s="112"/>
      <c r="C150" s="113"/>
      <c r="D150" s="113"/>
      <c r="F150" s="112"/>
      <c r="G150" s="112"/>
      <c r="H150" s="124"/>
      <c r="I150" s="125"/>
    </row>
    <row r="151" spans="1:9" x14ac:dyDescent="0.25">
      <c r="A151" s="112"/>
      <c r="B151" s="112"/>
      <c r="C151" s="113"/>
      <c r="D151" s="113"/>
      <c r="F151" s="112"/>
      <c r="G151" s="112"/>
      <c r="H151" s="124"/>
      <c r="I151" s="125"/>
    </row>
    <row r="152" spans="1:9" x14ac:dyDescent="0.25">
      <c r="A152" s="112"/>
      <c r="B152" s="112"/>
      <c r="C152" s="113"/>
      <c r="D152" s="113"/>
      <c r="F152" s="112"/>
      <c r="G152" s="112"/>
      <c r="H152" s="124"/>
      <c r="I152" s="125"/>
    </row>
    <row r="153" spans="1:9" x14ac:dyDescent="0.25">
      <c r="A153" s="112"/>
      <c r="B153" s="112"/>
      <c r="C153" s="113"/>
      <c r="D153" s="113"/>
      <c r="F153" s="112"/>
      <c r="G153" s="112"/>
      <c r="H153" s="124"/>
      <c r="I153" s="125"/>
    </row>
    <row r="154" spans="1:9" x14ac:dyDescent="0.25">
      <c r="A154" s="112"/>
      <c r="B154" s="112"/>
      <c r="C154" s="113"/>
      <c r="D154" s="113"/>
      <c r="F154" s="112"/>
      <c r="G154" s="112"/>
      <c r="H154" s="124"/>
      <c r="I154" s="125"/>
    </row>
    <row r="155" spans="1:9" x14ac:dyDescent="0.25">
      <c r="E155" s="112"/>
      <c r="G155" s="112"/>
    </row>
    <row r="156" spans="1:9" x14ac:dyDescent="0.25">
      <c r="E156" s="112"/>
      <c r="G156" s="112"/>
    </row>
    <row r="157" spans="1:9" x14ac:dyDescent="0.25">
      <c r="E157" s="112"/>
      <c r="G157" s="112"/>
    </row>
    <row r="158" spans="1:9" x14ac:dyDescent="0.25">
      <c r="E158" s="112"/>
      <c r="G158" s="112"/>
    </row>
    <row r="159" spans="1:9" x14ac:dyDescent="0.25">
      <c r="E159" s="112"/>
      <c r="G159" s="112"/>
    </row>
    <row r="160" spans="1:9" x14ac:dyDescent="0.25">
      <c r="E160" s="112"/>
      <c r="G160" s="112"/>
    </row>
    <row r="161" spans="5:7" x14ac:dyDescent="0.25">
      <c r="E161" s="112"/>
      <c r="G161" s="112"/>
    </row>
    <row r="162" spans="5:7" x14ac:dyDescent="0.25">
      <c r="E162" s="112"/>
      <c r="G162" s="112"/>
    </row>
    <row r="163" spans="5:7" x14ac:dyDescent="0.25">
      <c r="E163" s="112"/>
      <c r="G163" s="112"/>
    </row>
    <row r="164" spans="5:7" x14ac:dyDescent="0.25">
      <c r="E164" s="112"/>
      <c r="G164" s="112"/>
    </row>
    <row r="165" spans="5:7" x14ac:dyDescent="0.25">
      <c r="E165" s="112"/>
      <c r="G165" s="112"/>
    </row>
    <row r="166" spans="5:7" x14ac:dyDescent="0.25">
      <c r="E166" s="112"/>
      <c r="G166" s="112"/>
    </row>
    <row r="167" spans="5:7" x14ac:dyDescent="0.25">
      <c r="E167" s="112"/>
      <c r="G167" s="112"/>
    </row>
    <row r="168" spans="5:7" x14ac:dyDescent="0.25">
      <c r="E168" s="112"/>
      <c r="G168" s="112"/>
    </row>
    <row r="169" spans="5:7" x14ac:dyDescent="0.25">
      <c r="E169" s="112"/>
      <c r="G169" s="112"/>
    </row>
    <row r="170" spans="5:7" x14ac:dyDescent="0.25">
      <c r="E170" s="112"/>
      <c r="G170" s="112"/>
    </row>
    <row r="171" spans="5:7" x14ac:dyDescent="0.25">
      <c r="E171" s="112"/>
      <c r="G171" s="112"/>
    </row>
    <row r="172" spans="5:7" x14ac:dyDescent="0.25">
      <c r="E172" s="112"/>
      <c r="G172" s="112"/>
    </row>
    <row r="173" spans="5:7" x14ac:dyDescent="0.25">
      <c r="E173" s="112"/>
      <c r="G173" s="112"/>
    </row>
    <row r="174" spans="5:7" x14ac:dyDescent="0.25">
      <c r="E174" s="112"/>
      <c r="G174" s="112"/>
    </row>
    <row r="175" spans="5:7" x14ac:dyDescent="0.25">
      <c r="E175" s="112"/>
      <c r="G175" s="112"/>
    </row>
    <row r="176" spans="5:7" x14ac:dyDescent="0.25">
      <c r="E176" s="112"/>
      <c r="G176" s="112"/>
    </row>
    <row r="177" spans="5:7" x14ac:dyDescent="0.25">
      <c r="E177" s="112"/>
      <c r="G177" s="112"/>
    </row>
    <row r="178" spans="5:7" x14ac:dyDescent="0.25">
      <c r="E178" s="112"/>
      <c r="G178" s="112"/>
    </row>
    <row r="179" spans="5:7" x14ac:dyDescent="0.25">
      <c r="E179" s="112"/>
      <c r="G179" s="112"/>
    </row>
    <row r="180" spans="5:7" x14ac:dyDescent="0.25">
      <c r="E180" s="112"/>
      <c r="G180" s="112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174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168</v>
      </c>
    </row>
    <row r="6" spans="1:19" x14ac:dyDescent="0.25">
      <c r="A6" s="138">
        <f>B6+273.15</f>
        <v>873.15</v>
      </c>
      <c r="B6" s="139">
        <v>600</v>
      </c>
      <c r="C6" s="140"/>
      <c r="D6" s="153">
        <v>1.0627E-6</v>
      </c>
    </row>
    <row r="7" spans="1:19" x14ac:dyDescent="0.25">
      <c r="A7" s="138">
        <f t="shared" ref="A7:A8" si="0">B7+273.15</f>
        <v>823.15</v>
      </c>
      <c r="B7" s="139">
        <v>550</v>
      </c>
      <c r="C7" s="140"/>
      <c r="D7" s="153">
        <v>6.2070000000000005E-7</v>
      </c>
      <c r="H7" s="111" t="s">
        <v>18</v>
      </c>
    </row>
    <row r="8" spans="1:19" ht="16.5" thickBot="1" x14ac:dyDescent="0.3">
      <c r="A8" s="141">
        <f t="shared" si="0"/>
        <v>773.15</v>
      </c>
      <c r="B8" s="131">
        <v>500</v>
      </c>
      <c r="C8" s="130"/>
      <c r="D8" s="154">
        <v>3.0519E-7</v>
      </c>
      <c r="G8" s="111">
        <v>1</v>
      </c>
      <c r="H8" s="35" t="s">
        <v>162</v>
      </c>
    </row>
    <row r="9" spans="1:19" ht="16.5" thickBot="1" x14ac:dyDescent="0.3">
      <c r="A9" s="112"/>
      <c r="B9" s="112"/>
      <c r="C9" s="113"/>
      <c r="D9" s="114"/>
      <c r="G9" s="111">
        <v>2</v>
      </c>
      <c r="H9" s="35" t="s">
        <v>164</v>
      </c>
    </row>
    <row r="10" spans="1:19" ht="16.5" thickBot="1" x14ac:dyDescent="0.3">
      <c r="A10" s="133" t="s">
        <v>13</v>
      </c>
      <c r="B10" s="134"/>
      <c r="C10" s="134"/>
      <c r="D10" s="135"/>
    </row>
    <row r="11" spans="1:19" ht="75.75" thickBot="1" x14ac:dyDescent="0.3">
      <c r="A11" s="136" t="s">
        <v>16</v>
      </c>
      <c r="B11" s="115" t="s">
        <v>14</v>
      </c>
      <c r="C11" s="142" t="s">
        <v>37</v>
      </c>
      <c r="D11" s="137" t="s">
        <v>15</v>
      </c>
      <c r="H11" s="169" t="s">
        <v>184</v>
      </c>
    </row>
    <row r="12" spans="1:19" x14ac:dyDescent="0.25">
      <c r="A12" s="138">
        <f>B12+273.15</f>
        <v>873.15</v>
      </c>
      <c r="B12" s="139">
        <v>600</v>
      </c>
      <c r="C12" s="140">
        <f>'PCO,Ma (ACS Appl)'!E34</f>
        <v>638.68222135798283</v>
      </c>
      <c r="D12" s="157">
        <f>D6/C12</f>
        <v>1.6638947577724326E-9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ref="A13:A14" si="1">B13+273.15</f>
        <v>823.15</v>
      </c>
      <c r="B13" s="139">
        <v>550</v>
      </c>
      <c r="C13" s="140">
        <f>'PCO,Ma (ACS Appl)'!E36</f>
        <v>338.61545485206557</v>
      </c>
      <c r="D13" s="157">
        <f>D7/C13</f>
        <v>1.8330527774379691E-9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thickBot="1" x14ac:dyDescent="0.3">
      <c r="A14" s="141">
        <f t="shared" si="1"/>
        <v>773.15</v>
      </c>
      <c r="B14" s="131">
        <v>500</v>
      </c>
      <c r="C14" s="130">
        <f>'PCO,Ma (ACS Appl)'!E38</f>
        <v>287.82313662425582</v>
      </c>
      <c r="D14" s="158">
        <f>D8/C14</f>
        <v>1.060338663456427E-9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12"/>
      <c r="D15" s="114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x14ac:dyDescent="0.25">
      <c r="A16" s="133" t="s">
        <v>19</v>
      </c>
      <c r="B16" s="134"/>
      <c r="C16" s="134"/>
      <c r="D16" s="135"/>
      <c r="G16" s="119"/>
      <c r="H16" s="119"/>
    </row>
    <row r="17" spans="1:12" ht="47.25" x14ac:dyDescent="0.25">
      <c r="A17" s="136" t="s">
        <v>16</v>
      </c>
      <c r="B17" s="115" t="s">
        <v>14</v>
      </c>
      <c r="C17" s="142" t="s">
        <v>163</v>
      </c>
      <c r="D17" s="143" t="s">
        <v>35</v>
      </c>
      <c r="G17" s="119"/>
      <c r="H17" s="114"/>
    </row>
    <row r="18" spans="1:12" x14ac:dyDescent="0.25">
      <c r="A18" s="138">
        <f t="shared" ref="A18:A20" si="2">B18+273.15</f>
        <v>873.15</v>
      </c>
      <c r="B18" s="139">
        <v>600</v>
      </c>
      <c r="C18" s="140">
        <f>'PCO,Chen (Electroceram)'!C45</f>
        <v>8.3636199825509641E-2</v>
      </c>
      <c r="D18" s="157">
        <f>($C$2*$A$2*A18)/(4*($E$2^2)*C18*D12)</f>
        <v>1400.2512480192565</v>
      </c>
      <c r="G18" s="119"/>
      <c r="H18" s="114"/>
      <c r="K18" s="118"/>
      <c r="L18" s="118"/>
    </row>
    <row r="19" spans="1:12" x14ac:dyDescent="0.25">
      <c r="A19" s="138">
        <f t="shared" si="2"/>
        <v>823.15</v>
      </c>
      <c r="B19" s="139">
        <v>550</v>
      </c>
      <c r="C19" s="140">
        <f>'PCO,Chen (Electroceram)'!C48</f>
        <v>8.94302210873196E-2</v>
      </c>
      <c r="D19" s="157">
        <f>($C$2*$A$2*A19)/(4*($E$2^2)*C19*D13)</f>
        <v>1120.616373814491</v>
      </c>
      <c r="G19" s="119"/>
      <c r="H19" s="114"/>
      <c r="J19" s="113"/>
      <c r="K19" s="113"/>
      <c r="L19" s="113"/>
    </row>
    <row r="20" spans="1:12" ht="15.75" thickBot="1" x14ac:dyDescent="0.3">
      <c r="A20" s="141">
        <f t="shared" si="2"/>
        <v>773.15</v>
      </c>
      <c r="B20" s="131">
        <v>500</v>
      </c>
      <c r="C20" s="130">
        <f>'PCO,Chen (Electroceram)'!C50</f>
        <v>8.9095109483913817E-2</v>
      </c>
      <c r="D20" s="158">
        <f>($C$2*$A$2*A20)/(4*($E$2^2)*C20*D14)</f>
        <v>1826.4279811163344</v>
      </c>
      <c r="G20" s="119"/>
      <c r="H20" s="114"/>
      <c r="J20" s="113"/>
      <c r="K20" s="113"/>
      <c r="L20" s="113"/>
    </row>
    <row r="21" spans="1:12" x14ac:dyDescent="0.25">
      <c r="D21" s="113"/>
      <c r="G21" s="119"/>
      <c r="H21" s="114"/>
      <c r="J21" s="113"/>
      <c r="K21" s="113"/>
      <c r="L21" s="113"/>
    </row>
    <row r="22" spans="1:12" x14ac:dyDescent="0.25">
      <c r="G22" s="119"/>
      <c r="H22" s="114"/>
      <c r="J22" s="113"/>
      <c r="K22" s="113"/>
      <c r="L22" s="113"/>
    </row>
    <row r="23" spans="1:12" x14ac:dyDescent="0.25">
      <c r="G23" s="119"/>
      <c r="H23" s="114"/>
      <c r="J23" s="113"/>
      <c r="K23" s="113"/>
      <c r="L23" s="113"/>
    </row>
    <row r="24" spans="1:12" x14ac:dyDescent="0.25">
      <c r="A24" s="118"/>
      <c r="G24" s="119"/>
      <c r="H24" s="114"/>
    </row>
    <row r="25" spans="1:12" x14ac:dyDescent="0.25">
      <c r="D25" s="118"/>
      <c r="F25" s="118"/>
      <c r="I25" s="118"/>
      <c r="J25" s="118"/>
    </row>
    <row r="26" spans="1:12" x14ac:dyDescent="0.25">
      <c r="A26" s="112"/>
      <c r="B26" s="112"/>
      <c r="C26" s="113"/>
      <c r="D26" s="113"/>
      <c r="E26" s="114"/>
      <c r="F26" s="113"/>
      <c r="G26" s="112"/>
      <c r="H26" s="112"/>
      <c r="I26" s="113"/>
      <c r="J26" s="114"/>
    </row>
    <row r="27" spans="1:12" x14ac:dyDescent="0.25">
      <c r="A27" s="112"/>
      <c r="B27" s="112"/>
      <c r="C27" s="113"/>
      <c r="D27" s="113"/>
      <c r="E27" s="114"/>
      <c r="F27" s="113"/>
      <c r="G27" s="112"/>
      <c r="H27" s="112"/>
      <c r="I27" s="113"/>
      <c r="J27" s="114"/>
    </row>
    <row r="28" spans="1:12" x14ac:dyDescent="0.25">
      <c r="A28" s="112"/>
      <c r="B28" s="112"/>
      <c r="C28" s="113"/>
      <c r="D28" s="113"/>
      <c r="E28" s="114"/>
      <c r="F28" s="113"/>
      <c r="G28" s="112"/>
      <c r="H28" s="112"/>
      <c r="I28" s="113"/>
      <c r="J28" s="114"/>
    </row>
    <row r="29" spans="1:12" x14ac:dyDescent="0.25">
      <c r="A29" s="112"/>
      <c r="B29" s="112"/>
      <c r="C29" s="113"/>
      <c r="D29" s="113"/>
      <c r="E29" s="114"/>
      <c r="F29" s="113"/>
      <c r="G29" s="112"/>
      <c r="H29" s="112"/>
      <c r="I29" s="113"/>
      <c r="J29" s="114"/>
    </row>
    <row r="30" spans="1:12" x14ac:dyDescent="0.25">
      <c r="A30" s="112"/>
      <c r="B30" s="112"/>
      <c r="C30" s="113"/>
      <c r="D30" s="113"/>
      <c r="E30" s="114"/>
      <c r="F30" s="113"/>
      <c r="G30" s="112"/>
      <c r="H30" s="112"/>
      <c r="I30" s="113"/>
      <c r="J30" s="114"/>
    </row>
    <row r="31" spans="1:12" x14ac:dyDescent="0.25">
      <c r="A31" s="112"/>
      <c r="B31" s="112"/>
      <c r="C31" s="113"/>
      <c r="D31" s="113"/>
      <c r="E31" s="114"/>
      <c r="F31" s="113"/>
      <c r="G31" s="112"/>
      <c r="H31" s="112"/>
      <c r="I31" s="113"/>
      <c r="J31" s="114"/>
    </row>
    <row r="32" spans="1:12" x14ac:dyDescent="0.25">
      <c r="A32" s="112"/>
      <c r="B32" s="112"/>
      <c r="C32" s="113"/>
      <c r="D32" s="113"/>
      <c r="E32" s="114"/>
      <c r="F32" s="113"/>
      <c r="G32" s="112"/>
      <c r="H32" s="112"/>
      <c r="I32" s="113"/>
      <c r="J32" s="114"/>
    </row>
    <row r="33" spans="1:10" x14ac:dyDescent="0.25">
      <c r="A33" s="112"/>
      <c r="B33" s="112"/>
      <c r="C33" s="113"/>
      <c r="D33" s="113"/>
      <c r="E33" s="114"/>
      <c r="F33" s="113"/>
      <c r="G33" s="112"/>
      <c r="H33" s="112"/>
      <c r="I33" s="113"/>
      <c r="J33" s="114"/>
    </row>
    <row r="34" spans="1:10" x14ac:dyDescent="0.25">
      <c r="A34" s="112"/>
      <c r="B34" s="112"/>
      <c r="C34" s="113"/>
      <c r="D34" s="113"/>
      <c r="E34" s="114"/>
      <c r="F34" s="113"/>
      <c r="G34" s="112"/>
      <c r="H34" s="112"/>
      <c r="I34" s="113"/>
      <c r="J34" s="114"/>
    </row>
    <row r="35" spans="1:10" x14ac:dyDescent="0.25">
      <c r="A35" s="112"/>
      <c r="B35" s="112"/>
      <c r="C35" s="113"/>
      <c r="D35" s="113"/>
      <c r="E35" s="114"/>
      <c r="F35" s="113"/>
      <c r="G35" s="112"/>
      <c r="H35" s="112"/>
      <c r="I35" s="113"/>
      <c r="J35" s="114"/>
    </row>
    <row r="36" spans="1:10" x14ac:dyDescent="0.25">
      <c r="A36" s="112"/>
      <c r="B36" s="112"/>
      <c r="C36" s="113"/>
      <c r="D36" s="113"/>
      <c r="E36" s="114"/>
      <c r="F36" s="113"/>
      <c r="G36" s="112"/>
      <c r="H36" s="112"/>
      <c r="I36" s="113"/>
      <c r="J36" s="114"/>
    </row>
    <row r="37" spans="1:10" x14ac:dyDescent="0.25">
      <c r="A37" s="112"/>
      <c r="B37" s="112"/>
      <c r="C37" s="113"/>
      <c r="D37" s="113"/>
      <c r="E37" s="114"/>
      <c r="H37" s="114"/>
    </row>
    <row r="38" spans="1:10" x14ac:dyDescent="0.25">
      <c r="A38" s="112"/>
      <c r="B38" s="112"/>
      <c r="C38" s="113"/>
      <c r="D38" s="113"/>
      <c r="E38" s="114"/>
      <c r="H38" s="114"/>
    </row>
    <row r="39" spans="1:10" x14ac:dyDescent="0.25">
      <c r="A39" s="112"/>
      <c r="B39" s="112"/>
      <c r="C39" s="113"/>
      <c r="E39" s="113"/>
      <c r="H39" s="114"/>
    </row>
    <row r="40" spans="1:10" x14ac:dyDescent="0.25">
      <c r="A40" s="112"/>
      <c r="B40" s="112"/>
      <c r="C40" s="113"/>
      <c r="E40" s="113"/>
      <c r="H40" s="114"/>
    </row>
    <row r="41" spans="1:10" x14ac:dyDescent="0.25">
      <c r="A41" s="119"/>
      <c r="B41" s="119"/>
      <c r="C41" s="121"/>
      <c r="D41" s="119"/>
      <c r="E41" s="113"/>
      <c r="I41" s="118"/>
    </row>
    <row r="42" spans="1:10" x14ac:dyDescent="0.25">
      <c r="A42" s="112"/>
      <c r="B42" s="112"/>
      <c r="C42" s="113"/>
      <c r="D42" s="113"/>
      <c r="F42" s="112"/>
      <c r="G42" s="112"/>
      <c r="H42" s="124"/>
      <c r="I42" s="125"/>
    </row>
    <row r="43" spans="1:10" x14ac:dyDescent="0.25">
      <c r="A43" s="112"/>
      <c r="B43" s="112"/>
      <c r="C43" s="113"/>
      <c r="D43" s="113"/>
      <c r="F43" s="112"/>
      <c r="G43" s="112"/>
      <c r="H43" s="124"/>
      <c r="I43" s="125"/>
    </row>
    <row r="44" spans="1:10" x14ac:dyDescent="0.25">
      <c r="A44" s="112"/>
      <c r="B44" s="112"/>
      <c r="C44" s="113"/>
      <c r="D44" s="113"/>
      <c r="F44" s="112"/>
      <c r="G44" s="112"/>
      <c r="H44" s="124"/>
      <c r="I44" s="125"/>
    </row>
    <row r="45" spans="1:10" x14ac:dyDescent="0.25">
      <c r="A45" s="112"/>
      <c r="B45" s="112"/>
      <c r="C45" s="113"/>
      <c r="D45" s="113"/>
      <c r="F45" s="112"/>
      <c r="G45" s="112"/>
      <c r="H45" s="124"/>
      <c r="I45" s="125"/>
    </row>
    <row r="46" spans="1:10" x14ac:dyDescent="0.25">
      <c r="A46" s="112"/>
      <c r="B46" s="112"/>
      <c r="C46" s="113"/>
      <c r="D46" s="113"/>
      <c r="F46" s="112"/>
      <c r="G46" s="112"/>
      <c r="H46" s="124"/>
      <c r="I46" s="125"/>
    </row>
    <row r="47" spans="1:10" x14ac:dyDescent="0.25">
      <c r="A47" s="112"/>
      <c r="B47" s="112"/>
      <c r="C47" s="113"/>
      <c r="D47" s="113"/>
      <c r="F47" s="112"/>
      <c r="G47" s="112"/>
      <c r="H47" s="124"/>
      <c r="I47" s="125"/>
    </row>
    <row r="48" spans="1:10" x14ac:dyDescent="0.25">
      <c r="A48" s="112"/>
      <c r="B48" s="112"/>
      <c r="C48" s="113"/>
      <c r="D48" s="113"/>
      <c r="F48" s="112"/>
      <c r="G48" s="112"/>
      <c r="H48" s="124"/>
      <c r="I48" s="125"/>
    </row>
    <row r="49" spans="1:9" x14ac:dyDescent="0.25">
      <c r="A49" s="112"/>
      <c r="B49" s="112"/>
      <c r="C49" s="113"/>
      <c r="D49" s="113"/>
      <c r="F49" s="112"/>
      <c r="G49" s="112"/>
      <c r="H49" s="124"/>
      <c r="I49" s="125"/>
    </row>
    <row r="50" spans="1:9" x14ac:dyDescent="0.25">
      <c r="A50" s="112"/>
      <c r="B50" s="112"/>
      <c r="C50" s="113"/>
      <c r="D50" s="113"/>
      <c r="F50" s="112"/>
      <c r="G50" s="112"/>
      <c r="H50" s="124"/>
      <c r="I50" s="125"/>
    </row>
    <row r="51" spans="1:9" x14ac:dyDescent="0.25">
      <c r="A51" s="112"/>
      <c r="B51" s="112"/>
      <c r="C51" s="113"/>
      <c r="D51" s="113"/>
      <c r="F51" s="112"/>
      <c r="G51" s="112"/>
      <c r="H51" s="124"/>
      <c r="I51" s="125"/>
    </row>
    <row r="52" spans="1:9" x14ac:dyDescent="0.25">
      <c r="A52" s="112"/>
      <c r="B52" s="112"/>
      <c r="C52" s="113"/>
      <c r="D52" s="113"/>
      <c r="F52" s="112"/>
      <c r="G52" s="112"/>
      <c r="H52" s="124"/>
      <c r="I52" s="125"/>
    </row>
    <row r="53" spans="1:9" x14ac:dyDescent="0.25">
      <c r="A53" s="112"/>
      <c r="B53" s="112"/>
      <c r="C53" s="113"/>
      <c r="D53" s="113"/>
      <c r="F53" s="112"/>
      <c r="G53" s="112"/>
      <c r="H53" s="124"/>
      <c r="I53" s="125"/>
    </row>
    <row r="54" spans="1:9" x14ac:dyDescent="0.25">
      <c r="A54" s="112"/>
      <c r="B54" s="112"/>
      <c r="C54" s="113"/>
      <c r="D54" s="113"/>
      <c r="F54" s="112"/>
      <c r="G54" s="112"/>
      <c r="H54" s="124"/>
      <c r="I54" s="125"/>
    </row>
    <row r="55" spans="1:9" x14ac:dyDescent="0.25">
      <c r="A55" s="112"/>
      <c r="B55" s="112"/>
      <c r="C55" s="113"/>
      <c r="D55" s="113"/>
      <c r="F55" s="112"/>
      <c r="G55" s="112"/>
      <c r="H55" s="124"/>
      <c r="I55" s="125"/>
    </row>
    <row r="56" spans="1:9" x14ac:dyDescent="0.25">
      <c r="A56" s="112"/>
      <c r="B56" s="112"/>
      <c r="C56" s="113"/>
      <c r="D56" s="113"/>
      <c r="F56" s="112"/>
      <c r="G56" s="112"/>
      <c r="H56" s="124"/>
      <c r="I56" s="125"/>
    </row>
    <row r="57" spans="1:9" x14ac:dyDescent="0.25">
      <c r="A57" s="112"/>
      <c r="B57" s="112"/>
      <c r="C57" s="113"/>
      <c r="D57" s="113"/>
      <c r="F57" s="112"/>
      <c r="G57" s="112"/>
      <c r="H57" s="124"/>
      <c r="I57" s="125"/>
    </row>
    <row r="58" spans="1:9" x14ac:dyDescent="0.25">
      <c r="A58" s="112"/>
      <c r="B58" s="112"/>
      <c r="C58" s="113"/>
      <c r="D58" s="113"/>
      <c r="F58" s="112"/>
      <c r="G58" s="112"/>
      <c r="H58" s="124"/>
      <c r="I58" s="125"/>
    </row>
    <row r="59" spans="1:9" x14ac:dyDescent="0.25">
      <c r="A59" s="112"/>
      <c r="B59" s="112"/>
      <c r="C59" s="113"/>
      <c r="D59" s="113"/>
      <c r="F59" s="112"/>
      <c r="G59" s="112"/>
      <c r="H59" s="124"/>
      <c r="I59" s="125"/>
    </row>
    <row r="60" spans="1:9" x14ac:dyDescent="0.25">
      <c r="A60" s="112"/>
      <c r="B60" s="112"/>
      <c r="C60" s="113"/>
      <c r="D60" s="113"/>
      <c r="F60" s="112"/>
      <c r="G60" s="112"/>
      <c r="H60" s="124"/>
      <c r="I60" s="125"/>
    </row>
    <row r="61" spans="1:9" x14ac:dyDescent="0.25">
      <c r="A61" s="112"/>
      <c r="B61" s="112"/>
      <c r="C61" s="113"/>
      <c r="D61" s="113"/>
      <c r="F61" s="112"/>
      <c r="G61" s="112"/>
      <c r="H61" s="124"/>
      <c r="I61" s="125"/>
    </row>
    <row r="62" spans="1:9" x14ac:dyDescent="0.25">
      <c r="A62" s="112"/>
      <c r="B62" s="112"/>
      <c r="C62" s="113"/>
      <c r="D62" s="113"/>
      <c r="F62" s="112"/>
      <c r="G62" s="112"/>
      <c r="H62" s="124"/>
      <c r="I62" s="125"/>
    </row>
    <row r="63" spans="1:9" x14ac:dyDescent="0.25">
      <c r="A63" s="112"/>
      <c r="B63" s="112"/>
      <c r="C63" s="113"/>
      <c r="D63" s="113"/>
      <c r="F63" s="112"/>
      <c r="G63" s="112"/>
      <c r="H63" s="124"/>
      <c r="I63" s="125"/>
    </row>
    <row r="64" spans="1:9" x14ac:dyDescent="0.25">
      <c r="A64" s="112"/>
      <c r="B64" s="112"/>
      <c r="C64" s="113"/>
      <c r="D64" s="113"/>
      <c r="F64" s="112"/>
      <c r="G64" s="112"/>
      <c r="H64" s="124"/>
      <c r="I64" s="125"/>
    </row>
    <row r="65" spans="1:9" x14ac:dyDescent="0.25">
      <c r="A65" s="112"/>
      <c r="B65" s="112"/>
      <c r="C65" s="113"/>
      <c r="D65" s="113"/>
      <c r="F65" s="112"/>
      <c r="G65" s="112"/>
      <c r="H65" s="124"/>
      <c r="I65" s="125"/>
    </row>
    <row r="66" spans="1:9" x14ac:dyDescent="0.25">
      <c r="A66" s="112"/>
      <c r="B66" s="112"/>
      <c r="C66" s="113"/>
      <c r="D66" s="113"/>
      <c r="F66" s="112"/>
      <c r="G66" s="112"/>
      <c r="H66" s="124"/>
      <c r="I66" s="125"/>
    </row>
    <row r="67" spans="1:9" x14ac:dyDescent="0.25">
      <c r="A67" s="112"/>
      <c r="B67" s="112"/>
      <c r="C67" s="113"/>
      <c r="D67" s="113"/>
      <c r="F67" s="112"/>
      <c r="G67" s="112"/>
      <c r="H67" s="124"/>
      <c r="I67" s="125"/>
    </row>
    <row r="68" spans="1:9" x14ac:dyDescent="0.25">
      <c r="A68" s="112"/>
      <c r="B68" s="112"/>
      <c r="C68" s="113"/>
      <c r="D68" s="113"/>
      <c r="F68" s="112"/>
      <c r="G68" s="112"/>
      <c r="H68" s="124"/>
      <c r="I68" s="125"/>
    </row>
    <row r="69" spans="1:9" x14ac:dyDescent="0.25">
      <c r="A69" s="112"/>
      <c r="B69" s="112"/>
      <c r="C69" s="113"/>
      <c r="D69" s="113"/>
      <c r="F69" s="112"/>
      <c r="G69" s="112"/>
      <c r="H69" s="124"/>
      <c r="I69" s="125"/>
    </row>
    <row r="70" spans="1:9" x14ac:dyDescent="0.25">
      <c r="A70" s="112"/>
      <c r="B70" s="112"/>
      <c r="C70" s="113"/>
      <c r="D70" s="113"/>
      <c r="F70" s="112"/>
      <c r="G70" s="112"/>
      <c r="H70" s="124"/>
      <c r="I70" s="125"/>
    </row>
    <row r="71" spans="1:9" x14ac:dyDescent="0.25">
      <c r="A71" s="112"/>
      <c r="B71" s="112"/>
      <c r="C71" s="113"/>
      <c r="D71" s="113"/>
      <c r="F71" s="112"/>
      <c r="G71" s="112"/>
      <c r="H71" s="124"/>
      <c r="I71" s="125"/>
    </row>
    <row r="72" spans="1:9" x14ac:dyDescent="0.25">
      <c r="A72" s="112"/>
      <c r="B72" s="112"/>
      <c r="C72" s="113"/>
      <c r="D72" s="113"/>
      <c r="F72" s="112"/>
      <c r="G72" s="112"/>
      <c r="H72" s="124"/>
      <c r="I72" s="125"/>
    </row>
    <row r="73" spans="1:9" x14ac:dyDescent="0.25">
      <c r="A73" s="112"/>
      <c r="B73" s="112"/>
      <c r="C73" s="113"/>
      <c r="D73" s="113"/>
      <c r="F73" s="112"/>
      <c r="G73" s="112"/>
      <c r="H73" s="124"/>
      <c r="I73" s="125"/>
    </row>
    <row r="74" spans="1:9" x14ac:dyDescent="0.25">
      <c r="A74" s="112"/>
      <c r="B74" s="112"/>
      <c r="C74" s="113"/>
      <c r="D74" s="113"/>
      <c r="F74" s="112"/>
      <c r="G74" s="112"/>
      <c r="H74" s="124"/>
      <c r="I74" s="125"/>
    </row>
    <row r="75" spans="1:9" x14ac:dyDescent="0.25">
      <c r="A75" s="112"/>
      <c r="B75" s="112"/>
      <c r="C75" s="113"/>
      <c r="D75" s="113"/>
      <c r="F75" s="112"/>
      <c r="G75" s="112"/>
      <c r="H75" s="124"/>
      <c r="I75" s="125"/>
    </row>
    <row r="76" spans="1:9" x14ac:dyDescent="0.25">
      <c r="A76" s="112"/>
      <c r="B76" s="112"/>
      <c r="C76" s="113"/>
      <c r="D76" s="113"/>
      <c r="F76" s="112"/>
      <c r="G76" s="112"/>
      <c r="H76" s="124"/>
      <c r="I76" s="125"/>
    </row>
    <row r="77" spans="1:9" x14ac:dyDescent="0.25">
      <c r="A77" s="112"/>
      <c r="B77" s="112"/>
      <c r="C77" s="113"/>
      <c r="D77" s="113"/>
      <c r="F77" s="112"/>
      <c r="G77" s="112"/>
      <c r="H77" s="124"/>
      <c r="I77" s="125"/>
    </row>
    <row r="78" spans="1:9" x14ac:dyDescent="0.25">
      <c r="A78" s="112"/>
      <c r="B78" s="112"/>
      <c r="C78" s="113"/>
      <c r="D78" s="113"/>
      <c r="F78" s="112"/>
      <c r="G78" s="112"/>
      <c r="H78" s="124"/>
      <c r="I78" s="125"/>
    </row>
    <row r="79" spans="1:9" x14ac:dyDescent="0.25">
      <c r="A79" s="112"/>
      <c r="B79" s="112"/>
      <c r="C79" s="113"/>
      <c r="D79" s="113"/>
      <c r="F79" s="112"/>
      <c r="G79" s="112"/>
      <c r="H79" s="124"/>
      <c r="I79" s="125"/>
    </row>
    <row r="80" spans="1:9" x14ac:dyDescent="0.25">
      <c r="A80" s="112"/>
      <c r="B80" s="112"/>
      <c r="C80" s="113"/>
      <c r="D80" s="113"/>
      <c r="F80" s="112"/>
      <c r="G80" s="112"/>
      <c r="H80" s="124"/>
      <c r="I80" s="125"/>
    </row>
    <row r="81" spans="1:9" x14ac:dyDescent="0.25">
      <c r="A81" s="112"/>
      <c r="B81" s="112"/>
      <c r="C81" s="113"/>
      <c r="D81" s="113"/>
      <c r="F81" s="112"/>
      <c r="G81" s="112"/>
      <c r="H81" s="124"/>
      <c r="I81" s="125"/>
    </row>
    <row r="82" spans="1:9" x14ac:dyDescent="0.25">
      <c r="A82" s="112"/>
      <c r="B82" s="112"/>
      <c r="C82" s="113"/>
      <c r="D82" s="113"/>
      <c r="F82" s="112"/>
      <c r="G82" s="112"/>
      <c r="H82" s="124"/>
      <c r="I82" s="125"/>
    </row>
    <row r="83" spans="1:9" x14ac:dyDescent="0.25">
      <c r="A83" s="112"/>
      <c r="B83" s="112"/>
      <c r="C83" s="113"/>
      <c r="D83" s="113"/>
      <c r="F83" s="112"/>
      <c r="G83" s="112"/>
      <c r="H83" s="124"/>
      <c r="I83" s="125"/>
    </row>
    <row r="84" spans="1:9" x14ac:dyDescent="0.25">
      <c r="A84" s="112"/>
      <c r="B84" s="112"/>
      <c r="C84" s="113"/>
      <c r="D84" s="113"/>
      <c r="F84" s="112"/>
      <c r="G84" s="112"/>
      <c r="H84" s="124"/>
      <c r="I84" s="125"/>
    </row>
    <row r="85" spans="1:9" x14ac:dyDescent="0.25">
      <c r="A85" s="112"/>
      <c r="B85" s="112"/>
      <c r="C85" s="113"/>
      <c r="D85" s="113"/>
      <c r="F85" s="112"/>
      <c r="G85" s="112"/>
      <c r="H85" s="124"/>
      <c r="I85" s="125"/>
    </row>
    <row r="86" spans="1:9" x14ac:dyDescent="0.25">
      <c r="A86" s="112"/>
      <c r="B86" s="112"/>
      <c r="C86" s="113"/>
      <c r="D86" s="113"/>
      <c r="F86" s="112"/>
      <c r="G86" s="112"/>
      <c r="H86" s="124"/>
      <c r="I86" s="125"/>
    </row>
    <row r="87" spans="1:9" x14ac:dyDescent="0.25">
      <c r="A87" s="112"/>
      <c r="B87" s="112"/>
      <c r="C87" s="113"/>
      <c r="D87" s="113"/>
      <c r="F87" s="112"/>
      <c r="G87" s="112"/>
      <c r="H87" s="124"/>
      <c r="I87" s="125"/>
    </row>
    <row r="88" spans="1:9" x14ac:dyDescent="0.25">
      <c r="A88" s="112"/>
      <c r="B88" s="112"/>
      <c r="C88" s="113"/>
      <c r="D88" s="113"/>
      <c r="F88" s="112"/>
      <c r="G88" s="112"/>
      <c r="H88" s="124"/>
      <c r="I88" s="125"/>
    </row>
    <row r="89" spans="1:9" x14ac:dyDescent="0.25">
      <c r="A89" s="112"/>
      <c r="B89" s="112"/>
      <c r="C89" s="113"/>
      <c r="D89" s="113"/>
      <c r="F89" s="112"/>
      <c r="G89" s="112"/>
      <c r="H89" s="124"/>
      <c r="I89" s="125"/>
    </row>
    <row r="90" spans="1:9" x14ac:dyDescent="0.25">
      <c r="A90" s="112"/>
      <c r="B90" s="112"/>
      <c r="C90" s="113"/>
      <c r="D90" s="113"/>
      <c r="F90" s="112"/>
      <c r="G90" s="112"/>
      <c r="H90" s="124"/>
      <c r="I90" s="125"/>
    </row>
    <row r="91" spans="1:9" x14ac:dyDescent="0.25">
      <c r="A91" s="112"/>
      <c r="B91" s="112"/>
      <c r="C91" s="113"/>
      <c r="D91" s="113"/>
      <c r="F91" s="112"/>
      <c r="G91" s="112"/>
      <c r="H91" s="124"/>
      <c r="I91" s="125"/>
    </row>
    <row r="92" spans="1:9" x14ac:dyDescent="0.25">
      <c r="A92" s="112"/>
      <c r="B92" s="112"/>
      <c r="C92" s="113"/>
      <c r="D92" s="113"/>
      <c r="F92" s="112"/>
      <c r="G92" s="112"/>
      <c r="H92" s="124"/>
      <c r="I92" s="125"/>
    </row>
    <row r="93" spans="1:9" x14ac:dyDescent="0.25">
      <c r="A93" s="112"/>
      <c r="B93" s="112"/>
      <c r="C93" s="113"/>
      <c r="D93" s="113"/>
      <c r="F93" s="112"/>
      <c r="G93" s="112"/>
      <c r="H93" s="124"/>
      <c r="I93" s="125"/>
    </row>
    <row r="94" spans="1:9" x14ac:dyDescent="0.25">
      <c r="A94" s="112"/>
      <c r="B94" s="112"/>
      <c r="C94" s="113"/>
      <c r="D94" s="113"/>
      <c r="F94" s="112"/>
      <c r="G94" s="112"/>
      <c r="H94" s="124"/>
      <c r="I94" s="125"/>
    </row>
    <row r="95" spans="1:9" x14ac:dyDescent="0.25">
      <c r="A95" s="112"/>
      <c r="B95" s="112"/>
      <c r="C95" s="113"/>
      <c r="D95" s="113"/>
      <c r="F95" s="112"/>
      <c r="G95" s="112"/>
      <c r="H95" s="124"/>
      <c r="I95" s="125"/>
    </row>
    <row r="96" spans="1:9" x14ac:dyDescent="0.25">
      <c r="A96" s="112"/>
      <c r="B96" s="112"/>
      <c r="C96" s="113"/>
      <c r="D96" s="113"/>
      <c r="F96" s="112"/>
      <c r="G96" s="112"/>
      <c r="H96" s="124"/>
      <c r="I96" s="125"/>
    </row>
    <row r="97" spans="1:9" x14ac:dyDescent="0.25">
      <c r="A97" s="112"/>
      <c r="B97" s="112"/>
      <c r="C97" s="113"/>
      <c r="D97" s="113"/>
      <c r="F97" s="112"/>
      <c r="G97" s="112"/>
      <c r="H97" s="124"/>
      <c r="I97" s="125"/>
    </row>
    <row r="98" spans="1:9" x14ac:dyDescent="0.25">
      <c r="A98" s="112"/>
      <c r="B98" s="112"/>
      <c r="C98" s="113"/>
      <c r="D98" s="113"/>
      <c r="F98" s="112"/>
      <c r="G98" s="112"/>
      <c r="H98" s="124"/>
      <c r="I98" s="125"/>
    </row>
    <row r="99" spans="1:9" x14ac:dyDescent="0.25">
      <c r="A99" s="112"/>
      <c r="B99" s="112"/>
      <c r="C99" s="113"/>
      <c r="D99" s="113"/>
      <c r="F99" s="112"/>
      <c r="G99" s="112"/>
      <c r="H99" s="124"/>
      <c r="I99" s="125"/>
    </row>
    <row r="100" spans="1:9" x14ac:dyDescent="0.25">
      <c r="A100" s="112"/>
      <c r="B100" s="112"/>
      <c r="C100" s="113"/>
      <c r="D100" s="113"/>
      <c r="F100" s="112"/>
      <c r="G100" s="112"/>
      <c r="H100" s="124"/>
      <c r="I100" s="125"/>
    </row>
    <row r="101" spans="1:9" x14ac:dyDescent="0.25">
      <c r="A101" s="112"/>
      <c r="B101" s="112"/>
      <c r="C101" s="113"/>
      <c r="D101" s="113"/>
      <c r="F101" s="112"/>
      <c r="G101" s="112"/>
      <c r="H101" s="124"/>
      <c r="I101" s="125"/>
    </row>
    <row r="102" spans="1:9" x14ac:dyDescent="0.25">
      <c r="A102" s="112"/>
      <c r="B102" s="112"/>
      <c r="C102" s="113"/>
      <c r="D102" s="113"/>
      <c r="F102" s="112"/>
      <c r="G102" s="112"/>
      <c r="H102" s="124"/>
      <c r="I102" s="125"/>
    </row>
    <row r="103" spans="1:9" x14ac:dyDescent="0.25">
      <c r="A103" s="112"/>
      <c r="B103" s="112"/>
      <c r="C103" s="113"/>
      <c r="D103" s="113"/>
      <c r="F103" s="112"/>
      <c r="G103" s="112"/>
      <c r="H103" s="124"/>
      <c r="I103" s="125"/>
    </row>
    <row r="104" spans="1:9" x14ac:dyDescent="0.25">
      <c r="A104" s="112"/>
      <c r="B104" s="112"/>
      <c r="C104" s="113"/>
      <c r="D104" s="113"/>
      <c r="F104" s="112"/>
      <c r="G104" s="112"/>
      <c r="H104" s="124"/>
      <c r="I104" s="125"/>
    </row>
    <row r="105" spans="1:9" x14ac:dyDescent="0.25">
      <c r="A105" s="112"/>
      <c r="B105" s="112"/>
      <c r="C105" s="113"/>
      <c r="D105" s="113"/>
      <c r="F105" s="112"/>
      <c r="G105" s="112"/>
      <c r="H105" s="124"/>
      <c r="I105" s="125"/>
    </row>
    <row r="106" spans="1:9" x14ac:dyDescent="0.25">
      <c r="A106" s="112"/>
      <c r="B106" s="112"/>
      <c r="C106" s="113"/>
      <c r="D106" s="113"/>
      <c r="F106" s="112"/>
      <c r="G106" s="112"/>
      <c r="H106" s="124"/>
      <c r="I106" s="125"/>
    </row>
    <row r="107" spans="1:9" x14ac:dyDescent="0.25">
      <c r="A107" s="112"/>
      <c r="B107" s="112"/>
      <c r="C107" s="113"/>
      <c r="D107" s="113"/>
      <c r="F107" s="112"/>
      <c r="G107" s="112"/>
      <c r="H107" s="124"/>
      <c r="I107" s="125"/>
    </row>
    <row r="108" spans="1:9" x14ac:dyDescent="0.25">
      <c r="A108" s="112"/>
      <c r="B108" s="112"/>
      <c r="C108" s="114"/>
      <c r="D108" s="113"/>
      <c r="F108" s="112"/>
      <c r="G108" s="112"/>
      <c r="H108" s="124"/>
      <c r="I108" s="125"/>
    </row>
    <row r="109" spans="1:9" x14ac:dyDescent="0.25">
      <c r="A109" s="112"/>
      <c r="B109" s="112"/>
      <c r="C109" s="113"/>
      <c r="D109" s="113"/>
      <c r="F109" s="112"/>
      <c r="G109" s="112"/>
      <c r="H109" s="124"/>
      <c r="I109" s="125"/>
    </row>
    <row r="110" spans="1:9" x14ac:dyDescent="0.25">
      <c r="A110" s="112"/>
      <c r="B110" s="112"/>
      <c r="C110" s="113"/>
      <c r="D110" s="113"/>
      <c r="F110" s="112"/>
      <c r="G110" s="112"/>
      <c r="H110" s="124"/>
      <c r="I110" s="125"/>
    </row>
    <row r="111" spans="1:9" x14ac:dyDescent="0.25">
      <c r="A111" s="112"/>
      <c r="B111" s="112"/>
      <c r="C111" s="113"/>
      <c r="D111" s="113"/>
      <c r="F111" s="112"/>
      <c r="G111" s="112"/>
      <c r="H111" s="124"/>
      <c r="I111" s="125"/>
    </row>
    <row r="112" spans="1:9" x14ac:dyDescent="0.25">
      <c r="A112" s="112"/>
      <c r="B112" s="112"/>
      <c r="C112" s="113"/>
      <c r="D112" s="113"/>
      <c r="F112" s="112"/>
      <c r="G112" s="112"/>
      <c r="H112" s="124"/>
      <c r="I112" s="125"/>
    </row>
    <row r="113" spans="1:9" x14ac:dyDescent="0.25">
      <c r="A113" s="112"/>
      <c r="B113" s="112"/>
      <c r="C113" s="113"/>
      <c r="D113" s="113"/>
      <c r="F113" s="112"/>
      <c r="G113" s="112"/>
      <c r="H113" s="124"/>
      <c r="I113" s="125"/>
    </row>
    <row r="114" spans="1:9" x14ac:dyDescent="0.25">
      <c r="A114" s="112"/>
      <c r="B114" s="112"/>
      <c r="C114" s="113"/>
      <c r="D114" s="113"/>
      <c r="F114" s="112"/>
      <c r="G114" s="112"/>
      <c r="H114" s="124"/>
      <c r="I114" s="125"/>
    </row>
    <row r="115" spans="1:9" x14ac:dyDescent="0.25">
      <c r="A115" s="112"/>
      <c r="B115" s="112"/>
      <c r="C115" s="113"/>
      <c r="D115" s="113"/>
      <c r="F115" s="112"/>
      <c r="G115" s="112"/>
      <c r="H115" s="124"/>
      <c r="I115" s="125"/>
    </row>
    <row r="116" spans="1:9" x14ac:dyDescent="0.25">
      <c r="A116" s="112"/>
      <c r="B116" s="112"/>
      <c r="C116" s="113"/>
      <c r="D116" s="113"/>
      <c r="F116" s="112"/>
      <c r="G116" s="112"/>
      <c r="H116" s="124"/>
      <c r="I116" s="125"/>
    </row>
    <row r="117" spans="1:9" x14ac:dyDescent="0.25">
      <c r="A117" s="112"/>
      <c r="B117" s="112"/>
      <c r="C117" s="113"/>
      <c r="D117" s="113"/>
      <c r="F117" s="112"/>
      <c r="G117" s="112"/>
      <c r="H117" s="124"/>
      <c r="I117" s="125"/>
    </row>
    <row r="118" spans="1:9" x14ac:dyDescent="0.25">
      <c r="A118" s="112"/>
      <c r="B118" s="112"/>
      <c r="C118" s="113"/>
      <c r="D118" s="113"/>
      <c r="F118" s="112"/>
      <c r="G118" s="112"/>
      <c r="H118" s="124"/>
      <c r="I118" s="125"/>
    </row>
    <row r="119" spans="1:9" x14ac:dyDescent="0.25">
      <c r="A119" s="112"/>
      <c r="B119" s="112"/>
      <c r="C119" s="113"/>
      <c r="D119" s="113"/>
      <c r="F119" s="112"/>
      <c r="G119" s="112"/>
      <c r="H119" s="124"/>
      <c r="I119" s="125"/>
    </row>
    <row r="120" spans="1:9" x14ac:dyDescent="0.25">
      <c r="A120" s="112"/>
      <c r="B120" s="112"/>
      <c r="C120" s="113"/>
      <c r="D120" s="113"/>
      <c r="F120" s="112"/>
      <c r="G120" s="112"/>
      <c r="H120" s="124"/>
      <c r="I120" s="125"/>
    </row>
    <row r="121" spans="1:9" x14ac:dyDescent="0.25">
      <c r="A121" s="112"/>
      <c r="B121" s="112"/>
      <c r="C121" s="113"/>
      <c r="D121" s="113"/>
      <c r="F121" s="112"/>
      <c r="G121" s="112"/>
      <c r="H121" s="124"/>
      <c r="I121" s="125"/>
    </row>
    <row r="122" spans="1:9" x14ac:dyDescent="0.25">
      <c r="A122" s="112"/>
      <c r="B122" s="112"/>
      <c r="C122" s="113"/>
      <c r="D122" s="113"/>
      <c r="F122" s="112"/>
      <c r="G122" s="112"/>
      <c r="H122" s="124"/>
      <c r="I122" s="125"/>
    </row>
    <row r="123" spans="1:9" x14ac:dyDescent="0.25">
      <c r="A123" s="112"/>
      <c r="B123" s="112"/>
      <c r="C123" s="113"/>
      <c r="D123" s="113"/>
      <c r="F123" s="112"/>
      <c r="G123" s="112"/>
      <c r="H123" s="124"/>
      <c r="I123" s="125"/>
    </row>
    <row r="124" spans="1:9" x14ac:dyDescent="0.25">
      <c r="A124" s="112"/>
      <c r="B124" s="112"/>
      <c r="C124" s="113"/>
      <c r="D124" s="113"/>
      <c r="F124" s="112"/>
      <c r="G124" s="112"/>
      <c r="H124" s="124"/>
      <c r="I124" s="125"/>
    </row>
    <row r="125" spans="1:9" x14ac:dyDescent="0.25">
      <c r="A125" s="112"/>
      <c r="B125" s="112"/>
      <c r="C125" s="113"/>
      <c r="D125" s="113"/>
      <c r="F125" s="112"/>
      <c r="G125" s="112"/>
      <c r="H125" s="124"/>
      <c r="I125" s="125"/>
    </row>
    <row r="126" spans="1:9" x14ac:dyDescent="0.25">
      <c r="A126" s="112"/>
      <c r="B126" s="112"/>
      <c r="C126" s="113"/>
      <c r="D126" s="113"/>
      <c r="F126" s="112"/>
      <c r="G126" s="112"/>
      <c r="H126" s="124"/>
      <c r="I126" s="125"/>
    </row>
    <row r="127" spans="1:9" x14ac:dyDescent="0.25">
      <c r="A127" s="112"/>
      <c r="B127" s="112"/>
      <c r="C127" s="113"/>
      <c r="D127" s="113"/>
      <c r="F127" s="112"/>
      <c r="G127" s="112"/>
      <c r="H127" s="124"/>
      <c r="I127" s="125"/>
    </row>
    <row r="128" spans="1:9" x14ac:dyDescent="0.25">
      <c r="A128" s="112"/>
      <c r="B128" s="112"/>
      <c r="C128" s="113"/>
      <c r="D128" s="113"/>
      <c r="F128" s="112"/>
      <c r="G128" s="112"/>
      <c r="H128" s="124"/>
      <c r="I128" s="125"/>
    </row>
    <row r="129" spans="1:9" x14ac:dyDescent="0.25">
      <c r="A129" s="112"/>
      <c r="B129" s="112"/>
      <c r="C129" s="113"/>
      <c r="D129" s="113"/>
      <c r="F129" s="112"/>
      <c r="G129" s="112"/>
      <c r="H129" s="124"/>
      <c r="I129" s="125"/>
    </row>
    <row r="130" spans="1:9" x14ac:dyDescent="0.25">
      <c r="A130" s="112"/>
      <c r="B130" s="112"/>
      <c r="C130" s="113"/>
      <c r="D130" s="113"/>
      <c r="F130" s="112"/>
      <c r="G130" s="112"/>
      <c r="H130" s="124"/>
      <c r="I130" s="125"/>
    </row>
    <row r="131" spans="1:9" x14ac:dyDescent="0.25">
      <c r="A131" s="112"/>
      <c r="B131" s="112"/>
      <c r="C131" s="113"/>
      <c r="D131" s="113"/>
      <c r="F131" s="112"/>
      <c r="G131" s="112"/>
      <c r="H131" s="124"/>
      <c r="I131" s="125"/>
    </row>
    <row r="132" spans="1:9" x14ac:dyDescent="0.25">
      <c r="A132" s="112"/>
      <c r="B132" s="112"/>
      <c r="C132" s="113"/>
      <c r="D132" s="113"/>
      <c r="F132" s="112"/>
      <c r="G132" s="112"/>
      <c r="H132" s="124"/>
      <c r="I132" s="125"/>
    </row>
    <row r="133" spans="1:9" x14ac:dyDescent="0.25">
      <c r="A133" s="112"/>
      <c r="B133" s="112"/>
      <c r="C133" s="113"/>
      <c r="D133" s="113"/>
      <c r="F133" s="112"/>
      <c r="G133" s="112"/>
      <c r="H133" s="124"/>
      <c r="I133" s="125"/>
    </row>
    <row r="134" spans="1:9" x14ac:dyDescent="0.25">
      <c r="A134" s="112"/>
      <c r="B134" s="112"/>
      <c r="C134" s="113"/>
      <c r="D134" s="113"/>
      <c r="F134" s="112"/>
      <c r="G134" s="112"/>
      <c r="H134" s="124"/>
      <c r="I134" s="125"/>
    </row>
    <row r="135" spans="1:9" x14ac:dyDescent="0.25">
      <c r="A135" s="112"/>
      <c r="B135" s="112"/>
      <c r="C135" s="113"/>
      <c r="D135" s="113"/>
      <c r="F135" s="112"/>
      <c r="G135" s="112"/>
      <c r="H135" s="124"/>
      <c r="I135" s="125"/>
    </row>
    <row r="136" spans="1:9" x14ac:dyDescent="0.25">
      <c r="A136" s="112"/>
      <c r="B136" s="112"/>
      <c r="C136" s="113"/>
      <c r="D136" s="113"/>
      <c r="F136" s="112"/>
      <c r="G136" s="112"/>
      <c r="H136" s="124"/>
      <c r="I136" s="125"/>
    </row>
    <row r="137" spans="1:9" x14ac:dyDescent="0.25">
      <c r="A137" s="112"/>
      <c r="B137" s="112"/>
      <c r="C137" s="113"/>
      <c r="D137" s="113"/>
      <c r="F137" s="112"/>
      <c r="G137" s="112"/>
      <c r="H137" s="124"/>
      <c r="I137" s="125"/>
    </row>
    <row r="138" spans="1:9" x14ac:dyDescent="0.25">
      <c r="A138" s="112"/>
      <c r="B138" s="112"/>
      <c r="C138" s="113"/>
      <c r="D138" s="113"/>
      <c r="F138" s="112"/>
      <c r="G138" s="112"/>
      <c r="H138" s="124"/>
      <c r="I138" s="125"/>
    </row>
    <row r="139" spans="1:9" x14ac:dyDescent="0.25">
      <c r="A139" s="112"/>
      <c r="B139" s="112"/>
      <c r="C139" s="113"/>
      <c r="D139" s="113"/>
      <c r="F139" s="112"/>
      <c r="G139" s="112"/>
      <c r="H139" s="124"/>
      <c r="I139" s="125"/>
    </row>
    <row r="140" spans="1:9" x14ac:dyDescent="0.25">
      <c r="A140" s="112"/>
      <c r="B140" s="112"/>
      <c r="C140" s="113"/>
      <c r="D140" s="113"/>
      <c r="F140" s="112"/>
      <c r="G140" s="112"/>
      <c r="H140" s="124"/>
      <c r="I140" s="125"/>
    </row>
    <row r="141" spans="1:9" x14ac:dyDescent="0.25">
      <c r="A141" s="112"/>
      <c r="B141" s="112"/>
      <c r="C141" s="113"/>
      <c r="D141" s="113"/>
      <c r="F141" s="112"/>
      <c r="G141" s="112"/>
      <c r="H141" s="124"/>
      <c r="I141" s="125"/>
    </row>
    <row r="142" spans="1:9" x14ac:dyDescent="0.25">
      <c r="A142" s="112"/>
      <c r="B142" s="112"/>
      <c r="C142" s="113"/>
      <c r="D142" s="113"/>
      <c r="F142" s="112"/>
      <c r="G142" s="112"/>
      <c r="H142" s="124"/>
      <c r="I142" s="125"/>
    </row>
    <row r="143" spans="1:9" x14ac:dyDescent="0.25">
      <c r="A143" s="112"/>
      <c r="B143" s="112"/>
      <c r="C143" s="113"/>
      <c r="D143" s="113"/>
      <c r="F143" s="112"/>
      <c r="G143" s="112"/>
      <c r="H143" s="124"/>
      <c r="I143" s="125"/>
    </row>
    <row r="144" spans="1:9" x14ac:dyDescent="0.25">
      <c r="A144" s="112"/>
      <c r="B144" s="112"/>
      <c r="C144" s="113"/>
      <c r="D144" s="113"/>
      <c r="F144" s="112"/>
      <c r="G144" s="112"/>
      <c r="H144" s="124"/>
      <c r="I144" s="125"/>
    </row>
    <row r="145" spans="1:9" x14ac:dyDescent="0.25">
      <c r="A145" s="112"/>
      <c r="B145" s="112"/>
      <c r="C145" s="113"/>
      <c r="D145" s="113"/>
      <c r="F145" s="112"/>
      <c r="G145" s="112"/>
      <c r="H145" s="124"/>
      <c r="I145" s="125"/>
    </row>
    <row r="146" spans="1:9" x14ac:dyDescent="0.25">
      <c r="A146" s="112"/>
      <c r="B146" s="112"/>
      <c r="C146" s="113"/>
      <c r="D146" s="113"/>
      <c r="F146" s="112"/>
      <c r="G146" s="112"/>
      <c r="H146" s="124"/>
      <c r="I146" s="125"/>
    </row>
    <row r="147" spans="1:9" x14ac:dyDescent="0.25">
      <c r="E147" s="112"/>
      <c r="G147" s="112"/>
    </row>
    <row r="148" spans="1:9" x14ac:dyDescent="0.25">
      <c r="E148" s="112"/>
      <c r="G148" s="112"/>
    </row>
    <row r="149" spans="1:9" x14ac:dyDescent="0.25">
      <c r="E149" s="112"/>
      <c r="G149" s="112"/>
    </row>
    <row r="150" spans="1:9" x14ac:dyDescent="0.25">
      <c r="E150" s="112"/>
      <c r="G150" s="112"/>
    </row>
    <row r="151" spans="1:9" x14ac:dyDescent="0.25">
      <c r="E151" s="112"/>
      <c r="G151" s="112"/>
    </row>
    <row r="152" spans="1:9" x14ac:dyDescent="0.25">
      <c r="E152" s="112"/>
      <c r="G152" s="112"/>
    </row>
    <row r="153" spans="1:9" x14ac:dyDescent="0.25">
      <c r="E153" s="112"/>
      <c r="G153" s="112"/>
    </row>
    <row r="154" spans="1:9" x14ac:dyDescent="0.25">
      <c r="E154" s="112"/>
      <c r="G154" s="112"/>
    </row>
    <row r="155" spans="1:9" x14ac:dyDescent="0.25">
      <c r="E155" s="112"/>
      <c r="G155" s="112"/>
    </row>
    <row r="156" spans="1:9" x14ac:dyDescent="0.25">
      <c r="E156" s="112"/>
      <c r="G156" s="112"/>
    </row>
    <row r="157" spans="1:9" x14ac:dyDescent="0.25">
      <c r="E157" s="112"/>
      <c r="G157" s="112"/>
    </row>
    <row r="158" spans="1:9" x14ac:dyDescent="0.25">
      <c r="E158" s="112"/>
      <c r="G158" s="112"/>
    </row>
    <row r="159" spans="1:9" x14ac:dyDescent="0.25">
      <c r="E159" s="112"/>
      <c r="G159" s="112"/>
    </row>
    <row r="160" spans="1:9" x14ac:dyDescent="0.25">
      <c r="E160" s="112"/>
      <c r="G160" s="112"/>
    </row>
    <row r="161" spans="5:7" x14ac:dyDescent="0.25">
      <c r="E161" s="112"/>
      <c r="G161" s="112"/>
    </row>
    <row r="162" spans="5:7" x14ac:dyDescent="0.25">
      <c r="E162" s="112"/>
      <c r="G162" s="112"/>
    </row>
    <row r="163" spans="5:7" x14ac:dyDescent="0.25">
      <c r="E163" s="112"/>
      <c r="G163" s="112"/>
    </row>
    <row r="164" spans="5:7" x14ac:dyDescent="0.25">
      <c r="E164" s="112"/>
      <c r="G164" s="112"/>
    </row>
    <row r="165" spans="5:7" x14ac:dyDescent="0.25">
      <c r="E165" s="112"/>
      <c r="G165" s="112"/>
    </row>
    <row r="166" spans="5:7" x14ac:dyDescent="0.25">
      <c r="E166" s="112"/>
      <c r="G166" s="112"/>
    </row>
    <row r="167" spans="5:7" x14ac:dyDescent="0.25">
      <c r="E167" s="112"/>
      <c r="G167" s="112"/>
    </row>
    <row r="168" spans="5:7" x14ac:dyDescent="0.25">
      <c r="E168" s="112"/>
      <c r="G168" s="112"/>
    </row>
    <row r="169" spans="5:7" x14ac:dyDescent="0.25">
      <c r="E169" s="112"/>
      <c r="G169" s="112"/>
    </row>
    <row r="170" spans="5:7" x14ac:dyDescent="0.25">
      <c r="E170" s="112"/>
      <c r="G170" s="112"/>
    </row>
    <row r="171" spans="5:7" x14ac:dyDescent="0.25">
      <c r="E171" s="112"/>
      <c r="G171" s="112"/>
    </row>
    <row r="172" spans="5:7" x14ac:dyDescent="0.25">
      <c r="E172" s="112"/>
      <c r="G172" s="112"/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179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4"/>
      <c r="E4" s="135"/>
      <c r="H4" s="1" t="s">
        <v>17</v>
      </c>
    </row>
    <row r="5" spans="1:19" ht="45" x14ac:dyDescent="0.25">
      <c r="A5" s="136" t="s">
        <v>16</v>
      </c>
      <c r="B5" s="115" t="s">
        <v>14</v>
      </c>
      <c r="C5" s="115" t="s">
        <v>173</v>
      </c>
      <c r="D5" s="142" t="s">
        <v>170</v>
      </c>
      <c r="E5" s="137" t="s">
        <v>9</v>
      </c>
      <c r="H5" s="35" t="s">
        <v>169</v>
      </c>
    </row>
    <row r="6" spans="1:19" x14ac:dyDescent="0.25">
      <c r="A6" s="138">
        <f>B6+273.15</f>
        <v>873.15</v>
      </c>
      <c r="B6" s="139">
        <v>600</v>
      </c>
      <c r="C6" s="140">
        <f>5.5835</f>
        <v>5.5834999999999999</v>
      </c>
      <c r="D6" s="140">
        <v>9.9999999999999995E-8</v>
      </c>
      <c r="E6" s="153">
        <f>C6*D6</f>
        <v>5.5834999999999991E-7</v>
      </c>
    </row>
    <row r="7" spans="1:19" x14ac:dyDescent="0.25">
      <c r="A7" s="138">
        <f t="shared" ref="A7:A12" si="0">B7+273.15</f>
        <v>823.15</v>
      </c>
      <c r="B7" s="139">
        <v>550</v>
      </c>
      <c r="C7" s="140">
        <f>2.035</f>
        <v>2.0350000000000001</v>
      </c>
      <c r="D7" s="140">
        <v>9.9999999999999995E-8</v>
      </c>
      <c r="E7" s="153">
        <f>C7*D7</f>
        <v>2.0350000000000002E-7</v>
      </c>
      <c r="H7" s="111" t="s">
        <v>18</v>
      </c>
    </row>
    <row r="8" spans="1:19" ht="15.75" x14ac:dyDescent="0.25">
      <c r="A8" s="138">
        <f t="shared" si="0"/>
        <v>773.15</v>
      </c>
      <c r="B8" s="139">
        <v>500</v>
      </c>
      <c r="C8" s="140">
        <f>0.67167</f>
        <v>0.67166999999999999</v>
      </c>
      <c r="D8" s="140">
        <v>9.9999999999999995E-8</v>
      </c>
      <c r="E8" s="153">
        <f t="shared" ref="E8:E12" si="1">C8*D8</f>
        <v>6.7166999999999995E-8</v>
      </c>
      <c r="G8" s="111">
        <v>1</v>
      </c>
      <c r="H8" s="35" t="s">
        <v>162</v>
      </c>
    </row>
    <row r="9" spans="1:19" ht="15.75" x14ac:dyDescent="0.25">
      <c r="A9" s="138">
        <f t="shared" si="0"/>
        <v>748.15</v>
      </c>
      <c r="B9" s="139">
        <v>475</v>
      </c>
      <c r="C9" s="140"/>
      <c r="D9" s="140"/>
      <c r="E9" s="153">
        <f>(1*10^-33)*(B9^9.5439)</f>
        <v>3.5163827499207984E-8</v>
      </c>
      <c r="G9" s="111">
        <v>2</v>
      </c>
      <c r="H9" s="35" t="s">
        <v>164</v>
      </c>
    </row>
    <row r="10" spans="1:19" ht="16.5" thickBot="1" x14ac:dyDescent="0.3">
      <c r="A10" s="138">
        <f t="shared" si="0"/>
        <v>723.32730560578659</v>
      </c>
      <c r="B10" s="139">
        <v>450.17730560578661</v>
      </c>
      <c r="C10" s="140">
        <f>0.29875</f>
        <v>0.29875000000000002</v>
      </c>
      <c r="D10" s="140">
        <v>9.9999999999999995E-8</v>
      </c>
      <c r="E10" s="153">
        <f t="shared" si="1"/>
        <v>2.9875000000000001E-8</v>
      </c>
      <c r="J10" s="2"/>
    </row>
    <row r="11" spans="1:19" ht="19.5" thickBot="1" x14ac:dyDescent="0.3">
      <c r="A11" s="138">
        <f t="shared" si="0"/>
        <v>698.15</v>
      </c>
      <c r="B11" s="139">
        <v>425</v>
      </c>
      <c r="C11" s="140"/>
      <c r="D11" s="140">
        <v>9.9999999999999995E-8</v>
      </c>
      <c r="E11" s="153">
        <f>(1*10^-33)*(B11^9.5439)</f>
        <v>1.2164131586308718E-8</v>
      </c>
      <c r="H11" s="169" t="s">
        <v>184</v>
      </c>
    </row>
    <row r="12" spans="1:19" ht="15.75" thickBot="1" x14ac:dyDescent="0.3">
      <c r="A12" s="141">
        <f t="shared" si="0"/>
        <v>673.15</v>
      </c>
      <c r="B12" s="131">
        <v>400</v>
      </c>
      <c r="C12" s="130">
        <f>0.1136</f>
        <v>0.11360000000000001</v>
      </c>
      <c r="D12" s="130">
        <v>9.9999999999999995E-8</v>
      </c>
      <c r="E12" s="154">
        <f t="shared" si="1"/>
        <v>1.136E-8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2"/>
      <c r="D13" s="11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75.75" thickBot="1" x14ac:dyDescent="0.3">
      <c r="A15" s="136" t="s">
        <v>16</v>
      </c>
      <c r="B15" s="115" t="s">
        <v>14</v>
      </c>
      <c r="C15" s="142" t="s">
        <v>37</v>
      </c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873.15</v>
      </c>
      <c r="B16" s="139">
        <v>600</v>
      </c>
      <c r="C16" s="140">
        <f>'PCO,Ma (ACS Appl)'!E34</f>
        <v>638.68222135798283</v>
      </c>
      <c r="D16" s="157">
        <f>E6/C16</f>
        <v>8.7422192340475923E-10</v>
      </c>
    </row>
    <row r="17" spans="1:12" x14ac:dyDescent="0.25">
      <c r="A17" s="138">
        <f t="shared" ref="A17:A20" si="2">B17+273.15</f>
        <v>823.15</v>
      </c>
      <c r="B17" s="139">
        <v>550</v>
      </c>
      <c r="C17" s="140">
        <f>'PCO,Ma (ACS Appl)'!E36</f>
        <v>338.61545485206557</v>
      </c>
      <c r="D17" s="157">
        <f>E7/C17</f>
        <v>6.0097670405771993E-10</v>
      </c>
    </row>
    <row r="18" spans="1:12" x14ac:dyDescent="0.25">
      <c r="A18" s="138">
        <f t="shared" si="2"/>
        <v>773.15</v>
      </c>
      <c r="B18" s="139">
        <v>500</v>
      </c>
      <c r="C18" s="140">
        <f>'PCO,Ma (ACS Appl)'!E38</f>
        <v>287.82313662425582</v>
      </c>
      <c r="D18" s="157">
        <f>E8/C18</f>
        <v>2.3336205972796561E-10</v>
      </c>
    </row>
    <row r="19" spans="1:12" x14ac:dyDescent="0.25">
      <c r="A19" s="138">
        <f t="shared" si="2"/>
        <v>723.15</v>
      </c>
      <c r="B19" s="139">
        <v>450</v>
      </c>
      <c r="C19" s="140">
        <f>'PCO,Ma (ACS Appl)'!E40</f>
        <v>156.55494341643731</v>
      </c>
      <c r="D19" s="157">
        <f>E10/C19</f>
        <v>1.9082757368147923E-10</v>
      </c>
    </row>
    <row r="20" spans="1:12" ht="15.75" thickBot="1" x14ac:dyDescent="0.3">
      <c r="A20" s="141">
        <f t="shared" si="2"/>
        <v>673.15</v>
      </c>
      <c r="B20" s="131">
        <v>400</v>
      </c>
      <c r="C20" s="130">
        <f>'PCO,Ma (ACS Appl)'!E42</f>
        <v>97.359179826409175</v>
      </c>
      <c r="D20" s="158">
        <f>E12/C20</f>
        <v>1.1668134448394913E-10</v>
      </c>
    </row>
    <row r="21" spans="1:12" ht="15.75" thickBot="1" x14ac:dyDescent="0.3">
      <c r="A21" s="112"/>
      <c r="D21" s="114"/>
    </row>
    <row r="22" spans="1:12" ht="15.75" x14ac:dyDescent="0.25">
      <c r="A22" s="133" t="s">
        <v>19</v>
      </c>
      <c r="B22" s="134"/>
      <c r="C22" s="134"/>
      <c r="D22" s="135"/>
      <c r="G22" s="119"/>
      <c r="H22" s="119"/>
    </row>
    <row r="23" spans="1:12" ht="47.25" x14ac:dyDescent="0.25">
      <c r="A23" s="136" t="s">
        <v>16</v>
      </c>
      <c r="B23" s="115" t="s">
        <v>14</v>
      </c>
      <c r="C23" s="142" t="s">
        <v>163</v>
      </c>
      <c r="D23" s="143" t="s">
        <v>35</v>
      </c>
      <c r="G23" s="119"/>
      <c r="H23" s="114"/>
    </row>
    <row r="24" spans="1:12" x14ac:dyDescent="0.25">
      <c r="A24" s="138">
        <f t="shared" ref="A24:A28" si="3">B24+273.15</f>
        <v>773.15</v>
      </c>
      <c r="B24" s="139">
        <v>500</v>
      </c>
      <c r="C24" s="144">
        <f>'PCO,Chen (Electroceram)'!C50</f>
        <v>8.9095109483913817E-2</v>
      </c>
      <c r="D24" s="157">
        <f>($C$2*$A$2*A24)/(4*($E$2^2)*C24*D16)</f>
        <v>2215.2638278091613</v>
      </c>
      <c r="H24" s="114"/>
      <c r="K24" s="118"/>
      <c r="L24" s="118"/>
    </row>
    <row r="25" spans="1:12" x14ac:dyDescent="0.25">
      <c r="A25" s="138">
        <f t="shared" si="3"/>
        <v>748.15</v>
      </c>
      <c r="B25" s="139">
        <v>475</v>
      </c>
      <c r="C25" s="144">
        <f>'PCO,Chen (Electroceram)'!C51</f>
        <v>8.9930740547406005E-2</v>
      </c>
      <c r="D25" s="157">
        <f>($C$2*$A$2*A25)/(4*($E$2^2)*C25*D17)</f>
        <v>3089.3003110028581</v>
      </c>
      <c r="H25" s="114"/>
      <c r="J25" s="113"/>
      <c r="K25" s="113"/>
      <c r="L25" s="113"/>
    </row>
    <row r="26" spans="1:12" x14ac:dyDescent="0.25">
      <c r="A26" s="138">
        <f t="shared" si="3"/>
        <v>723.32730560578659</v>
      </c>
      <c r="B26" s="139">
        <v>450.17730560578661</v>
      </c>
      <c r="C26" s="144">
        <f>'PCO,Chen (Electroceram)'!C52</f>
        <v>9.0820048425526559E-2</v>
      </c>
      <c r="D26" s="157">
        <f>($C$2*$A$2*A26)/(4*($E$2^2)*C26*D18)</f>
        <v>7616.5822561484074</v>
      </c>
      <c r="H26" s="114"/>
      <c r="J26" s="113"/>
      <c r="K26" s="113"/>
      <c r="L26" s="113"/>
    </row>
    <row r="27" spans="1:12" x14ac:dyDescent="0.25">
      <c r="A27" s="138">
        <f t="shared" si="3"/>
        <v>698.15</v>
      </c>
      <c r="B27" s="139">
        <v>425</v>
      </c>
      <c r="C27" s="144">
        <f>'PCO,Chen (Electroceram)'!C53</f>
        <v>9.176976537753366E-2</v>
      </c>
      <c r="D27" s="157">
        <f>($C$2*$A$2*A27)/(4*($E$2^2)*C27*D19)</f>
        <v>8897.0339483491352</v>
      </c>
      <c r="H27" s="114"/>
      <c r="J27" s="113"/>
      <c r="K27" s="113"/>
      <c r="L27" s="113"/>
    </row>
    <row r="28" spans="1:12" ht="15.75" thickBot="1" x14ac:dyDescent="0.3">
      <c r="A28" s="141">
        <f t="shared" si="3"/>
        <v>673.15</v>
      </c>
      <c r="B28" s="131">
        <v>400</v>
      </c>
      <c r="C28" s="129">
        <f>'PCO,Chen (Electroceram)'!C54</f>
        <v>9.2787930434675661E-2</v>
      </c>
      <c r="D28" s="158">
        <f>($C$2*$A$2*A28)/(4*($E$2^2)*C28*D20)</f>
        <v>13875.741238330122</v>
      </c>
      <c r="H28" s="114"/>
      <c r="J28" s="113"/>
      <c r="K28" s="113"/>
      <c r="L28" s="113"/>
    </row>
    <row r="29" spans="1:12" x14ac:dyDescent="0.25">
      <c r="D29" s="113"/>
      <c r="G29" s="119"/>
      <c r="H29" s="114"/>
      <c r="J29" s="113"/>
      <c r="K29" s="113"/>
      <c r="L29" s="113"/>
    </row>
    <row r="30" spans="1:12" x14ac:dyDescent="0.25">
      <c r="G30" s="119"/>
      <c r="H30" s="114"/>
      <c r="J30" s="113"/>
      <c r="K30" s="113"/>
      <c r="L30" s="113"/>
    </row>
    <row r="31" spans="1:12" x14ac:dyDescent="0.25">
      <c r="G31" s="119"/>
      <c r="H31" s="114"/>
      <c r="J31" s="113"/>
      <c r="K31" s="113"/>
      <c r="L31" s="113"/>
    </row>
    <row r="32" spans="1:12" x14ac:dyDescent="0.25">
      <c r="A32" s="118"/>
      <c r="G32" s="119"/>
      <c r="H32" s="114"/>
    </row>
    <row r="33" spans="1:10" x14ac:dyDescent="0.25">
      <c r="D33" s="118"/>
      <c r="F33" s="118"/>
      <c r="I33" s="118"/>
      <c r="J33" s="118"/>
    </row>
    <row r="34" spans="1:10" x14ac:dyDescent="0.25">
      <c r="A34" s="112"/>
      <c r="B34" s="112"/>
      <c r="C34" s="113"/>
      <c r="D34" s="113"/>
      <c r="E34" s="114"/>
      <c r="F34" s="113"/>
      <c r="G34" s="112"/>
      <c r="H34" s="112"/>
      <c r="I34" s="113"/>
      <c r="J34" s="114"/>
    </row>
    <row r="35" spans="1:10" x14ac:dyDescent="0.25">
      <c r="A35" s="112"/>
      <c r="B35" s="112"/>
      <c r="C35" s="113"/>
      <c r="D35" s="113"/>
      <c r="E35" s="114"/>
      <c r="F35" s="113"/>
      <c r="G35" s="112"/>
      <c r="H35" s="112"/>
      <c r="I35" s="113"/>
      <c r="J35" s="114"/>
    </row>
    <row r="36" spans="1:10" x14ac:dyDescent="0.25">
      <c r="A36" s="112"/>
      <c r="B36" s="112"/>
      <c r="C36" s="113"/>
      <c r="D36" s="113"/>
      <c r="E36" s="114"/>
      <c r="F36" s="113"/>
      <c r="G36" s="112"/>
      <c r="H36" s="112"/>
      <c r="I36" s="113"/>
      <c r="J36" s="114"/>
    </row>
    <row r="37" spans="1:10" x14ac:dyDescent="0.25">
      <c r="A37" s="112"/>
      <c r="B37" s="112"/>
      <c r="C37" s="113"/>
      <c r="D37" s="113"/>
      <c r="E37" s="114"/>
      <c r="F37" s="113"/>
      <c r="G37" s="112"/>
      <c r="H37" s="112"/>
      <c r="I37" s="113"/>
      <c r="J37" s="114"/>
    </row>
    <row r="38" spans="1:10" x14ac:dyDescent="0.25">
      <c r="A38" s="112"/>
      <c r="B38" s="112"/>
      <c r="C38" s="113"/>
      <c r="D38" s="113"/>
      <c r="E38" s="114"/>
      <c r="F38" s="113"/>
      <c r="G38" s="112"/>
      <c r="H38" s="112"/>
      <c r="I38" s="113"/>
      <c r="J38" s="114"/>
    </row>
    <row r="39" spans="1:10" x14ac:dyDescent="0.25">
      <c r="A39" s="112"/>
      <c r="B39" s="112"/>
      <c r="C39" s="113"/>
      <c r="D39" s="113"/>
      <c r="E39" s="114"/>
      <c r="F39" s="113"/>
      <c r="G39" s="112"/>
      <c r="H39" s="112"/>
      <c r="I39" s="113"/>
      <c r="J39" s="114"/>
    </row>
    <row r="40" spans="1:10" x14ac:dyDescent="0.25">
      <c r="A40" s="112"/>
      <c r="B40" s="112"/>
      <c r="C40" s="113"/>
      <c r="D40" s="113"/>
      <c r="E40" s="114"/>
      <c r="F40" s="113"/>
      <c r="G40" s="112"/>
      <c r="H40" s="112"/>
      <c r="I40" s="113"/>
      <c r="J40" s="114"/>
    </row>
    <row r="41" spans="1:10" x14ac:dyDescent="0.25">
      <c r="A41" s="112"/>
      <c r="B41" s="112"/>
      <c r="C41" s="113"/>
      <c r="D41" s="113"/>
      <c r="E41" s="114"/>
      <c r="F41" s="113"/>
      <c r="G41" s="112"/>
      <c r="H41" s="112"/>
      <c r="I41" s="113"/>
      <c r="J41" s="114"/>
    </row>
    <row r="42" spans="1:10" x14ac:dyDescent="0.25">
      <c r="A42" s="112"/>
      <c r="B42" s="112"/>
      <c r="C42" s="113"/>
      <c r="D42" s="113"/>
      <c r="E42" s="114"/>
      <c r="F42" s="113"/>
      <c r="G42" s="112"/>
      <c r="H42" s="112"/>
      <c r="I42" s="113"/>
      <c r="J42" s="114"/>
    </row>
    <row r="43" spans="1:10" x14ac:dyDescent="0.25">
      <c r="A43" s="112"/>
      <c r="B43" s="112"/>
      <c r="C43" s="113"/>
      <c r="D43" s="113"/>
      <c r="E43" s="114"/>
      <c r="F43" s="113"/>
      <c r="G43" s="112"/>
      <c r="H43" s="112"/>
      <c r="I43" s="113"/>
      <c r="J43" s="114"/>
    </row>
    <row r="44" spans="1:10" x14ac:dyDescent="0.25">
      <c r="A44" s="112"/>
      <c r="B44" s="112"/>
      <c r="C44" s="113"/>
      <c r="D44" s="113"/>
      <c r="E44" s="114"/>
      <c r="F44" s="113"/>
      <c r="G44" s="112"/>
      <c r="H44" s="112"/>
      <c r="I44" s="113"/>
      <c r="J44" s="114"/>
    </row>
    <row r="45" spans="1:10" x14ac:dyDescent="0.25">
      <c r="A45" s="112"/>
      <c r="B45" s="112"/>
      <c r="C45" s="113"/>
      <c r="D45" s="113"/>
      <c r="E45" s="114"/>
      <c r="H45" s="114"/>
    </row>
    <row r="46" spans="1:10" x14ac:dyDescent="0.25">
      <c r="A46" s="112"/>
      <c r="B46" s="112"/>
      <c r="C46" s="113"/>
      <c r="D46" s="113"/>
      <c r="E46" s="114"/>
      <c r="H46" s="114"/>
    </row>
    <row r="47" spans="1:10" x14ac:dyDescent="0.25">
      <c r="A47" s="112"/>
      <c r="B47" s="112"/>
      <c r="C47" s="113"/>
      <c r="E47" s="113"/>
      <c r="H47" s="114"/>
    </row>
    <row r="48" spans="1:10" x14ac:dyDescent="0.25">
      <c r="A48" s="112"/>
      <c r="B48" s="112"/>
      <c r="C48" s="113"/>
      <c r="E48" s="113"/>
      <c r="H48" s="114"/>
    </row>
    <row r="49" spans="1:9" x14ac:dyDescent="0.25">
      <c r="A49" s="119"/>
      <c r="B49" s="119"/>
      <c r="C49" s="121"/>
      <c r="D49" s="119"/>
      <c r="E49" s="113"/>
      <c r="I49" s="118"/>
    </row>
    <row r="50" spans="1:9" x14ac:dyDescent="0.25">
      <c r="A50" s="112"/>
      <c r="B50" s="112"/>
      <c r="C50" s="113"/>
      <c r="D50" s="113"/>
      <c r="F50" s="112"/>
      <c r="G50" s="112"/>
      <c r="H50" s="124"/>
      <c r="I50" s="125"/>
    </row>
    <row r="51" spans="1:9" x14ac:dyDescent="0.25">
      <c r="A51" s="112"/>
      <c r="B51" s="112"/>
      <c r="C51" s="113"/>
      <c r="D51" s="113"/>
      <c r="F51" s="112"/>
      <c r="G51" s="112"/>
      <c r="H51" s="124"/>
      <c r="I51" s="125"/>
    </row>
    <row r="52" spans="1:9" x14ac:dyDescent="0.25">
      <c r="A52" s="112"/>
      <c r="B52" s="112"/>
      <c r="C52" s="113"/>
      <c r="D52" s="113"/>
      <c r="F52" s="112"/>
      <c r="G52" s="112"/>
      <c r="H52" s="124"/>
      <c r="I52" s="125"/>
    </row>
    <row r="53" spans="1:9" x14ac:dyDescent="0.25">
      <c r="A53" s="112"/>
      <c r="B53" s="112"/>
      <c r="C53" s="113"/>
      <c r="D53" s="113"/>
      <c r="F53" s="112"/>
      <c r="G53" s="112"/>
      <c r="H53" s="124"/>
      <c r="I53" s="125"/>
    </row>
    <row r="54" spans="1:9" x14ac:dyDescent="0.25">
      <c r="A54" s="112"/>
      <c r="B54" s="112"/>
      <c r="C54" s="113"/>
      <c r="D54" s="113"/>
      <c r="F54" s="112"/>
      <c r="G54" s="112"/>
      <c r="H54" s="124"/>
      <c r="I54" s="125"/>
    </row>
    <row r="55" spans="1:9" x14ac:dyDescent="0.25">
      <c r="A55" s="112"/>
      <c r="B55" s="112"/>
      <c r="C55" s="113"/>
      <c r="D55" s="113"/>
      <c r="F55" s="112"/>
      <c r="G55" s="112"/>
      <c r="H55" s="124"/>
      <c r="I55" s="125"/>
    </row>
    <row r="56" spans="1:9" x14ac:dyDescent="0.25">
      <c r="A56" s="112"/>
      <c r="B56" s="112"/>
      <c r="C56" s="113"/>
      <c r="D56" s="113"/>
      <c r="F56" s="112"/>
      <c r="G56" s="112"/>
      <c r="H56" s="124"/>
      <c r="I56" s="125"/>
    </row>
    <row r="57" spans="1:9" x14ac:dyDescent="0.25">
      <c r="A57" s="112"/>
      <c r="B57" s="112"/>
      <c r="C57" s="113"/>
      <c r="D57" s="113"/>
      <c r="F57" s="112"/>
      <c r="G57" s="112"/>
      <c r="H57" s="124"/>
      <c r="I57" s="125"/>
    </row>
    <row r="58" spans="1:9" x14ac:dyDescent="0.25">
      <c r="A58" s="112"/>
      <c r="B58" s="112"/>
      <c r="C58" s="113"/>
      <c r="D58" s="113"/>
      <c r="F58" s="112"/>
      <c r="G58" s="112"/>
      <c r="H58" s="124"/>
      <c r="I58" s="125"/>
    </row>
    <row r="59" spans="1:9" x14ac:dyDescent="0.25">
      <c r="A59" s="112"/>
      <c r="B59" s="112"/>
      <c r="C59" s="113"/>
      <c r="D59" s="113"/>
      <c r="F59" s="112"/>
      <c r="G59" s="112"/>
      <c r="H59" s="124"/>
      <c r="I59" s="125"/>
    </row>
    <row r="60" spans="1:9" x14ac:dyDescent="0.25">
      <c r="A60" s="112"/>
      <c r="B60" s="112"/>
      <c r="C60" s="113"/>
      <c r="D60" s="113"/>
      <c r="F60" s="112"/>
      <c r="G60" s="112"/>
      <c r="H60" s="124"/>
      <c r="I60" s="125"/>
    </row>
    <row r="61" spans="1:9" x14ac:dyDescent="0.25">
      <c r="A61" s="112"/>
      <c r="B61" s="112"/>
      <c r="C61" s="113"/>
      <c r="D61" s="113"/>
      <c r="F61" s="112"/>
      <c r="G61" s="112"/>
      <c r="H61" s="124"/>
      <c r="I61" s="125"/>
    </row>
    <row r="62" spans="1:9" x14ac:dyDescent="0.25">
      <c r="A62" s="112"/>
      <c r="B62" s="112"/>
      <c r="C62" s="113"/>
      <c r="D62" s="113"/>
      <c r="F62" s="112"/>
      <c r="G62" s="112"/>
      <c r="H62" s="124"/>
      <c r="I62" s="125"/>
    </row>
    <row r="63" spans="1:9" x14ac:dyDescent="0.25">
      <c r="A63" s="112"/>
      <c r="B63" s="112"/>
      <c r="C63" s="113"/>
      <c r="D63" s="113"/>
      <c r="F63" s="112"/>
      <c r="G63" s="112"/>
      <c r="H63" s="124"/>
      <c r="I63" s="125"/>
    </row>
    <row r="64" spans="1:9" x14ac:dyDescent="0.25">
      <c r="A64" s="112"/>
      <c r="B64" s="112"/>
      <c r="C64" s="113"/>
      <c r="D64" s="113"/>
      <c r="F64" s="112"/>
      <c r="G64" s="112"/>
      <c r="H64" s="124"/>
      <c r="I64" s="125"/>
    </row>
    <row r="65" spans="1:9" x14ac:dyDescent="0.25">
      <c r="A65" s="112"/>
      <c r="B65" s="112"/>
      <c r="C65" s="113"/>
      <c r="D65" s="113"/>
      <c r="F65" s="112"/>
      <c r="G65" s="112"/>
      <c r="H65" s="124"/>
      <c r="I65" s="125"/>
    </row>
    <row r="66" spans="1:9" x14ac:dyDescent="0.25">
      <c r="A66" s="112"/>
      <c r="B66" s="112"/>
      <c r="C66" s="113"/>
      <c r="D66" s="113"/>
      <c r="F66" s="112"/>
      <c r="G66" s="112"/>
      <c r="H66" s="124"/>
      <c r="I66" s="125"/>
    </row>
    <row r="67" spans="1:9" x14ac:dyDescent="0.25">
      <c r="A67" s="112"/>
      <c r="B67" s="112"/>
      <c r="C67" s="113"/>
      <c r="D67" s="113"/>
      <c r="F67" s="112"/>
      <c r="G67" s="112"/>
      <c r="H67" s="124"/>
      <c r="I67" s="125"/>
    </row>
    <row r="68" spans="1:9" x14ac:dyDescent="0.25">
      <c r="A68" s="112"/>
      <c r="B68" s="112"/>
      <c r="C68" s="113"/>
      <c r="D68" s="113"/>
      <c r="F68" s="112"/>
      <c r="G68" s="112"/>
      <c r="H68" s="124"/>
      <c r="I68" s="125"/>
    </row>
    <row r="69" spans="1:9" x14ac:dyDescent="0.25">
      <c r="A69" s="112"/>
      <c r="B69" s="112"/>
      <c r="C69" s="113"/>
      <c r="D69" s="113"/>
      <c r="F69" s="112"/>
      <c r="G69" s="112"/>
      <c r="H69" s="124"/>
      <c r="I69" s="125"/>
    </row>
    <row r="70" spans="1:9" x14ac:dyDescent="0.25">
      <c r="A70" s="112"/>
      <c r="B70" s="112"/>
      <c r="C70" s="113"/>
      <c r="D70" s="113"/>
      <c r="F70" s="112"/>
      <c r="G70" s="112"/>
      <c r="H70" s="124"/>
      <c r="I70" s="125"/>
    </row>
    <row r="71" spans="1:9" x14ac:dyDescent="0.25">
      <c r="A71" s="112"/>
      <c r="B71" s="112"/>
      <c r="C71" s="113"/>
      <c r="D71" s="113"/>
      <c r="F71" s="112"/>
      <c r="G71" s="112"/>
      <c r="H71" s="124"/>
      <c r="I71" s="125"/>
    </row>
    <row r="72" spans="1:9" x14ac:dyDescent="0.25">
      <c r="A72" s="112"/>
      <c r="B72" s="112"/>
      <c r="C72" s="113"/>
      <c r="D72" s="113"/>
      <c r="F72" s="112"/>
      <c r="G72" s="112"/>
      <c r="H72" s="124"/>
      <c r="I72" s="125"/>
    </row>
    <row r="73" spans="1:9" x14ac:dyDescent="0.25">
      <c r="A73" s="112"/>
      <c r="B73" s="112"/>
      <c r="C73" s="113"/>
      <c r="D73" s="113"/>
      <c r="F73" s="112"/>
      <c r="G73" s="112"/>
      <c r="H73" s="124"/>
      <c r="I73" s="125"/>
    </row>
    <row r="74" spans="1:9" x14ac:dyDescent="0.25">
      <c r="A74" s="112"/>
      <c r="B74" s="112"/>
      <c r="C74" s="113"/>
      <c r="D74" s="113"/>
      <c r="F74" s="112"/>
      <c r="G74" s="112"/>
      <c r="H74" s="124"/>
      <c r="I74" s="125"/>
    </row>
    <row r="75" spans="1:9" x14ac:dyDescent="0.25">
      <c r="A75" s="112"/>
      <c r="B75" s="112"/>
      <c r="C75" s="113"/>
      <c r="D75" s="113"/>
      <c r="F75" s="112"/>
      <c r="G75" s="112"/>
      <c r="H75" s="124"/>
      <c r="I75" s="125"/>
    </row>
    <row r="76" spans="1:9" x14ac:dyDescent="0.25">
      <c r="A76" s="112"/>
      <c r="B76" s="112"/>
      <c r="C76" s="113"/>
      <c r="D76" s="113"/>
      <c r="F76" s="112"/>
      <c r="G76" s="112"/>
      <c r="H76" s="124"/>
      <c r="I76" s="125"/>
    </row>
    <row r="77" spans="1:9" x14ac:dyDescent="0.25">
      <c r="A77" s="112"/>
      <c r="B77" s="112"/>
      <c r="C77" s="113"/>
      <c r="D77" s="113"/>
      <c r="F77" s="112"/>
      <c r="G77" s="112"/>
      <c r="H77" s="124"/>
      <c r="I77" s="125"/>
    </row>
    <row r="78" spans="1:9" x14ac:dyDescent="0.25">
      <c r="A78" s="112"/>
      <c r="B78" s="112"/>
      <c r="C78" s="113"/>
      <c r="D78" s="113"/>
      <c r="F78" s="112"/>
      <c r="G78" s="112"/>
      <c r="H78" s="124"/>
      <c r="I78" s="125"/>
    </row>
    <row r="79" spans="1:9" x14ac:dyDescent="0.25">
      <c r="A79" s="112"/>
      <c r="B79" s="112"/>
      <c r="C79" s="113"/>
      <c r="D79" s="113"/>
      <c r="F79" s="112"/>
      <c r="G79" s="112"/>
      <c r="H79" s="124"/>
      <c r="I79" s="125"/>
    </row>
    <row r="80" spans="1:9" x14ac:dyDescent="0.25">
      <c r="A80" s="112"/>
      <c r="B80" s="112"/>
      <c r="C80" s="113"/>
      <c r="D80" s="113"/>
      <c r="F80" s="112"/>
      <c r="G80" s="112"/>
      <c r="H80" s="124"/>
      <c r="I80" s="125"/>
    </row>
    <row r="81" spans="1:9" x14ac:dyDescent="0.25">
      <c r="A81" s="112"/>
      <c r="B81" s="112"/>
      <c r="C81" s="113"/>
      <c r="D81" s="113"/>
      <c r="F81" s="112"/>
      <c r="G81" s="112"/>
      <c r="H81" s="124"/>
      <c r="I81" s="125"/>
    </row>
    <row r="82" spans="1:9" x14ac:dyDescent="0.25">
      <c r="A82" s="112"/>
      <c r="B82" s="112"/>
      <c r="C82" s="113"/>
      <c r="D82" s="113"/>
      <c r="F82" s="112"/>
      <c r="G82" s="112"/>
      <c r="H82" s="124"/>
      <c r="I82" s="125"/>
    </row>
    <row r="83" spans="1:9" x14ac:dyDescent="0.25">
      <c r="A83" s="112"/>
      <c r="B83" s="112"/>
      <c r="C83" s="113"/>
      <c r="D83" s="113"/>
      <c r="F83" s="112"/>
      <c r="G83" s="112"/>
      <c r="H83" s="124"/>
      <c r="I83" s="125"/>
    </row>
    <row r="84" spans="1:9" x14ac:dyDescent="0.25">
      <c r="A84" s="112"/>
      <c r="B84" s="112"/>
      <c r="C84" s="113"/>
      <c r="D84" s="113"/>
      <c r="F84" s="112"/>
      <c r="G84" s="112"/>
      <c r="H84" s="124"/>
      <c r="I84" s="125"/>
    </row>
    <row r="85" spans="1:9" x14ac:dyDescent="0.25">
      <c r="A85" s="112"/>
      <c r="B85" s="112"/>
      <c r="C85" s="113"/>
      <c r="D85" s="113"/>
      <c r="F85" s="112"/>
      <c r="G85" s="112"/>
      <c r="H85" s="124"/>
      <c r="I85" s="125"/>
    </row>
    <row r="86" spans="1:9" x14ac:dyDescent="0.25">
      <c r="A86" s="112"/>
      <c r="B86" s="112"/>
      <c r="C86" s="113"/>
      <c r="D86" s="113"/>
      <c r="F86" s="112"/>
      <c r="G86" s="112"/>
      <c r="H86" s="124"/>
      <c r="I86" s="125"/>
    </row>
    <row r="87" spans="1:9" x14ac:dyDescent="0.25">
      <c r="A87" s="112"/>
      <c r="B87" s="112"/>
      <c r="C87" s="113"/>
      <c r="D87" s="113"/>
      <c r="F87" s="112"/>
      <c r="G87" s="112"/>
      <c r="H87" s="124"/>
      <c r="I87" s="125"/>
    </row>
    <row r="88" spans="1:9" x14ac:dyDescent="0.25">
      <c r="A88" s="112"/>
      <c r="B88" s="112"/>
      <c r="C88" s="113"/>
      <c r="D88" s="113"/>
      <c r="F88" s="112"/>
      <c r="G88" s="112"/>
      <c r="H88" s="124"/>
      <c r="I88" s="125"/>
    </row>
    <row r="89" spans="1:9" x14ac:dyDescent="0.25">
      <c r="A89" s="112"/>
      <c r="B89" s="112"/>
      <c r="C89" s="113"/>
      <c r="D89" s="113"/>
      <c r="F89" s="112"/>
      <c r="G89" s="112"/>
      <c r="H89" s="124"/>
      <c r="I89" s="125"/>
    </row>
    <row r="90" spans="1:9" x14ac:dyDescent="0.25">
      <c r="A90" s="112"/>
      <c r="B90" s="112"/>
      <c r="C90" s="113"/>
      <c r="D90" s="113"/>
      <c r="F90" s="112"/>
      <c r="G90" s="112"/>
      <c r="H90" s="124"/>
      <c r="I90" s="125"/>
    </row>
    <row r="91" spans="1:9" x14ac:dyDescent="0.25">
      <c r="A91" s="112"/>
      <c r="B91" s="112"/>
      <c r="C91" s="113"/>
      <c r="D91" s="113"/>
      <c r="F91" s="112"/>
      <c r="G91" s="112"/>
      <c r="H91" s="124"/>
      <c r="I91" s="125"/>
    </row>
    <row r="92" spans="1:9" x14ac:dyDescent="0.25">
      <c r="A92" s="112"/>
      <c r="B92" s="112"/>
      <c r="C92" s="113"/>
      <c r="D92" s="113"/>
      <c r="F92" s="112"/>
      <c r="G92" s="112"/>
      <c r="H92" s="124"/>
      <c r="I92" s="125"/>
    </row>
    <row r="93" spans="1:9" x14ac:dyDescent="0.25">
      <c r="A93" s="112"/>
      <c r="B93" s="112"/>
      <c r="C93" s="113"/>
      <c r="D93" s="113"/>
      <c r="F93" s="112"/>
      <c r="G93" s="112"/>
      <c r="H93" s="124"/>
      <c r="I93" s="125"/>
    </row>
    <row r="94" spans="1:9" x14ac:dyDescent="0.25">
      <c r="A94" s="112"/>
      <c r="B94" s="112"/>
      <c r="C94" s="113"/>
      <c r="D94" s="113"/>
      <c r="F94" s="112"/>
      <c r="G94" s="112"/>
      <c r="H94" s="124"/>
      <c r="I94" s="125"/>
    </row>
    <row r="95" spans="1:9" x14ac:dyDescent="0.25">
      <c r="A95" s="112"/>
      <c r="B95" s="112"/>
      <c r="C95" s="113"/>
      <c r="D95" s="113"/>
      <c r="F95" s="112"/>
      <c r="G95" s="112"/>
      <c r="H95" s="124"/>
      <c r="I95" s="125"/>
    </row>
    <row r="96" spans="1:9" x14ac:dyDescent="0.25">
      <c r="A96" s="112"/>
      <c r="B96" s="112"/>
      <c r="C96" s="113"/>
      <c r="D96" s="113"/>
      <c r="F96" s="112"/>
      <c r="G96" s="112"/>
      <c r="H96" s="124"/>
      <c r="I96" s="125"/>
    </row>
    <row r="97" spans="1:9" x14ac:dyDescent="0.25">
      <c r="A97" s="112"/>
      <c r="B97" s="112"/>
      <c r="C97" s="113"/>
      <c r="D97" s="113"/>
      <c r="F97" s="112"/>
      <c r="G97" s="112"/>
      <c r="H97" s="124"/>
      <c r="I97" s="125"/>
    </row>
    <row r="98" spans="1:9" x14ac:dyDescent="0.25">
      <c r="A98" s="112"/>
      <c r="B98" s="112"/>
      <c r="C98" s="113"/>
      <c r="D98" s="113"/>
      <c r="F98" s="112"/>
      <c r="G98" s="112"/>
      <c r="H98" s="124"/>
      <c r="I98" s="125"/>
    </row>
    <row r="99" spans="1:9" x14ac:dyDescent="0.25">
      <c r="A99" s="112"/>
      <c r="B99" s="112"/>
      <c r="C99" s="113"/>
      <c r="D99" s="113"/>
      <c r="F99" s="112"/>
      <c r="G99" s="112"/>
      <c r="H99" s="124"/>
      <c r="I99" s="125"/>
    </row>
    <row r="100" spans="1:9" x14ac:dyDescent="0.25">
      <c r="A100" s="112"/>
      <c r="B100" s="112"/>
      <c r="C100" s="113"/>
      <c r="D100" s="113"/>
      <c r="F100" s="112"/>
      <c r="G100" s="112"/>
      <c r="H100" s="124"/>
      <c r="I100" s="125"/>
    </row>
    <row r="101" spans="1:9" x14ac:dyDescent="0.25">
      <c r="A101" s="112"/>
      <c r="B101" s="112"/>
      <c r="C101" s="113"/>
      <c r="D101" s="113"/>
      <c r="F101" s="112"/>
      <c r="G101" s="112"/>
      <c r="H101" s="124"/>
      <c r="I101" s="125"/>
    </row>
    <row r="102" spans="1:9" x14ac:dyDescent="0.25">
      <c r="A102" s="112"/>
      <c r="B102" s="112"/>
      <c r="C102" s="113"/>
      <c r="D102" s="113"/>
      <c r="F102" s="112"/>
      <c r="G102" s="112"/>
      <c r="H102" s="124"/>
      <c r="I102" s="125"/>
    </row>
    <row r="103" spans="1:9" x14ac:dyDescent="0.25">
      <c r="A103" s="112"/>
      <c r="B103" s="112"/>
      <c r="C103" s="113"/>
      <c r="D103" s="113"/>
      <c r="F103" s="112"/>
      <c r="G103" s="112"/>
      <c r="H103" s="124"/>
      <c r="I103" s="125"/>
    </row>
    <row r="104" spans="1:9" x14ac:dyDescent="0.25">
      <c r="A104" s="112"/>
      <c r="B104" s="112"/>
      <c r="C104" s="113"/>
      <c r="D104" s="113"/>
      <c r="F104" s="112"/>
      <c r="G104" s="112"/>
      <c r="H104" s="124"/>
      <c r="I104" s="125"/>
    </row>
    <row r="105" spans="1:9" x14ac:dyDescent="0.25">
      <c r="A105" s="112"/>
      <c r="B105" s="112"/>
      <c r="C105" s="113"/>
      <c r="D105" s="113"/>
      <c r="F105" s="112"/>
      <c r="G105" s="112"/>
      <c r="H105" s="124"/>
      <c r="I105" s="125"/>
    </row>
    <row r="106" spans="1:9" x14ac:dyDescent="0.25">
      <c r="A106" s="112"/>
      <c r="B106" s="112"/>
      <c r="C106" s="113"/>
      <c r="D106" s="113"/>
      <c r="F106" s="112"/>
      <c r="G106" s="112"/>
      <c r="H106" s="124"/>
      <c r="I106" s="125"/>
    </row>
    <row r="107" spans="1:9" x14ac:dyDescent="0.25">
      <c r="A107" s="112"/>
      <c r="B107" s="112"/>
      <c r="C107" s="113"/>
      <c r="D107" s="113"/>
      <c r="F107" s="112"/>
      <c r="G107" s="112"/>
      <c r="H107" s="124"/>
      <c r="I107" s="125"/>
    </row>
    <row r="108" spans="1:9" x14ac:dyDescent="0.25">
      <c r="A108" s="112"/>
      <c r="B108" s="112"/>
      <c r="C108" s="113"/>
      <c r="D108" s="113"/>
      <c r="F108" s="112"/>
      <c r="G108" s="112"/>
      <c r="H108" s="124"/>
      <c r="I108" s="125"/>
    </row>
    <row r="109" spans="1:9" x14ac:dyDescent="0.25">
      <c r="A109" s="112"/>
      <c r="B109" s="112"/>
      <c r="C109" s="113"/>
      <c r="D109" s="113"/>
      <c r="F109" s="112"/>
      <c r="G109" s="112"/>
      <c r="H109" s="124"/>
      <c r="I109" s="125"/>
    </row>
    <row r="110" spans="1:9" x14ac:dyDescent="0.25">
      <c r="A110" s="112"/>
      <c r="B110" s="112"/>
      <c r="C110" s="113"/>
      <c r="D110" s="113"/>
      <c r="F110" s="112"/>
      <c r="G110" s="112"/>
      <c r="H110" s="124"/>
      <c r="I110" s="125"/>
    </row>
    <row r="111" spans="1:9" x14ac:dyDescent="0.25">
      <c r="A111" s="112"/>
      <c r="B111" s="112"/>
      <c r="C111" s="113"/>
      <c r="D111" s="113"/>
      <c r="F111" s="112"/>
      <c r="G111" s="112"/>
      <c r="H111" s="124"/>
      <c r="I111" s="125"/>
    </row>
    <row r="112" spans="1:9" x14ac:dyDescent="0.25">
      <c r="A112" s="112"/>
      <c r="B112" s="112"/>
      <c r="C112" s="113"/>
      <c r="D112" s="113"/>
      <c r="F112" s="112"/>
      <c r="G112" s="112"/>
      <c r="H112" s="124"/>
      <c r="I112" s="125"/>
    </row>
    <row r="113" spans="1:9" x14ac:dyDescent="0.25">
      <c r="A113" s="112"/>
      <c r="B113" s="112"/>
      <c r="C113" s="113"/>
      <c r="D113" s="113"/>
      <c r="F113" s="112"/>
      <c r="G113" s="112"/>
      <c r="H113" s="124"/>
      <c r="I113" s="125"/>
    </row>
    <row r="114" spans="1:9" x14ac:dyDescent="0.25">
      <c r="A114" s="112"/>
      <c r="B114" s="112"/>
      <c r="C114" s="113"/>
      <c r="D114" s="113"/>
      <c r="F114" s="112"/>
      <c r="G114" s="112"/>
      <c r="H114" s="124"/>
      <c r="I114" s="125"/>
    </row>
    <row r="115" spans="1:9" x14ac:dyDescent="0.25">
      <c r="A115" s="112"/>
      <c r="B115" s="112"/>
      <c r="C115" s="113"/>
      <c r="D115" s="113"/>
      <c r="F115" s="112"/>
      <c r="G115" s="112"/>
      <c r="H115" s="124"/>
      <c r="I115" s="125"/>
    </row>
    <row r="116" spans="1:9" x14ac:dyDescent="0.25">
      <c r="A116" s="112"/>
      <c r="B116" s="112"/>
      <c r="C116" s="114"/>
      <c r="D116" s="113"/>
      <c r="F116" s="112"/>
      <c r="G116" s="112"/>
      <c r="H116" s="124"/>
      <c r="I116" s="125"/>
    </row>
    <row r="117" spans="1:9" x14ac:dyDescent="0.25">
      <c r="A117" s="112"/>
      <c r="B117" s="112"/>
      <c r="C117" s="113"/>
      <c r="D117" s="113"/>
      <c r="F117" s="112"/>
      <c r="G117" s="112"/>
      <c r="H117" s="124"/>
      <c r="I117" s="125"/>
    </row>
    <row r="118" spans="1:9" x14ac:dyDescent="0.25">
      <c r="A118" s="112"/>
      <c r="B118" s="112"/>
      <c r="C118" s="113"/>
      <c r="D118" s="113"/>
      <c r="F118" s="112"/>
      <c r="G118" s="112"/>
      <c r="H118" s="124"/>
      <c r="I118" s="125"/>
    </row>
    <row r="119" spans="1:9" x14ac:dyDescent="0.25">
      <c r="A119" s="112"/>
      <c r="B119" s="112"/>
      <c r="C119" s="113"/>
      <c r="D119" s="113"/>
      <c r="F119" s="112"/>
      <c r="G119" s="112"/>
      <c r="H119" s="124"/>
      <c r="I119" s="125"/>
    </row>
    <row r="120" spans="1:9" x14ac:dyDescent="0.25">
      <c r="A120" s="112"/>
      <c r="B120" s="112"/>
      <c r="C120" s="113"/>
      <c r="D120" s="113"/>
      <c r="F120" s="112"/>
      <c r="G120" s="112"/>
      <c r="H120" s="124"/>
      <c r="I120" s="125"/>
    </row>
    <row r="121" spans="1:9" x14ac:dyDescent="0.25">
      <c r="A121" s="112"/>
      <c r="B121" s="112"/>
      <c r="C121" s="113"/>
      <c r="D121" s="113"/>
      <c r="F121" s="112"/>
      <c r="G121" s="112"/>
      <c r="H121" s="124"/>
      <c r="I121" s="125"/>
    </row>
    <row r="122" spans="1:9" x14ac:dyDescent="0.25">
      <c r="A122" s="112"/>
      <c r="B122" s="112"/>
      <c r="C122" s="113"/>
      <c r="D122" s="113"/>
      <c r="F122" s="112"/>
      <c r="G122" s="112"/>
      <c r="H122" s="124"/>
      <c r="I122" s="125"/>
    </row>
    <row r="123" spans="1:9" x14ac:dyDescent="0.25">
      <c r="A123" s="112"/>
      <c r="B123" s="112"/>
      <c r="C123" s="113"/>
      <c r="D123" s="113"/>
      <c r="F123" s="112"/>
      <c r="G123" s="112"/>
      <c r="H123" s="124"/>
      <c r="I123" s="125"/>
    </row>
    <row r="124" spans="1:9" x14ac:dyDescent="0.25">
      <c r="A124" s="112"/>
      <c r="B124" s="112"/>
      <c r="C124" s="113"/>
      <c r="D124" s="113"/>
      <c r="F124" s="112"/>
      <c r="G124" s="112"/>
      <c r="H124" s="124"/>
      <c r="I124" s="125"/>
    </row>
    <row r="125" spans="1:9" x14ac:dyDescent="0.25">
      <c r="A125" s="112"/>
      <c r="B125" s="112"/>
      <c r="C125" s="113"/>
      <c r="D125" s="113"/>
      <c r="F125" s="112"/>
      <c r="G125" s="112"/>
      <c r="H125" s="124"/>
      <c r="I125" s="125"/>
    </row>
    <row r="126" spans="1:9" x14ac:dyDescent="0.25">
      <c r="A126" s="112"/>
      <c r="B126" s="112"/>
      <c r="C126" s="113"/>
      <c r="D126" s="113"/>
      <c r="F126" s="112"/>
      <c r="G126" s="112"/>
      <c r="H126" s="124"/>
      <c r="I126" s="125"/>
    </row>
    <row r="127" spans="1:9" x14ac:dyDescent="0.25">
      <c r="A127" s="112"/>
      <c r="B127" s="112"/>
      <c r="C127" s="113"/>
      <c r="D127" s="113"/>
      <c r="F127" s="112"/>
      <c r="G127" s="112"/>
      <c r="H127" s="124"/>
      <c r="I127" s="125"/>
    </row>
    <row r="128" spans="1:9" x14ac:dyDescent="0.25">
      <c r="A128" s="112"/>
      <c r="B128" s="112"/>
      <c r="C128" s="113"/>
      <c r="D128" s="113"/>
      <c r="F128" s="112"/>
      <c r="G128" s="112"/>
      <c r="H128" s="124"/>
      <c r="I128" s="125"/>
    </row>
    <row r="129" spans="1:9" x14ac:dyDescent="0.25">
      <c r="A129" s="112"/>
      <c r="B129" s="112"/>
      <c r="C129" s="113"/>
      <c r="D129" s="113"/>
      <c r="F129" s="112"/>
      <c r="G129" s="112"/>
      <c r="H129" s="124"/>
      <c r="I129" s="125"/>
    </row>
    <row r="130" spans="1:9" x14ac:dyDescent="0.25">
      <c r="A130" s="112"/>
      <c r="B130" s="112"/>
      <c r="C130" s="113"/>
      <c r="D130" s="113"/>
      <c r="F130" s="112"/>
      <c r="G130" s="112"/>
      <c r="H130" s="124"/>
      <c r="I130" s="125"/>
    </row>
    <row r="131" spans="1:9" x14ac:dyDescent="0.25">
      <c r="A131" s="112"/>
      <c r="B131" s="112"/>
      <c r="C131" s="113"/>
      <c r="D131" s="113"/>
      <c r="F131" s="112"/>
      <c r="G131" s="112"/>
      <c r="H131" s="124"/>
      <c r="I131" s="125"/>
    </row>
    <row r="132" spans="1:9" x14ac:dyDescent="0.25">
      <c r="A132" s="112"/>
      <c r="B132" s="112"/>
      <c r="C132" s="113"/>
      <c r="D132" s="113"/>
      <c r="F132" s="112"/>
      <c r="G132" s="112"/>
      <c r="H132" s="124"/>
      <c r="I132" s="125"/>
    </row>
    <row r="133" spans="1:9" x14ac:dyDescent="0.25">
      <c r="A133" s="112"/>
      <c r="B133" s="112"/>
      <c r="C133" s="113"/>
      <c r="D133" s="113"/>
      <c r="F133" s="112"/>
      <c r="G133" s="112"/>
      <c r="H133" s="124"/>
      <c r="I133" s="125"/>
    </row>
    <row r="134" spans="1:9" x14ac:dyDescent="0.25">
      <c r="A134" s="112"/>
      <c r="B134" s="112"/>
      <c r="C134" s="113"/>
      <c r="D134" s="113"/>
      <c r="F134" s="112"/>
      <c r="G134" s="112"/>
      <c r="H134" s="124"/>
      <c r="I134" s="125"/>
    </row>
    <row r="135" spans="1:9" x14ac:dyDescent="0.25">
      <c r="A135" s="112"/>
      <c r="B135" s="112"/>
      <c r="C135" s="113"/>
      <c r="D135" s="113"/>
      <c r="F135" s="112"/>
      <c r="G135" s="112"/>
      <c r="H135" s="124"/>
      <c r="I135" s="125"/>
    </row>
    <row r="136" spans="1:9" x14ac:dyDescent="0.25">
      <c r="A136" s="112"/>
      <c r="B136" s="112"/>
      <c r="C136" s="113"/>
      <c r="D136" s="113"/>
      <c r="F136" s="112"/>
      <c r="G136" s="112"/>
      <c r="H136" s="124"/>
      <c r="I136" s="125"/>
    </row>
    <row r="137" spans="1:9" x14ac:dyDescent="0.25">
      <c r="A137" s="112"/>
      <c r="B137" s="112"/>
      <c r="C137" s="113"/>
      <c r="D137" s="113"/>
      <c r="F137" s="112"/>
      <c r="G137" s="112"/>
      <c r="H137" s="124"/>
      <c r="I137" s="125"/>
    </row>
    <row r="138" spans="1:9" x14ac:dyDescent="0.25">
      <c r="A138" s="112"/>
      <c r="B138" s="112"/>
      <c r="C138" s="113"/>
      <c r="D138" s="113"/>
      <c r="F138" s="112"/>
      <c r="G138" s="112"/>
      <c r="H138" s="124"/>
      <c r="I138" s="125"/>
    </row>
    <row r="139" spans="1:9" x14ac:dyDescent="0.25">
      <c r="A139" s="112"/>
      <c r="B139" s="112"/>
      <c r="C139" s="113"/>
      <c r="D139" s="113"/>
      <c r="F139" s="112"/>
      <c r="G139" s="112"/>
      <c r="H139" s="124"/>
      <c r="I139" s="125"/>
    </row>
    <row r="140" spans="1:9" x14ac:dyDescent="0.25">
      <c r="A140" s="112"/>
      <c r="B140" s="112"/>
      <c r="C140" s="113"/>
      <c r="D140" s="113"/>
      <c r="F140" s="112"/>
      <c r="G140" s="112"/>
      <c r="H140" s="124"/>
      <c r="I140" s="125"/>
    </row>
    <row r="141" spans="1:9" x14ac:dyDescent="0.25">
      <c r="A141" s="112"/>
      <c r="B141" s="112"/>
      <c r="C141" s="113"/>
      <c r="D141" s="113"/>
      <c r="F141" s="112"/>
      <c r="G141" s="112"/>
      <c r="H141" s="124"/>
      <c r="I141" s="125"/>
    </row>
    <row r="142" spans="1:9" x14ac:dyDescent="0.25">
      <c r="A142" s="112"/>
      <c r="B142" s="112"/>
      <c r="C142" s="113"/>
      <c r="D142" s="113"/>
      <c r="F142" s="112"/>
      <c r="G142" s="112"/>
      <c r="H142" s="124"/>
      <c r="I142" s="125"/>
    </row>
    <row r="143" spans="1:9" x14ac:dyDescent="0.25">
      <c r="A143" s="112"/>
      <c r="B143" s="112"/>
      <c r="C143" s="113"/>
      <c r="D143" s="113"/>
      <c r="F143" s="112"/>
      <c r="G143" s="112"/>
      <c r="H143" s="124"/>
      <c r="I143" s="125"/>
    </row>
    <row r="144" spans="1:9" x14ac:dyDescent="0.25">
      <c r="A144" s="112"/>
      <c r="B144" s="112"/>
      <c r="C144" s="113"/>
      <c r="D144" s="113"/>
      <c r="F144" s="112"/>
      <c r="G144" s="112"/>
      <c r="H144" s="124"/>
      <c r="I144" s="125"/>
    </row>
    <row r="145" spans="1:9" x14ac:dyDescent="0.25">
      <c r="A145" s="112"/>
      <c r="B145" s="112"/>
      <c r="C145" s="113"/>
      <c r="D145" s="113"/>
      <c r="F145" s="112"/>
      <c r="G145" s="112"/>
      <c r="H145" s="124"/>
      <c r="I145" s="125"/>
    </row>
    <row r="146" spans="1:9" x14ac:dyDescent="0.25">
      <c r="A146" s="112"/>
      <c r="B146" s="112"/>
      <c r="C146" s="113"/>
      <c r="D146" s="113"/>
      <c r="F146" s="112"/>
      <c r="G146" s="112"/>
      <c r="H146" s="124"/>
      <c r="I146" s="125"/>
    </row>
    <row r="147" spans="1:9" x14ac:dyDescent="0.25">
      <c r="A147" s="112"/>
      <c r="B147" s="112"/>
      <c r="C147" s="113"/>
      <c r="D147" s="113"/>
      <c r="F147" s="112"/>
      <c r="G147" s="112"/>
      <c r="H147" s="124"/>
      <c r="I147" s="125"/>
    </row>
    <row r="148" spans="1:9" x14ac:dyDescent="0.25">
      <c r="A148" s="112"/>
      <c r="B148" s="112"/>
      <c r="C148" s="113"/>
      <c r="D148" s="113"/>
      <c r="F148" s="112"/>
      <c r="G148" s="112"/>
      <c r="H148" s="124"/>
      <c r="I148" s="125"/>
    </row>
    <row r="149" spans="1:9" x14ac:dyDescent="0.25">
      <c r="A149" s="112"/>
      <c r="B149" s="112"/>
      <c r="C149" s="113"/>
      <c r="D149" s="113"/>
      <c r="F149" s="112"/>
      <c r="G149" s="112"/>
      <c r="H149" s="124"/>
      <c r="I149" s="125"/>
    </row>
    <row r="150" spans="1:9" x14ac:dyDescent="0.25">
      <c r="A150" s="112"/>
      <c r="B150" s="112"/>
      <c r="C150" s="113"/>
      <c r="D150" s="113"/>
      <c r="F150" s="112"/>
      <c r="G150" s="112"/>
      <c r="H150" s="124"/>
      <c r="I150" s="125"/>
    </row>
    <row r="151" spans="1:9" x14ac:dyDescent="0.25">
      <c r="A151" s="112"/>
      <c r="B151" s="112"/>
      <c r="C151" s="113"/>
      <c r="D151" s="113"/>
      <c r="F151" s="112"/>
      <c r="G151" s="112"/>
      <c r="H151" s="124"/>
      <c r="I151" s="125"/>
    </row>
    <row r="152" spans="1:9" x14ac:dyDescent="0.25">
      <c r="A152" s="112"/>
      <c r="B152" s="112"/>
      <c r="C152" s="113"/>
      <c r="D152" s="113"/>
      <c r="F152" s="112"/>
      <c r="G152" s="112"/>
      <c r="H152" s="124"/>
      <c r="I152" s="125"/>
    </row>
    <row r="153" spans="1:9" x14ac:dyDescent="0.25">
      <c r="A153" s="112"/>
      <c r="B153" s="112"/>
      <c r="C153" s="113"/>
      <c r="D153" s="113"/>
      <c r="F153" s="112"/>
      <c r="G153" s="112"/>
      <c r="H153" s="124"/>
      <c r="I153" s="125"/>
    </row>
    <row r="154" spans="1:9" x14ac:dyDescent="0.25">
      <c r="A154" s="112"/>
      <c r="B154" s="112"/>
      <c r="C154" s="113"/>
      <c r="D154" s="113"/>
      <c r="F154" s="112"/>
      <c r="G154" s="112"/>
      <c r="H154" s="124"/>
      <c r="I154" s="125"/>
    </row>
    <row r="155" spans="1:9" x14ac:dyDescent="0.25">
      <c r="E155" s="112"/>
      <c r="G155" s="112"/>
    </row>
    <row r="156" spans="1:9" x14ac:dyDescent="0.25">
      <c r="E156" s="112"/>
      <c r="G156" s="112"/>
    </row>
    <row r="157" spans="1:9" x14ac:dyDescent="0.25">
      <c r="E157" s="112"/>
      <c r="G157" s="112"/>
    </row>
    <row r="158" spans="1:9" x14ac:dyDescent="0.25">
      <c r="E158" s="112"/>
      <c r="G158" s="112"/>
    </row>
    <row r="159" spans="1:9" x14ac:dyDescent="0.25">
      <c r="E159" s="112"/>
      <c r="G159" s="112"/>
    </row>
    <row r="160" spans="1:9" x14ac:dyDescent="0.25">
      <c r="E160" s="112"/>
      <c r="G160" s="112"/>
    </row>
    <row r="161" spans="5:7" x14ac:dyDescent="0.25">
      <c r="E161" s="112"/>
      <c r="G161" s="112"/>
    </row>
    <row r="162" spans="5:7" x14ac:dyDescent="0.25">
      <c r="E162" s="112"/>
      <c r="G162" s="112"/>
    </row>
    <row r="163" spans="5:7" x14ac:dyDescent="0.25">
      <c r="E163" s="112"/>
      <c r="G163" s="112"/>
    </row>
    <row r="164" spans="5:7" x14ac:dyDescent="0.25">
      <c r="E164" s="112"/>
      <c r="G164" s="112"/>
    </row>
    <row r="165" spans="5:7" x14ac:dyDescent="0.25">
      <c r="E165" s="112"/>
      <c r="G165" s="112"/>
    </row>
    <row r="166" spans="5:7" x14ac:dyDescent="0.25">
      <c r="E166" s="112"/>
      <c r="G166" s="112"/>
    </row>
    <row r="167" spans="5:7" x14ac:dyDescent="0.25">
      <c r="E167" s="112"/>
      <c r="G167" s="112"/>
    </row>
    <row r="168" spans="5:7" x14ac:dyDescent="0.25">
      <c r="E168" s="112"/>
      <c r="G168" s="112"/>
    </row>
    <row r="169" spans="5:7" x14ac:dyDescent="0.25">
      <c r="E169" s="112"/>
      <c r="G169" s="112"/>
    </row>
    <row r="170" spans="5:7" x14ac:dyDescent="0.25">
      <c r="E170" s="112"/>
      <c r="G170" s="112"/>
    </row>
    <row r="171" spans="5:7" x14ac:dyDescent="0.25">
      <c r="E171" s="112"/>
      <c r="G171" s="112"/>
    </row>
    <row r="172" spans="5:7" x14ac:dyDescent="0.25">
      <c r="E172" s="112"/>
      <c r="G172" s="112"/>
    </row>
    <row r="173" spans="5:7" x14ac:dyDescent="0.25">
      <c r="E173" s="112"/>
      <c r="G173" s="112"/>
    </row>
    <row r="174" spans="5:7" x14ac:dyDescent="0.25">
      <c r="E174" s="112"/>
      <c r="G174" s="112"/>
    </row>
    <row r="175" spans="5:7" x14ac:dyDescent="0.25">
      <c r="E175" s="112"/>
      <c r="G175" s="112"/>
    </row>
    <row r="176" spans="5:7" x14ac:dyDescent="0.25">
      <c r="E176" s="112"/>
      <c r="G176" s="112"/>
    </row>
    <row r="177" spans="5:7" x14ac:dyDescent="0.25">
      <c r="E177" s="112"/>
      <c r="G177" s="112"/>
    </row>
    <row r="178" spans="5:7" x14ac:dyDescent="0.25">
      <c r="E178" s="112"/>
      <c r="G178" s="112"/>
    </row>
    <row r="179" spans="5:7" x14ac:dyDescent="0.25">
      <c r="E179" s="112"/>
      <c r="G179" s="112"/>
    </row>
    <row r="180" spans="5:7" x14ac:dyDescent="0.25">
      <c r="E180" s="112"/>
      <c r="G180" s="112"/>
    </row>
  </sheetData>
  <sortState ref="G26:H30">
    <sortCondition ref="G26"/>
  </sortState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7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180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/>
      <c r="D5" s="137" t="s">
        <v>9</v>
      </c>
      <c r="H5" s="35" t="s">
        <v>162</v>
      </c>
    </row>
    <row r="6" spans="1:19" x14ac:dyDescent="0.25">
      <c r="A6" s="138">
        <f>B6+273.15</f>
        <v>872.75266189561887</v>
      </c>
      <c r="B6" s="139">
        <v>599.60266189561889</v>
      </c>
      <c r="C6" s="140"/>
      <c r="D6" s="153">
        <v>8.4211000000000001E-7</v>
      </c>
    </row>
    <row r="7" spans="1:19" x14ac:dyDescent="0.25">
      <c r="A7" s="138">
        <f t="shared" ref="A7:A10" si="0">B7+273.15</f>
        <v>847.96065462562535</v>
      </c>
      <c r="B7" s="139">
        <v>574.81065462562538</v>
      </c>
      <c r="C7" s="140"/>
      <c r="D7" s="153">
        <v>5.4906999999999998E-7</v>
      </c>
    </row>
    <row r="8" spans="1:19" ht="15.75" x14ac:dyDescent="0.25">
      <c r="A8" s="138">
        <f t="shared" si="0"/>
        <v>823.60111350870545</v>
      </c>
      <c r="B8" s="139">
        <v>550.45111350870548</v>
      </c>
      <c r="C8" s="140"/>
      <c r="D8" s="153">
        <v>4.2028899999999999E-7</v>
      </c>
      <c r="J8" s="35"/>
    </row>
    <row r="9" spans="1:19" ht="15.75" x14ac:dyDescent="0.25">
      <c r="A9" s="138">
        <f t="shared" si="0"/>
        <v>798.40319361277443</v>
      </c>
      <c r="B9" s="139">
        <v>525.25319361277445</v>
      </c>
      <c r="C9" s="140"/>
      <c r="D9" s="153">
        <v>2.5292109999999998E-7</v>
      </c>
      <c r="J9" s="35"/>
    </row>
    <row r="10" spans="1:19" ht="16.5" thickBot="1" x14ac:dyDescent="0.3">
      <c r="A10" s="141">
        <f t="shared" si="0"/>
        <v>773.3952049497293</v>
      </c>
      <c r="B10" s="131">
        <v>500.24520494972933</v>
      </c>
      <c r="C10" s="130"/>
      <c r="D10" s="154">
        <v>2.212E-7</v>
      </c>
      <c r="J10" s="2"/>
    </row>
    <row r="11" spans="1:19" ht="19.5" thickBot="1" x14ac:dyDescent="0.3">
      <c r="A11" s="112"/>
      <c r="B11" s="112"/>
      <c r="D11" s="114"/>
      <c r="H11" s="169" t="s">
        <v>184</v>
      </c>
    </row>
    <row r="12" spans="1:19" ht="15.75" x14ac:dyDescent="0.25">
      <c r="A12" s="133" t="s">
        <v>13</v>
      </c>
      <c r="B12" s="134"/>
      <c r="C12" s="134"/>
      <c r="D12" s="135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6" t="s">
        <v>16</v>
      </c>
      <c r="B13" s="115" t="s">
        <v>14</v>
      </c>
      <c r="C13" s="142"/>
      <c r="D13" s="137" t="s">
        <v>15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>B14+273.15</f>
        <v>873.15</v>
      </c>
      <c r="B14" s="139">
        <v>600</v>
      </c>
      <c r="C14" s="140"/>
      <c r="D14" s="157">
        <f>D6/E34</f>
        <v>1.318511729055936E-9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ref="A15:A18" si="1">B15+273.15</f>
        <v>848.15</v>
      </c>
      <c r="B15" s="139">
        <v>575</v>
      </c>
      <c r="C15" s="140"/>
      <c r="D15" s="157">
        <f>D7/E35</f>
        <v>9.0614067047875055E-10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1"/>
        <v>823.15</v>
      </c>
      <c r="B16" s="139">
        <v>550</v>
      </c>
      <c r="C16" s="140"/>
      <c r="D16" s="157">
        <f>D8/E36</f>
        <v>1.2411985158315234E-9</v>
      </c>
    </row>
    <row r="17" spans="1:12" x14ac:dyDescent="0.25">
      <c r="A17" s="138">
        <f t="shared" si="1"/>
        <v>798.15</v>
      </c>
      <c r="B17" s="139">
        <v>525</v>
      </c>
      <c r="C17" s="140"/>
      <c r="D17" s="157">
        <f>D9/E37</f>
        <v>9.2267479992996475E-10</v>
      </c>
    </row>
    <row r="18" spans="1:12" ht="15.75" thickBot="1" x14ac:dyDescent="0.3">
      <c r="A18" s="141">
        <f t="shared" si="1"/>
        <v>773.15</v>
      </c>
      <c r="B18" s="131">
        <v>500</v>
      </c>
      <c r="C18" s="130"/>
      <c r="D18" s="158">
        <f>D10/E38</f>
        <v>7.6852751517599408E-10</v>
      </c>
    </row>
    <row r="19" spans="1:12" ht="15.75" thickBot="1" x14ac:dyDescent="0.3">
      <c r="A19" s="112"/>
      <c r="D19" s="114"/>
    </row>
    <row r="20" spans="1:12" ht="15.75" x14ac:dyDescent="0.25">
      <c r="A20" s="133" t="s">
        <v>19</v>
      </c>
      <c r="B20" s="134"/>
      <c r="C20" s="134"/>
      <c r="D20" s="135"/>
      <c r="G20" s="119"/>
      <c r="H20" s="119"/>
    </row>
    <row r="21" spans="1:12" x14ac:dyDescent="0.25">
      <c r="A21" s="136" t="s">
        <v>16</v>
      </c>
      <c r="B21" s="115" t="s">
        <v>14</v>
      </c>
      <c r="C21" s="142"/>
      <c r="D21" s="143" t="s">
        <v>35</v>
      </c>
      <c r="G21" s="119"/>
      <c r="H21" s="114"/>
    </row>
    <row r="22" spans="1:12" x14ac:dyDescent="0.25">
      <c r="A22" s="138">
        <f t="shared" ref="A22:A26" si="2">B22+273.15</f>
        <v>873.15</v>
      </c>
      <c r="B22" s="139">
        <v>600</v>
      </c>
      <c r="C22" s="144"/>
      <c r="D22" s="157">
        <v>908.68</v>
      </c>
      <c r="H22" s="114"/>
      <c r="K22" s="118"/>
      <c r="L22" s="118"/>
    </row>
    <row r="23" spans="1:12" x14ac:dyDescent="0.25">
      <c r="A23" s="138">
        <f t="shared" si="2"/>
        <v>848.15</v>
      </c>
      <c r="B23" s="139">
        <v>575</v>
      </c>
      <c r="C23" s="144"/>
      <c r="D23" s="157">
        <v>1887.9</v>
      </c>
      <c r="H23" s="114"/>
      <c r="J23" s="113"/>
      <c r="K23" s="113"/>
      <c r="L23" s="113"/>
    </row>
    <row r="24" spans="1:12" x14ac:dyDescent="0.25">
      <c r="A24" s="138">
        <f t="shared" si="2"/>
        <v>823.15</v>
      </c>
      <c r="B24" s="139">
        <v>550</v>
      </c>
      <c r="C24" s="144"/>
      <c r="D24" s="157">
        <v>3533.49</v>
      </c>
      <c r="H24" s="114"/>
      <c r="J24" s="113"/>
      <c r="K24" s="113"/>
      <c r="L24" s="113"/>
    </row>
    <row r="25" spans="1:12" x14ac:dyDescent="0.25">
      <c r="A25" s="138">
        <f t="shared" si="2"/>
        <v>798.15</v>
      </c>
      <c r="B25" s="139">
        <v>525</v>
      </c>
      <c r="C25" s="144"/>
      <c r="D25" s="157">
        <v>8149.9</v>
      </c>
      <c r="H25" s="114"/>
      <c r="J25" s="113"/>
      <c r="K25" s="113"/>
      <c r="L25" s="113"/>
    </row>
    <row r="26" spans="1:12" ht="15.75" thickBot="1" x14ac:dyDescent="0.3">
      <c r="A26" s="141">
        <f t="shared" si="2"/>
        <v>773.15</v>
      </c>
      <c r="B26" s="131">
        <v>500</v>
      </c>
      <c r="C26" s="129"/>
      <c r="D26" s="158">
        <v>12815.9</v>
      </c>
      <c r="H26" s="114"/>
      <c r="J26" s="113"/>
      <c r="K26" s="113"/>
      <c r="L26" s="113"/>
    </row>
    <row r="27" spans="1:12" x14ac:dyDescent="0.25">
      <c r="D27" s="113"/>
      <c r="G27" s="119"/>
      <c r="H27" s="114"/>
      <c r="J27" s="113"/>
      <c r="K27" s="113"/>
      <c r="L27" s="113"/>
    </row>
    <row r="28" spans="1:12" s="126" customFormat="1" ht="15.75" thickBot="1" x14ac:dyDescent="0.3">
      <c r="G28" s="128"/>
      <c r="H28" s="129"/>
      <c r="J28" s="130"/>
      <c r="K28" s="130"/>
      <c r="L28" s="130"/>
    </row>
    <row r="29" spans="1:12" ht="60" x14ac:dyDescent="0.25">
      <c r="A29" s="118" t="s">
        <v>26</v>
      </c>
      <c r="G29" s="119"/>
      <c r="H29" s="114"/>
    </row>
    <row r="30" spans="1:12" ht="45" x14ac:dyDescent="0.25">
      <c r="A30" s="111" t="s">
        <v>16</v>
      </c>
      <c r="B30" s="119" t="s">
        <v>14</v>
      </c>
      <c r="C30" s="119" t="s">
        <v>159</v>
      </c>
      <c r="E30" s="118" t="s">
        <v>40</v>
      </c>
      <c r="F30" s="118"/>
      <c r="G30" s="111" t="s">
        <v>16</v>
      </c>
      <c r="H30" s="111" t="s">
        <v>14</v>
      </c>
      <c r="I30" s="118" t="s">
        <v>20</v>
      </c>
      <c r="J30" s="118"/>
    </row>
    <row r="31" spans="1:12" x14ac:dyDescent="0.25">
      <c r="A31" s="112">
        <f>B31+273.15</f>
        <v>941.15</v>
      </c>
      <c r="B31" s="111">
        <v>668</v>
      </c>
      <c r="E31" s="114">
        <v>1241.9115255769493</v>
      </c>
      <c r="F31" s="113"/>
      <c r="G31" s="112">
        <f>H31+273.15</f>
        <v>873.15</v>
      </c>
      <c r="H31" s="112">
        <v>600</v>
      </c>
      <c r="I31" s="114">
        <f>($C$2*$A$2*G31)/(4*($E$2^2)*D22*D14)</f>
        <v>0.16264141595510312</v>
      </c>
      <c r="J31" s="114"/>
    </row>
    <row r="32" spans="1:12" x14ac:dyDescent="0.25">
      <c r="A32" s="112">
        <f t="shared" ref="A32:A42" si="3">B32+273.15</f>
        <v>923.15</v>
      </c>
      <c r="B32" s="111">
        <v>650</v>
      </c>
      <c r="E32" s="114">
        <v>1046.7098260993041</v>
      </c>
      <c r="F32" s="113"/>
      <c r="G32" s="112">
        <f t="shared" ref="G32:G35" si="4">H32+273.15</f>
        <v>848.15</v>
      </c>
      <c r="H32" s="112">
        <v>575</v>
      </c>
      <c r="I32" s="114">
        <f>($C$2*$A$2*G32)/(4*($E$2^2)*D23*D15)</f>
        <v>0.11064589643226114</v>
      </c>
      <c r="J32" s="114"/>
    </row>
    <row r="33" spans="1:10" x14ac:dyDescent="0.25">
      <c r="A33" s="112">
        <f t="shared" si="3"/>
        <v>898.15</v>
      </c>
      <c r="B33" s="111">
        <v>625</v>
      </c>
      <c r="E33" s="114">
        <v>825.43211462125475</v>
      </c>
      <c r="F33" s="113"/>
      <c r="G33" s="112">
        <f t="shared" si="4"/>
        <v>823.15</v>
      </c>
      <c r="H33" s="112">
        <v>550</v>
      </c>
      <c r="I33" s="114">
        <f>($C$2*$A$2*G33)/(4*($E$2^2)*D24*D16)</f>
        <v>4.1886215565052662E-2</v>
      </c>
      <c r="J33" s="114"/>
    </row>
    <row r="34" spans="1:10" x14ac:dyDescent="0.25">
      <c r="A34" s="112">
        <f t="shared" si="3"/>
        <v>871.15</v>
      </c>
      <c r="B34" s="119">
        <v>598</v>
      </c>
      <c r="C34" s="119">
        <v>4.4999999999999997E-3</v>
      </c>
      <c r="E34" s="114">
        <v>638.68222135798283</v>
      </c>
      <c r="F34" s="113"/>
      <c r="G34" s="112">
        <f t="shared" si="4"/>
        <v>798.15</v>
      </c>
      <c r="H34" s="112">
        <v>525</v>
      </c>
      <c r="I34" s="114">
        <f>($C$2*$A$2*G34)/(4*($E$2^2)*D25*D17)</f>
        <v>2.3687587623420069E-2</v>
      </c>
      <c r="J34" s="114"/>
    </row>
    <row r="35" spans="1:10" x14ac:dyDescent="0.25">
      <c r="A35" s="112">
        <f t="shared" si="3"/>
        <v>846.15</v>
      </c>
      <c r="B35" s="119">
        <v>573</v>
      </c>
      <c r="C35" s="119">
        <v>6.4000000000000003E-3</v>
      </c>
      <c r="D35" s="114">
        <f>(C35-C34)</f>
        <v>1.9000000000000006E-3</v>
      </c>
      <c r="E35" s="114">
        <v>605.94344552474865</v>
      </c>
      <c r="F35" s="113"/>
      <c r="G35" s="112">
        <f t="shared" si="4"/>
        <v>773.15</v>
      </c>
      <c r="H35" s="112">
        <v>500</v>
      </c>
      <c r="I35" s="114">
        <f>($C$2*$A$2*G35)/(4*($E$2^2)*D26*D18)</f>
        <v>1.7518321178674266E-2</v>
      </c>
      <c r="J35" s="114"/>
    </row>
    <row r="36" spans="1:10" x14ac:dyDescent="0.25">
      <c r="A36" s="112">
        <f t="shared" si="3"/>
        <v>822.15</v>
      </c>
      <c r="B36" s="119">
        <v>549</v>
      </c>
      <c r="C36" s="119">
        <v>9.7999999999999997E-3</v>
      </c>
      <c r="D36" s="114">
        <f t="shared" ref="D36:D38" si="5">(C36-C35)</f>
        <v>3.3999999999999994E-3</v>
      </c>
      <c r="E36" s="114">
        <v>338.61545485206557</v>
      </c>
      <c r="F36" s="113"/>
      <c r="G36" s="112"/>
      <c r="H36" s="112"/>
      <c r="I36" s="113"/>
      <c r="J36" s="114"/>
    </row>
    <row r="37" spans="1:10" x14ac:dyDescent="0.25">
      <c r="A37" s="112">
        <f t="shared" si="3"/>
        <v>795.15</v>
      </c>
      <c r="B37" s="119">
        <v>522</v>
      </c>
      <c r="C37" s="119">
        <v>1.4E-2</v>
      </c>
      <c r="D37" s="114">
        <f t="shared" si="5"/>
        <v>4.2000000000000006E-3</v>
      </c>
      <c r="E37" s="114">
        <v>274.11727297548157</v>
      </c>
      <c r="F37" s="113"/>
      <c r="G37" s="112"/>
      <c r="H37" s="112"/>
      <c r="I37" s="113"/>
      <c r="J37" s="114"/>
    </row>
    <row r="38" spans="1:10" x14ac:dyDescent="0.25">
      <c r="A38" s="112">
        <f t="shared" si="3"/>
        <v>770.15</v>
      </c>
      <c r="B38" s="119">
        <v>497</v>
      </c>
      <c r="C38" s="119">
        <v>1.7999999999999999E-2</v>
      </c>
      <c r="D38" s="114">
        <f t="shared" si="5"/>
        <v>3.9999999999999983E-3</v>
      </c>
      <c r="E38" s="114">
        <v>287.82313662425582</v>
      </c>
      <c r="F38" s="113"/>
      <c r="G38" s="112"/>
      <c r="H38" s="112"/>
      <c r="I38" s="113"/>
      <c r="J38" s="114"/>
    </row>
    <row r="39" spans="1:10" x14ac:dyDescent="0.25">
      <c r="A39" s="112">
        <f t="shared" si="3"/>
        <v>748.15</v>
      </c>
      <c r="B39" s="119">
        <v>475</v>
      </c>
      <c r="E39" s="114">
        <v>198.5234093703701</v>
      </c>
      <c r="F39" s="113"/>
      <c r="G39" s="112"/>
      <c r="H39" s="112"/>
      <c r="I39" s="113"/>
      <c r="J39" s="114"/>
    </row>
    <row r="40" spans="1:10" x14ac:dyDescent="0.25">
      <c r="A40" s="112">
        <f t="shared" si="3"/>
        <v>723.15</v>
      </c>
      <c r="B40" s="119">
        <v>450</v>
      </c>
      <c r="E40" s="114">
        <v>156.55494341643731</v>
      </c>
      <c r="F40" s="113"/>
      <c r="G40" s="112"/>
      <c r="H40" s="112"/>
      <c r="I40" s="113"/>
      <c r="J40" s="114"/>
    </row>
    <row r="41" spans="1:10" x14ac:dyDescent="0.25">
      <c r="A41" s="112">
        <f t="shared" si="3"/>
        <v>698.15</v>
      </c>
      <c r="B41" s="119">
        <v>425</v>
      </c>
      <c r="E41" s="114">
        <v>123.45874164592085</v>
      </c>
      <c r="F41" s="113"/>
      <c r="G41" s="112"/>
      <c r="H41" s="112"/>
      <c r="I41" s="113"/>
      <c r="J41" s="114"/>
    </row>
    <row r="42" spans="1:10" x14ac:dyDescent="0.25">
      <c r="A42" s="112">
        <f t="shared" si="3"/>
        <v>673.15</v>
      </c>
      <c r="B42" s="119">
        <v>400</v>
      </c>
      <c r="E42" s="114">
        <v>97.359179826409175</v>
      </c>
      <c r="H42" s="114"/>
    </row>
    <row r="43" spans="1:10" x14ac:dyDescent="0.25">
      <c r="A43" s="112"/>
      <c r="B43" s="112"/>
      <c r="C43" s="113"/>
      <c r="D43" s="113"/>
      <c r="E43" s="114"/>
      <c r="H43" s="114"/>
    </row>
    <row r="44" spans="1:10" x14ac:dyDescent="0.25">
      <c r="A44" s="112"/>
      <c r="B44" s="112"/>
      <c r="C44" s="113"/>
      <c r="E44" s="113"/>
      <c r="H44" s="114"/>
    </row>
    <row r="45" spans="1:10" x14ac:dyDescent="0.25">
      <c r="A45" s="112"/>
      <c r="B45" s="112"/>
      <c r="C45" s="113"/>
      <c r="E45" s="113"/>
      <c r="H45" s="114"/>
    </row>
    <row r="46" spans="1:10" x14ac:dyDescent="0.25">
      <c r="A46" s="119"/>
      <c r="B46" s="119"/>
      <c r="C46" s="121"/>
      <c r="D46" s="119"/>
      <c r="E46" s="113"/>
      <c r="I46" s="118"/>
    </row>
    <row r="47" spans="1:10" x14ac:dyDescent="0.25">
      <c r="A47" s="112"/>
      <c r="B47" s="112"/>
      <c r="C47" s="113"/>
      <c r="D47" s="113"/>
      <c r="F47" s="112"/>
      <c r="G47" s="112"/>
      <c r="H47" s="124"/>
      <c r="I47" s="125"/>
    </row>
    <row r="48" spans="1:10" x14ac:dyDescent="0.25">
      <c r="A48" s="112"/>
      <c r="B48" s="112"/>
      <c r="C48" s="113"/>
      <c r="D48" s="113"/>
      <c r="F48" s="112"/>
      <c r="G48" s="112"/>
      <c r="H48" s="124"/>
      <c r="I48" s="125"/>
    </row>
    <row r="49" spans="1:9" x14ac:dyDescent="0.25">
      <c r="A49" s="112"/>
      <c r="B49" s="112"/>
      <c r="C49" s="113"/>
      <c r="D49" s="113"/>
      <c r="F49" s="112"/>
      <c r="G49" s="112"/>
      <c r="H49" s="124"/>
      <c r="I49" s="125"/>
    </row>
    <row r="50" spans="1:9" x14ac:dyDescent="0.25">
      <c r="A50" s="112"/>
      <c r="B50" s="112"/>
      <c r="C50" s="113"/>
      <c r="D50" s="113"/>
      <c r="F50" s="112"/>
      <c r="G50" s="112"/>
      <c r="H50" s="124"/>
      <c r="I50" s="125"/>
    </row>
    <row r="51" spans="1:9" x14ac:dyDescent="0.25">
      <c r="A51" s="112"/>
      <c r="B51" s="112"/>
      <c r="C51" s="113"/>
      <c r="D51" s="113"/>
      <c r="F51" s="112"/>
      <c r="G51" s="112"/>
      <c r="H51" s="124"/>
      <c r="I51" s="125"/>
    </row>
    <row r="52" spans="1:9" x14ac:dyDescent="0.25">
      <c r="A52" s="112"/>
      <c r="B52" s="112"/>
      <c r="C52" s="113"/>
      <c r="D52" s="113"/>
      <c r="F52" s="112"/>
      <c r="G52" s="112"/>
      <c r="H52" s="124"/>
      <c r="I52" s="125"/>
    </row>
    <row r="53" spans="1:9" x14ac:dyDescent="0.25">
      <c r="A53" s="112"/>
      <c r="B53" s="112"/>
      <c r="C53" s="113"/>
      <c r="D53" s="113"/>
      <c r="F53" s="112"/>
      <c r="G53" s="112"/>
      <c r="H53" s="124"/>
      <c r="I53" s="125"/>
    </row>
    <row r="54" spans="1:9" x14ac:dyDescent="0.25">
      <c r="A54" s="112"/>
      <c r="B54" s="112"/>
      <c r="C54" s="113"/>
      <c r="D54" s="113"/>
      <c r="F54" s="112"/>
      <c r="G54" s="112"/>
      <c r="H54" s="124"/>
      <c r="I54" s="125"/>
    </row>
    <row r="55" spans="1:9" x14ac:dyDescent="0.25">
      <c r="A55" s="112"/>
      <c r="B55" s="112"/>
      <c r="C55" s="113"/>
      <c r="D55" s="113"/>
      <c r="F55" s="112"/>
      <c r="G55" s="112"/>
      <c r="H55" s="124"/>
      <c r="I55" s="125"/>
    </row>
    <row r="56" spans="1:9" x14ac:dyDescent="0.25">
      <c r="A56" s="112"/>
      <c r="B56" s="112"/>
      <c r="C56" s="113"/>
      <c r="D56" s="113"/>
      <c r="F56" s="112"/>
      <c r="G56" s="112"/>
      <c r="H56" s="124"/>
      <c r="I56" s="125"/>
    </row>
    <row r="57" spans="1:9" x14ac:dyDescent="0.25">
      <c r="A57" s="112"/>
      <c r="B57" s="112"/>
      <c r="C57" s="113"/>
      <c r="D57" s="113"/>
      <c r="F57" s="112"/>
      <c r="G57" s="112"/>
      <c r="H57" s="124"/>
      <c r="I57" s="125"/>
    </row>
    <row r="58" spans="1:9" x14ac:dyDescent="0.25">
      <c r="A58" s="112"/>
      <c r="B58" s="112"/>
      <c r="C58" s="113"/>
      <c r="D58" s="113"/>
      <c r="F58" s="112"/>
      <c r="G58" s="112"/>
      <c r="H58" s="124"/>
      <c r="I58" s="125"/>
    </row>
    <row r="59" spans="1:9" x14ac:dyDescent="0.25">
      <c r="A59" s="112"/>
      <c r="B59" s="112"/>
      <c r="C59" s="113"/>
      <c r="D59" s="113"/>
      <c r="F59" s="112"/>
      <c r="G59" s="112"/>
      <c r="H59" s="124"/>
      <c r="I59" s="125"/>
    </row>
    <row r="60" spans="1:9" x14ac:dyDescent="0.25">
      <c r="A60" s="112"/>
      <c r="B60" s="112"/>
      <c r="C60" s="113"/>
      <c r="D60" s="113"/>
      <c r="F60" s="112"/>
      <c r="G60" s="112"/>
      <c r="H60" s="124"/>
      <c r="I60" s="125"/>
    </row>
    <row r="61" spans="1:9" x14ac:dyDescent="0.25">
      <c r="A61" s="112"/>
      <c r="B61" s="112"/>
      <c r="C61" s="113"/>
      <c r="D61" s="113"/>
      <c r="F61" s="112"/>
      <c r="G61" s="112"/>
      <c r="H61" s="124"/>
      <c r="I61" s="125"/>
    </row>
    <row r="62" spans="1:9" x14ac:dyDescent="0.25">
      <c r="A62" s="112"/>
      <c r="B62" s="112"/>
      <c r="C62" s="113"/>
      <c r="D62" s="113"/>
      <c r="F62" s="112"/>
      <c r="G62" s="112"/>
      <c r="H62" s="124"/>
      <c r="I62" s="125"/>
    </row>
    <row r="63" spans="1:9" x14ac:dyDescent="0.25">
      <c r="A63" s="112"/>
      <c r="B63" s="112"/>
      <c r="C63" s="113"/>
      <c r="D63" s="113"/>
      <c r="F63" s="112"/>
      <c r="G63" s="112"/>
      <c r="H63" s="124"/>
      <c r="I63" s="125"/>
    </row>
    <row r="64" spans="1:9" x14ac:dyDescent="0.25">
      <c r="A64" s="112"/>
      <c r="B64" s="112"/>
      <c r="C64" s="113"/>
      <c r="D64" s="113"/>
      <c r="F64" s="112"/>
      <c r="G64" s="112"/>
      <c r="H64" s="124"/>
      <c r="I64" s="125"/>
    </row>
    <row r="65" spans="1:9" x14ac:dyDescent="0.25">
      <c r="A65" s="112"/>
      <c r="B65" s="112"/>
      <c r="C65" s="113"/>
      <c r="D65" s="113"/>
      <c r="F65" s="112"/>
      <c r="G65" s="112"/>
      <c r="H65" s="124"/>
      <c r="I65" s="125"/>
    </row>
    <row r="66" spans="1:9" x14ac:dyDescent="0.25">
      <c r="A66" s="112"/>
      <c r="B66" s="112"/>
      <c r="C66" s="113"/>
      <c r="D66" s="113"/>
      <c r="F66" s="112"/>
      <c r="G66" s="112"/>
      <c r="H66" s="124"/>
      <c r="I66" s="125"/>
    </row>
    <row r="67" spans="1:9" x14ac:dyDescent="0.25">
      <c r="A67" s="112"/>
      <c r="B67" s="112"/>
      <c r="C67" s="113"/>
      <c r="D67" s="113"/>
      <c r="F67" s="112"/>
      <c r="G67" s="112"/>
      <c r="H67" s="124"/>
      <c r="I67" s="125"/>
    </row>
    <row r="68" spans="1:9" x14ac:dyDescent="0.25">
      <c r="A68" s="112"/>
      <c r="B68" s="112"/>
      <c r="C68" s="113"/>
      <c r="D68" s="113"/>
      <c r="F68" s="112"/>
      <c r="G68" s="112"/>
      <c r="H68" s="124"/>
      <c r="I68" s="125"/>
    </row>
    <row r="69" spans="1:9" x14ac:dyDescent="0.25">
      <c r="A69" s="112"/>
      <c r="B69" s="112"/>
      <c r="C69" s="113"/>
      <c r="D69" s="113"/>
      <c r="F69" s="112"/>
      <c r="G69" s="112"/>
      <c r="H69" s="124"/>
      <c r="I69" s="125"/>
    </row>
    <row r="70" spans="1:9" x14ac:dyDescent="0.25">
      <c r="A70" s="112"/>
      <c r="B70" s="112"/>
      <c r="C70" s="113"/>
      <c r="D70" s="113"/>
      <c r="F70" s="112"/>
      <c r="G70" s="112"/>
      <c r="H70" s="124"/>
      <c r="I70" s="125"/>
    </row>
    <row r="71" spans="1:9" x14ac:dyDescent="0.25">
      <c r="A71" s="112"/>
      <c r="B71" s="112"/>
      <c r="C71" s="113"/>
      <c r="D71" s="113"/>
      <c r="F71" s="112"/>
      <c r="G71" s="112"/>
      <c r="H71" s="124"/>
      <c r="I71" s="125"/>
    </row>
    <row r="72" spans="1:9" x14ac:dyDescent="0.25">
      <c r="A72" s="112"/>
      <c r="B72" s="112"/>
      <c r="C72" s="113"/>
      <c r="D72" s="113"/>
      <c r="F72" s="112"/>
      <c r="G72" s="112"/>
      <c r="H72" s="124"/>
      <c r="I72" s="125"/>
    </row>
    <row r="73" spans="1:9" x14ac:dyDescent="0.25">
      <c r="A73" s="112"/>
      <c r="B73" s="112"/>
      <c r="C73" s="113"/>
      <c r="D73" s="113"/>
      <c r="F73" s="112"/>
      <c r="G73" s="112"/>
      <c r="H73" s="124"/>
      <c r="I73" s="125"/>
    </row>
    <row r="74" spans="1:9" x14ac:dyDescent="0.25">
      <c r="A74" s="112"/>
      <c r="B74" s="112"/>
      <c r="C74" s="113"/>
      <c r="D74" s="113"/>
      <c r="F74" s="112"/>
      <c r="G74" s="112"/>
      <c r="H74" s="124"/>
      <c r="I74" s="125"/>
    </row>
    <row r="75" spans="1:9" x14ac:dyDescent="0.25">
      <c r="A75" s="112"/>
      <c r="B75" s="112"/>
      <c r="C75" s="113"/>
      <c r="D75" s="113"/>
      <c r="F75" s="112"/>
      <c r="G75" s="112"/>
      <c r="H75" s="124"/>
      <c r="I75" s="125"/>
    </row>
    <row r="76" spans="1:9" x14ac:dyDescent="0.25">
      <c r="A76" s="112"/>
      <c r="B76" s="112"/>
      <c r="C76" s="113"/>
      <c r="D76" s="113"/>
      <c r="F76" s="112"/>
      <c r="G76" s="112"/>
      <c r="H76" s="124"/>
      <c r="I76" s="125"/>
    </row>
    <row r="77" spans="1:9" x14ac:dyDescent="0.25">
      <c r="A77" s="112"/>
      <c r="B77" s="112"/>
      <c r="C77" s="113"/>
      <c r="D77" s="113"/>
      <c r="F77" s="112"/>
      <c r="G77" s="112"/>
      <c r="H77" s="124"/>
      <c r="I77" s="125"/>
    </row>
    <row r="78" spans="1:9" x14ac:dyDescent="0.25">
      <c r="A78" s="112"/>
      <c r="B78" s="112"/>
      <c r="C78" s="113"/>
      <c r="D78" s="113"/>
      <c r="F78" s="112"/>
      <c r="G78" s="112"/>
      <c r="H78" s="124"/>
      <c r="I78" s="125"/>
    </row>
    <row r="79" spans="1:9" x14ac:dyDescent="0.25">
      <c r="A79" s="112"/>
      <c r="B79" s="112"/>
      <c r="C79" s="113"/>
      <c r="D79" s="113"/>
      <c r="F79" s="112"/>
      <c r="G79" s="112"/>
      <c r="H79" s="124"/>
      <c r="I79" s="125"/>
    </row>
    <row r="80" spans="1:9" x14ac:dyDescent="0.25">
      <c r="A80" s="112"/>
      <c r="B80" s="112"/>
      <c r="C80" s="113"/>
      <c r="D80" s="113"/>
      <c r="F80" s="112"/>
      <c r="G80" s="112"/>
      <c r="H80" s="124"/>
      <c r="I80" s="125"/>
    </row>
    <row r="81" spans="1:9" x14ac:dyDescent="0.25">
      <c r="A81" s="112"/>
      <c r="B81" s="112"/>
      <c r="C81" s="113"/>
      <c r="D81" s="113"/>
      <c r="F81" s="112"/>
      <c r="G81" s="112"/>
      <c r="H81" s="124"/>
      <c r="I81" s="125"/>
    </row>
    <row r="82" spans="1:9" x14ac:dyDescent="0.25">
      <c r="A82" s="112"/>
      <c r="B82" s="112"/>
      <c r="C82" s="113"/>
      <c r="D82" s="113"/>
      <c r="F82" s="112"/>
      <c r="G82" s="112"/>
      <c r="H82" s="124"/>
      <c r="I82" s="125"/>
    </row>
    <row r="83" spans="1:9" x14ac:dyDescent="0.25">
      <c r="A83" s="112"/>
      <c r="B83" s="112"/>
      <c r="C83" s="113"/>
      <c r="D83" s="113"/>
      <c r="F83" s="112"/>
      <c r="G83" s="112"/>
      <c r="H83" s="124"/>
      <c r="I83" s="125"/>
    </row>
    <row r="84" spans="1:9" x14ac:dyDescent="0.25">
      <c r="A84" s="112"/>
      <c r="B84" s="112"/>
      <c r="C84" s="113"/>
      <c r="D84" s="113"/>
      <c r="F84" s="112"/>
      <c r="G84" s="112"/>
      <c r="H84" s="124"/>
      <c r="I84" s="125"/>
    </row>
    <row r="85" spans="1:9" x14ac:dyDescent="0.25">
      <c r="A85" s="112"/>
      <c r="B85" s="112"/>
      <c r="C85" s="113"/>
      <c r="D85" s="113"/>
      <c r="F85" s="112"/>
      <c r="G85" s="112"/>
      <c r="H85" s="124"/>
      <c r="I85" s="125"/>
    </row>
    <row r="86" spans="1:9" x14ac:dyDescent="0.25">
      <c r="A86" s="112"/>
      <c r="B86" s="112"/>
      <c r="C86" s="113"/>
      <c r="D86" s="113"/>
      <c r="F86" s="112"/>
      <c r="G86" s="112"/>
      <c r="H86" s="124"/>
      <c r="I86" s="125"/>
    </row>
    <row r="87" spans="1:9" x14ac:dyDescent="0.25">
      <c r="A87" s="112"/>
      <c r="B87" s="112"/>
      <c r="C87" s="113"/>
      <c r="D87" s="113"/>
      <c r="F87" s="112"/>
      <c r="G87" s="112"/>
      <c r="H87" s="124"/>
      <c r="I87" s="125"/>
    </row>
    <row r="88" spans="1:9" x14ac:dyDescent="0.25">
      <c r="A88" s="112"/>
      <c r="B88" s="112"/>
      <c r="C88" s="113"/>
      <c r="D88" s="113"/>
      <c r="F88" s="112"/>
      <c r="G88" s="112"/>
      <c r="H88" s="124"/>
      <c r="I88" s="125"/>
    </row>
    <row r="89" spans="1:9" x14ac:dyDescent="0.25">
      <c r="A89" s="112"/>
      <c r="B89" s="112"/>
      <c r="C89" s="113"/>
      <c r="D89" s="113"/>
      <c r="F89" s="112"/>
      <c r="G89" s="112"/>
      <c r="H89" s="124"/>
      <c r="I89" s="125"/>
    </row>
    <row r="90" spans="1:9" x14ac:dyDescent="0.25">
      <c r="A90" s="112"/>
      <c r="B90" s="112"/>
      <c r="C90" s="113"/>
      <c r="D90" s="113"/>
      <c r="F90" s="112"/>
      <c r="G90" s="112"/>
      <c r="H90" s="124"/>
      <c r="I90" s="125"/>
    </row>
    <row r="91" spans="1:9" x14ac:dyDescent="0.25">
      <c r="A91" s="112"/>
      <c r="B91" s="112"/>
      <c r="C91" s="113"/>
      <c r="D91" s="113"/>
      <c r="F91" s="112"/>
      <c r="G91" s="112"/>
      <c r="H91" s="124"/>
      <c r="I91" s="125"/>
    </row>
    <row r="92" spans="1:9" x14ac:dyDescent="0.25">
      <c r="A92" s="112"/>
      <c r="B92" s="112"/>
      <c r="C92" s="113"/>
      <c r="D92" s="113"/>
      <c r="F92" s="112"/>
      <c r="G92" s="112"/>
      <c r="H92" s="124"/>
      <c r="I92" s="125"/>
    </row>
    <row r="93" spans="1:9" x14ac:dyDescent="0.25">
      <c r="A93" s="112"/>
      <c r="B93" s="112"/>
      <c r="C93" s="113"/>
      <c r="D93" s="113"/>
      <c r="F93" s="112"/>
      <c r="G93" s="112"/>
      <c r="H93" s="124"/>
      <c r="I93" s="125"/>
    </row>
    <row r="94" spans="1:9" x14ac:dyDescent="0.25">
      <c r="A94" s="112"/>
      <c r="B94" s="112"/>
      <c r="C94" s="113"/>
      <c r="D94" s="113"/>
      <c r="F94" s="112"/>
      <c r="G94" s="112"/>
      <c r="H94" s="124"/>
      <c r="I94" s="125"/>
    </row>
    <row r="95" spans="1:9" x14ac:dyDescent="0.25">
      <c r="A95" s="112"/>
      <c r="B95" s="112"/>
      <c r="C95" s="113"/>
      <c r="D95" s="113"/>
      <c r="F95" s="112"/>
      <c r="G95" s="112"/>
      <c r="H95" s="124"/>
      <c r="I95" s="125"/>
    </row>
    <row r="96" spans="1:9" x14ac:dyDescent="0.25">
      <c r="A96" s="112"/>
      <c r="B96" s="112"/>
      <c r="C96" s="113"/>
      <c r="D96" s="113"/>
      <c r="F96" s="112"/>
      <c r="G96" s="112"/>
      <c r="H96" s="124"/>
      <c r="I96" s="125"/>
    </row>
    <row r="97" spans="1:9" x14ac:dyDescent="0.25">
      <c r="A97" s="112"/>
      <c r="B97" s="112"/>
      <c r="C97" s="113"/>
      <c r="D97" s="113"/>
      <c r="F97" s="112"/>
      <c r="G97" s="112"/>
      <c r="H97" s="124"/>
      <c r="I97" s="125"/>
    </row>
    <row r="98" spans="1:9" x14ac:dyDescent="0.25">
      <c r="A98" s="112"/>
      <c r="B98" s="112"/>
      <c r="C98" s="113"/>
      <c r="D98" s="113"/>
      <c r="F98" s="112"/>
      <c r="G98" s="112"/>
      <c r="H98" s="124"/>
      <c r="I98" s="125"/>
    </row>
    <row r="99" spans="1:9" x14ac:dyDescent="0.25">
      <c r="A99" s="112"/>
      <c r="B99" s="112"/>
      <c r="C99" s="113"/>
      <c r="D99" s="113"/>
      <c r="F99" s="112"/>
      <c r="G99" s="112"/>
      <c r="H99" s="124"/>
      <c r="I99" s="125"/>
    </row>
    <row r="100" spans="1:9" x14ac:dyDescent="0.25">
      <c r="A100" s="112"/>
      <c r="B100" s="112"/>
      <c r="C100" s="113"/>
      <c r="D100" s="113"/>
      <c r="F100" s="112"/>
      <c r="G100" s="112"/>
      <c r="H100" s="124"/>
      <c r="I100" s="125"/>
    </row>
    <row r="101" spans="1:9" x14ac:dyDescent="0.25">
      <c r="A101" s="112"/>
      <c r="B101" s="112"/>
      <c r="C101" s="113"/>
      <c r="D101" s="113"/>
      <c r="F101" s="112"/>
      <c r="G101" s="112"/>
      <c r="H101" s="124"/>
      <c r="I101" s="125"/>
    </row>
    <row r="102" spans="1:9" x14ac:dyDescent="0.25">
      <c r="A102" s="112"/>
      <c r="B102" s="112"/>
      <c r="C102" s="113"/>
      <c r="D102" s="113"/>
      <c r="F102" s="112"/>
      <c r="G102" s="112"/>
      <c r="H102" s="124"/>
      <c r="I102" s="125"/>
    </row>
    <row r="103" spans="1:9" x14ac:dyDescent="0.25">
      <c r="A103" s="112"/>
      <c r="B103" s="112"/>
      <c r="C103" s="113"/>
      <c r="D103" s="113"/>
      <c r="F103" s="112"/>
      <c r="G103" s="112"/>
      <c r="H103" s="124"/>
      <c r="I103" s="125"/>
    </row>
    <row r="104" spans="1:9" x14ac:dyDescent="0.25">
      <c r="A104" s="112"/>
      <c r="B104" s="112"/>
      <c r="C104" s="113"/>
      <c r="D104" s="113"/>
      <c r="F104" s="112"/>
      <c r="G104" s="112"/>
      <c r="H104" s="124"/>
      <c r="I104" s="125"/>
    </row>
    <row r="105" spans="1:9" x14ac:dyDescent="0.25">
      <c r="A105" s="112"/>
      <c r="B105" s="112"/>
      <c r="C105" s="113"/>
      <c r="D105" s="113"/>
      <c r="F105" s="112"/>
      <c r="G105" s="112"/>
      <c r="H105" s="124"/>
      <c r="I105" s="125"/>
    </row>
    <row r="106" spans="1:9" x14ac:dyDescent="0.25">
      <c r="A106" s="112"/>
      <c r="B106" s="112"/>
      <c r="C106" s="113"/>
      <c r="D106" s="113"/>
      <c r="F106" s="112"/>
      <c r="G106" s="112"/>
      <c r="H106" s="124"/>
      <c r="I106" s="125"/>
    </row>
    <row r="107" spans="1:9" x14ac:dyDescent="0.25">
      <c r="A107" s="112"/>
      <c r="B107" s="112"/>
      <c r="C107" s="113"/>
      <c r="D107" s="113"/>
      <c r="F107" s="112"/>
      <c r="G107" s="112"/>
      <c r="H107" s="124"/>
      <c r="I107" s="125"/>
    </row>
    <row r="108" spans="1:9" x14ac:dyDescent="0.25">
      <c r="A108" s="112"/>
      <c r="B108" s="112"/>
      <c r="C108" s="113"/>
      <c r="D108" s="113"/>
      <c r="F108" s="112"/>
      <c r="G108" s="112"/>
      <c r="H108" s="124"/>
      <c r="I108" s="125"/>
    </row>
    <row r="109" spans="1:9" x14ac:dyDescent="0.25">
      <c r="A109" s="112"/>
      <c r="B109" s="112"/>
      <c r="C109" s="113"/>
      <c r="D109" s="113"/>
      <c r="F109" s="112"/>
      <c r="G109" s="112"/>
      <c r="H109" s="124"/>
      <c r="I109" s="125"/>
    </row>
    <row r="110" spans="1:9" x14ac:dyDescent="0.25">
      <c r="A110" s="112"/>
      <c r="B110" s="112"/>
      <c r="C110" s="113"/>
      <c r="D110" s="113"/>
      <c r="F110" s="112"/>
      <c r="G110" s="112"/>
      <c r="H110" s="124"/>
      <c r="I110" s="125"/>
    </row>
    <row r="111" spans="1:9" x14ac:dyDescent="0.25">
      <c r="A111" s="112"/>
      <c r="B111" s="112"/>
      <c r="C111" s="113"/>
      <c r="D111" s="113"/>
      <c r="F111" s="112"/>
      <c r="G111" s="112"/>
      <c r="H111" s="124"/>
      <c r="I111" s="125"/>
    </row>
    <row r="112" spans="1:9" x14ac:dyDescent="0.25">
      <c r="A112" s="112"/>
      <c r="B112" s="112"/>
      <c r="C112" s="113"/>
      <c r="D112" s="113"/>
      <c r="F112" s="112"/>
      <c r="G112" s="112"/>
      <c r="H112" s="124"/>
      <c r="I112" s="125"/>
    </row>
    <row r="113" spans="1:9" x14ac:dyDescent="0.25">
      <c r="A113" s="112"/>
      <c r="B113" s="112"/>
      <c r="C113" s="114"/>
      <c r="D113" s="113"/>
      <c r="F113" s="112"/>
      <c r="G113" s="112"/>
      <c r="H113" s="124"/>
      <c r="I113" s="125"/>
    </row>
    <row r="114" spans="1:9" x14ac:dyDescent="0.25">
      <c r="A114" s="112"/>
      <c r="B114" s="112"/>
      <c r="C114" s="113"/>
      <c r="D114" s="113"/>
      <c r="F114" s="112"/>
      <c r="G114" s="112"/>
      <c r="H114" s="124"/>
      <c r="I114" s="125"/>
    </row>
    <row r="115" spans="1:9" x14ac:dyDescent="0.25">
      <c r="A115" s="112"/>
      <c r="B115" s="112"/>
      <c r="C115" s="113"/>
      <c r="D115" s="113"/>
      <c r="F115" s="112"/>
      <c r="G115" s="112"/>
      <c r="H115" s="124"/>
      <c r="I115" s="125"/>
    </row>
    <row r="116" spans="1:9" x14ac:dyDescent="0.25">
      <c r="A116" s="112"/>
      <c r="B116" s="112"/>
      <c r="C116" s="113"/>
      <c r="D116" s="113"/>
      <c r="F116" s="112"/>
      <c r="G116" s="112"/>
      <c r="H116" s="124"/>
      <c r="I116" s="125"/>
    </row>
    <row r="117" spans="1:9" x14ac:dyDescent="0.25">
      <c r="A117" s="112"/>
      <c r="B117" s="112"/>
      <c r="C117" s="113"/>
      <c r="D117" s="113"/>
      <c r="F117" s="112"/>
      <c r="G117" s="112"/>
      <c r="H117" s="124"/>
      <c r="I117" s="125"/>
    </row>
    <row r="118" spans="1:9" x14ac:dyDescent="0.25">
      <c r="A118" s="112"/>
      <c r="B118" s="112"/>
      <c r="C118" s="113"/>
      <c r="D118" s="113"/>
      <c r="F118" s="112"/>
      <c r="G118" s="112"/>
      <c r="H118" s="124"/>
      <c r="I118" s="125"/>
    </row>
    <row r="119" spans="1:9" x14ac:dyDescent="0.25">
      <c r="A119" s="112"/>
      <c r="B119" s="112"/>
      <c r="C119" s="113"/>
      <c r="D119" s="113"/>
      <c r="F119" s="112"/>
      <c r="G119" s="112"/>
      <c r="H119" s="124"/>
      <c r="I119" s="125"/>
    </row>
    <row r="120" spans="1:9" x14ac:dyDescent="0.25">
      <c r="A120" s="112"/>
      <c r="B120" s="112"/>
      <c r="C120" s="113"/>
      <c r="D120" s="113"/>
      <c r="F120" s="112"/>
      <c r="G120" s="112"/>
      <c r="H120" s="124"/>
      <c r="I120" s="125"/>
    </row>
    <row r="121" spans="1:9" x14ac:dyDescent="0.25">
      <c r="A121" s="112"/>
      <c r="B121" s="112"/>
      <c r="C121" s="113"/>
      <c r="D121" s="113"/>
      <c r="F121" s="112"/>
      <c r="G121" s="112"/>
      <c r="H121" s="124"/>
      <c r="I121" s="125"/>
    </row>
    <row r="122" spans="1:9" x14ac:dyDescent="0.25">
      <c r="A122" s="112"/>
      <c r="B122" s="112"/>
      <c r="C122" s="113"/>
      <c r="D122" s="113"/>
      <c r="F122" s="112"/>
      <c r="G122" s="112"/>
      <c r="H122" s="124"/>
      <c r="I122" s="125"/>
    </row>
    <row r="123" spans="1:9" x14ac:dyDescent="0.25">
      <c r="A123" s="112"/>
      <c r="B123" s="112"/>
      <c r="C123" s="113"/>
      <c r="D123" s="113"/>
      <c r="F123" s="112"/>
      <c r="G123" s="112"/>
      <c r="H123" s="124"/>
      <c r="I123" s="125"/>
    </row>
    <row r="124" spans="1:9" x14ac:dyDescent="0.25">
      <c r="A124" s="112"/>
      <c r="B124" s="112"/>
      <c r="C124" s="113"/>
      <c r="D124" s="113"/>
      <c r="F124" s="112"/>
      <c r="G124" s="112"/>
      <c r="H124" s="124"/>
      <c r="I124" s="125"/>
    </row>
    <row r="125" spans="1:9" x14ac:dyDescent="0.25">
      <c r="A125" s="112"/>
      <c r="B125" s="112"/>
      <c r="C125" s="113"/>
      <c r="D125" s="113"/>
      <c r="F125" s="112"/>
      <c r="G125" s="112"/>
      <c r="H125" s="124"/>
      <c r="I125" s="125"/>
    </row>
    <row r="126" spans="1:9" x14ac:dyDescent="0.25">
      <c r="A126" s="112"/>
      <c r="B126" s="112"/>
      <c r="C126" s="113"/>
      <c r="D126" s="113"/>
      <c r="F126" s="112"/>
      <c r="G126" s="112"/>
      <c r="H126" s="124"/>
      <c r="I126" s="125"/>
    </row>
    <row r="127" spans="1:9" x14ac:dyDescent="0.25">
      <c r="A127" s="112"/>
      <c r="B127" s="112"/>
      <c r="C127" s="113"/>
      <c r="D127" s="113"/>
      <c r="F127" s="112"/>
      <c r="G127" s="112"/>
      <c r="H127" s="124"/>
      <c r="I127" s="125"/>
    </row>
    <row r="128" spans="1:9" x14ac:dyDescent="0.25">
      <c r="A128" s="112"/>
      <c r="B128" s="112"/>
      <c r="C128" s="113"/>
      <c r="D128" s="113"/>
      <c r="F128" s="112"/>
      <c r="G128" s="112"/>
      <c r="H128" s="124"/>
      <c r="I128" s="125"/>
    </row>
    <row r="129" spans="1:9" x14ac:dyDescent="0.25">
      <c r="A129" s="112"/>
      <c r="B129" s="112"/>
      <c r="C129" s="113"/>
      <c r="D129" s="113"/>
      <c r="F129" s="112"/>
      <c r="G129" s="112"/>
      <c r="H129" s="124"/>
      <c r="I129" s="125"/>
    </row>
    <row r="130" spans="1:9" x14ac:dyDescent="0.25">
      <c r="A130" s="112"/>
      <c r="B130" s="112"/>
      <c r="C130" s="113"/>
      <c r="D130" s="113"/>
      <c r="F130" s="112"/>
      <c r="G130" s="112"/>
      <c r="H130" s="124"/>
      <c r="I130" s="125"/>
    </row>
    <row r="131" spans="1:9" x14ac:dyDescent="0.25">
      <c r="A131" s="112"/>
      <c r="B131" s="112"/>
      <c r="C131" s="113"/>
      <c r="D131" s="113"/>
      <c r="F131" s="112"/>
      <c r="G131" s="112"/>
      <c r="H131" s="124"/>
      <c r="I131" s="125"/>
    </row>
    <row r="132" spans="1:9" x14ac:dyDescent="0.25">
      <c r="A132" s="112"/>
      <c r="B132" s="112"/>
      <c r="C132" s="113"/>
      <c r="D132" s="113"/>
      <c r="F132" s="112"/>
      <c r="G132" s="112"/>
      <c r="H132" s="124"/>
      <c r="I132" s="125"/>
    </row>
    <row r="133" spans="1:9" x14ac:dyDescent="0.25">
      <c r="A133" s="112"/>
      <c r="B133" s="112"/>
      <c r="C133" s="113"/>
      <c r="D133" s="113"/>
      <c r="F133" s="112"/>
      <c r="G133" s="112"/>
      <c r="H133" s="124"/>
      <c r="I133" s="125"/>
    </row>
    <row r="134" spans="1:9" x14ac:dyDescent="0.25">
      <c r="A134" s="112"/>
      <c r="B134" s="112"/>
      <c r="C134" s="113"/>
      <c r="D134" s="113"/>
      <c r="F134" s="112"/>
      <c r="G134" s="112"/>
      <c r="H134" s="124"/>
      <c r="I134" s="125"/>
    </row>
    <row r="135" spans="1:9" x14ac:dyDescent="0.25">
      <c r="A135" s="112"/>
      <c r="B135" s="112"/>
      <c r="C135" s="113"/>
      <c r="D135" s="113"/>
      <c r="F135" s="112"/>
      <c r="G135" s="112"/>
      <c r="H135" s="124"/>
      <c r="I135" s="125"/>
    </row>
    <row r="136" spans="1:9" x14ac:dyDescent="0.25">
      <c r="A136" s="112"/>
      <c r="B136" s="112"/>
      <c r="C136" s="113"/>
      <c r="D136" s="113"/>
      <c r="F136" s="112"/>
      <c r="G136" s="112"/>
      <c r="H136" s="124"/>
      <c r="I136" s="125"/>
    </row>
    <row r="137" spans="1:9" x14ac:dyDescent="0.25">
      <c r="A137" s="112"/>
      <c r="B137" s="112"/>
      <c r="C137" s="113"/>
      <c r="D137" s="113"/>
      <c r="F137" s="112"/>
      <c r="G137" s="112"/>
      <c r="H137" s="124"/>
      <c r="I137" s="125"/>
    </row>
    <row r="138" spans="1:9" x14ac:dyDescent="0.25">
      <c r="A138" s="112"/>
      <c r="B138" s="112"/>
      <c r="C138" s="113"/>
      <c r="D138" s="113"/>
      <c r="F138" s="112"/>
      <c r="G138" s="112"/>
      <c r="H138" s="124"/>
      <c r="I138" s="125"/>
    </row>
    <row r="139" spans="1:9" x14ac:dyDescent="0.25">
      <c r="A139" s="112"/>
      <c r="B139" s="112"/>
      <c r="C139" s="113"/>
      <c r="D139" s="113"/>
      <c r="F139" s="112"/>
      <c r="G139" s="112"/>
      <c r="H139" s="124"/>
      <c r="I139" s="125"/>
    </row>
    <row r="140" spans="1:9" x14ac:dyDescent="0.25">
      <c r="A140" s="112"/>
      <c r="B140" s="112"/>
      <c r="C140" s="113"/>
      <c r="D140" s="113"/>
      <c r="F140" s="112"/>
      <c r="G140" s="112"/>
      <c r="H140" s="124"/>
      <c r="I140" s="125"/>
    </row>
    <row r="141" spans="1:9" x14ac:dyDescent="0.25">
      <c r="A141" s="112"/>
      <c r="B141" s="112"/>
      <c r="C141" s="113"/>
      <c r="D141" s="113"/>
      <c r="F141" s="112"/>
      <c r="G141" s="112"/>
      <c r="H141" s="124"/>
      <c r="I141" s="125"/>
    </row>
    <row r="142" spans="1:9" x14ac:dyDescent="0.25">
      <c r="A142" s="112"/>
      <c r="B142" s="112"/>
      <c r="C142" s="113"/>
      <c r="D142" s="113"/>
      <c r="F142" s="112"/>
      <c r="G142" s="112"/>
      <c r="H142" s="124"/>
      <c r="I142" s="125"/>
    </row>
    <row r="143" spans="1:9" x14ac:dyDescent="0.25">
      <c r="A143" s="112"/>
      <c r="B143" s="112"/>
      <c r="C143" s="113"/>
      <c r="D143" s="113"/>
      <c r="F143" s="112"/>
      <c r="G143" s="112"/>
      <c r="H143" s="124"/>
      <c r="I143" s="125"/>
    </row>
    <row r="144" spans="1:9" x14ac:dyDescent="0.25">
      <c r="A144" s="112"/>
      <c r="B144" s="112"/>
      <c r="C144" s="113"/>
      <c r="D144" s="113"/>
      <c r="F144" s="112"/>
      <c r="G144" s="112"/>
      <c r="H144" s="124"/>
      <c r="I144" s="125"/>
    </row>
    <row r="145" spans="1:9" x14ac:dyDescent="0.25">
      <c r="A145" s="112"/>
      <c r="B145" s="112"/>
      <c r="C145" s="113"/>
      <c r="D145" s="113"/>
      <c r="F145" s="112"/>
      <c r="G145" s="112"/>
      <c r="H145" s="124"/>
      <c r="I145" s="125"/>
    </row>
    <row r="146" spans="1:9" x14ac:dyDescent="0.25">
      <c r="A146" s="112"/>
      <c r="B146" s="112"/>
      <c r="C146" s="113"/>
      <c r="D146" s="113"/>
      <c r="F146" s="112"/>
      <c r="G146" s="112"/>
      <c r="H146" s="124"/>
      <c r="I146" s="125"/>
    </row>
    <row r="147" spans="1:9" x14ac:dyDescent="0.25">
      <c r="A147" s="112"/>
      <c r="B147" s="112"/>
      <c r="C147" s="113"/>
      <c r="D147" s="113"/>
      <c r="F147" s="112"/>
      <c r="G147" s="112"/>
      <c r="H147" s="124"/>
      <c r="I147" s="125"/>
    </row>
    <row r="148" spans="1:9" x14ac:dyDescent="0.25">
      <c r="A148" s="112"/>
      <c r="B148" s="112"/>
      <c r="C148" s="113"/>
      <c r="D148" s="113"/>
      <c r="F148" s="112"/>
      <c r="G148" s="112"/>
      <c r="H148" s="124"/>
      <c r="I148" s="125"/>
    </row>
    <row r="149" spans="1:9" x14ac:dyDescent="0.25">
      <c r="A149" s="112"/>
      <c r="B149" s="112"/>
      <c r="C149" s="113"/>
      <c r="D149" s="113"/>
      <c r="F149" s="112"/>
      <c r="G149" s="112"/>
      <c r="H149" s="124"/>
      <c r="I149" s="125"/>
    </row>
    <row r="150" spans="1:9" x14ac:dyDescent="0.25">
      <c r="A150" s="112"/>
      <c r="B150" s="112"/>
      <c r="C150" s="113"/>
      <c r="D150" s="113"/>
      <c r="F150" s="112"/>
      <c r="G150" s="112"/>
      <c r="H150" s="124"/>
      <c r="I150" s="125"/>
    </row>
    <row r="151" spans="1:9" x14ac:dyDescent="0.25">
      <c r="A151" s="112"/>
      <c r="B151" s="112"/>
      <c r="C151" s="113"/>
      <c r="D151" s="113"/>
      <c r="F151" s="112"/>
      <c r="G151" s="112"/>
      <c r="H151" s="124"/>
      <c r="I151" s="125"/>
    </row>
    <row r="152" spans="1:9" x14ac:dyDescent="0.25">
      <c r="E152" s="112"/>
      <c r="G152" s="112"/>
    </row>
    <row r="153" spans="1:9" x14ac:dyDescent="0.25">
      <c r="E153" s="112"/>
      <c r="G153" s="112"/>
    </row>
    <row r="154" spans="1:9" x14ac:dyDescent="0.25">
      <c r="E154" s="112"/>
      <c r="G154" s="112"/>
    </row>
    <row r="155" spans="1:9" x14ac:dyDescent="0.25">
      <c r="E155" s="112"/>
      <c r="G155" s="112"/>
    </row>
    <row r="156" spans="1:9" x14ac:dyDescent="0.25">
      <c r="E156" s="112"/>
      <c r="G156" s="112"/>
    </row>
    <row r="157" spans="1:9" x14ac:dyDescent="0.25">
      <c r="E157" s="112"/>
      <c r="G157" s="112"/>
    </row>
    <row r="158" spans="1:9" x14ac:dyDescent="0.25">
      <c r="E158" s="112"/>
      <c r="G158" s="112"/>
    </row>
    <row r="159" spans="1:9" x14ac:dyDescent="0.25">
      <c r="E159" s="112"/>
      <c r="G159" s="112"/>
    </row>
    <row r="160" spans="1:9" x14ac:dyDescent="0.25">
      <c r="E160" s="112"/>
      <c r="G160" s="112"/>
    </row>
    <row r="161" spans="5:7" x14ac:dyDescent="0.25">
      <c r="E161" s="112"/>
      <c r="G161" s="112"/>
    </row>
    <row r="162" spans="5:7" x14ac:dyDescent="0.25">
      <c r="E162" s="112"/>
      <c r="G162" s="112"/>
    </row>
    <row r="163" spans="5:7" x14ac:dyDescent="0.25">
      <c r="E163" s="112"/>
      <c r="G163" s="112"/>
    </row>
    <row r="164" spans="5:7" x14ac:dyDescent="0.25">
      <c r="E164" s="112"/>
      <c r="G164" s="112"/>
    </row>
    <row r="165" spans="5:7" x14ac:dyDescent="0.25">
      <c r="E165" s="112"/>
      <c r="G165" s="112"/>
    </row>
    <row r="166" spans="5:7" x14ac:dyDescent="0.25">
      <c r="E166" s="112"/>
      <c r="G166" s="112"/>
    </row>
    <row r="167" spans="5:7" x14ac:dyDescent="0.25">
      <c r="E167" s="112"/>
      <c r="G167" s="112"/>
    </row>
    <row r="168" spans="5:7" x14ac:dyDescent="0.25">
      <c r="E168" s="112"/>
      <c r="G168" s="112"/>
    </row>
    <row r="169" spans="5:7" x14ac:dyDescent="0.25">
      <c r="E169" s="112"/>
      <c r="G169" s="112"/>
    </row>
    <row r="170" spans="5:7" x14ac:dyDescent="0.25">
      <c r="E170" s="112"/>
      <c r="G170" s="112"/>
    </row>
    <row r="171" spans="5:7" x14ac:dyDescent="0.25">
      <c r="E171" s="112"/>
      <c r="G171" s="112"/>
    </row>
    <row r="172" spans="5:7" x14ac:dyDescent="0.25">
      <c r="E172" s="112"/>
      <c r="G172" s="112"/>
    </row>
    <row r="173" spans="5:7" x14ac:dyDescent="0.25">
      <c r="E173" s="112"/>
      <c r="G173" s="112"/>
    </row>
    <row r="174" spans="5:7" x14ac:dyDescent="0.25">
      <c r="E174" s="112"/>
      <c r="G174" s="112"/>
    </row>
    <row r="175" spans="5:7" x14ac:dyDescent="0.25">
      <c r="E175" s="112"/>
      <c r="G175" s="112"/>
    </row>
    <row r="176" spans="5:7" x14ac:dyDescent="0.25">
      <c r="E176" s="112"/>
      <c r="G176" s="112"/>
    </row>
    <row r="177" spans="5:7" x14ac:dyDescent="0.25">
      <c r="E177" s="112"/>
      <c r="G177" s="112"/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178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164</v>
      </c>
    </row>
    <row r="6" spans="1:19" x14ac:dyDescent="0.25">
      <c r="A6" s="138">
        <f>B6+273.15</f>
        <v>941.39797599435167</v>
      </c>
      <c r="B6" s="139">
        <v>668.24797599435169</v>
      </c>
      <c r="C6" s="140">
        <f>'PCO,Ma (ACS Appl)'!E31</f>
        <v>1241.9115255769493</v>
      </c>
      <c r="D6" s="157">
        <f t="shared" ref="D6:D12" si="0">C6*D16</f>
        <v>4.7354086470249073E-5</v>
      </c>
    </row>
    <row r="7" spans="1:19" x14ac:dyDescent="0.25">
      <c r="A7" s="138">
        <f t="shared" ref="A7:A12" si="1">B7+273.15</f>
        <v>921.61651536795534</v>
      </c>
      <c r="B7" s="139">
        <v>648.46651536795537</v>
      </c>
      <c r="C7" s="140">
        <f>'PCO,Ma (ACS Appl)'!E32</f>
        <v>1046.7098260993041</v>
      </c>
      <c r="D7" s="157">
        <f t="shared" si="0"/>
        <v>3.0930275361234435E-5</v>
      </c>
      <c r="H7" s="111" t="s">
        <v>18</v>
      </c>
    </row>
    <row r="8" spans="1:19" ht="15.75" x14ac:dyDescent="0.25">
      <c r="A8" s="138">
        <f t="shared" si="1"/>
        <v>902.20137134608444</v>
      </c>
      <c r="B8" s="139">
        <v>629.05137134608447</v>
      </c>
      <c r="C8" s="140">
        <f>'PCO,Ma (ACS Appl)'!E33</f>
        <v>825.43211462125475</v>
      </c>
      <c r="D8" s="157">
        <f t="shared" si="0"/>
        <v>1.830808430229943E-5</v>
      </c>
      <c r="G8" s="111">
        <v>1</v>
      </c>
      <c r="H8" s="35" t="s">
        <v>162</v>
      </c>
    </row>
    <row r="9" spans="1:19" ht="15.75" x14ac:dyDescent="0.25">
      <c r="A9" s="138">
        <f t="shared" si="1"/>
        <v>881.87309846113146</v>
      </c>
      <c r="B9" s="139">
        <v>608.72309846113149</v>
      </c>
      <c r="C9" s="140">
        <f>'PCO,Ma (ACS Appl)'!E34</f>
        <v>638.68222135798283</v>
      </c>
      <c r="D9" s="157">
        <f t="shared" si="0"/>
        <v>9.8165457422721966E-6</v>
      </c>
      <c r="J9" s="35"/>
    </row>
    <row r="10" spans="1:19" ht="16.5" thickBot="1" x14ac:dyDescent="0.3">
      <c r="A10" s="138">
        <f t="shared" si="1"/>
        <v>861.62329829398584</v>
      </c>
      <c r="B10" s="139">
        <v>588.47329829398586</v>
      </c>
      <c r="C10" s="140">
        <f>'PCO,Ma (ACS Appl)'!E35</f>
        <v>605.94344552474865</v>
      </c>
      <c r="D10" s="157">
        <f t="shared" si="0"/>
        <v>6.2551541881519798E-6</v>
      </c>
      <c r="J10" s="2"/>
    </row>
    <row r="11" spans="1:19" ht="19.5" thickBot="1" x14ac:dyDescent="0.3">
      <c r="A11" s="138">
        <f t="shared" si="1"/>
        <v>841.8925745074929</v>
      </c>
      <c r="B11" s="139">
        <v>568.74257450749292</v>
      </c>
      <c r="C11" s="140">
        <f>'PCO,Ma (ACS Appl)'!E36</f>
        <v>338.61545485206557</v>
      </c>
      <c r="D11" s="157">
        <f t="shared" si="0"/>
        <v>2.3100007714553063E-6</v>
      </c>
      <c r="H11" s="169" t="s">
        <v>184</v>
      </c>
    </row>
    <row r="12" spans="1:19" ht="15.75" thickBot="1" x14ac:dyDescent="0.3">
      <c r="A12" s="141">
        <f t="shared" si="1"/>
        <v>822.30755947339435</v>
      </c>
      <c r="B12" s="131">
        <v>549.15755947339437</v>
      </c>
      <c r="C12" s="130">
        <f>'PCO,Ma (ACS Appl)'!E36</f>
        <v>338.61545485206557</v>
      </c>
      <c r="D12" s="158">
        <f t="shared" si="0"/>
        <v>1.3872736569834273E-6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thickBot="1" x14ac:dyDescent="0.3">
      <c r="A13" s="112"/>
      <c r="B13" s="112"/>
      <c r="D13" s="114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x14ac:dyDescent="0.25">
      <c r="A14" s="133" t="s">
        <v>13</v>
      </c>
      <c r="B14" s="134"/>
      <c r="C14" s="134"/>
      <c r="D14" s="135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6" t="s">
        <v>16</v>
      </c>
      <c r="B15" s="115" t="s">
        <v>14</v>
      </c>
      <c r="C15" s="142"/>
      <c r="D15" s="137" t="s">
        <v>15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>B16+273.15</f>
        <v>941.7969485778865</v>
      </c>
      <c r="B16" s="139">
        <v>668.64694857788652</v>
      </c>
      <c r="C16" s="140"/>
      <c r="D16" s="159">
        <v>3.8129999999999998E-8</v>
      </c>
    </row>
    <row r="17" spans="1:12" x14ac:dyDescent="0.25">
      <c r="A17" s="138">
        <f t="shared" ref="A17:A27" si="2">B17+273.15</f>
        <v>923.15</v>
      </c>
      <c r="B17" s="139">
        <v>650</v>
      </c>
      <c r="C17" s="140"/>
      <c r="D17" s="159">
        <v>2.955E-8</v>
      </c>
    </row>
    <row r="18" spans="1:12" x14ac:dyDescent="0.25">
      <c r="A18" s="138">
        <f t="shared" si="2"/>
        <v>902.28277542181718</v>
      </c>
      <c r="B18" s="139">
        <v>629.1327754218172</v>
      </c>
      <c r="C18" s="140"/>
      <c r="D18" s="159">
        <v>2.2180000000000001E-8</v>
      </c>
    </row>
    <row r="19" spans="1:12" x14ac:dyDescent="0.25">
      <c r="A19" s="138">
        <f t="shared" si="2"/>
        <v>882.16094144215663</v>
      </c>
      <c r="B19" s="139">
        <v>609.01094144215665</v>
      </c>
      <c r="C19" s="140"/>
      <c r="D19" s="159">
        <v>1.5370000000000001E-8</v>
      </c>
    </row>
    <row r="20" spans="1:12" x14ac:dyDescent="0.25">
      <c r="A20" s="138">
        <f t="shared" si="2"/>
        <v>862.14328821450135</v>
      </c>
      <c r="B20" s="139">
        <v>588.99328821450138</v>
      </c>
      <c r="C20" s="140"/>
      <c r="D20" s="159">
        <v>1.0322999999999999E-8</v>
      </c>
    </row>
    <row r="21" spans="1:12" x14ac:dyDescent="0.25">
      <c r="A21" s="138">
        <f t="shared" si="2"/>
        <v>842.03435500168405</v>
      </c>
      <c r="B21" s="139">
        <v>568.88435500168407</v>
      </c>
      <c r="C21" s="140"/>
      <c r="D21" s="159">
        <v>6.8219000000000002E-9</v>
      </c>
    </row>
    <row r="22" spans="1:12" x14ac:dyDescent="0.25">
      <c r="A22" s="138">
        <f t="shared" si="2"/>
        <v>823.15</v>
      </c>
      <c r="B22" s="139">
        <v>550</v>
      </c>
      <c r="C22" s="140"/>
      <c r="D22" s="159">
        <v>4.0968999999999998E-9</v>
      </c>
    </row>
    <row r="23" spans="1:12" x14ac:dyDescent="0.25">
      <c r="A23" s="138">
        <f t="shared" si="2"/>
        <v>773.15</v>
      </c>
      <c r="B23" s="139">
        <v>500</v>
      </c>
      <c r="C23" s="140"/>
      <c r="D23" s="159">
        <f>(3*10^-40)*(B23^11.355)</f>
        <v>1.3302266795149688E-9</v>
      </c>
    </row>
    <row r="24" spans="1:12" x14ac:dyDescent="0.25">
      <c r="A24" s="138">
        <f t="shared" si="2"/>
        <v>748.15</v>
      </c>
      <c r="B24" s="139">
        <v>475</v>
      </c>
      <c r="C24" s="140"/>
      <c r="D24" s="159">
        <f t="shared" ref="D24:D27" si="3">(3*10^-40)*(B24^11.355)</f>
        <v>7.429801175343371E-10</v>
      </c>
    </row>
    <row r="25" spans="1:12" x14ac:dyDescent="0.25">
      <c r="A25" s="138">
        <f t="shared" si="2"/>
        <v>723.15</v>
      </c>
      <c r="B25" s="139">
        <v>450</v>
      </c>
      <c r="C25" s="140"/>
      <c r="D25" s="159">
        <f t="shared" si="3"/>
        <v>4.0211414340088635E-10</v>
      </c>
    </row>
    <row r="26" spans="1:12" x14ac:dyDescent="0.25">
      <c r="A26" s="138">
        <f t="shared" si="2"/>
        <v>698.15</v>
      </c>
      <c r="B26" s="139">
        <v>425</v>
      </c>
      <c r="C26" s="140"/>
      <c r="D26" s="159">
        <f t="shared" si="3"/>
        <v>2.1012491726178693E-10</v>
      </c>
    </row>
    <row r="27" spans="1:12" ht="15.75" thickBot="1" x14ac:dyDescent="0.3">
      <c r="A27" s="141">
        <f t="shared" si="2"/>
        <v>673.15</v>
      </c>
      <c r="B27" s="131">
        <v>400</v>
      </c>
      <c r="C27" s="130"/>
      <c r="D27" s="160">
        <f t="shared" si="3"/>
        <v>1.0556317799611864E-10</v>
      </c>
    </row>
    <row r="28" spans="1:12" ht="15.75" thickBot="1" x14ac:dyDescent="0.3">
      <c r="A28" s="112"/>
      <c r="D28" s="114"/>
    </row>
    <row r="29" spans="1:12" ht="15.75" x14ac:dyDescent="0.25">
      <c r="A29" s="133" t="s">
        <v>19</v>
      </c>
      <c r="B29" s="134"/>
      <c r="C29" s="134"/>
      <c r="D29" s="135"/>
      <c r="G29" s="119"/>
      <c r="H29" s="119"/>
    </row>
    <row r="30" spans="1:12" x14ac:dyDescent="0.25">
      <c r="A30" s="136" t="s">
        <v>16</v>
      </c>
      <c r="B30" s="115" t="s">
        <v>14</v>
      </c>
      <c r="C30" s="142"/>
      <c r="D30" s="143" t="s">
        <v>35</v>
      </c>
      <c r="G30" s="119"/>
      <c r="H30" s="114"/>
    </row>
    <row r="31" spans="1:12" x14ac:dyDescent="0.25">
      <c r="A31" s="138">
        <f t="shared" ref="A31:A37" si="4">B31+273.15</f>
        <v>941.39797599435167</v>
      </c>
      <c r="B31" s="139">
        <v>668.24797599435169</v>
      </c>
      <c r="C31" s="144"/>
      <c r="D31" s="167">
        <v>64.5</v>
      </c>
      <c r="H31" s="114"/>
      <c r="K31" s="118"/>
      <c r="L31" s="118"/>
    </row>
    <row r="32" spans="1:12" x14ac:dyDescent="0.25">
      <c r="A32" s="138">
        <f t="shared" si="4"/>
        <v>921.61651536795534</v>
      </c>
      <c r="B32" s="139">
        <v>648.46651536795537</v>
      </c>
      <c r="C32" s="144"/>
      <c r="D32" s="167">
        <v>81.599999999999994</v>
      </c>
      <c r="H32" s="114"/>
      <c r="J32" s="113"/>
      <c r="K32" s="113"/>
      <c r="L32" s="113"/>
    </row>
    <row r="33" spans="1:12" x14ac:dyDescent="0.25">
      <c r="A33" s="138">
        <f t="shared" si="4"/>
        <v>902.20137134608444</v>
      </c>
      <c r="B33" s="139">
        <v>629.05137134608447</v>
      </c>
      <c r="C33" s="144"/>
      <c r="D33" s="167">
        <v>105.7</v>
      </c>
      <c r="H33" s="114"/>
      <c r="J33" s="113"/>
      <c r="K33" s="113"/>
      <c r="L33" s="113"/>
    </row>
    <row r="34" spans="1:12" x14ac:dyDescent="0.25">
      <c r="A34" s="138">
        <f t="shared" si="4"/>
        <v>881.87309846113146</v>
      </c>
      <c r="B34" s="139">
        <v>608.72309846113149</v>
      </c>
      <c r="C34" s="144"/>
      <c r="D34" s="167">
        <v>153.1</v>
      </c>
      <c r="H34" s="114"/>
      <c r="J34" s="113"/>
      <c r="K34" s="113"/>
      <c r="L34" s="113"/>
    </row>
    <row r="35" spans="1:12" x14ac:dyDescent="0.25">
      <c r="A35" s="138">
        <f t="shared" si="4"/>
        <v>861.62329829398584</v>
      </c>
      <c r="B35" s="139">
        <v>588.47329829398586</v>
      </c>
      <c r="C35" s="144"/>
      <c r="D35" s="167">
        <v>213.67</v>
      </c>
      <c r="H35" s="114"/>
      <c r="J35" s="113"/>
      <c r="K35" s="113"/>
      <c r="L35" s="113"/>
    </row>
    <row r="36" spans="1:12" x14ac:dyDescent="0.25">
      <c r="A36" s="138">
        <f t="shared" si="4"/>
        <v>841.8925745074929</v>
      </c>
      <c r="B36" s="139">
        <v>568.74257450749292</v>
      </c>
      <c r="C36" s="144"/>
      <c r="D36" s="167">
        <v>321.14</v>
      </c>
      <c r="H36" s="114"/>
      <c r="J36" s="113"/>
      <c r="K36" s="113"/>
      <c r="L36" s="113"/>
    </row>
    <row r="37" spans="1:12" ht="15.75" thickBot="1" x14ac:dyDescent="0.3">
      <c r="A37" s="141">
        <f t="shared" si="4"/>
        <v>822.30755947339435</v>
      </c>
      <c r="B37" s="131">
        <v>549.15755947339437</v>
      </c>
      <c r="C37" s="129"/>
      <c r="D37" s="168">
        <v>500.87790000000001</v>
      </c>
      <c r="H37" s="114"/>
      <c r="J37" s="113"/>
      <c r="K37" s="113"/>
      <c r="L37" s="113"/>
    </row>
    <row r="38" spans="1:12" x14ac:dyDescent="0.25">
      <c r="D38" s="113"/>
      <c r="G38" s="119"/>
      <c r="H38" s="114"/>
      <c r="J38" s="113"/>
      <c r="K38" s="113"/>
      <c r="L38" s="113"/>
    </row>
    <row r="39" spans="1:12" s="126" customFormat="1" ht="15.75" thickBot="1" x14ac:dyDescent="0.3">
      <c r="G39" s="128"/>
      <c r="H39" s="129"/>
      <c r="J39" s="130"/>
      <c r="K39" s="130"/>
      <c r="L39" s="130"/>
    </row>
    <row r="40" spans="1:12" ht="60" x14ac:dyDescent="0.25">
      <c r="A40" s="118" t="s">
        <v>26</v>
      </c>
      <c r="G40" s="119"/>
      <c r="H40" s="114"/>
    </row>
    <row r="41" spans="1:12" ht="17.25" x14ac:dyDescent="0.25">
      <c r="A41" s="111" t="s">
        <v>16</v>
      </c>
      <c r="B41" s="111" t="s">
        <v>14</v>
      </c>
      <c r="C41" s="118" t="s">
        <v>20</v>
      </c>
      <c r="E41" s="118"/>
      <c r="F41" s="118"/>
      <c r="J41" s="118"/>
    </row>
    <row r="42" spans="1:12" x14ac:dyDescent="0.25">
      <c r="A42" s="112">
        <f>B42+273.15</f>
        <v>941.39797599435167</v>
      </c>
      <c r="B42" s="112">
        <v>668.24797599435169</v>
      </c>
      <c r="C42" s="114">
        <f t="shared" ref="C42:C48" si="5">($C$2*$A$2*A42)/(4*($E$2^2)*D31*D16)</f>
        <v>8.5424804871267412E-2</v>
      </c>
      <c r="E42" s="114"/>
      <c r="F42" s="113"/>
      <c r="G42" s="112"/>
      <c r="H42" s="112"/>
      <c r="I42" s="114"/>
      <c r="J42" s="114"/>
    </row>
    <row r="43" spans="1:12" x14ac:dyDescent="0.25">
      <c r="A43" s="112">
        <f t="shared" ref="A43:A54" si="6">B43+273.15</f>
        <v>921.61651536795534</v>
      </c>
      <c r="B43" s="112">
        <v>648.46651536795537</v>
      </c>
      <c r="C43" s="114">
        <f t="shared" si="5"/>
        <v>8.5298198676812195E-2</v>
      </c>
      <c r="E43" s="114"/>
      <c r="F43" s="113"/>
      <c r="G43" s="112"/>
      <c r="H43" s="112"/>
      <c r="I43" s="114"/>
      <c r="J43" s="114"/>
    </row>
    <row r="44" spans="1:12" x14ac:dyDescent="0.25">
      <c r="A44" s="112">
        <f t="shared" si="6"/>
        <v>902.20137134608444</v>
      </c>
      <c r="B44" s="112">
        <v>629.05137134608447</v>
      </c>
      <c r="C44" s="114">
        <f t="shared" si="5"/>
        <v>8.5882407220590234E-2</v>
      </c>
      <c r="E44" s="114"/>
      <c r="F44" s="113"/>
      <c r="G44" s="112"/>
      <c r="H44" s="112"/>
      <c r="I44" s="114"/>
      <c r="J44" s="114"/>
    </row>
    <row r="45" spans="1:12" x14ac:dyDescent="0.25">
      <c r="A45" s="112">
        <f t="shared" si="6"/>
        <v>881.87309846113146</v>
      </c>
      <c r="B45" s="117">
        <v>608.72309846113149</v>
      </c>
      <c r="C45" s="114">
        <f t="shared" si="5"/>
        <v>8.3636199825509641E-2</v>
      </c>
      <c r="E45" s="114"/>
      <c r="F45" s="113"/>
      <c r="G45" s="112"/>
      <c r="H45" s="112"/>
      <c r="I45" s="114"/>
      <c r="J45" s="114"/>
    </row>
    <row r="46" spans="1:12" x14ac:dyDescent="0.25">
      <c r="A46" s="112">
        <f t="shared" si="6"/>
        <v>861.62329829398584</v>
      </c>
      <c r="B46" s="117">
        <v>588.47329829398586</v>
      </c>
      <c r="C46" s="114">
        <f t="shared" si="5"/>
        <v>8.7177660786994474E-2</v>
      </c>
      <c r="D46" s="114"/>
      <c r="E46" s="114"/>
      <c r="F46" s="113"/>
      <c r="G46" s="112"/>
      <c r="H46" s="112"/>
      <c r="I46" s="114"/>
      <c r="J46" s="114"/>
    </row>
    <row r="47" spans="1:12" x14ac:dyDescent="0.25">
      <c r="A47" s="112">
        <f t="shared" si="6"/>
        <v>841.8925745074929</v>
      </c>
      <c r="B47" s="117">
        <v>568.74257450749292</v>
      </c>
      <c r="C47" s="114">
        <f t="shared" si="5"/>
        <v>8.5761858181784362E-2</v>
      </c>
      <c r="D47" s="114"/>
      <c r="E47" s="114"/>
      <c r="F47" s="113"/>
      <c r="G47" s="112"/>
      <c r="H47" s="112"/>
      <c r="I47" s="113"/>
      <c r="J47" s="114"/>
    </row>
    <row r="48" spans="1:12" x14ac:dyDescent="0.25">
      <c r="A48" s="112">
        <f t="shared" si="6"/>
        <v>822.30755947339435</v>
      </c>
      <c r="B48" s="117">
        <v>549.15755947339437</v>
      </c>
      <c r="C48" s="114">
        <f t="shared" si="5"/>
        <v>8.94302210873196E-2</v>
      </c>
      <c r="D48" s="114"/>
      <c r="E48" s="114"/>
      <c r="F48" s="113"/>
      <c r="G48" s="112"/>
      <c r="H48" s="112"/>
      <c r="I48" s="113"/>
      <c r="J48" s="114"/>
    </row>
    <row r="49" spans="1:10" x14ac:dyDescent="0.25">
      <c r="A49" s="112">
        <f t="shared" si="6"/>
        <v>798.15</v>
      </c>
      <c r="B49" s="117">
        <v>525</v>
      </c>
      <c r="C49" s="114">
        <f t="shared" ref="C49:C54" si="7">(0.2761)*(B49^-0.182)</f>
        <v>8.830746409675444E-2</v>
      </c>
      <c r="D49" s="114"/>
      <c r="E49" s="114"/>
      <c r="F49" s="113"/>
      <c r="G49" s="112"/>
      <c r="H49" s="112"/>
      <c r="I49" s="113"/>
      <c r="J49" s="114"/>
    </row>
    <row r="50" spans="1:10" x14ac:dyDescent="0.25">
      <c r="A50" s="112">
        <f t="shared" si="6"/>
        <v>773.15</v>
      </c>
      <c r="B50" s="117">
        <v>500</v>
      </c>
      <c r="C50" s="114">
        <f t="shared" si="7"/>
        <v>8.9095109483913817E-2</v>
      </c>
      <c r="E50" s="114"/>
      <c r="F50" s="113"/>
      <c r="G50" s="112"/>
      <c r="H50" s="112"/>
      <c r="I50" s="113"/>
      <c r="J50" s="114"/>
    </row>
    <row r="51" spans="1:10" x14ac:dyDescent="0.25">
      <c r="A51" s="112">
        <f t="shared" si="6"/>
        <v>748.15</v>
      </c>
      <c r="B51" s="117">
        <v>475</v>
      </c>
      <c r="C51" s="114">
        <f t="shared" si="7"/>
        <v>8.9930740547406005E-2</v>
      </c>
      <c r="E51" s="114"/>
      <c r="F51" s="113"/>
      <c r="G51" s="112"/>
      <c r="H51" s="112"/>
      <c r="I51" s="113"/>
      <c r="J51" s="114"/>
    </row>
    <row r="52" spans="1:10" x14ac:dyDescent="0.25">
      <c r="A52" s="112">
        <f t="shared" si="6"/>
        <v>723.15</v>
      </c>
      <c r="B52" s="117">
        <v>450</v>
      </c>
      <c r="C52" s="114">
        <f t="shared" si="7"/>
        <v>9.0820048425526559E-2</v>
      </c>
      <c r="E52" s="114"/>
      <c r="F52" s="113"/>
      <c r="G52" s="112"/>
      <c r="H52" s="112"/>
      <c r="I52" s="113"/>
      <c r="J52" s="114"/>
    </row>
    <row r="53" spans="1:10" x14ac:dyDescent="0.25">
      <c r="A53" s="112">
        <f t="shared" si="6"/>
        <v>698.15</v>
      </c>
      <c r="B53" s="117">
        <v>425</v>
      </c>
      <c r="C53" s="114">
        <f t="shared" si="7"/>
        <v>9.176976537753366E-2</v>
      </c>
      <c r="E53" s="114"/>
      <c r="H53" s="114"/>
    </row>
    <row r="54" spans="1:10" x14ac:dyDescent="0.25">
      <c r="A54" s="112">
        <f t="shared" si="6"/>
        <v>673.15</v>
      </c>
      <c r="B54" s="112">
        <v>400</v>
      </c>
      <c r="C54" s="114">
        <f t="shared" si="7"/>
        <v>9.2787930434675661E-2</v>
      </c>
      <c r="D54" s="113"/>
      <c r="E54" s="114"/>
      <c r="H54" s="114"/>
    </row>
    <row r="55" spans="1:10" x14ac:dyDescent="0.25">
      <c r="A55" s="112"/>
      <c r="B55" s="112"/>
      <c r="C55" s="113"/>
      <c r="E55" s="113"/>
      <c r="H55" s="114"/>
    </row>
    <row r="56" spans="1:10" x14ac:dyDescent="0.25">
      <c r="A56" s="112"/>
      <c r="B56" s="112"/>
      <c r="C56" s="113"/>
      <c r="E56" s="113"/>
      <c r="H56" s="114"/>
    </row>
    <row r="57" spans="1:10" x14ac:dyDescent="0.25">
      <c r="A57" s="119"/>
      <c r="B57" s="119"/>
      <c r="C57" s="121"/>
      <c r="D57" s="119"/>
      <c r="E57" s="113"/>
      <c r="I57" s="118"/>
    </row>
    <row r="58" spans="1:10" x14ac:dyDescent="0.25">
      <c r="A58" s="112"/>
      <c r="B58" s="112"/>
      <c r="C58" s="113"/>
      <c r="D58" s="113"/>
      <c r="F58" s="112"/>
      <c r="G58" s="112"/>
      <c r="H58" s="124"/>
      <c r="I58" s="125"/>
    </row>
    <row r="59" spans="1:10" x14ac:dyDescent="0.25">
      <c r="A59" s="112"/>
      <c r="B59" s="112"/>
      <c r="C59" s="113"/>
      <c r="D59" s="113"/>
      <c r="F59" s="112"/>
      <c r="G59" s="112"/>
      <c r="H59" s="124"/>
      <c r="I59" s="125"/>
    </row>
    <row r="60" spans="1:10" x14ac:dyDescent="0.25">
      <c r="A60" s="112"/>
      <c r="B60" s="112"/>
      <c r="C60" s="113"/>
      <c r="D60" s="113"/>
      <c r="F60" s="112"/>
      <c r="G60" s="112"/>
      <c r="H60" s="124"/>
      <c r="I60" s="125"/>
    </row>
    <row r="61" spans="1:10" x14ac:dyDescent="0.25">
      <c r="A61" s="112"/>
      <c r="B61" s="112"/>
      <c r="C61" s="113"/>
      <c r="D61" s="113"/>
      <c r="F61" s="112"/>
      <c r="G61" s="112"/>
      <c r="H61" s="124"/>
      <c r="I61" s="125"/>
    </row>
    <row r="62" spans="1:10" x14ac:dyDescent="0.25">
      <c r="A62" s="112"/>
      <c r="B62" s="112"/>
      <c r="C62" s="113"/>
      <c r="D62" s="113"/>
      <c r="F62" s="112"/>
      <c r="G62" s="112"/>
      <c r="H62" s="124"/>
      <c r="I62" s="125"/>
    </row>
    <row r="63" spans="1:10" x14ac:dyDescent="0.25">
      <c r="A63" s="112"/>
      <c r="B63" s="112"/>
      <c r="C63" s="113"/>
      <c r="D63" s="113"/>
      <c r="F63" s="112"/>
      <c r="G63" s="112"/>
      <c r="H63" s="124"/>
      <c r="I63" s="125"/>
    </row>
    <row r="64" spans="1:10" x14ac:dyDescent="0.25">
      <c r="A64" s="112"/>
      <c r="B64" s="112"/>
      <c r="C64" s="113"/>
      <c r="D64" s="113"/>
      <c r="F64" s="112"/>
      <c r="G64" s="112"/>
      <c r="H64" s="124"/>
      <c r="I64" s="125"/>
    </row>
    <row r="65" spans="1:9" x14ac:dyDescent="0.25">
      <c r="A65" s="112"/>
      <c r="B65" s="112"/>
      <c r="C65" s="113"/>
      <c r="D65" s="113"/>
      <c r="F65" s="112"/>
      <c r="G65" s="112"/>
      <c r="H65" s="124"/>
      <c r="I65" s="125"/>
    </row>
    <row r="66" spans="1:9" x14ac:dyDescent="0.25">
      <c r="A66" s="112"/>
      <c r="B66" s="112"/>
      <c r="C66" s="113"/>
      <c r="D66" s="113"/>
      <c r="F66" s="112"/>
      <c r="G66" s="112"/>
      <c r="H66" s="124"/>
      <c r="I66" s="125"/>
    </row>
    <row r="67" spans="1:9" x14ac:dyDescent="0.25">
      <c r="A67" s="112"/>
      <c r="B67" s="112"/>
      <c r="C67" s="113"/>
      <c r="D67" s="113"/>
      <c r="F67" s="112"/>
      <c r="G67" s="112"/>
      <c r="H67" s="124"/>
      <c r="I67" s="125"/>
    </row>
    <row r="68" spans="1:9" x14ac:dyDescent="0.25">
      <c r="A68" s="112"/>
      <c r="B68" s="112"/>
      <c r="C68" s="113"/>
      <c r="D68" s="113"/>
      <c r="F68" s="112"/>
      <c r="G68" s="112"/>
      <c r="H68" s="124"/>
      <c r="I68" s="125"/>
    </row>
    <row r="69" spans="1:9" x14ac:dyDescent="0.25">
      <c r="A69" s="112"/>
      <c r="B69" s="112"/>
      <c r="C69" s="113"/>
      <c r="D69" s="113"/>
      <c r="F69" s="112"/>
      <c r="G69" s="112"/>
      <c r="H69" s="124"/>
      <c r="I69" s="125"/>
    </row>
    <row r="70" spans="1:9" x14ac:dyDescent="0.25">
      <c r="A70" s="112"/>
      <c r="B70" s="112"/>
      <c r="C70" s="113"/>
      <c r="D70" s="113"/>
      <c r="F70" s="112"/>
      <c r="G70" s="112"/>
      <c r="H70" s="124"/>
      <c r="I70" s="125"/>
    </row>
    <row r="71" spans="1:9" x14ac:dyDescent="0.25">
      <c r="A71" s="112"/>
      <c r="B71" s="112"/>
      <c r="C71" s="113"/>
      <c r="D71" s="113"/>
      <c r="F71" s="112"/>
      <c r="G71" s="112"/>
      <c r="H71" s="124"/>
      <c r="I71" s="125"/>
    </row>
    <row r="72" spans="1:9" x14ac:dyDescent="0.25">
      <c r="A72" s="112"/>
      <c r="B72" s="112"/>
      <c r="C72" s="113"/>
      <c r="D72" s="113"/>
      <c r="F72" s="112"/>
      <c r="G72" s="112"/>
      <c r="H72" s="124"/>
      <c r="I72" s="125"/>
    </row>
    <row r="73" spans="1:9" x14ac:dyDescent="0.25">
      <c r="A73" s="112"/>
      <c r="B73" s="112"/>
      <c r="C73" s="113"/>
      <c r="D73" s="113"/>
      <c r="F73" s="112"/>
      <c r="G73" s="112"/>
      <c r="H73" s="124"/>
      <c r="I73" s="125"/>
    </row>
    <row r="74" spans="1:9" x14ac:dyDescent="0.25">
      <c r="A74" s="112"/>
      <c r="B74" s="112"/>
      <c r="C74" s="113"/>
      <c r="D74" s="113"/>
      <c r="F74" s="112"/>
      <c r="G74" s="112"/>
      <c r="H74" s="124"/>
      <c r="I74" s="125"/>
    </row>
    <row r="75" spans="1:9" x14ac:dyDescent="0.25">
      <c r="A75" s="112"/>
      <c r="B75" s="112"/>
      <c r="C75" s="113"/>
      <c r="D75" s="113"/>
      <c r="F75" s="112"/>
      <c r="G75" s="112"/>
      <c r="H75" s="124"/>
      <c r="I75" s="125"/>
    </row>
    <row r="76" spans="1:9" x14ac:dyDescent="0.25">
      <c r="A76" s="112"/>
      <c r="B76" s="112"/>
      <c r="C76" s="113"/>
      <c r="D76" s="113"/>
      <c r="F76" s="112"/>
      <c r="G76" s="112"/>
      <c r="H76" s="124"/>
      <c r="I76" s="125"/>
    </row>
    <row r="77" spans="1:9" x14ac:dyDescent="0.25">
      <c r="A77" s="112"/>
      <c r="B77" s="112"/>
      <c r="C77" s="113"/>
      <c r="D77" s="113"/>
      <c r="F77" s="112"/>
      <c r="G77" s="112"/>
      <c r="H77" s="124"/>
      <c r="I77" s="125"/>
    </row>
    <row r="78" spans="1:9" x14ac:dyDescent="0.25">
      <c r="A78" s="112"/>
      <c r="B78" s="112"/>
      <c r="C78" s="113"/>
      <c r="D78" s="113"/>
      <c r="F78" s="112"/>
      <c r="G78" s="112"/>
      <c r="H78" s="124"/>
      <c r="I78" s="125"/>
    </row>
    <row r="79" spans="1:9" x14ac:dyDescent="0.25">
      <c r="A79" s="112"/>
      <c r="B79" s="112"/>
      <c r="C79" s="113"/>
      <c r="D79" s="113"/>
      <c r="F79" s="112"/>
      <c r="G79" s="112"/>
      <c r="H79" s="124"/>
      <c r="I79" s="125"/>
    </row>
    <row r="80" spans="1:9" x14ac:dyDescent="0.25">
      <c r="A80" s="112"/>
      <c r="B80" s="112"/>
      <c r="C80" s="113"/>
      <c r="D80" s="113"/>
      <c r="F80" s="112"/>
      <c r="G80" s="112"/>
      <c r="H80" s="124"/>
      <c r="I80" s="125"/>
    </row>
    <row r="81" spans="1:9" x14ac:dyDescent="0.25">
      <c r="A81" s="112"/>
      <c r="B81" s="112"/>
      <c r="C81" s="113"/>
      <c r="D81" s="113"/>
      <c r="F81" s="112"/>
      <c r="G81" s="112"/>
      <c r="H81" s="124"/>
      <c r="I81" s="125"/>
    </row>
    <row r="82" spans="1:9" x14ac:dyDescent="0.25">
      <c r="A82" s="112"/>
      <c r="B82" s="112"/>
      <c r="C82" s="113"/>
      <c r="D82" s="113"/>
      <c r="F82" s="112"/>
      <c r="G82" s="112"/>
      <c r="H82" s="124"/>
      <c r="I82" s="125"/>
    </row>
    <row r="83" spans="1:9" x14ac:dyDescent="0.25">
      <c r="A83" s="112"/>
      <c r="B83" s="112"/>
      <c r="C83" s="113"/>
      <c r="D83" s="113"/>
      <c r="F83" s="112"/>
      <c r="G83" s="112"/>
      <c r="H83" s="124"/>
      <c r="I83" s="125"/>
    </row>
    <row r="84" spans="1:9" x14ac:dyDescent="0.25">
      <c r="A84" s="112"/>
      <c r="B84" s="112"/>
      <c r="C84" s="113"/>
      <c r="D84" s="113"/>
      <c r="F84" s="112"/>
      <c r="G84" s="112"/>
      <c r="H84" s="124"/>
      <c r="I84" s="125"/>
    </row>
    <row r="85" spans="1:9" x14ac:dyDescent="0.25">
      <c r="A85" s="112"/>
      <c r="B85" s="112"/>
      <c r="C85" s="113"/>
      <c r="D85" s="113"/>
      <c r="F85" s="112"/>
      <c r="G85" s="112"/>
      <c r="H85" s="124"/>
      <c r="I85" s="125"/>
    </row>
    <row r="86" spans="1:9" x14ac:dyDescent="0.25">
      <c r="A86" s="112"/>
      <c r="B86" s="112"/>
      <c r="C86" s="113"/>
      <c r="D86" s="113"/>
      <c r="F86" s="112"/>
      <c r="G86" s="112"/>
      <c r="H86" s="124"/>
      <c r="I86" s="125"/>
    </row>
    <row r="87" spans="1:9" x14ac:dyDescent="0.25">
      <c r="A87" s="112"/>
      <c r="B87" s="112"/>
      <c r="C87" s="113"/>
      <c r="D87" s="113"/>
      <c r="F87" s="112"/>
      <c r="G87" s="112"/>
      <c r="H87" s="124"/>
      <c r="I87" s="125"/>
    </row>
    <row r="88" spans="1:9" x14ac:dyDescent="0.25">
      <c r="A88" s="112"/>
      <c r="B88" s="112"/>
      <c r="C88" s="113"/>
      <c r="D88" s="113"/>
      <c r="F88" s="112"/>
      <c r="G88" s="112"/>
      <c r="H88" s="124"/>
      <c r="I88" s="125"/>
    </row>
    <row r="89" spans="1:9" x14ac:dyDescent="0.25">
      <c r="A89" s="112"/>
      <c r="B89" s="112"/>
      <c r="C89" s="113"/>
      <c r="D89" s="113"/>
      <c r="F89" s="112"/>
      <c r="G89" s="112"/>
      <c r="H89" s="124"/>
      <c r="I89" s="125"/>
    </row>
    <row r="90" spans="1:9" x14ac:dyDescent="0.25">
      <c r="A90" s="112"/>
      <c r="B90" s="112"/>
      <c r="C90" s="113"/>
      <c r="D90" s="113"/>
      <c r="F90" s="112"/>
      <c r="G90" s="112"/>
      <c r="H90" s="124"/>
      <c r="I90" s="125"/>
    </row>
    <row r="91" spans="1:9" x14ac:dyDescent="0.25">
      <c r="A91" s="112"/>
      <c r="B91" s="112"/>
      <c r="C91" s="113"/>
      <c r="D91" s="113"/>
      <c r="F91" s="112"/>
      <c r="G91" s="112"/>
      <c r="H91" s="124"/>
      <c r="I91" s="125"/>
    </row>
    <row r="92" spans="1:9" x14ac:dyDescent="0.25">
      <c r="A92" s="112"/>
      <c r="B92" s="112"/>
      <c r="C92" s="113"/>
      <c r="D92" s="113"/>
      <c r="F92" s="112"/>
      <c r="G92" s="112"/>
      <c r="H92" s="124"/>
      <c r="I92" s="125"/>
    </row>
    <row r="93" spans="1:9" x14ac:dyDescent="0.25">
      <c r="A93" s="112"/>
      <c r="B93" s="112"/>
      <c r="C93" s="113"/>
      <c r="D93" s="113"/>
      <c r="F93" s="112"/>
      <c r="G93" s="112"/>
      <c r="H93" s="124"/>
      <c r="I93" s="125"/>
    </row>
    <row r="94" spans="1:9" x14ac:dyDescent="0.25">
      <c r="A94" s="112"/>
      <c r="B94" s="112"/>
      <c r="C94" s="113"/>
      <c r="D94" s="113"/>
      <c r="F94" s="112"/>
      <c r="G94" s="112"/>
      <c r="H94" s="124"/>
      <c r="I94" s="125"/>
    </row>
    <row r="95" spans="1:9" x14ac:dyDescent="0.25">
      <c r="A95" s="112"/>
      <c r="B95" s="112"/>
      <c r="C95" s="113"/>
      <c r="D95" s="113"/>
      <c r="F95" s="112"/>
      <c r="G95" s="112"/>
      <c r="H95" s="124"/>
      <c r="I95" s="125"/>
    </row>
    <row r="96" spans="1:9" x14ac:dyDescent="0.25">
      <c r="A96" s="112"/>
      <c r="B96" s="112"/>
      <c r="C96" s="113"/>
      <c r="D96" s="113"/>
      <c r="F96" s="112"/>
      <c r="G96" s="112"/>
      <c r="H96" s="124"/>
      <c r="I96" s="125"/>
    </row>
    <row r="97" spans="1:9" x14ac:dyDescent="0.25">
      <c r="A97" s="112"/>
      <c r="B97" s="112"/>
      <c r="C97" s="113"/>
      <c r="D97" s="113"/>
      <c r="F97" s="112"/>
      <c r="G97" s="112"/>
      <c r="H97" s="124"/>
      <c r="I97" s="125"/>
    </row>
    <row r="98" spans="1:9" x14ac:dyDescent="0.25">
      <c r="A98" s="112"/>
      <c r="B98" s="112"/>
      <c r="C98" s="113"/>
      <c r="D98" s="113"/>
      <c r="F98" s="112"/>
      <c r="G98" s="112"/>
      <c r="H98" s="124"/>
      <c r="I98" s="125"/>
    </row>
    <row r="99" spans="1:9" x14ac:dyDescent="0.25">
      <c r="A99" s="112"/>
      <c r="B99" s="112"/>
      <c r="C99" s="113"/>
      <c r="D99" s="113"/>
      <c r="F99" s="112"/>
      <c r="G99" s="112"/>
      <c r="H99" s="124"/>
      <c r="I99" s="125"/>
    </row>
    <row r="100" spans="1:9" x14ac:dyDescent="0.25">
      <c r="A100" s="112"/>
      <c r="B100" s="112"/>
      <c r="C100" s="113"/>
      <c r="D100" s="113"/>
      <c r="F100" s="112"/>
      <c r="G100" s="112"/>
      <c r="H100" s="124"/>
      <c r="I100" s="125"/>
    </row>
    <row r="101" spans="1:9" x14ac:dyDescent="0.25">
      <c r="A101" s="112"/>
      <c r="B101" s="112"/>
      <c r="C101" s="113"/>
      <c r="D101" s="113"/>
      <c r="F101" s="112"/>
      <c r="G101" s="112"/>
      <c r="H101" s="124"/>
      <c r="I101" s="125"/>
    </row>
    <row r="102" spans="1:9" x14ac:dyDescent="0.25">
      <c r="A102" s="112"/>
      <c r="B102" s="112"/>
      <c r="C102" s="113"/>
      <c r="D102" s="113"/>
      <c r="F102" s="112"/>
      <c r="G102" s="112"/>
      <c r="H102" s="124"/>
      <c r="I102" s="125"/>
    </row>
    <row r="103" spans="1:9" x14ac:dyDescent="0.25">
      <c r="A103" s="112"/>
      <c r="B103" s="112"/>
      <c r="C103" s="113"/>
      <c r="D103" s="113"/>
      <c r="F103" s="112"/>
      <c r="G103" s="112"/>
      <c r="H103" s="124"/>
      <c r="I103" s="125"/>
    </row>
    <row r="104" spans="1:9" x14ac:dyDescent="0.25">
      <c r="A104" s="112"/>
      <c r="B104" s="112"/>
      <c r="C104" s="113"/>
      <c r="D104" s="113"/>
      <c r="F104" s="112"/>
      <c r="G104" s="112"/>
      <c r="H104" s="124"/>
      <c r="I104" s="125"/>
    </row>
    <row r="105" spans="1:9" x14ac:dyDescent="0.25">
      <c r="A105" s="112"/>
      <c r="B105" s="112"/>
      <c r="C105" s="113"/>
      <c r="D105" s="113"/>
      <c r="F105" s="112"/>
      <c r="G105" s="112"/>
      <c r="H105" s="124"/>
      <c r="I105" s="125"/>
    </row>
    <row r="106" spans="1:9" x14ac:dyDescent="0.25">
      <c r="A106" s="112"/>
      <c r="B106" s="112"/>
      <c r="C106" s="113"/>
      <c r="D106" s="113"/>
      <c r="F106" s="112"/>
      <c r="G106" s="112"/>
      <c r="H106" s="124"/>
      <c r="I106" s="125"/>
    </row>
    <row r="107" spans="1:9" x14ac:dyDescent="0.25">
      <c r="A107" s="112"/>
      <c r="B107" s="112"/>
      <c r="C107" s="113"/>
      <c r="D107" s="113"/>
      <c r="F107" s="112"/>
      <c r="G107" s="112"/>
      <c r="H107" s="124"/>
      <c r="I107" s="125"/>
    </row>
    <row r="108" spans="1:9" x14ac:dyDescent="0.25">
      <c r="A108" s="112"/>
      <c r="B108" s="112"/>
      <c r="C108" s="113"/>
      <c r="D108" s="113"/>
      <c r="F108" s="112"/>
      <c r="G108" s="112"/>
      <c r="H108" s="124"/>
      <c r="I108" s="125"/>
    </row>
    <row r="109" spans="1:9" x14ac:dyDescent="0.25">
      <c r="A109" s="112"/>
      <c r="B109" s="112"/>
      <c r="C109" s="113"/>
      <c r="D109" s="113"/>
      <c r="F109" s="112"/>
      <c r="G109" s="112"/>
      <c r="H109" s="124"/>
      <c r="I109" s="125"/>
    </row>
    <row r="110" spans="1:9" x14ac:dyDescent="0.25">
      <c r="A110" s="112"/>
      <c r="B110" s="112"/>
      <c r="C110" s="113"/>
      <c r="D110" s="113"/>
      <c r="F110" s="112"/>
      <c r="G110" s="112"/>
      <c r="H110" s="124"/>
      <c r="I110" s="125"/>
    </row>
    <row r="111" spans="1:9" x14ac:dyDescent="0.25">
      <c r="A111" s="112"/>
      <c r="B111" s="112"/>
      <c r="C111" s="113"/>
      <c r="D111" s="113"/>
      <c r="F111" s="112"/>
      <c r="G111" s="112"/>
      <c r="H111" s="124"/>
      <c r="I111" s="125"/>
    </row>
    <row r="112" spans="1:9" x14ac:dyDescent="0.25">
      <c r="A112" s="112"/>
      <c r="B112" s="112"/>
      <c r="C112" s="113"/>
      <c r="D112" s="113"/>
      <c r="F112" s="112"/>
      <c r="G112" s="112"/>
      <c r="H112" s="124"/>
      <c r="I112" s="125"/>
    </row>
    <row r="113" spans="1:9" x14ac:dyDescent="0.25">
      <c r="A113" s="112"/>
      <c r="B113" s="112"/>
      <c r="C113" s="113"/>
      <c r="D113" s="113"/>
      <c r="F113" s="112"/>
      <c r="G113" s="112"/>
      <c r="H113" s="124"/>
      <c r="I113" s="125"/>
    </row>
    <row r="114" spans="1:9" x14ac:dyDescent="0.25">
      <c r="A114" s="112"/>
      <c r="B114" s="112"/>
      <c r="C114" s="113"/>
      <c r="D114" s="113"/>
      <c r="F114" s="112"/>
      <c r="G114" s="112"/>
      <c r="H114" s="124"/>
      <c r="I114" s="125"/>
    </row>
    <row r="115" spans="1:9" x14ac:dyDescent="0.25">
      <c r="A115" s="112"/>
      <c r="B115" s="112"/>
      <c r="C115" s="113"/>
      <c r="D115" s="113"/>
      <c r="F115" s="112"/>
      <c r="G115" s="112"/>
      <c r="H115" s="124"/>
      <c r="I115" s="125"/>
    </row>
    <row r="116" spans="1:9" x14ac:dyDescent="0.25">
      <c r="A116" s="112"/>
      <c r="B116" s="112"/>
      <c r="C116" s="113"/>
      <c r="D116" s="113"/>
      <c r="F116" s="112"/>
      <c r="G116" s="112"/>
      <c r="H116" s="124"/>
      <c r="I116" s="125"/>
    </row>
    <row r="117" spans="1:9" x14ac:dyDescent="0.25">
      <c r="A117" s="112"/>
      <c r="B117" s="112"/>
      <c r="C117" s="113"/>
      <c r="D117" s="113"/>
      <c r="F117" s="112"/>
      <c r="G117" s="112"/>
      <c r="H117" s="124"/>
      <c r="I117" s="125"/>
    </row>
    <row r="118" spans="1:9" x14ac:dyDescent="0.25">
      <c r="A118" s="112"/>
      <c r="B118" s="112"/>
      <c r="C118" s="113"/>
      <c r="D118" s="113"/>
      <c r="F118" s="112"/>
      <c r="G118" s="112"/>
      <c r="H118" s="124"/>
      <c r="I118" s="125"/>
    </row>
    <row r="119" spans="1:9" x14ac:dyDescent="0.25">
      <c r="A119" s="112"/>
      <c r="B119" s="112"/>
      <c r="C119" s="113"/>
      <c r="D119" s="113"/>
      <c r="F119" s="112"/>
      <c r="G119" s="112"/>
      <c r="H119" s="124"/>
      <c r="I119" s="125"/>
    </row>
    <row r="120" spans="1:9" x14ac:dyDescent="0.25">
      <c r="A120" s="112"/>
      <c r="B120" s="112"/>
      <c r="C120" s="113"/>
      <c r="D120" s="113"/>
      <c r="F120" s="112"/>
      <c r="G120" s="112"/>
      <c r="H120" s="124"/>
      <c r="I120" s="125"/>
    </row>
    <row r="121" spans="1:9" x14ac:dyDescent="0.25">
      <c r="A121" s="112"/>
      <c r="B121" s="112"/>
      <c r="C121" s="113"/>
      <c r="D121" s="113"/>
      <c r="F121" s="112"/>
      <c r="G121" s="112"/>
      <c r="H121" s="124"/>
      <c r="I121" s="125"/>
    </row>
    <row r="122" spans="1:9" x14ac:dyDescent="0.25">
      <c r="A122" s="112"/>
      <c r="B122" s="112"/>
      <c r="C122" s="113"/>
      <c r="D122" s="113"/>
      <c r="F122" s="112"/>
      <c r="G122" s="112"/>
      <c r="H122" s="124"/>
      <c r="I122" s="125"/>
    </row>
    <row r="123" spans="1:9" x14ac:dyDescent="0.25">
      <c r="A123" s="112"/>
      <c r="B123" s="112"/>
      <c r="C123" s="113"/>
      <c r="D123" s="113"/>
      <c r="F123" s="112"/>
      <c r="G123" s="112"/>
      <c r="H123" s="124"/>
      <c r="I123" s="125"/>
    </row>
    <row r="124" spans="1:9" x14ac:dyDescent="0.25">
      <c r="A124" s="112"/>
      <c r="B124" s="112"/>
      <c r="C124" s="114"/>
      <c r="D124" s="113"/>
      <c r="F124" s="112"/>
      <c r="G124" s="112"/>
      <c r="H124" s="124"/>
      <c r="I124" s="125"/>
    </row>
    <row r="125" spans="1:9" x14ac:dyDescent="0.25">
      <c r="A125" s="112"/>
      <c r="B125" s="112"/>
      <c r="C125" s="113"/>
      <c r="D125" s="113"/>
      <c r="F125" s="112"/>
      <c r="G125" s="112"/>
      <c r="H125" s="124"/>
      <c r="I125" s="125"/>
    </row>
    <row r="126" spans="1:9" x14ac:dyDescent="0.25">
      <c r="A126" s="112"/>
      <c r="B126" s="112"/>
      <c r="C126" s="113"/>
      <c r="D126" s="113"/>
      <c r="F126" s="112"/>
      <c r="G126" s="112"/>
      <c r="H126" s="124"/>
      <c r="I126" s="125"/>
    </row>
    <row r="127" spans="1:9" x14ac:dyDescent="0.25">
      <c r="A127" s="112"/>
      <c r="B127" s="112"/>
      <c r="C127" s="113"/>
      <c r="D127" s="113"/>
      <c r="F127" s="112"/>
      <c r="G127" s="112"/>
      <c r="H127" s="124"/>
      <c r="I127" s="125"/>
    </row>
    <row r="128" spans="1:9" x14ac:dyDescent="0.25">
      <c r="A128" s="112"/>
      <c r="B128" s="112"/>
      <c r="C128" s="113"/>
      <c r="D128" s="113"/>
      <c r="F128" s="112"/>
      <c r="G128" s="112"/>
      <c r="H128" s="124"/>
      <c r="I128" s="125"/>
    </row>
    <row r="129" spans="1:9" x14ac:dyDescent="0.25">
      <c r="A129" s="112"/>
      <c r="B129" s="112"/>
      <c r="C129" s="113"/>
      <c r="D129" s="113"/>
      <c r="F129" s="112"/>
      <c r="G129" s="112"/>
      <c r="H129" s="124"/>
      <c r="I129" s="125"/>
    </row>
    <row r="130" spans="1:9" x14ac:dyDescent="0.25">
      <c r="A130" s="112"/>
      <c r="B130" s="112"/>
      <c r="C130" s="113"/>
      <c r="D130" s="113"/>
      <c r="F130" s="112"/>
      <c r="G130" s="112"/>
      <c r="H130" s="124"/>
      <c r="I130" s="125"/>
    </row>
    <row r="131" spans="1:9" x14ac:dyDescent="0.25">
      <c r="A131" s="112"/>
      <c r="B131" s="112"/>
      <c r="C131" s="113"/>
      <c r="D131" s="113"/>
      <c r="F131" s="112"/>
      <c r="G131" s="112"/>
      <c r="H131" s="124"/>
      <c r="I131" s="125"/>
    </row>
    <row r="132" spans="1:9" x14ac:dyDescent="0.25">
      <c r="A132" s="112"/>
      <c r="B132" s="112"/>
      <c r="C132" s="113"/>
      <c r="D132" s="113"/>
      <c r="F132" s="112"/>
      <c r="G132" s="112"/>
      <c r="H132" s="124"/>
      <c r="I132" s="125"/>
    </row>
    <row r="133" spans="1:9" x14ac:dyDescent="0.25">
      <c r="A133" s="112"/>
      <c r="B133" s="112"/>
      <c r="C133" s="113"/>
      <c r="D133" s="113"/>
      <c r="F133" s="112"/>
      <c r="G133" s="112"/>
      <c r="H133" s="124"/>
      <c r="I133" s="125"/>
    </row>
    <row r="134" spans="1:9" x14ac:dyDescent="0.25">
      <c r="A134" s="112"/>
      <c r="B134" s="112"/>
      <c r="C134" s="113"/>
      <c r="D134" s="113"/>
      <c r="F134" s="112"/>
      <c r="G134" s="112"/>
      <c r="H134" s="124"/>
      <c r="I134" s="125"/>
    </row>
    <row r="135" spans="1:9" x14ac:dyDescent="0.25">
      <c r="A135" s="112"/>
      <c r="B135" s="112"/>
      <c r="C135" s="113"/>
      <c r="D135" s="113"/>
      <c r="F135" s="112"/>
      <c r="G135" s="112"/>
      <c r="H135" s="124"/>
      <c r="I135" s="125"/>
    </row>
    <row r="136" spans="1:9" x14ac:dyDescent="0.25">
      <c r="A136" s="112"/>
      <c r="B136" s="112"/>
      <c r="C136" s="113"/>
      <c r="D136" s="113"/>
      <c r="F136" s="112"/>
      <c r="G136" s="112"/>
      <c r="H136" s="124"/>
      <c r="I136" s="125"/>
    </row>
    <row r="137" spans="1:9" x14ac:dyDescent="0.25">
      <c r="A137" s="112"/>
      <c r="B137" s="112"/>
      <c r="C137" s="113"/>
      <c r="D137" s="113"/>
      <c r="F137" s="112"/>
      <c r="G137" s="112"/>
      <c r="H137" s="124"/>
      <c r="I137" s="125"/>
    </row>
    <row r="138" spans="1:9" x14ac:dyDescent="0.25">
      <c r="A138" s="112"/>
      <c r="B138" s="112"/>
      <c r="C138" s="113"/>
      <c r="D138" s="113"/>
      <c r="F138" s="112"/>
      <c r="G138" s="112"/>
      <c r="H138" s="124"/>
      <c r="I138" s="125"/>
    </row>
    <row r="139" spans="1:9" x14ac:dyDescent="0.25">
      <c r="A139" s="112"/>
      <c r="B139" s="112"/>
      <c r="C139" s="113"/>
      <c r="D139" s="113"/>
      <c r="F139" s="112"/>
      <c r="G139" s="112"/>
      <c r="H139" s="124"/>
      <c r="I139" s="125"/>
    </row>
    <row r="140" spans="1:9" x14ac:dyDescent="0.25">
      <c r="A140" s="112"/>
      <c r="B140" s="112"/>
      <c r="C140" s="113"/>
      <c r="D140" s="113"/>
      <c r="F140" s="112"/>
      <c r="G140" s="112"/>
      <c r="H140" s="124"/>
      <c r="I140" s="125"/>
    </row>
    <row r="141" spans="1:9" x14ac:dyDescent="0.25">
      <c r="A141" s="112"/>
      <c r="B141" s="112"/>
      <c r="C141" s="113"/>
      <c r="D141" s="113"/>
      <c r="F141" s="112"/>
      <c r="G141" s="112"/>
      <c r="H141" s="124"/>
      <c r="I141" s="125"/>
    </row>
    <row r="142" spans="1:9" x14ac:dyDescent="0.25">
      <c r="A142" s="112"/>
      <c r="B142" s="112"/>
      <c r="C142" s="113"/>
      <c r="D142" s="113"/>
      <c r="F142" s="112"/>
      <c r="G142" s="112"/>
      <c r="H142" s="124"/>
      <c r="I142" s="125"/>
    </row>
    <row r="143" spans="1:9" x14ac:dyDescent="0.25">
      <c r="A143" s="112"/>
      <c r="B143" s="112"/>
      <c r="C143" s="113"/>
      <c r="D143" s="113"/>
      <c r="F143" s="112"/>
      <c r="G143" s="112"/>
      <c r="H143" s="124"/>
      <c r="I143" s="125"/>
    </row>
    <row r="144" spans="1:9" x14ac:dyDescent="0.25">
      <c r="A144" s="112"/>
      <c r="B144" s="112"/>
      <c r="C144" s="113"/>
      <c r="D144" s="113"/>
      <c r="F144" s="112"/>
      <c r="G144" s="112"/>
      <c r="H144" s="124"/>
      <c r="I144" s="125"/>
    </row>
    <row r="145" spans="1:9" x14ac:dyDescent="0.25">
      <c r="A145" s="112"/>
      <c r="B145" s="112"/>
      <c r="C145" s="113"/>
      <c r="D145" s="113"/>
      <c r="F145" s="112"/>
      <c r="G145" s="112"/>
      <c r="H145" s="124"/>
      <c r="I145" s="125"/>
    </row>
    <row r="146" spans="1:9" x14ac:dyDescent="0.25">
      <c r="A146" s="112"/>
      <c r="B146" s="112"/>
      <c r="C146" s="113"/>
      <c r="D146" s="113"/>
      <c r="F146" s="112"/>
      <c r="G146" s="112"/>
      <c r="H146" s="124"/>
      <c r="I146" s="125"/>
    </row>
    <row r="147" spans="1:9" x14ac:dyDescent="0.25">
      <c r="A147" s="112"/>
      <c r="B147" s="112"/>
      <c r="C147" s="113"/>
      <c r="D147" s="113"/>
      <c r="F147" s="112"/>
      <c r="G147" s="112"/>
      <c r="H147" s="124"/>
      <c r="I147" s="125"/>
    </row>
    <row r="148" spans="1:9" x14ac:dyDescent="0.25">
      <c r="A148" s="112"/>
      <c r="B148" s="112"/>
      <c r="C148" s="113"/>
      <c r="D148" s="113"/>
      <c r="F148" s="112"/>
      <c r="G148" s="112"/>
      <c r="H148" s="124"/>
      <c r="I148" s="125"/>
    </row>
    <row r="149" spans="1:9" x14ac:dyDescent="0.25">
      <c r="A149" s="112"/>
      <c r="B149" s="112"/>
      <c r="C149" s="113"/>
      <c r="D149" s="113"/>
      <c r="F149" s="112"/>
      <c r="G149" s="112"/>
      <c r="H149" s="124"/>
      <c r="I149" s="125"/>
    </row>
    <row r="150" spans="1:9" x14ac:dyDescent="0.25">
      <c r="A150" s="112"/>
      <c r="B150" s="112"/>
      <c r="C150" s="113"/>
      <c r="D150" s="113"/>
      <c r="F150" s="112"/>
      <c r="G150" s="112"/>
      <c r="H150" s="124"/>
      <c r="I150" s="125"/>
    </row>
    <row r="151" spans="1:9" x14ac:dyDescent="0.25">
      <c r="A151" s="112"/>
      <c r="B151" s="112"/>
      <c r="C151" s="113"/>
      <c r="D151" s="113"/>
      <c r="F151" s="112"/>
      <c r="G151" s="112"/>
      <c r="H151" s="124"/>
      <c r="I151" s="125"/>
    </row>
    <row r="152" spans="1:9" x14ac:dyDescent="0.25">
      <c r="A152" s="112"/>
      <c r="B152" s="112"/>
      <c r="C152" s="113"/>
      <c r="D152" s="113"/>
      <c r="F152" s="112"/>
      <c r="G152" s="112"/>
      <c r="H152" s="124"/>
      <c r="I152" s="125"/>
    </row>
    <row r="153" spans="1:9" x14ac:dyDescent="0.25">
      <c r="A153" s="112"/>
      <c r="B153" s="112"/>
      <c r="C153" s="113"/>
      <c r="D153" s="113"/>
      <c r="F153" s="112"/>
      <c r="G153" s="112"/>
      <c r="H153" s="124"/>
      <c r="I153" s="125"/>
    </row>
    <row r="154" spans="1:9" x14ac:dyDescent="0.25">
      <c r="A154" s="112"/>
      <c r="B154" s="112"/>
      <c r="C154" s="113"/>
      <c r="D154" s="113"/>
      <c r="F154" s="112"/>
      <c r="G154" s="112"/>
      <c r="H154" s="124"/>
      <c r="I154" s="125"/>
    </row>
    <row r="155" spans="1:9" x14ac:dyDescent="0.25">
      <c r="A155" s="112"/>
      <c r="B155" s="112"/>
      <c r="C155" s="113"/>
      <c r="D155" s="113"/>
      <c r="F155" s="112"/>
      <c r="G155" s="112"/>
      <c r="H155" s="124"/>
      <c r="I155" s="125"/>
    </row>
    <row r="156" spans="1:9" x14ac:dyDescent="0.25">
      <c r="A156" s="112"/>
      <c r="B156" s="112"/>
      <c r="C156" s="113"/>
      <c r="D156" s="113"/>
      <c r="F156" s="112"/>
      <c r="G156" s="112"/>
      <c r="H156" s="124"/>
      <c r="I156" s="125"/>
    </row>
    <row r="157" spans="1:9" x14ac:dyDescent="0.25">
      <c r="A157" s="112"/>
      <c r="B157" s="112"/>
      <c r="C157" s="113"/>
      <c r="D157" s="113"/>
      <c r="F157" s="112"/>
      <c r="G157" s="112"/>
      <c r="H157" s="124"/>
      <c r="I157" s="125"/>
    </row>
    <row r="158" spans="1:9" x14ac:dyDescent="0.25">
      <c r="A158" s="112"/>
      <c r="B158" s="112"/>
      <c r="C158" s="113"/>
      <c r="D158" s="113"/>
      <c r="F158" s="112"/>
      <c r="G158" s="112"/>
      <c r="H158" s="124"/>
      <c r="I158" s="125"/>
    </row>
    <row r="159" spans="1:9" x14ac:dyDescent="0.25">
      <c r="A159" s="112"/>
      <c r="B159" s="112"/>
      <c r="C159" s="113"/>
      <c r="D159" s="113"/>
      <c r="F159" s="112"/>
      <c r="G159" s="112"/>
      <c r="H159" s="124"/>
      <c r="I159" s="125"/>
    </row>
    <row r="160" spans="1:9" x14ac:dyDescent="0.25">
      <c r="A160" s="112"/>
      <c r="B160" s="112"/>
      <c r="C160" s="113"/>
      <c r="D160" s="113"/>
      <c r="F160" s="112"/>
      <c r="G160" s="112"/>
      <c r="H160" s="124"/>
      <c r="I160" s="125"/>
    </row>
    <row r="161" spans="1:9" x14ac:dyDescent="0.25">
      <c r="A161" s="112"/>
      <c r="B161" s="112"/>
      <c r="C161" s="113"/>
      <c r="D161" s="113"/>
      <c r="F161" s="112"/>
      <c r="G161" s="112"/>
      <c r="H161" s="124"/>
      <c r="I161" s="125"/>
    </row>
    <row r="162" spans="1:9" x14ac:dyDescent="0.25">
      <c r="A162" s="112"/>
      <c r="B162" s="112"/>
      <c r="C162" s="113"/>
      <c r="D162" s="113"/>
      <c r="F162" s="112"/>
      <c r="G162" s="112"/>
      <c r="H162" s="124"/>
      <c r="I162" s="125"/>
    </row>
    <row r="163" spans="1:9" x14ac:dyDescent="0.25">
      <c r="E163" s="112"/>
      <c r="G163" s="112"/>
    </row>
    <row r="164" spans="1:9" x14ac:dyDescent="0.25">
      <c r="E164" s="112"/>
      <c r="G164" s="112"/>
    </row>
    <row r="165" spans="1:9" x14ac:dyDescent="0.25">
      <c r="E165" s="112"/>
      <c r="G165" s="112"/>
    </row>
    <row r="166" spans="1:9" x14ac:dyDescent="0.25">
      <c r="E166" s="112"/>
      <c r="G166" s="112"/>
    </row>
    <row r="167" spans="1:9" x14ac:dyDescent="0.25">
      <c r="E167" s="112"/>
      <c r="G167" s="112"/>
    </row>
    <row r="168" spans="1:9" x14ac:dyDescent="0.25">
      <c r="E168" s="112"/>
      <c r="G168" s="112"/>
    </row>
    <row r="169" spans="1:9" x14ac:dyDescent="0.25">
      <c r="E169" s="112"/>
      <c r="G169" s="112"/>
    </row>
    <row r="170" spans="1:9" x14ac:dyDescent="0.25">
      <c r="E170" s="112"/>
      <c r="G170" s="112"/>
    </row>
    <row r="171" spans="1:9" x14ac:dyDescent="0.25">
      <c r="E171" s="112"/>
      <c r="G171" s="112"/>
    </row>
    <row r="172" spans="1:9" x14ac:dyDescent="0.25">
      <c r="E172" s="112"/>
      <c r="G172" s="112"/>
    </row>
    <row r="173" spans="1:9" x14ac:dyDescent="0.25">
      <c r="E173" s="112"/>
      <c r="G173" s="112"/>
    </row>
    <row r="174" spans="1:9" x14ac:dyDescent="0.25">
      <c r="E174" s="112"/>
      <c r="G174" s="112"/>
    </row>
    <row r="175" spans="1:9" x14ac:dyDescent="0.25">
      <c r="E175" s="112"/>
      <c r="G175" s="112"/>
    </row>
    <row r="176" spans="1:9" x14ac:dyDescent="0.25">
      <c r="E176" s="112"/>
      <c r="G176" s="112"/>
    </row>
    <row r="177" spans="5:7" x14ac:dyDescent="0.25">
      <c r="E177" s="112"/>
      <c r="G177" s="112"/>
    </row>
    <row r="178" spans="5:7" x14ac:dyDescent="0.25">
      <c r="E178" s="112"/>
      <c r="G178" s="112"/>
    </row>
    <row r="179" spans="5:7" x14ac:dyDescent="0.25">
      <c r="E179" s="112"/>
      <c r="G179" s="112"/>
    </row>
    <row r="180" spans="5:7" x14ac:dyDescent="0.25">
      <c r="E180" s="112"/>
      <c r="G180" s="112"/>
    </row>
    <row r="181" spans="5:7" x14ac:dyDescent="0.25">
      <c r="E181" s="112"/>
      <c r="G181" s="112"/>
    </row>
    <row r="182" spans="5:7" x14ac:dyDescent="0.25">
      <c r="E182" s="112"/>
      <c r="G182" s="112"/>
    </row>
    <row r="183" spans="5:7" x14ac:dyDescent="0.25">
      <c r="E183" s="112"/>
      <c r="G183" s="112"/>
    </row>
    <row r="184" spans="5:7" x14ac:dyDescent="0.25">
      <c r="E184" s="112"/>
      <c r="G184" s="112"/>
    </row>
    <row r="185" spans="5:7" x14ac:dyDescent="0.25">
      <c r="E185" s="112"/>
      <c r="G185" s="112"/>
    </row>
    <row r="186" spans="5:7" x14ac:dyDescent="0.25">
      <c r="E186" s="112"/>
      <c r="G186" s="112"/>
    </row>
    <row r="187" spans="5:7" x14ac:dyDescent="0.25">
      <c r="E187" s="112"/>
      <c r="G187" s="112"/>
    </row>
    <row r="188" spans="5:7" x14ac:dyDescent="0.25">
      <c r="E188" s="112"/>
      <c r="G188" s="112"/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workbookViewId="0">
      <selection activeCell="H2" sqref="H2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194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18" t="s">
        <v>191</v>
      </c>
      <c r="D5" s="143" t="s">
        <v>9</v>
      </c>
      <c r="H5" s="35" t="s">
        <v>175</v>
      </c>
    </row>
    <row r="6" spans="1:19" ht="15.75" thickBot="1" x14ac:dyDescent="0.3">
      <c r="A6" s="141">
        <f>B6+273.15</f>
        <v>973.15</v>
      </c>
      <c r="B6" s="131">
        <v>700</v>
      </c>
      <c r="C6" s="130">
        <v>16.7</v>
      </c>
      <c r="D6" s="158">
        <f>C6*D10</f>
        <v>1.5004949999999999E-3</v>
      </c>
    </row>
    <row r="7" spans="1:19" ht="15.75" thickBot="1" x14ac:dyDescent="0.3">
      <c r="A7" s="112"/>
      <c r="B7" s="112"/>
      <c r="C7" s="113"/>
      <c r="D7" s="114"/>
      <c r="H7" s="111" t="s">
        <v>18</v>
      </c>
    </row>
    <row r="8" spans="1:19" ht="15.75" x14ac:dyDescent="0.25">
      <c r="A8" s="133" t="s">
        <v>13</v>
      </c>
      <c r="B8" s="134"/>
      <c r="C8" s="134"/>
      <c r="D8" s="135"/>
      <c r="G8" s="111">
        <v>1</v>
      </c>
      <c r="H8" s="35" t="s">
        <v>164</v>
      </c>
    </row>
    <row r="9" spans="1:19" ht="15.75" x14ac:dyDescent="0.25">
      <c r="A9" s="136" t="s">
        <v>16</v>
      </c>
      <c r="B9" s="115" t="s">
        <v>14</v>
      </c>
      <c r="C9" s="142"/>
      <c r="D9" s="137" t="s">
        <v>15</v>
      </c>
      <c r="G9" s="111">
        <v>2</v>
      </c>
      <c r="H9" s="35" t="s">
        <v>162</v>
      </c>
    </row>
    <row r="10" spans="1:19" ht="15.75" thickBot="1" x14ac:dyDescent="0.3">
      <c r="A10" s="141">
        <f>B10+273.15</f>
        <v>973.15</v>
      </c>
      <c r="B10" s="131">
        <v>700</v>
      </c>
      <c r="C10" s="130"/>
      <c r="D10" s="156">
        <v>8.9850000000000002E-5</v>
      </c>
    </row>
    <row r="11" spans="1:19" ht="19.5" thickBot="1" x14ac:dyDescent="0.3">
      <c r="H11" s="169" t="s">
        <v>184</v>
      </c>
    </row>
    <row r="12" spans="1:19" ht="15.75" x14ac:dyDescent="0.25">
      <c r="A12" s="133" t="s">
        <v>19</v>
      </c>
      <c r="B12" s="134"/>
      <c r="C12" s="134"/>
      <c r="D12" s="135"/>
      <c r="G12" s="119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47.25" x14ac:dyDescent="0.25">
      <c r="A13" s="136" t="s">
        <v>16</v>
      </c>
      <c r="B13" s="115" t="s">
        <v>14</v>
      </c>
      <c r="C13" s="142" t="s">
        <v>21</v>
      </c>
      <c r="D13" s="143" t="s">
        <v>35</v>
      </c>
      <c r="G13" s="119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15.75" thickBot="1" x14ac:dyDescent="0.3">
      <c r="A14" s="141">
        <f t="shared" ref="A14" si="0">B14+273.15</f>
        <v>973.15</v>
      </c>
      <c r="B14" s="131">
        <v>700</v>
      </c>
      <c r="C14" s="129">
        <f>'PCO,Chen (Electroceram)'!C42</f>
        <v>8.5424804871267412E-2</v>
      </c>
      <c r="D14" s="158">
        <f>($C$2*$A$2*A14)/(4*($E$2^2)*C14*D10)</f>
        <v>2.8295343151571364E-2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D15" s="113"/>
      <c r="G15" s="119"/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s="115" customFormat="1" x14ac:dyDescent="0.25">
      <c r="G16" s="150"/>
      <c r="H16" s="144"/>
      <c r="J16" s="140"/>
      <c r="K16" s="140"/>
      <c r="L16" s="140"/>
    </row>
    <row r="17" spans="1:10" s="115" customFormat="1" x14ac:dyDescent="0.25">
      <c r="A17" s="142"/>
      <c r="G17" s="150"/>
      <c r="H17" s="144"/>
    </row>
    <row r="18" spans="1:10" x14ac:dyDescent="0.25">
      <c r="C18" s="118"/>
      <c r="E18" s="118"/>
      <c r="F18" s="118"/>
      <c r="J18" s="118"/>
    </row>
    <row r="19" spans="1:10" x14ac:dyDescent="0.25">
      <c r="A19" s="112"/>
      <c r="B19" s="112"/>
      <c r="C19" s="114"/>
      <c r="E19" s="114"/>
      <c r="F19" s="113"/>
      <c r="G19" s="112"/>
      <c r="H19" s="112"/>
      <c r="I19" s="114"/>
      <c r="J19" s="114"/>
    </row>
    <row r="20" spans="1:10" x14ac:dyDescent="0.25">
      <c r="A20" s="112"/>
      <c r="B20" s="112"/>
      <c r="C20" s="113"/>
      <c r="E20" s="113"/>
      <c r="H20" s="114"/>
    </row>
    <row r="21" spans="1:10" x14ac:dyDescent="0.25">
      <c r="A21" s="112"/>
      <c r="B21" s="112"/>
      <c r="C21" s="113"/>
      <c r="E21" s="113"/>
      <c r="H21" s="114"/>
    </row>
    <row r="22" spans="1:10" x14ac:dyDescent="0.25">
      <c r="A22" s="119"/>
      <c r="B22" s="119"/>
      <c r="C22" s="121"/>
      <c r="D22" s="119"/>
      <c r="E22" s="113"/>
      <c r="I22" s="118"/>
    </row>
    <row r="23" spans="1:10" x14ac:dyDescent="0.25">
      <c r="A23" s="112"/>
      <c r="B23" s="112"/>
      <c r="C23" s="113"/>
      <c r="D23" s="113"/>
      <c r="F23" s="112"/>
      <c r="G23" s="112"/>
      <c r="H23" s="124"/>
      <c r="I23" s="125"/>
    </row>
    <row r="24" spans="1:10" x14ac:dyDescent="0.25">
      <c r="A24" s="112"/>
      <c r="B24" s="112"/>
      <c r="C24" s="113"/>
      <c r="D24" s="113"/>
      <c r="F24" s="112"/>
      <c r="G24" s="112"/>
      <c r="H24" s="124"/>
      <c r="I24" s="125"/>
    </row>
    <row r="25" spans="1:10" x14ac:dyDescent="0.25">
      <c r="A25" s="112"/>
      <c r="B25" s="112"/>
      <c r="C25" s="113"/>
      <c r="D25" s="113"/>
      <c r="F25" s="112"/>
      <c r="G25" s="112"/>
      <c r="H25" s="124"/>
      <c r="I25" s="125"/>
    </row>
    <row r="26" spans="1:10" x14ac:dyDescent="0.25">
      <c r="A26" s="112"/>
      <c r="B26" s="112"/>
      <c r="C26" s="113"/>
      <c r="D26" s="113"/>
      <c r="F26" s="112"/>
      <c r="G26" s="112"/>
      <c r="H26" s="124"/>
      <c r="I26" s="125"/>
    </row>
    <row r="27" spans="1:10" x14ac:dyDescent="0.25">
      <c r="A27" s="112"/>
      <c r="B27" s="112"/>
      <c r="C27" s="113"/>
      <c r="D27" s="113"/>
      <c r="F27" s="112"/>
      <c r="G27" s="112"/>
      <c r="H27" s="124"/>
      <c r="I27" s="125"/>
    </row>
    <row r="28" spans="1:10" x14ac:dyDescent="0.25">
      <c r="A28" s="112"/>
      <c r="B28" s="112"/>
      <c r="C28" s="113"/>
      <c r="D28" s="113"/>
      <c r="F28" s="112"/>
      <c r="G28" s="112"/>
      <c r="H28" s="124"/>
      <c r="I28" s="125"/>
    </row>
    <row r="29" spans="1:10" x14ac:dyDescent="0.25">
      <c r="A29" s="112"/>
      <c r="B29" s="112"/>
      <c r="C29" s="113"/>
      <c r="D29" s="113"/>
      <c r="F29" s="112"/>
      <c r="G29" s="112"/>
      <c r="H29" s="124"/>
      <c r="I29" s="125"/>
    </row>
    <row r="30" spans="1:10" x14ac:dyDescent="0.25">
      <c r="A30" s="112"/>
      <c r="B30" s="112"/>
      <c r="C30" s="113"/>
      <c r="D30" s="113"/>
      <c r="F30" s="112"/>
      <c r="G30" s="112"/>
      <c r="H30" s="124"/>
      <c r="I30" s="125"/>
    </row>
    <row r="31" spans="1:10" x14ac:dyDescent="0.25">
      <c r="A31" s="112"/>
      <c r="B31" s="112"/>
      <c r="C31" s="113"/>
      <c r="D31" s="113"/>
      <c r="F31" s="112"/>
      <c r="G31" s="112"/>
      <c r="H31" s="124"/>
      <c r="I31" s="125"/>
    </row>
    <row r="32" spans="1:10" x14ac:dyDescent="0.25">
      <c r="A32" s="112"/>
      <c r="B32" s="112"/>
      <c r="C32" s="113"/>
      <c r="D32" s="113"/>
      <c r="F32" s="112"/>
      <c r="G32" s="112"/>
      <c r="H32" s="124"/>
      <c r="I32" s="125"/>
    </row>
    <row r="33" spans="1:9" x14ac:dyDescent="0.25">
      <c r="A33" s="112"/>
      <c r="B33" s="112"/>
      <c r="C33" s="113"/>
      <c r="D33" s="113"/>
      <c r="F33" s="112"/>
      <c r="G33" s="112"/>
      <c r="H33" s="124"/>
      <c r="I33" s="125"/>
    </row>
    <row r="34" spans="1:9" x14ac:dyDescent="0.25">
      <c r="A34" s="112"/>
      <c r="B34" s="112"/>
      <c r="C34" s="113"/>
      <c r="D34" s="113"/>
      <c r="F34" s="112"/>
      <c r="G34" s="112"/>
      <c r="H34" s="124"/>
      <c r="I34" s="125"/>
    </row>
    <row r="35" spans="1:9" x14ac:dyDescent="0.25">
      <c r="A35" s="112"/>
      <c r="B35" s="112"/>
      <c r="C35" s="113"/>
      <c r="D35" s="113"/>
      <c r="F35" s="112"/>
      <c r="G35" s="112"/>
      <c r="H35" s="124"/>
      <c r="I35" s="125"/>
    </row>
    <row r="36" spans="1:9" x14ac:dyDescent="0.25">
      <c r="A36" s="112"/>
      <c r="B36" s="112"/>
      <c r="C36" s="113"/>
      <c r="D36" s="113"/>
      <c r="F36" s="112"/>
      <c r="G36" s="112"/>
      <c r="H36" s="124"/>
      <c r="I36" s="125"/>
    </row>
    <row r="37" spans="1:9" x14ac:dyDescent="0.25">
      <c r="A37" s="112"/>
      <c r="B37" s="112"/>
      <c r="C37" s="113"/>
      <c r="D37" s="113"/>
      <c r="F37" s="112"/>
      <c r="G37" s="112"/>
      <c r="H37" s="124"/>
      <c r="I37" s="125"/>
    </row>
    <row r="38" spans="1:9" x14ac:dyDescent="0.25">
      <c r="A38" s="112"/>
      <c r="B38" s="112"/>
      <c r="C38" s="113"/>
      <c r="D38" s="113"/>
      <c r="F38" s="112"/>
      <c r="G38" s="112"/>
      <c r="H38" s="124"/>
      <c r="I38" s="125"/>
    </row>
    <row r="39" spans="1:9" x14ac:dyDescent="0.25">
      <c r="A39" s="112"/>
      <c r="B39" s="112"/>
      <c r="C39" s="113"/>
      <c r="D39" s="113"/>
      <c r="F39" s="112"/>
      <c r="G39" s="112"/>
      <c r="H39" s="124"/>
      <c r="I39" s="125"/>
    </row>
    <row r="40" spans="1:9" x14ac:dyDescent="0.25">
      <c r="A40" s="112"/>
      <c r="B40" s="112"/>
      <c r="C40" s="113"/>
      <c r="D40" s="113"/>
      <c r="F40" s="112"/>
      <c r="G40" s="112"/>
      <c r="H40" s="124"/>
      <c r="I40" s="125"/>
    </row>
    <row r="41" spans="1:9" x14ac:dyDescent="0.25">
      <c r="A41" s="112"/>
      <c r="B41" s="112"/>
      <c r="C41" s="113"/>
      <c r="D41" s="113"/>
      <c r="F41" s="112"/>
      <c r="G41" s="112"/>
      <c r="H41" s="124"/>
      <c r="I41" s="125"/>
    </row>
    <row r="42" spans="1:9" x14ac:dyDescent="0.25">
      <c r="A42" s="112"/>
      <c r="B42" s="112"/>
      <c r="C42" s="113"/>
      <c r="D42" s="113"/>
      <c r="F42" s="112"/>
      <c r="G42" s="112"/>
      <c r="H42" s="124"/>
      <c r="I42" s="125"/>
    </row>
    <row r="43" spans="1:9" x14ac:dyDescent="0.25">
      <c r="A43" s="112"/>
      <c r="B43" s="112"/>
      <c r="C43" s="113"/>
      <c r="D43" s="113"/>
      <c r="F43" s="112"/>
      <c r="G43" s="112"/>
      <c r="H43" s="124"/>
      <c r="I43" s="125"/>
    </row>
    <row r="44" spans="1:9" x14ac:dyDescent="0.25">
      <c r="A44" s="112"/>
      <c r="B44" s="112"/>
      <c r="C44" s="113"/>
      <c r="D44" s="113"/>
      <c r="F44" s="112"/>
      <c r="G44" s="112"/>
      <c r="H44" s="124"/>
      <c r="I44" s="125"/>
    </row>
    <row r="45" spans="1:9" x14ac:dyDescent="0.25">
      <c r="A45" s="112"/>
      <c r="B45" s="112"/>
      <c r="C45" s="113"/>
      <c r="D45" s="113"/>
      <c r="F45" s="112"/>
      <c r="G45" s="112"/>
      <c r="H45" s="124"/>
      <c r="I45" s="125"/>
    </row>
    <row r="46" spans="1:9" x14ac:dyDescent="0.25">
      <c r="A46" s="112"/>
      <c r="B46" s="112"/>
      <c r="C46" s="113"/>
      <c r="D46" s="113"/>
      <c r="F46" s="112"/>
      <c r="G46" s="112"/>
      <c r="H46" s="124"/>
      <c r="I46" s="125"/>
    </row>
    <row r="47" spans="1:9" x14ac:dyDescent="0.25">
      <c r="A47" s="112"/>
      <c r="B47" s="112"/>
      <c r="C47" s="113"/>
      <c r="D47" s="113"/>
      <c r="F47" s="112"/>
      <c r="G47" s="112"/>
      <c r="H47" s="124"/>
      <c r="I47" s="125"/>
    </row>
    <row r="48" spans="1:9" x14ac:dyDescent="0.25">
      <c r="A48" s="112"/>
      <c r="B48" s="112"/>
      <c r="C48" s="113"/>
      <c r="D48" s="113"/>
      <c r="F48" s="112"/>
      <c r="G48" s="112"/>
      <c r="H48" s="124"/>
      <c r="I48" s="125"/>
    </row>
    <row r="49" spans="1:9" x14ac:dyDescent="0.25">
      <c r="A49" s="112"/>
      <c r="B49" s="112"/>
      <c r="C49" s="113"/>
      <c r="D49" s="113"/>
      <c r="F49" s="112"/>
      <c r="G49" s="112"/>
      <c r="H49" s="124"/>
      <c r="I49" s="125"/>
    </row>
    <row r="50" spans="1:9" x14ac:dyDescent="0.25">
      <c r="A50" s="112"/>
      <c r="B50" s="112"/>
      <c r="C50" s="113"/>
      <c r="D50" s="113"/>
      <c r="F50" s="112"/>
      <c r="G50" s="112"/>
      <c r="H50" s="124"/>
      <c r="I50" s="125"/>
    </row>
    <row r="51" spans="1:9" x14ac:dyDescent="0.25">
      <c r="A51" s="112"/>
      <c r="B51" s="112"/>
      <c r="C51" s="113"/>
      <c r="D51" s="113"/>
      <c r="F51" s="112"/>
      <c r="G51" s="112"/>
      <c r="H51" s="124"/>
      <c r="I51" s="125"/>
    </row>
    <row r="52" spans="1:9" x14ac:dyDescent="0.25">
      <c r="A52" s="112"/>
      <c r="B52" s="112"/>
      <c r="C52" s="113"/>
      <c r="D52" s="113"/>
      <c r="F52" s="112"/>
      <c r="G52" s="112"/>
      <c r="H52" s="124"/>
      <c r="I52" s="125"/>
    </row>
    <row r="53" spans="1:9" x14ac:dyDescent="0.25">
      <c r="A53" s="112"/>
      <c r="B53" s="112"/>
      <c r="C53" s="113"/>
      <c r="D53" s="113"/>
      <c r="F53" s="112"/>
      <c r="G53" s="112"/>
      <c r="H53" s="124"/>
      <c r="I53" s="125"/>
    </row>
    <row r="54" spans="1:9" x14ac:dyDescent="0.25">
      <c r="A54" s="112"/>
      <c r="B54" s="112"/>
      <c r="C54" s="113"/>
      <c r="D54" s="113"/>
      <c r="F54" s="112"/>
      <c r="G54" s="112"/>
      <c r="H54" s="124"/>
      <c r="I54" s="125"/>
    </row>
    <row r="55" spans="1:9" x14ac:dyDescent="0.25">
      <c r="A55" s="112"/>
      <c r="B55" s="112"/>
      <c r="C55" s="113"/>
      <c r="D55" s="113"/>
      <c r="F55" s="112"/>
      <c r="G55" s="112"/>
      <c r="H55" s="124"/>
      <c r="I55" s="125"/>
    </row>
    <row r="56" spans="1:9" x14ac:dyDescent="0.25">
      <c r="A56" s="112"/>
      <c r="B56" s="112"/>
      <c r="C56" s="113"/>
      <c r="D56" s="113"/>
      <c r="F56" s="112"/>
      <c r="G56" s="112"/>
      <c r="H56" s="124"/>
      <c r="I56" s="125"/>
    </row>
    <row r="57" spans="1:9" x14ac:dyDescent="0.25">
      <c r="A57" s="112"/>
      <c r="B57" s="112"/>
      <c r="C57" s="113"/>
      <c r="D57" s="113"/>
      <c r="F57" s="112"/>
      <c r="G57" s="112"/>
      <c r="H57" s="124"/>
      <c r="I57" s="125"/>
    </row>
    <row r="58" spans="1:9" x14ac:dyDescent="0.25">
      <c r="A58" s="112"/>
      <c r="B58" s="112"/>
      <c r="C58" s="113"/>
      <c r="D58" s="113"/>
      <c r="F58" s="112"/>
      <c r="G58" s="112"/>
      <c r="H58" s="124"/>
      <c r="I58" s="125"/>
    </row>
    <row r="59" spans="1:9" x14ac:dyDescent="0.25">
      <c r="A59" s="112"/>
      <c r="B59" s="112"/>
      <c r="C59" s="113"/>
      <c r="D59" s="113"/>
      <c r="F59" s="112"/>
      <c r="G59" s="112"/>
      <c r="H59" s="124"/>
      <c r="I59" s="125"/>
    </row>
    <row r="60" spans="1:9" x14ac:dyDescent="0.25">
      <c r="A60" s="112"/>
      <c r="B60" s="112"/>
      <c r="C60" s="113"/>
      <c r="D60" s="113"/>
      <c r="F60" s="112"/>
      <c r="G60" s="112"/>
      <c r="H60" s="124"/>
      <c r="I60" s="125"/>
    </row>
    <row r="61" spans="1:9" x14ac:dyDescent="0.25">
      <c r="A61" s="112"/>
      <c r="B61" s="112"/>
      <c r="C61" s="113"/>
      <c r="D61" s="113"/>
      <c r="F61" s="112"/>
      <c r="G61" s="112"/>
      <c r="H61" s="124"/>
      <c r="I61" s="125"/>
    </row>
    <row r="62" spans="1:9" x14ac:dyDescent="0.25">
      <c r="A62" s="112"/>
      <c r="B62" s="112"/>
      <c r="C62" s="113"/>
      <c r="D62" s="113"/>
      <c r="F62" s="112"/>
      <c r="G62" s="112"/>
      <c r="H62" s="124"/>
      <c r="I62" s="125"/>
    </row>
    <row r="63" spans="1:9" x14ac:dyDescent="0.25">
      <c r="A63" s="112"/>
      <c r="B63" s="112"/>
      <c r="C63" s="113"/>
      <c r="D63" s="113"/>
      <c r="F63" s="112"/>
      <c r="G63" s="112"/>
      <c r="H63" s="124"/>
      <c r="I63" s="125"/>
    </row>
    <row r="64" spans="1:9" x14ac:dyDescent="0.25">
      <c r="A64" s="112"/>
      <c r="B64" s="112"/>
      <c r="C64" s="113"/>
      <c r="D64" s="113"/>
      <c r="F64" s="112"/>
      <c r="G64" s="112"/>
      <c r="H64" s="124"/>
      <c r="I64" s="125"/>
    </row>
    <row r="65" spans="1:9" x14ac:dyDescent="0.25">
      <c r="A65" s="112"/>
      <c r="B65" s="112"/>
      <c r="C65" s="113"/>
      <c r="D65" s="113"/>
      <c r="F65" s="112"/>
      <c r="G65" s="112"/>
      <c r="H65" s="124"/>
      <c r="I65" s="125"/>
    </row>
    <row r="66" spans="1:9" x14ac:dyDescent="0.25">
      <c r="A66" s="112"/>
      <c r="B66" s="112"/>
      <c r="C66" s="113"/>
      <c r="D66" s="113"/>
      <c r="F66" s="112"/>
      <c r="G66" s="112"/>
      <c r="H66" s="124"/>
      <c r="I66" s="125"/>
    </row>
    <row r="67" spans="1:9" x14ac:dyDescent="0.25">
      <c r="A67" s="112"/>
      <c r="B67" s="112"/>
      <c r="C67" s="113"/>
      <c r="D67" s="113"/>
      <c r="F67" s="112"/>
      <c r="G67" s="112"/>
      <c r="H67" s="124"/>
      <c r="I67" s="125"/>
    </row>
    <row r="68" spans="1:9" x14ac:dyDescent="0.25">
      <c r="A68" s="112"/>
      <c r="B68" s="112"/>
      <c r="C68" s="113"/>
      <c r="D68" s="113"/>
      <c r="F68" s="112"/>
      <c r="G68" s="112"/>
      <c r="H68" s="124"/>
      <c r="I68" s="125"/>
    </row>
    <row r="69" spans="1:9" x14ac:dyDescent="0.25">
      <c r="A69" s="112"/>
      <c r="B69" s="112"/>
      <c r="C69" s="113"/>
      <c r="D69" s="113"/>
      <c r="F69" s="112"/>
      <c r="G69" s="112"/>
      <c r="H69" s="124"/>
      <c r="I69" s="125"/>
    </row>
    <row r="70" spans="1:9" x14ac:dyDescent="0.25">
      <c r="A70" s="112"/>
      <c r="B70" s="112"/>
      <c r="C70" s="113"/>
      <c r="D70" s="113"/>
      <c r="F70" s="112"/>
      <c r="G70" s="112"/>
      <c r="H70" s="124"/>
      <c r="I70" s="125"/>
    </row>
    <row r="71" spans="1:9" x14ac:dyDescent="0.25">
      <c r="A71" s="112"/>
      <c r="B71" s="112"/>
      <c r="C71" s="113"/>
      <c r="D71" s="113"/>
      <c r="F71" s="112"/>
      <c r="G71" s="112"/>
      <c r="H71" s="124"/>
      <c r="I71" s="125"/>
    </row>
    <row r="72" spans="1:9" x14ac:dyDescent="0.25">
      <c r="A72" s="112"/>
      <c r="B72" s="112"/>
      <c r="C72" s="113"/>
      <c r="D72" s="113"/>
      <c r="F72" s="112"/>
      <c r="G72" s="112"/>
      <c r="H72" s="124"/>
      <c r="I72" s="125"/>
    </row>
    <row r="73" spans="1:9" x14ac:dyDescent="0.25">
      <c r="A73" s="112"/>
      <c r="B73" s="112"/>
      <c r="C73" s="113"/>
      <c r="D73" s="113"/>
      <c r="F73" s="112"/>
      <c r="G73" s="112"/>
      <c r="H73" s="124"/>
      <c r="I73" s="125"/>
    </row>
    <row r="74" spans="1:9" x14ac:dyDescent="0.25">
      <c r="A74" s="112"/>
      <c r="B74" s="112"/>
      <c r="C74" s="113"/>
      <c r="D74" s="113"/>
      <c r="F74" s="112"/>
      <c r="G74" s="112"/>
      <c r="H74" s="124"/>
      <c r="I74" s="125"/>
    </row>
    <row r="75" spans="1:9" x14ac:dyDescent="0.25">
      <c r="A75" s="112"/>
      <c r="B75" s="112"/>
      <c r="C75" s="113"/>
      <c r="D75" s="113"/>
      <c r="F75" s="112"/>
      <c r="G75" s="112"/>
      <c r="H75" s="124"/>
      <c r="I75" s="125"/>
    </row>
    <row r="76" spans="1:9" x14ac:dyDescent="0.25">
      <c r="A76" s="112"/>
      <c r="B76" s="112"/>
      <c r="C76" s="113"/>
      <c r="D76" s="113"/>
      <c r="F76" s="112"/>
      <c r="G76" s="112"/>
      <c r="H76" s="124"/>
      <c r="I76" s="125"/>
    </row>
    <row r="77" spans="1:9" x14ac:dyDescent="0.25">
      <c r="A77" s="112"/>
      <c r="B77" s="112"/>
      <c r="C77" s="113"/>
      <c r="D77" s="113"/>
      <c r="F77" s="112"/>
      <c r="G77" s="112"/>
      <c r="H77" s="124"/>
      <c r="I77" s="125"/>
    </row>
    <row r="78" spans="1:9" x14ac:dyDescent="0.25">
      <c r="A78" s="112"/>
      <c r="B78" s="112"/>
      <c r="C78" s="113"/>
      <c r="D78" s="113"/>
      <c r="F78" s="112"/>
      <c r="G78" s="112"/>
      <c r="H78" s="124"/>
      <c r="I78" s="125"/>
    </row>
    <row r="79" spans="1:9" x14ac:dyDescent="0.25">
      <c r="A79" s="112"/>
      <c r="B79" s="112"/>
      <c r="C79" s="113"/>
      <c r="D79" s="113"/>
      <c r="F79" s="112"/>
      <c r="G79" s="112"/>
      <c r="H79" s="124"/>
      <c r="I79" s="125"/>
    </row>
    <row r="80" spans="1:9" x14ac:dyDescent="0.25">
      <c r="A80" s="112"/>
      <c r="B80" s="112"/>
      <c r="C80" s="113"/>
      <c r="D80" s="113"/>
      <c r="F80" s="112"/>
      <c r="G80" s="112"/>
      <c r="H80" s="124"/>
      <c r="I80" s="125"/>
    </row>
    <row r="81" spans="1:9" x14ac:dyDescent="0.25">
      <c r="A81" s="112"/>
      <c r="B81" s="112"/>
      <c r="C81" s="113"/>
      <c r="D81" s="113"/>
      <c r="F81" s="112"/>
      <c r="G81" s="112"/>
      <c r="H81" s="124"/>
      <c r="I81" s="125"/>
    </row>
    <row r="82" spans="1:9" x14ac:dyDescent="0.25">
      <c r="A82" s="112"/>
      <c r="B82" s="112"/>
      <c r="C82" s="113"/>
      <c r="D82" s="113"/>
      <c r="F82" s="112"/>
      <c r="G82" s="112"/>
      <c r="H82" s="124"/>
      <c r="I82" s="125"/>
    </row>
    <row r="83" spans="1:9" x14ac:dyDescent="0.25">
      <c r="A83" s="112"/>
      <c r="B83" s="112"/>
      <c r="C83" s="113"/>
      <c r="D83" s="113"/>
      <c r="F83" s="112"/>
      <c r="G83" s="112"/>
      <c r="H83" s="124"/>
      <c r="I83" s="125"/>
    </row>
    <row r="84" spans="1:9" x14ac:dyDescent="0.25">
      <c r="A84" s="112"/>
      <c r="B84" s="112"/>
      <c r="C84" s="113"/>
      <c r="D84" s="113"/>
      <c r="F84" s="112"/>
      <c r="G84" s="112"/>
      <c r="H84" s="124"/>
      <c r="I84" s="125"/>
    </row>
    <row r="85" spans="1:9" x14ac:dyDescent="0.25">
      <c r="A85" s="112"/>
      <c r="B85" s="112"/>
      <c r="C85" s="113"/>
      <c r="D85" s="113"/>
      <c r="F85" s="112"/>
      <c r="G85" s="112"/>
      <c r="H85" s="124"/>
      <c r="I85" s="125"/>
    </row>
    <row r="86" spans="1:9" x14ac:dyDescent="0.25">
      <c r="A86" s="112"/>
      <c r="B86" s="112"/>
      <c r="C86" s="113"/>
      <c r="D86" s="113"/>
      <c r="F86" s="112"/>
      <c r="G86" s="112"/>
      <c r="H86" s="124"/>
      <c r="I86" s="125"/>
    </row>
    <row r="87" spans="1:9" x14ac:dyDescent="0.25">
      <c r="A87" s="112"/>
      <c r="B87" s="112"/>
      <c r="C87" s="113"/>
      <c r="D87" s="113"/>
      <c r="F87" s="112"/>
      <c r="G87" s="112"/>
      <c r="H87" s="124"/>
      <c r="I87" s="125"/>
    </row>
    <row r="88" spans="1:9" x14ac:dyDescent="0.25">
      <c r="A88" s="112"/>
      <c r="B88" s="112"/>
      <c r="C88" s="113"/>
      <c r="D88" s="113"/>
      <c r="F88" s="112"/>
      <c r="G88" s="112"/>
      <c r="H88" s="124"/>
      <c r="I88" s="125"/>
    </row>
    <row r="89" spans="1:9" x14ac:dyDescent="0.25">
      <c r="A89" s="112"/>
      <c r="B89" s="112"/>
      <c r="C89" s="114"/>
      <c r="D89" s="113"/>
      <c r="F89" s="112"/>
      <c r="G89" s="112"/>
      <c r="H89" s="124"/>
      <c r="I89" s="125"/>
    </row>
    <row r="90" spans="1:9" x14ac:dyDescent="0.25">
      <c r="A90" s="112"/>
      <c r="B90" s="112"/>
      <c r="C90" s="113"/>
      <c r="D90" s="113"/>
      <c r="F90" s="112"/>
      <c r="G90" s="112"/>
      <c r="H90" s="124"/>
      <c r="I90" s="125"/>
    </row>
    <row r="91" spans="1:9" x14ac:dyDescent="0.25">
      <c r="A91" s="112"/>
      <c r="B91" s="112"/>
      <c r="C91" s="113"/>
      <c r="D91" s="113"/>
      <c r="F91" s="112"/>
      <c r="G91" s="112"/>
      <c r="H91" s="124"/>
      <c r="I91" s="125"/>
    </row>
    <row r="92" spans="1:9" x14ac:dyDescent="0.25">
      <c r="A92" s="112"/>
      <c r="B92" s="112"/>
      <c r="C92" s="113"/>
      <c r="D92" s="113"/>
      <c r="F92" s="112"/>
      <c r="G92" s="112"/>
      <c r="H92" s="124"/>
      <c r="I92" s="125"/>
    </row>
    <row r="93" spans="1:9" x14ac:dyDescent="0.25">
      <c r="A93" s="112"/>
      <c r="B93" s="112"/>
      <c r="C93" s="113"/>
      <c r="D93" s="113"/>
      <c r="F93" s="112"/>
      <c r="G93" s="112"/>
      <c r="H93" s="124"/>
      <c r="I93" s="125"/>
    </row>
    <row r="94" spans="1:9" x14ac:dyDescent="0.25">
      <c r="A94" s="112"/>
      <c r="B94" s="112"/>
      <c r="C94" s="113"/>
      <c r="D94" s="113"/>
      <c r="F94" s="112"/>
      <c r="G94" s="112"/>
      <c r="H94" s="124"/>
      <c r="I94" s="125"/>
    </row>
    <row r="95" spans="1:9" x14ac:dyDescent="0.25">
      <c r="A95" s="112"/>
      <c r="B95" s="112"/>
      <c r="C95" s="113"/>
      <c r="D95" s="113"/>
      <c r="F95" s="112"/>
      <c r="G95" s="112"/>
      <c r="H95" s="124"/>
      <c r="I95" s="125"/>
    </row>
    <row r="96" spans="1:9" x14ac:dyDescent="0.25">
      <c r="A96" s="112"/>
      <c r="B96" s="112"/>
      <c r="C96" s="113"/>
      <c r="D96" s="113"/>
      <c r="F96" s="112"/>
      <c r="G96" s="112"/>
      <c r="H96" s="124"/>
      <c r="I96" s="125"/>
    </row>
    <row r="97" spans="1:9" x14ac:dyDescent="0.25">
      <c r="A97" s="112"/>
      <c r="B97" s="112"/>
      <c r="C97" s="113"/>
      <c r="D97" s="113"/>
      <c r="F97" s="112"/>
      <c r="G97" s="112"/>
      <c r="H97" s="124"/>
      <c r="I97" s="125"/>
    </row>
    <row r="98" spans="1:9" x14ac:dyDescent="0.25">
      <c r="A98" s="112"/>
      <c r="B98" s="112"/>
      <c r="C98" s="113"/>
      <c r="D98" s="113"/>
      <c r="F98" s="112"/>
      <c r="G98" s="112"/>
      <c r="H98" s="124"/>
      <c r="I98" s="125"/>
    </row>
    <row r="99" spans="1:9" x14ac:dyDescent="0.25">
      <c r="A99" s="112"/>
      <c r="B99" s="112"/>
      <c r="C99" s="113"/>
      <c r="D99" s="113"/>
      <c r="F99" s="112"/>
      <c r="G99" s="112"/>
      <c r="H99" s="124"/>
      <c r="I99" s="125"/>
    </row>
    <row r="100" spans="1:9" x14ac:dyDescent="0.25">
      <c r="A100" s="112"/>
      <c r="B100" s="112"/>
      <c r="C100" s="113"/>
      <c r="D100" s="113"/>
      <c r="F100" s="112"/>
      <c r="G100" s="112"/>
      <c r="H100" s="124"/>
      <c r="I100" s="125"/>
    </row>
    <row r="101" spans="1:9" x14ac:dyDescent="0.25">
      <c r="A101" s="112"/>
      <c r="B101" s="112"/>
      <c r="C101" s="113"/>
      <c r="D101" s="113"/>
      <c r="F101" s="112"/>
      <c r="G101" s="112"/>
      <c r="H101" s="124"/>
      <c r="I101" s="125"/>
    </row>
    <row r="102" spans="1:9" x14ac:dyDescent="0.25">
      <c r="A102" s="112"/>
      <c r="B102" s="112"/>
      <c r="C102" s="113"/>
      <c r="D102" s="113"/>
      <c r="F102" s="112"/>
      <c r="G102" s="112"/>
      <c r="H102" s="124"/>
      <c r="I102" s="125"/>
    </row>
    <row r="103" spans="1:9" x14ac:dyDescent="0.25">
      <c r="A103" s="112"/>
      <c r="B103" s="112"/>
      <c r="C103" s="113"/>
      <c r="D103" s="113"/>
      <c r="F103" s="112"/>
      <c r="G103" s="112"/>
      <c r="H103" s="124"/>
      <c r="I103" s="125"/>
    </row>
    <row r="104" spans="1:9" x14ac:dyDescent="0.25">
      <c r="A104" s="112"/>
      <c r="B104" s="112"/>
      <c r="C104" s="113"/>
      <c r="D104" s="113"/>
      <c r="F104" s="112"/>
      <c r="G104" s="112"/>
      <c r="H104" s="124"/>
      <c r="I104" s="125"/>
    </row>
    <row r="105" spans="1:9" x14ac:dyDescent="0.25">
      <c r="A105" s="112"/>
      <c r="B105" s="112"/>
      <c r="C105" s="113"/>
      <c r="D105" s="113"/>
      <c r="F105" s="112"/>
      <c r="G105" s="112"/>
      <c r="H105" s="124"/>
      <c r="I105" s="125"/>
    </row>
    <row r="106" spans="1:9" x14ac:dyDescent="0.25">
      <c r="A106" s="112"/>
      <c r="B106" s="112"/>
      <c r="C106" s="113"/>
      <c r="D106" s="113"/>
      <c r="F106" s="112"/>
      <c r="G106" s="112"/>
      <c r="H106" s="124"/>
      <c r="I106" s="125"/>
    </row>
    <row r="107" spans="1:9" x14ac:dyDescent="0.25">
      <c r="A107" s="112"/>
      <c r="B107" s="112"/>
      <c r="C107" s="113"/>
      <c r="D107" s="113"/>
      <c r="F107" s="112"/>
      <c r="G107" s="112"/>
      <c r="H107" s="124"/>
      <c r="I107" s="125"/>
    </row>
    <row r="108" spans="1:9" x14ac:dyDescent="0.25">
      <c r="A108" s="112"/>
      <c r="B108" s="112"/>
      <c r="C108" s="113"/>
      <c r="D108" s="113"/>
      <c r="F108" s="112"/>
      <c r="G108" s="112"/>
      <c r="H108" s="124"/>
      <c r="I108" s="125"/>
    </row>
    <row r="109" spans="1:9" x14ac:dyDescent="0.25">
      <c r="A109" s="112"/>
      <c r="B109" s="112"/>
      <c r="C109" s="113"/>
      <c r="D109" s="113"/>
      <c r="F109" s="112"/>
      <c r="G109" s="112"/>
      <c r="H109" s="124"/>
      <c r="I109" s="125"/>
    </row>
    <row r="110" spans="1:9" x14ac:dyDescent="0.25">
      <c r="A110" s="112"/>
      <c r="B110" s="112"/>
      <c r="C110" s="113"/>
      <c r="D110" s="113"/>
      <c r="F110" s="112"/>
      <c r="G110" s="112"/>
      <c r="H110" s="124"/>
      <c r="I110" s="125"/>
    </row>
    <row r="111" spans="1:9" x14ac:dyDescent="0.25">
      <c r="A111" s="112"/>
      <c r="B111" s="112"/>
      <c r="C111" s="113"/>
      <c r="D111" s="113"/>
      <c r="F111" s="112"/>
      <c r="G111" s="112"/>
      <c r="H111" s="124"/>
      <c r="I111" s="125"/>
    </row>
    <row r="112" spans="1:9" x14ac:dyDescent="0.25">
      <c r="A112" s="112"/>
      <c r="B112" s="112"/>
      <c r="C112" s="113"/>
      <c r="D112" s="113"/>
      <c r="F112" s="112"/>
      <c r="G112" s="112"/>
      <c r="H112" s="124"/>
      <c r="I112" s="125"/>
    </row>
    <row r="113" spans="1:9" x14ac:dyDescent="0.25">
      <c r="A113" s="112"/>
      <c r="B113" s="112"/>
      <c r="C113" s="113"/>
      <c r="D113" s="113"/>
      <c r="F113" s="112"/>
      <c r="G113" s="112"/>
      <c r="H113" s="124"/>
      <c r="I113" s="125"/>
    </row>
    <row r="114" spans="1:9" x14ac:dyDescent="0.25">
      <c r="A114" s="112"/>
      <c r="B114" s="112"/>
      <c r="C114" s="113"/>
      <c r="D114" s="113"/>
      <c r="F114" s="112"/>
      <c r="G114" s="112"/>
      <c r="H114" s="124"/>
      <c r="I114" s="125"/>
    </row>
    <row r="115" spans="1:9" x14ac:dyDescent="0.25">
      <c r="A115" s="112"/>
      <c r="B115" s="112"/>
      <c r="C115" s="113"/>
      <c r="D115" s="113"/>
      <c r="F115" s="112"/>
      <c r="G115" s="112"/>
      <c r="H115" s="124"/>
      <c r="I115" s="125"/>
    </row>
    <row r="116" spans="1:9" x14ac:dyDescent="0.25">
      <c r="A116" s="112"/>
      <c r="B116" s="112"/>
      <c r="C116" s="113"/>
      <c r="D116" s="113"/>
      <c r="F116" s="112"/>
      <c r="G116" s="112"/>
      <c r="H116" s="124"/>
      <c r="I116" s="125"/>
    </row>
    <row r="117" spans="1:9" x14ac:dyDescent="0.25">
      <c r="A117" s="112"/>
      <c r="B117" s="112"/>
      <c r="C117" s="113"/>
      <c r="D117" s="113"/>
      <c r="F117" s="112"/>
      <c r="G117" s="112"/>
      <c r="H117" s="124"/>
      <c r="I117" s="125"/>
    </row>
    <row r="118" spans="1:9" x14ac:dyDescent="0.25">
      <c r="A118" s="112"/>
      <c r="B118" s="112"/>
      <c r="C118" s="113"/>
      <c r="D118" s="113"/>
      <c r="F118" s="112"/>
      <c r="G118" s="112"/>
      <c r="H118" s="124"/>
      <c r="I118" s="125"/>
    </row>
    <row r="119" spans="1:9" x14ac:dyDescent="0.25">
      <c r="A119" s="112"/>
      <c r="B119" s="112"/>
      <c r="C119" s="113"/>
      <c r="D119" s="113"/>
      <c r="F119" s="112"/>
      <c r="G119" s="112"/>
      <c r="H119" s="124"/>
      <c r="I119" s="125"/>
    </row>
    <row r="120" spans="1:9" x14ac:dyDescent="0.25">
      <c r="A120" s="112"/>
      <c r="B120" s="112"/>
      <c r="C120" s="113"/>
      <c r="D120" s="113"/>
      <c r="F120" s="112"/>
      <c r="G120" s="112"/>
      <c r="H120" s="124"/>
      <c r="I120" s="125"/>
    </row>
    <row r="121" spans="1:9" x14ac:dyDescent="0.25">
      <c r="A121" s="112"/>
      <c r="B121" s="112"/>
      <c r="C121" s="113"/>
      <c r="D121" s="113"/>
      <c r="F121" s="112"/>
      <c r="G121" s="112"/>
      <c r="H121" s="124"/>
      <c r="I121" s="125"/>
    </row>
    <row r="122" spans="1:9" x14ac:dyDescent="0.25">
      <c r="A122" s="112"/>
      <c r="B122" s="112"/>
      <c r="C122" s="113"/>
      <c r="D122" s="113"/>
      <c r="F122" s="112"/>
      <c r="G122" s="112"/>
      <c r="H122" s="124"/>
      <c r="I122" s="125"/>
    </row>
    <row r="123" spans="1:9" x14ac:dyDescent="0.25">
      <c r="A123" s="112"/>
      <c r="B123" s="112"/>
      <c r="C123" s="113"/>
      <c r="D123" s="113"/>
      <c r="F123" s="112"/>
      <c r="G123" s="112"/>
      <c r="H123" s="124"/>
      <c r="I123" s="125"/>
    </row>
    <row r="124" spans="1:9" x14ac:dyDescent="0.25">
      <c r="A124" s="112"/>
      <c r="B124" s="112"/>
      <c r="C124" s="113"/>
      <c r="D124" s="113"/>
      <c r="F124" s="112"/>
      <c r="G124" s="112"/>
      <c r="H124" s="124"/>
      <c r="I124" s="125"/>
    </row>
    <row r="125" spans="1:9" x14ac:dyDescent="0.25">
      <c r="A125" s="112"/>
      <c r="B125" s="112"/>
      <c r="C125" s="113"/>
      <c r="D125" s="113"/>
      <c r="F125" s="112"/>
      <c r="G125" s="112"/>
      <c r="H125" s="124"/>
      <c r="I125" s="125"/>
    </row>
    <row r="126" spans="1:9" x14ac:dyDescent="0.25">
      <c r="A126" s="112"/>
      <c r="B126" s="112"/>
      <c r="C126" s="113"/>
      <c r="D126" s="113"/>
      <c r="F126" s="112"/>
      <c r="G126" s="112"/>
      <c r="H126" s="124"/>
      <c r="I126" s="125"/>
    </row>
    <row r="127" spans="1:9" x14ac:dyDescent="0.25">
      <c r="A127" s="112"/>
      <c r="B127" s="112"/>
      <c r="C127" s="113"/>
      <c r="D127" s="113"/>
      <c r="F127" s="112"/>
      <c r="G127" s="112"/>
      <c r="H127" s="124"/>
      <c r="I127" s="125"/>
    </row>
    <row r="128" spans="1:9" x14ac:dyDescent="0.25">
      <c r="E128" s="112"/>
      <c r="G128" s="112"/>
    </row>
    <row r="129" spans="5:7" x14ac:dyDescent="0.25">
      <c r="E129" s="112"/>
      <c r="G129" s="112"/>
    </row>
    <row r="130" spans="5:7" x14ac:dyDescent="0.25">
      <c r="E130" s="112"/>
      <c r="G130" s="112"/>
    </row>
    <row r="131" spans="5:7" x14ac:dyDescent="0.25">
      <c r="E131" s="112"/>
      <c r="G131" s="112"/>
    </row>
    <row r="132" spans="5:7" x14ac:dyDescent="0.25">
      <c r="E132" s="112"/>
      <c r="G132" s="112"/>
    </row>
    <row r="133" spans="5:7" x14ac:dyDescent="0.25">
      <c r="E133" s="112"/>
      <c r="G133" s="112"/>
    </row>
    <row r="134" spans="5:7" x14ac:dyDescent="0.25">
      <c r="E134" s="112"/>
      <c r="G134" s="112"/>
    </row>
    <row r="135" spans="5:7" x14ac:dyDescent="0.25">
      <c r="E135" s="112"/>
      <c r="G135" s="112"/>
    </row>
    <row r="136" spans="5:7" x14ac:dyDescent="0.25">
      <c r="E136" s="112"/>
      <c r="G136" s="112"/>
    </row>
    <row r="137" spans="5:7" x14ac:dyDescent="0.25">
      <c r="E137" s="112"/>
      <c r="G137" s="112"/>
    </row>
    <row r="138" spans="5:7" x14ac:dyDescent="0.25">
      <c r="E138" s="112"/>
      <c r="G138" s="112"/>
    </row>
    <row r="139" spans="5:7" x14ac:dyDescent="0.25">
      <c r="E139" s="112"/>
      <c r="G139" s="112"/>
    </row>
    <row r="140" spans="5:7" x14ac:dyDescent="0.25">
      <c r="E140" s="112"/>
      <c r="G140" s="112"/>
    </row>
    <row r="141" spans="5:7" x14ac:dyDescent="0.25">
      <c r="E141" s="112"/>
      <c r="G141" s="112"/>
    </row>
    <row r="142" spans="5:7" x14ac:dyDescent="0.25">
      <c r="E142" s="112"/>
      <c r="G142" s="112"/>
    </row>
    <row r="143" spans="5:7" x14ac:dyDescent="0.25">
      <c r="E143" s="112"/>
      <c r="G143" s="112"/>
    </row>
    <row r="144" spans="5:7" x14ac:dyDescent="0.25">
      <c r="E144" s="112"/>
      <c r="G144" s="112"/>
    </row>
    <row r="145" spans="5:7" x14ac:dyDescent="0.25">
      <c r="E145" s="112"/>
      <c r="G145" s="112"/>
    </row>
    <row r="146" spans="5:7" x14ac:dyDescent="0.25">
      <c r="E146" s="112"/>
      <c r="G146" s="112"/>
    </row>
    <row r="147" spans="5:7" x14ac:dyDescent="0.25">
      <c r="E147" s="112"/>
      <c r="G147" s="112"/>
    </row>
    <row r="148" spans="5:7" x14ac:dyDescent="0.25">
      <c r="E148" s="112"/>
      <c r="G148" s="112"/>
    </row>
    <row r="149" spans="5:7" x14ac:dyDescent="0.25">
      <c r="E149" s="112"/>
      <c r="G149" s="112"/>
    </row>
    <row r="150" spans="5:7" x14ac:dyDescent="0.25">
      <c r="E150" s="112"/>
      <c r="G150" s="112"/>
    </row>
    <row r="151" spans="5:7" x14ac:dyDescent="0.25">
      <c r="E151" s="112"/>
      <c r="G151" s="112"/>
    </row>
    <row r="152" spans="5:7" x14ac:dyDescent="0.25">
      <c r="E152" s="112"/>
      <c r="G152" s="112"/>
    </row>
    <row r="153" spans="5:7" x14ac:dyDescent="0.25">
      <c r="E153" s="112"/>
      <c r="G153" s="1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workbookViewId="0">
      <selection activeCell="H23" sqref="H23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197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15"/>
      <c r="D5" s="143" t="s">
        <v>9</v>
      </c>
      <c r="H5" s="35" t="s">
        <v>176</v>
      </c>
    </row>
    <row r="6" spans="1:19" ht="15.75" thickBot="1" x14ac:dyDescent="0.3">
      <c r="A6" s="141">
        <f>B6+273.15</f>
        <v>873.15</v>
      </c>
      <c r="B6" s="131">
        <v>600</v>
      </c>
      <c r="C6" s="130"/>
      <c r="D6" s="154">
        <v>8.0800000000000004E-7</v>
      </c>
    </row>
    <row r="7" spans="1:19" x14ac:dyDescent="0.25">
      <c r="A7" s="112"/>
      <c r="B7" s="112"/>
      <c r="C7" s="113"/>
      <c r="D7" s="114"/>
      <c r="H7" s="111" t="s">
        <v>18</v>
      </c>
    </row>
    <row r="8" spans="1:19" ht="16.5" thickBot="1" x14ac:dyDescent="0.3">
      <c r="A8" s="112"/>
      <c r="B8" s="112"/>
      <c r="C8" s="113"/>
      <c r="D8" s="114"/>
      <c r="G8" s="111">
        <v>1</v>
      </c>
      <c r="H8" s="35" t="s">
        <v>162</v>
      </c>
    </row>
    <row r="9" spans="1:19" ht="15.75" x14ac:dyDescent="0.25">
      <c r="A9" s="133" t="s">
        <v>13</v>
      </c>
      <c r="B9" s="134"/>
      <c r="C9" s="134"/>
      <c r="D9" s="135"/>
      <c r="G9" s="111">
        <v>2</v>
      </c>
      <c r="H9" s="35" t="s">
        <v>164</v>
      </c>
    </row>
    <row r="10" spans="1:19" ht="75.75" thickBot="1" x14ac:dyDescent="0.3">
      <c r="A10" s="136" t="s">
        <v>16</v>
      </c>
      <c r="B10" s="115" t="s">
        <v>14</v>
      </c>
      <c r="C10" s="142" t="s">
        <v>37</v>
      </c>
      <c r="D10" s="137" t="s">
        <v>15</v>
      </c>
    </row>
    <row r="11" spans="1:19" ht="19.5" thickBot="1" x14ac:dyDescent="0.3">
      <c r="A11" s="141">
        <f>B11+273.15</f>
        <v>873.15</v>
      </c>
      <c r="B11" s="131">
        <v>600</v>
      </c>
      <c r="C11" s="130">
        <f>'PCO,Ma (ACS Appl)'!E34</f>
        <v>638.68222135798283</v>
      </c>
      <c r="D11" s="158">
        <f>D6/C11</f>
        <v>1.2651048878141767E-9</v>
      </c>
      <c r="H11" s="169" t="s">
        <v>184</v>
      </c>
    </row>
    <row r="12" spans="1:19" ht="15.75" thickBot="1" x14ac:dyDescent="0.3"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19</v>
      </c>
      <c r="B13" s="134"/>
      <c r="C13" s="134"/>
      <c r="D13" s="135"/>
      <c r="G13" s="119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47.25" x14ac:dyDescent="0.25">
      <c r="A14" s="136" t="s">
        <v>16</v>
      </c>
      <c r="B14" s="115" t="s">
        <v>14</v>
      </c>
      <c r="C14" s="142" t="s">
        <v>163</v>
      </c>
      <c r="D14" s="143" t="s">
        <v>35</v>
      </c>
      <c r="G14" s="119"/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 t="shared" ref="A15" si="0">B15+273.15</f>
        <v>873.15</v>
      </c>
      <c r="B15" s="131">
        <v>600</v>
      </c>
      <c r="C15" s="129">
        <f>'PCO,Chen (Electroceram)'!C45</f>
        <v>8.3636199825509641E-2</v>
      </c>
      <c r="D15" s="158">
        <f>($C$2*$A$2*A15)/(4*($E$2^2)*C15*D11)</f>
        <v>1841.6423283045347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D16" s="113"/>
      <c r="G16" s="119"/>
      <c r="H16" s="114"/>
      <c r="J16" s="113"/>
      <c r="K16" s="113"/>
      <c r="L16" s="113"/>
    </row>
    <row r="17" spans="1:12" x14ac:dyDescent="0.25">
      <c r="G17" s="119"/>
      <c r="H17" s="114"/>
      <c r="J17" s="113"/>
      <c r="K17" s="113"/>
      <c r="L17" s="113"/>
    </row>
    <row r="18" spans="1:12" x14ac:dyDescent="0.25">
      <c r="G18" s="119"/>
      <c r="H18" s="114"/>
      <c r="J18" s="113"/>
      <c r="K18" s="113"/>
      <c r="L18" s="113"/>
    </row>
    <row r="19" spans="1:12" x14ac:dyDescent="0.25">
      <c r="A19" s="118"/>
      <c r="G19" s="119"/>
      <c r="H19" s="114"/>
    </row>
    <row r="20" spans="1:12" x14ac:dyDescent="0.25">
      <c r="C20" s="118"/>
      <c r="E20" s="118"/>
      <c r="F20" s="118"/>
      <c r="J20" s="118"/>
    </row>
    <row r="21" spans="1:12" x14ac:dyDescent="0.25">
      <c r="A21" s="112"/>
      <c r="B21" s="112"/>
      <c r="C21" s="114"/>
      <c r="E21" s="114"/>
      <c r="F21" s="113"/>
      <c r="G21" s="112"/>
      <c r="H21" s="112"/>
      <c r="I21" s="114"/>
      <c r="J21" s="114"/>
    </row>
    <row r="22" spans="1:12" x14ac:dyDescent="0.25">
      <c r="A22" s="112"/>
      <c r="B22" s="112"/>
      <c r="C22" s="113"/>
      <c r="E22" s="113"/>
      <c r="H22" s="114"/>
    </row>
    <row r="23" spans="1:12" x14ac:dyDescent="0.25">
      <c r="A23" s="112"/>
      <c r="B23" s="112"/>
      <c r="C23" s="113"/>
      <c r="E23" s="113"/>
      <c r="H23" s="114"/>
    </row>
    <row r="24" spans="1:12" x14ac:dyDescent="0.25">
      <c r="A24" s="119"/>
      <c r="B24" s="119"/>
      <c r="C24" s="121"/>
      <c r="D24" s="119"/>
      <c r="E24" s="113"/>
      <c r="I24" s="118"/>
    </row>
    <row r="25" spans="1:12" x14ac:dyDescent="0.25">
      <c r="A25" s="112"/>
      <c r="B25" s="112"/>
      <c r="C25" s="113"/>
      <c r="D25" s="113"/>
      <c r="F25" s="112"/>
      <c r="G25" s="112"/>
      <c r="H25" s="124"/>
      <c r="I25" s="125"/>
    </row>
    <row r="26" spans="1:12" x14ac:dyDescent="0.25">
      <c r="A26" s="112"/>
      <c r="B26" s="112"/>
      <c r="C26" s="113"/>
      <c r="D26" s="113"/>
      <c r="F26" s="112"/>
      <c r="G26" s="112"/>
      <c r="H26" s="124"/>
      <c r="I26" s="125"/>
    </row>
    <row r="27" spans="1:12" x14ac:dyDescent="0.25">
      <c r="A27" s="112"/>
      <c r="B27" s="112"/>
      <c r="C27" s="113"/>
      <c r="D27" s="113"/>
      <c r="F27" s="112"/>
      <c r="G27" s="112"/>
      <c r="H27" s="124"/>
      <c r="I27" s="125"/>
    </row>
    <row r="28" spans="1:12" x14ac:dyDescent="0.25">
      <c r="A28" s="112"/>
      <c r="B28" s="112"/>
      <c r="C28" s="113"/>
      <c r="D28" s="113"/>
      <c r="F28" s="112"/>
      <c r="G28" s="112"/>
      <c r="H28" s="124"/>
      <c r="I28" s="125"/>
    </row>
    <row r="29" spans="1:12" x14ac:dyDescent="0.25">
      <c r="A29" s="112"/>
      <c r="B29" s="112"/>
      <c r="C29" s="113"/>
      <c r="D29" s="113"/>
      <c r="F29" s="112"/>
      <c r="G29" s="112"/>
      <c r="H29" s="124"/>
      <c r="I29" s="125"/>
    </row>
    <row r="30" spans="1:12" x14ac:dyDescent="0.25">
      <c r="A30" s="112"/>
      <c r="B30" s="112"/>
      <c r="C30" s="113"/>
      <c r="D30" s="113"/>
      <c r="F30" s="112"/>
      <c r="G30" s="112"/>
      <c r="H30" s="124"/>
      <c r="I30" s="125"/>
    </row>
    <row r="31" spans="1:12" x14ac:dyDescent="0.25">
      <c r="A31" s="112"/>
      <c r="B31" s="112"/>
      <c r="C31" s="113"/>
      <c r="D31" s="113"/>
      <c r="F31" s="112"/>
      <c r="G31" s="112"/>
      <c r="H31" s="124"/>
      <c r="I31" s="125"/>
    </row>
    <row r="32" spans="1:12" x14ac:dyDescent="0.25">
      <c r="A32" s="112"/>
      <c r="B32" s="112"/>
      <c r="C32" s="113"/>
      <c r="D32" s="113"/>
      <c r="F32" s="112"/>
      <c r="G32" s="112"/>
      <c r="H32" s="124"/>
      <c r="I32" s="125"/>
    </row>
    <row r="33" spans="1:9" x14ac:dyDescent="0.25">
      <c r="A33" s="112"/>
      <c r="B33" s="112"/>
      <c r="C33" s="113"/>
      <c r="D33" s="113"/>
      <c r="F33" s="112"/>
      <c r="G33" s="112"/>
      <c r="H33" s="124"/>
      <c r="I33" s="125"/>
    </row>
    <row r="34" spans="1:9" x14ac:dyDescent="0.25">
      <c r="A34" s="112"/>
      <c r="B34" s="112"/>
      <c r="C34" s="113"/>
      <c r="D34" s="113"/>
      <c r="F34" s="112"/>
      <c r="G34" s="112"/>
      <c r="H34" s="124"/>
      <c r="I34" s="125"/>
    </row>
    <row r="35" spans="1:9" x14ac:dyDescent="0.25">
      <c r="A35" s="112"/>
      <c r="B35" s="112"/>
      <c r="C35" s="113"/>
      <c r="D35" s="113"/>
      <c r="F35" s="112"/>
      <c r="G35" s="112"/>
      <c r="H35" s="124"/>
      <c r="I35" s="125"/>
    </row>
    <row r="36" spans="1:9" x14ac:dyDescent="0.25">
      <c r="A36" s="112"/>
      <c r="B36" s="112"/>
      <c r="C36" s="113"/>
      <c r="D36" s="113"/>
      <c r="F36" s="112"/>
      <c r="G36" s="112"/>
      <c r="H36" s="124"/>
      <c r="I36" s="125"/>
    </row>
    <row r="37" spans="1:9" x14ac:dyDescent="0.25">
      <c r="A37" s="112"/>
      <c r="B37" s="112"/>
      <c r="C37" s="113"/>
      <c r="D37" s="113"/>
      <c r="F37" s="112"/>
      <c r="G37" s="112"/>
      <c r="H37" s="124"/>
      <c r="I37" s="125"/>
    </row>
    <row r="38" spans="1:9" x14ac:dyDescent="0.25">
      <c r="A38" s="112"/>
      <c r="B38" s="112"/>
      <c r="C38" s="113"/>
      <c r="D38" s="113"/>
      <c r="F38" s="112"/>
      <c r="G38" s="112"/>
      <c r="H38" s="124"/>
      <c r="I38" s="125"/>
    </row>
    <row r="39" spans="1:9" x14ac:dyDescent="0.25">
      <c r="A39" s="112"/>
      <c r="B39" s="112"/>
      <c r="C39" s="113"/>
      <c r="D39" s="113"/>
      <c r="F39" s="112"/>
      <c r="G39" s="112"/>
      <c r="H39" s="124"/>
      <c r="I39" s="125"/>
    </row>
    <row r="40" spans="1:9" x14ac:dyDescent="0.25">
      <c r="A40" s="112"/>
      <c r="B40" s="112"/>
      <c r="C40" s="113"/>
      <c r="D40" s="113"/>
      <c r="F40" s="112"/>
      <c r="G40" s="112"/>
      <c r="H40" s="124"/>
      <c r="I40" s="125"/>
    </row>
    <row r="41" spans="1:9" x14ac:dyDescent="0.25">
      <c r="A41" s="112"/>
      <c r="B41" s="112"/>
      <c r="C41" s="113"/>
      <c r="D41" s="113"/>
      <c r="F41" s="112"/>
      <c r="G41" s="112"/>
      <c r="H41" s="124"/>
      <c r="I41" s="125"/>
    </row>
    <row r="42" spans="1:9" x14ac:dyDescent="0.25">
      <c r="A42" s="112"/>
      <c r="B42" s="112"/>
      <c r="C42" s="113"/>
      <c r="D42" s="113"/>
      <c r="F42" s="112"/>
      <c r="G42" s="112"/>
      <c r="H42" s="124"/>
      <c r="I42" s="125"/>
    </row>
    <row r="43" spans="1:9" x14ac:dyDescent="0.25">
      <c r="A43" s="112"/>
      <c r="B43" s="112"/>
      <c r="C43" s="113"/>
      <c r="D43" s="113"/>
      <c r="F43" s="112"/>
      <c r="G43" s="112"/>
      <c r="H43" s="124"/>
      <c r="I43" s="125"/>
    </row>
    <row r="44" spans="1:9" x14ac:dyDescent="0.25">
      <c r="A44" s="112"/>
      <c r="B44" s="112"/>
      <c r="C44" s="113"/>
      <c r="D44" s="113"/>
      <c r="F44" s="112"/>
      <c r="G44" s="112"/>
      <c r="H44" s="124"/>
      <c r="I44" s="125"/>
    </row>
    <row r="45" spans="1:9" x14ac:dyDescent="0.25">
      <c r="A45" s="112"/>
      <c r="B45" s="112"/>
      <c r="C45" s="113"/>
      <c r="D45" s="113"/>
      <c r="F45" s="112"/>
      <c r="G45" s="112"/>
      <c r="H45" s="124"/>
      <c r="I45" s="125"/>
    </row>
    <row r="46" spans="1:9" x14ac:dyDescent="0.25">
      <c r="A46" s="112"/>
      <c r="B46" s="112"/>
      <c r="C46" s="113"/>
      <c r="D46" s="113"/>
      <c r="F46" s="112"/>
      <c r="G46" s="112"/>
      <c r="H46" s="124"/>
      <c r="I46" s="125"/>
    </row>
    <row r="47" spans="1:9" x14ac:dyDescent="0.25">
      <c r="A47" s="112"/>
      <c r="B47" s="112"/>
      <c r="C47" s="113"/>
      <c r="D47" s="113"/>
      <c r="F47" s="112"/>
      <c r="G47" s="112"/>
      <c r="H47" s="124"/>
      <c r="I47" s="125"/>
    </row>
    <row r="48" spans="1:9" x14ac:dyDescent="0.25">
      <c r="A48" s="112"/>
      <c r="B48" s="112"/>
      <c r="C48" s="113"/>
      <c r="D48" s="113"/>
      <c r="F48" s="112"/>
      <c r="G48" s="112"/>
      <c r="H48" s="124"/>
      <c r="I48" s="125"/>
    </row>
    <row r="49" spans="1:9" x14ac:dyDescent="0.25">
      <c r="A49" s="112"/>
      <c r="B49" s="112"/>
      <c r="C49" s="113"/>
      <c r="D49" s="113"/>
      <c r="F49" s="112"/>
      <c r="G49" s="112"/>
      <c r="H49" s="124"/>
      <c r="I49" s="125"/>
    </row>
    <row r="50" spans="1:9" x14ac:dyDescent="0.25">
      <c r="A50" s="112"/>
      <c r="B50" s="112"/>
      <c r="C50" s="113"/>
      <c r="D50" s="113"/>
      <c r="F50" s="112"/>
      <c r="G50" s="112"/>
      <c r="H50" s="124"/>
      <c r="I50" s="125"/>
    </row>
    <row r="51" spans="1:9" x14ac:dyDescent="0.25">
      <c r="A51" s="112"/>
      <c r="B51" s="112"/>
      <c r="C51" s="113"/>
      <c r="D51" s="113"/>
      <c r="F51" s="112"/>
      <c r="G51" s="112"/>
      <c r="H51" s="124"/>
      <c r="I51" s="125"/>
    </row>
    <row r="52" spans="1:9" x14ac:dyDescent="0.25">
      <c r="A52" s="112"/>
      <c r="B52" s="112"/>
      <c r="C52" s="113"/>
      <c r="D52" s="113"/>
      <c r="F52" s="112"/>
      <c r="G52" s="112"/>
      <c r="H52" s="124"/>
      <c r="I52" s="125"/>
    </row>
    <row r="53" spans="1:9" x14ac:dyDescent="0.25">
      <c r="A53" s="112"/>
      <c r="B53" s="112"/>
      <c r="C53" s="113"/>
      <c r="D53" s="113"/>
      <c r="F53" s="112"/>
      <c r="G53" s="112"/>
      <c r="H53" s="124"/>
      <c r="I53" s="125"/>
    </row>
    <row r="54" spans="1:9" x14ac:dyDescent="0.25">
      <c r="A54" s="112"/>
      <c r="B54" s="112"/>
      <c r="C54" s="113"/>
      <c r="D54" s="113"/>
      <c r="F54" s="112"/>
      <c r="G54" s="112"/>
      <c r="H54" s="124"/>
      <c r="I54" s="125"/>
    </row>
    <row r="55" spans="1:9" x14ac:dyDescent="0.25">
      <c r="A55" s="112"/>
      <c r="B55" s="112"/>
      <c r="C55" s="113"/>
      <c r="D55" s="113"/>
      <c r="F55" s="112"/>
      <c r="G55" s="112"/>
      <c r="H55" s="124"/>
      <c r="I55" s="125"/>
    </row>
    <row r="56" spans="1:9" x14ac:dyDescent="0.25">
      <c r="A56" s="112"/>
      <c r="B56" s="112"/>
      <c r="C56" s="113"/>
      <c r="D56" s="113"/>
      <c r="F56" s="112"/>
      <c r="G56" s="112"/>
      <c r="H56" s="124"/>
      <c r="I56" s="125"/>
    </row>
    <row r="57" spans="1:9" x14ac:dyDescent="0.25">
      <c r="A57" s="112"/>
      <c r="B57" s="112"/>
      <c r="C57" s="113"/>
      <c r="D57" s="113"/>
      <c r="F57" s="112"/>
      <c r="G57" s="112"/>
      <c r="H57" s="124"/>
      <c r="I57" s="125"/>
    </row>
    <row r="58" spans="1:9" x14ac:dyDescent="0.25">
      <c r="A58" s="112"/>
      <c r="B58" s="112"/>
      <c r="C58" s="113"/>
      <c r="D58" s="113"/>
      <c r="F58" s="112"/>
      <c r="G58" s="112"/>
      <c r="H58" s="124"/>
      <c r="I58" s="125"/>
    </row>
    <row r="59" spans="1:9" x14ac:dyDescent="0.25">
      <c r="A59" s="112"/>
      <c r="B59" s="112"/>
      <c r="C59" s="113"/>
      <c r="D59" s="113"/>
      <c r="F59" s="112"/>
      <c r="G59" s="112"/>
      <c r="H59" s="124"/>
      <c r="I59" s="125"/>
    </row>
    <row r="60" spans="1:9" x14ac:dyDescent="0.25">
      <c r="A60" s="112"/>
      <c r="B60" s="112"/>
      <c r="C60" s="113"/>
      <c r="D60" s="113"/>
      <c r="F60" s="112"/>
      <c r="G60" s="112"/>
      <c r="H60" s="124"/>
      <c r="I60" s="125"/>
    </row>
    <row r="61" spans="1:9" x14ac:dyDescent="0.25">
      <c r="A61" s="112"/>
      <c r="B61" s="112"/>
      <c r="C61" s="113"/>
      <c r="D61" s="113"/>
      <c r="F61" s="112"/>
      <c r="G61" s="112"/>
      <c r="H61" s="124"/>
      <c r="I61" s="125"/>
    </row>
    <row r="62" spans="1:9" x14ac:dyDescent="0.25">
      <c r="A62" s="112"/>
      <c r="B62" s="112"/>
      <c r="C62" s="113"/>
      <c r="D62" s="113"/>
      <c r="F62" s="112"/>
      <c r="G62" s="112"/>
      <c r="H62" s="124"/>
      <c r="I62" s="125"/>
    </row>
    <row r="63" spans="1:9" x14ac:dyDescent="0.25">
      <c r="A63" s="112"/>
      <c r="B63" s="112"/>
      <c r="C63" s="113"/>
      <c r="D63" s="113"/>
      <c r="F63" s="112"/>
      <c r="G63" s="112"/>
      <c r="H63" s="124"/>
      <c r="I63" s="125"/>
    </row>
    <row r="64" spans="1:9" x14ac:dyDescent="0.25">
      <c r="A64" s="112"/>
      <c r="B64" s="112"/>
      <c r="C64" s="113"/>
      <c r="D64" s="113"/>
      <c r="F64" s="112"/>
      <c r="G64" s="112"/>
      <c r="H64" s="124"/>
      <c r="I64" s="125"/>
    </row>
    <row r="65" spans="1:9" x14ac:dyDescent="0.25">
      <c r="A65" s="112"/>
      <c r="B65" s="112"/>
      <c r="C65" s="113"/>
      <c r="D65" s="113"/>
      <c r="F65" s="112"/>
      <c r="G65" s="112"/>
      <c r="H65" s="124"/>
      <c r="I65" s="125"/>
    </row>
    <row r="66" spans="1:9" x14ac:dyDescent="0.25">
      <c r="A66" s="112"/>
      <c r="B66" s="112"/>
      <c r="C66" s="113"/>
      <c r="D66" s="113"/>
      <c r="F66" s="112"/>
      <c r="G66" s="112"/>
      <c r="H66" s="124"/>
      <c r="I66" s="125"/>
    </row>
    <row r="67" spans="1:9" x14ac:dyDescent="0.25">
      <c r="A67" s="112"/>
      <c r="B67" s="112"/>
      <c r="C67" s="113"/>
      <c r="D67" s="113"/>
      <c r="F67" s="112"/>
      <c r="G67" s="112"/>
      <c r="H67" s="124"/>
      <c r="I67" s="125"/>
    </row>
    <row r="68" spans="1:9" x14ac:dyDescent="0.25">
      <c r="A68" s="112"/>
      <c r="B68" s="112"/>
      <c r="C68" s="113"/>
      <c r="D68" s="113"/>
      <c r="F68" s="112"/>
      <c r="G68" s="112"/>
      <c r="H68" s="124"/>
      <c r="I68" s="125"/>
    </row>
    <row r="69" spans="1:9" x14ac:dyDescent="0.25">
      <c r="A69" s="112"/>
      <c r="B69" s="112"/>
      <c r="C69" s="113"/>
      <c r="D69" s="113"/>
      <c r="F69" s="112"/>
      <c r="G69" s="112"/>
      <c r="H69" s="124"/>
      <c r="I69" s="125"/>
    </row>
    <row r="70" spans="1:9" x14ac:dyDescent="0.25">
      <c r="A70" s="112"/>
      <c r="B70" s="112"/>
      <c r="C70" s="113"/>
      <c r="D70" s="113"/>
      <c r="F70" s="112"/>
      <c r="G70" s="112"/>
      <c r="H70" s="124"/>
      <c r="I70" s="125"/>
    </row>
    <row r="71" spans="1:9" x14ac:dyDescent="0.25">
      <c r="A71" s="112"/>
      <c r="B71" s="112"/>
      <c r="C71" s="113"/>
      <c r="D71" s="113"/>
      <c r="F71" s="112"/>
      <c r="G71" s="112"/>
      <c r="H71" s="124"/>
      <c r="I71" s="125"/>
    </row>
    <row r="72" spans="1:9" x14ac:dyDescent="0.25">
      <c r="A72" s="112"/>
      <c r="B72" s="112"/>
      <c r="C72" s="113"/>
      <c r="D72" s="113"/>
      <c r="F72" s="112"/>
      <c r="G72" s="112"/>
      <c r="H72" s="124"/>
      <c r="I72" s="125"/>
    </row>
    <row r="73" spans="1:9" x14ac:dyDescent="0.25">
      <c r="A73" s="112"/>
      <c r="B73" s="112"/>
      <c r="C73" s="113"/>
      <c r="D73" s="113"/>
      <c r="F73" s="112"/>
      <c r="G73" s="112"/>
      <c r="H73" s="124"/>
      <c r="I73" s="125"/>
    </row>
    <row r="74" spans="1:9" x14ac:dyDescent="0.25">
      <c r="A74" s="112"/>
      <c r="B74" s="112"/>
      <c r="C74" s="113"/>
      <c r="D74" s="113"/>
      <c r="F74" s="112"/>
      <c r="G74" s="112"/>
      <c r="H74" s="124"/>
      <c r="I74" s="125"/>
    </row>
    <row r="75" spans="1:9" x14ac:dyDescent="0.25">
      <c r="A75" s="112"/>
      <c r="B75" s="112"/>
      <c r="C75" s="113"/>
      <c r="D75" s="113"/>
      <c r="F75" s="112"/>
      <c r="G75" s="112"/>
      <c r="H75" s="124"/>
      <c r="I75" s="125"/>
    </row>
    <row r="76" spans="1:9" x14ac:dyDescent="0.25">
      <c r="A76" s="112"/>
      <c r="B76" s="112"/>
      <c r="C76" s="113"/>
      <c r="D76" s="113"/>
      <c r="F76" s="112"/>
      <c r="G76" s="112"/>
      <c r="H76" s="124"/>
      <c r="I76" s="125"/>
    </row>
    <row r="77" spans="1:9" x14ac:dyDescent="0.25">
      <c r="A77" s="112"/>
      <c r="B77" s="112"/>
      <c r="C77" s="113"/>
      <c r="D77" s="113"/>
      <c r="F77" s="112"/>
      <c r="G77" s="112"/>
      <c r="H77" s="124"/>
      <c r="I77" s="125"/>
    </row>
    <row r="78" spans="1:9" x14ac:dyDescent="0.25">
      <c r="A78" s="112"/>
      <c r="B78" s="112"/>
      <c r="C78" s="113"/>
      <c r="D78" s="113"/>
      <c r="F78" s="112"/>
      <c r="G78" s="112"/>
      <c r="H78" s="124"/>
      <c r="I78" s="125"/>
    </row>
    <row r="79" spans="1:9" x14ac:dyDescent="0.25">
      <c r="A79" s="112"/>
      <c r="B79" s="112"/>
      <c r="C79" s="113"/>
      <c r="D79" s="113"/>
      <c r="F79" s="112"/>
      <c r="G79" s="112"/>
      <c r="H79" s="124"/>
      <c r="I79" s="125"/>
    </row>
    <row r="80" spans="1:9" x14ac:dyDescent="0.25">
      <c r="A80" s="112"/>
      <c r="B80" s="112"/>
      <c r="C80" s="113"/>
      <c r="D80" s="113"/>
      <c r="F80" s="112"/>
      <c r="G80" s="112"/>
      <c r="H80" s="124"/>
      <c r="I80" s="125"/>
    </row>
    <row r="81" spans="1:9" x14ac:dyDescent="0.25">
      <c r="A81" s="112"/>
      <c r="B81" s="112"/>
      <c r="C81" s="113"/>
      <c r="D81" s="113"/>
      <c r="F81" s="112"/>
      <c r="G81" s="112"/>
      <c r="H81" s="124"/>
      <c r="I81" s="125"/>
    </row>
    <row r="82" spans="1:9" x14ac:dyDescent="0.25">
      <c r="A82" s="112"/>
      <c r="B82" s="112"/>
      <c r="C82" s="113"/>
      <c r="D82" s="113"/>
      <c r="F82" s="112"/>
      <c r="G82" s="112"/>
      <c r="H82" s="124"/>
      <c r="I82" s="125"/>
    </row>
    <row r="83" spans="1:9" x14ac:dyDescent="0.25">
      <c r="A83" s="112"/>
      <c r="B83" s="112"/>
      <c r="C83" s="113"/>
      <c r="D83" s="113"/>
      <c r="F83" s="112"/>
      <c r="G83" s="112"/>
      <c r="H83" s="124"/>
      <c r="I83" s="125"/>
    </row>
    <row r="84" spans="1:9" x14ac:dyDescent="0.25">
      <c r="A84" s="112"/>
      <c r="B84" s="112"/>
      <c r="C84" s="113"/>
      <c r="D84" s="113"/>
      <c r="F84" s="112"/>
      <c r="G84" s="112"/>
      <c r="H84" s="124"/>
      <c r="I84" s="125"/>
    </row>
    <row r="85" spans="1:9" x14ac:dyDescent="0.25">
      <c r="A85" s="112"/>
      <c r="B85" s="112"/>
      <c r="C85" s="113"/>
      <c r="D85" s="113"/>
      <c r="F85" s="112"/>
      <c r="G85" s="112"/>
      <c r="H85" s="124"/>
      <c r="I85" s="125"/>
    </row>
    <row r="86" spans="1:9" x14ac:dyDescent="0.25">
      <c r="A86" s="112"/>
      <c r="B86" s="112"/>
      <c r="C86" s="113"/>
      <c r="D86" s="113"/>
      <c r="F86" s="112"/>
      <c r="G86" s="112"/>
      <c r="H86" s="124"/>
      <c r="I86" s="125"/>
    </row>
    <row r="87" spans="1:9" x14ac:dyDescent="0.25">
      <c r="A87" s="112"/>
      <c r="B87" s="112"/>
      <c r="C87" s="113"/>
      <c r="D87" s="113"/>
      <c r="F87" s="112"/>
      <c r="G87" s="112"/>
      <c r="H87" s="124"/>
      <c r="I87" s="125"/>
    </row>
    <row r="88" spans="1:9" x14ac:dyDescent="0.25">
      <c r="A88" s="112"/>
      <c r="B88" s="112"/>
      <c r="C88" s="113"/>
      <c r="D88" s="113"/>
      <c r="F88" s="112"/>
      <c r="G88" s="112"/>
      <c r="H88" s="124"/>
      <c r="I88" s="125"/>
    </row>
    <row r="89" spans="1:9" x14ac:dyDescent="0.25">
      <c r="A89" s="112"/>
      <c r="B89" s="112"/>
      <c r="C89" s="113"/>
      <c r="D89" s="113"/>
      <c r="F89" s="112"/>
      <c r="G89" s="112"/>
      <c r="H89" s="124"/>
      <c r="I89" s="125"/>
    </row>
    <row r="90" spans="1:9" x14ac:dyDescent="0.25">
      <c r="A90" s="112"/>
      <c r="B90" s="112"/>
      <c r="C90" s="113"/>
      <c r="D90" s="113"/>
      <c r="F90" s="112"/>
      <c r="G90" s="112"/>
      <c r="H90" s="124"/>
      <c r="I90" s="125"/>
    </row>
    <row r="91" spans="1:9" x14ac:dyDescent="0.25">
      <c r="A91" s="112"/>
      <c r="B91" s="112"/>
      <c r="C91" s="114"/>
      <c r="D91" s="113"/>
      <c r="F91" s="112"/>
      <c r="G91" s="112"/>
      <c r="H91" s="124"/>
      <c r="I91" s="125"/>
    </row>
    <row r="92" spans="1:9" x14ac:dyDescent="0.25">
      <c r="A92" s="112"/>
      <c r="B92" s="112"/>
      <c r="C92" s="113"/>
      <c r="D92" s="113"/>
      <c r="F92" s="112"/>
      <c r="G92" s="112"/>
      <c r="H92" s="124"/>
      <c r="I92" s="125"/>
    </row>
    <row r="93" spans="1:9" x14ac:dyDescent="0.25">
      <c r="A93" s="112"/>
      <c r="B93" s="112"/>
      <c r="C93" s="113"/>
      <c r="D93" s="113"/>
      <c r="F93" s="112"/>
      <c r="G93" s="112"/>
      <c r="H93" s="124"/>
      <c r="I93" s="125"/>
    </row>
    <row r="94" spans="1:9" x14ac:dyDescent="0.25">
      <c r="A94" s="112"/>
      <c r="B94" s="112"/>
      <c r="C94" s="113"/>
      <c r="D94" s="113"/>
      <c r="F94" s="112"/>
      <c r="G94" s="112"/>
      <c r="H94" s="124"/>
      <c r="I94" s="125"/>
    </row>
    <row r="95" spans="1:9" x14ac:dyDescent="0.25">
      <c r="A95" s="112"/>
      <c r="B95" s="112"/>
      <c r="C95" s="113"/>
      <c r="D95" s="113"/>
      <c r="F95" s="112"/>
      <c r="G95" s="112"/>
      <c r="H95" s="124"/>
      <c r="I95" s="125"/>
    </row>
    <row r="96" spans="1:9" x14ac:dyDescent="0.25">
      <c r="A96" s="112"/>
      <c r="B96" s="112"/>
      <c r="C96" s="113"/>
      <c r="D96" s="113"/>
      <c r="F96" s="112"/>
      <c r="G96" s="112"/>
      <c r="H96" s="124"/>
      <c r="I96" s="125"/>
    </row>
    <row r="97" spans="1:9" x14ac:dyDescent="0.25">
      <c r="A97" s="112"/>
      <c r="B97" s="112"/>
      <c r="C97" s="113"/>
      <c r="D97" s="113"/>
      <c r="F97" s="112"/>
      <c r="G97" s="112"/>
      <c r="H97" s="124"/>
      <c r="I97" s="125"/>
    </row>
    <row r="98" spans="1:9" x14ac:dyDescent="0.25">
      <c r="A98" s="112"/>
      <c r="B98" s="112"/>
      <c r="C98" s="113"/>
      <c r="D98" s="113"/>
      <c r="F98" s="112"/>
      <c r="G98" s="112"/>
      <c r="H98" s="124"/>
      <c r="I98" s="125"/>
    </row>
    <row r="99" spans="1:9" x14ac:dyDescent="0.25">
      <c r="A99" s="112"/>
      <c r="B99" s="112"/>
      <c r="C99" s="113"/>
      <c r="D99" s="113"/>
      <c r="F99" s="112"/>
      <c r="G99" s="112"/>
      <c r="H99" s="124"/>
      <c r="I99" s="125"/>
    </row>
    <row r="100" spans="1:9" x14ac:dyDescent="0.25">
      <c r="A100" s="112"/>
      <c r="B100" s="112"/>
      <c r="C100" s="113"/>
      <c r="D100" s="113"/>
      <c r="F100" s="112"/>
      <c r="G100" s="112"/>
      <c r="H100" s="124"/>
      <c r="I100" s="125"/>
    </row>
    <row r="101" spans="1:9" x14ac:dyDescent="0.25">
      <c r="A101" s="112"/>
      <c r="B101" s="112"/>
      <c r="C101" s="113"/>
      <c r="D101" s="113"/>
      <c r="F101" s="112"/>
      <c r="G101" s="112"/>
      <c r="H101" s="124"/>
      <c r="I101" s="125"/>
    </row>
    <row r="102" spans="1:9" x14ac:dyDescent="0.25">
      <c r="A102" s="112"/>
      <c r="B102" s="112"/>
      <c r="C102" s="113"/>
      <c r="D102" s="113"/>
      <c r="F102" s="112"/>
      <c r="G102" s="112"/>
      <c r="H102" s="124"/>
      <c r="I102" s="125"/>
    </row>
    <row r="103" spans="1:9" x14ac:dyDescent="0.25">
      <c r="A103" s="112"/>
      <c r="B103" s="112"/>
      <c r="C103" s="113"/>
      <c r="D103" s="113"/>
      <c r="F103" s="112"/>
      <c r="G103" s="112"/>
      <c r="H103" s="124"/>
      <c r="I103" s="125"/>
    </row>
    <row r="104" spans="1:9" x14ac:dyDescent="0.25">
      <c r="A104" s="112"/>
      <c r="B104" s="112"/>
      <c r="C104" s="113"/>
      <c r="D104" s="113"/>
      <c r="F104" s="112"/>
      <c r="G104" s="112"/>
      <c r="H104" s="124"/>
      <c r="I104" s="125"/>
    </row>
    <row r="105" spans="1:9" x14ac:dyDescent="0.25">
      <c r="A105" s="112"/>
      <c r="B105" s="112"/>
      <c r="C105" s="113"/>
      <c r="D105" s="113"/>
      <c r="F105" s="112"/>
      <c r="G105" s="112"/>
      <c r="H105" s="124"/>
      <c r="I105" s="125"/>
    </row>
    <row r="106" spans="1:9" x14ac:dyDescent="0.25">
      <c r="A106" s="112"/>
      <c r="B106" s="112"/>
      <c r="C106" s="113"/>
      <c r="D106" s="113"/>
      <c r="F106" s="112"/>
      <c r="G106" s="112"/>
      <c r="H106" s="124"/>
      <c r="I106" s="125"/>
    </row>
    <row r="107" spans="1:9" x14ac:dyDescent="0.25">
      <c r="A107" s="112"/>
      <c r="B107" s="112"/>
      <c r="C107" s="113"/>
      <c r="D107" s="113"/>
      <c r="F107" s="112"/>
      <c r="G107" s="112"/>
      <c r="H107" s="124"/>
      <c r="I107" s="125"/>
    </row>
    <row r="108" spans="1:9" x14ac:dyDescent="0.25">
      <c r="A108" s="112"/>
      <c r="B108" s="112"/>
      <c r="C108" s="113"/>
      <c r="D108" s="113"/>
      <c r="F108" s="112"/>
      <c r="G108" s="112"/>
      <c r="H108" s="124"/>
      <c r="I108" s="125"/>
    </row>
    <row r="109" spans="1:9" x14ac:dyDescent="0.25">
      <c r="A109" s="112"/>
      <c r="B109" s="112"/>
      <c r="C109" s="113"/>
      <c r="D109" s="113"/>
      <c r="F109" s="112"/>
      <c r="G109" s="112"/>
      <c r="H109" s="124"/>
      <c r="I109" s="125"/>
    </row>
    <row r="110" spans="1:9" x14ac:dyDescent="0.25">
      <c r="A110" s="112"/>
      <c r="B110" s="112"/>
      <c r="C110" s="113"/>
      <c r="D110" s="113"/>
      <c r="F110" s="112"/>
      <c r="G110" s="112"/>
      <c r="H110" s="124"/>
      <c r="I110" s="125"/>
    </row>
    <row r="111" spans="1:9" x14ac:dyDescent="0.25">
      <c r="A111" s="112"/>
      <c r="B111" s="112"/>
      <c r="C111" s="113"/>
      <c r="D111" s="113"/>
      <c r="F111" s="112"/>
      <c r="G111" s="112"/>
      <c r="H111" s="124"/>
      <c r="I111" s="125"/>
    </row>
    <row r="112" spans="1:9" x14ac:dyDescent="0.25">
      <c r="A112" s="112"/>
      <c r="B112" s="112"/>
      <c r="C112" s="113"/>
      <c r="D112" s="113"/>
      <c r="F112" s="112"/>
      <c r="G112" s="112"/>
      <c r="H112" s="124"/>
      <c r="I112" s="125"/>
    </row>
    <row r="113" spans="1:9" x14ac:dyDescent="0.25">
      <c r="A113" s="112"/>
      <c r="B113" s="112"/>
      <c r="C113" s="113"/>
      <c r="D113" s="113"/>
      <c r="F113" s="112"/>
      <c r="G113" s="112"/>
      <c r="H113" s="124"/>
      <c r="I113" s="125"/>
    </row>
    <row r="114" spans="1:9" x14ac:dyDescent="0.25">
      <c r="A114" s="112"/>
      <c r="B114" s="112"/>
      <c r="C114" s="113"/>
      <c r="D114" s="113"/>
      <c r="F114" s="112"/>
      <c r="G114" s="112"/>
      <c r="H114" s="124"/>
      <c r="I114" s="125"/>
    </row>
    <row r="115" spans="1:9" x14ac:dyDescent="0.25">
      <c r="A115" s="112"/>
      <c r="B115" s="112"/>
      <c r="C115" s="113"/>
      <c r="D115" s="113"/>
      <c r="F115" s="112"/>
      <c r="G115" s="112"/>
      <c r="H115" s="124"/>
      <c r="I115" s="125"/>
    </row>
    <row r="116" spans="1:9" x14ac:dyDescent="0.25">
      <c r="A116" s="112"/>
      <c r="B116" s="112"/>
      <c r="C116" s="113"/>
      <c r="D116" s="113"/>
      <c r="F116" s="112"/>
      <c r="G116" s="112"/>
      <c r="H116" s="124"/>
      <c r="I116" s="125"/>
    </row>
    <row r="117" spans="1:9" x14ac:dyDescent="0.25">
      <c r="A117" s="112"/>
      <c r="B117" s="112"/>
      <c r="C117" s="113"/>
      <c r="D117" s="113"/>
      <c r="F117" s="112"/>
      <c r="G117" s="112"/>
      <c r="H117" s="124"/>
      <c r="I117" s="125"/>
    </row>
    <row r="118" spans="1:9" x14ac:dyDescent="0.25">
      <c r="A118" s="112"/>
      <c r="B118" s="112"/>
      <c r="C118" s="113"/>
      <c r="D118" s="113"/>
      <c r="F118" s="112"/>
      <c r="G118" s="112"/>
      <c r="H118" s="124"/>
      <c r="I118" s="125"/>
    </row>
    <row r="119" spans="1:9" x14ac:dyDescent="0.25">
      <c r="A119" s="112"/>
      <c r="B119" s="112"/>
      <c r="C119" s="113"/>
      <c r="D119" s="113"/>
      <c r="F119" s="112"/>
      <c r="G119" s="112"/>
      <c r="H119" s="124"/>
      <c r="I119" s="125"/>
    </row>
    <row r="120" spans="1:9" x14ac:dyDescent="0.25">
      <c r="A120" s="112"/>
      <c r="B120" s="112"/>
      <c r="C120" s="113"/>
      <c r="D120" s="113"/>
      <c r="F120" s="112"/>
      <c r="G120" s="112"/>
      <c r="H120" s="124"/>
      <c r="I120" s="125"/>
    </row>
    <row r="121" spans="1:9" x14ac:dyDescent="0.25">
      <c r="A121" s="112"/>
      <c r="B121" s="112"/>
      <c r="C121" s="113"/>
      <c r="D121" s="113"/>
      <c r="F121" s="112"/>
      <c r="G121" s="112"/>
      <c r="H121" s="124"/>
      <c r="I121" s="125"/>
    </row>
    <row r="122" spans="1:9" x14ac:dyDescent="0.25">
      <c r="A122" s="112"/>
      <c r="B122" s="112"/>
      <c r="C122" s="113"/>
      <c r="D122" s="113"/>
      <c r="F122" s="112"/>
      <c r="G122" s="112"/>
      <c r="H122" s="124"/>
      <c r="I122" s="125"/>
    </row>
    <row r="123" spans="1:9" x14ac:dyDescent="0.25">
      <c r="A123" s="112"/>
      <c r="B123" s="112"/>
      <c r="C123" s="113"/>
      <c r="D123" s="113"/>
      <c r="F123" s="112"/>
      <c r="G123" s="112"/>
      <c r="H123" s="124"/>
      <c r="I123" s="125"/>
    </row>
    <row r="124" spans="1:9" x14ac:dyDescent="0.25">
      <c r="A124" s="112"/>
      <c r="B124" s="112"/>
      <c r="C124" s="113"/>
      <c r="D124" s="113"/>
      <c r="F124" s="112"/>
      <c r="G124" s="112"/>
      <c r="H124" s="124"/>
      <c r="I124" s="125"/>
    </row>
    <row r="125" spans="1:9" x14ac:dyDescent="0.25">
      <c r="A125" s="112"/>
      <c r="B125" s="112"/>
      <c r="C125" s="113"/>
      <c r="D125" s="113"/>
      <c r="F125" s="112"/>
      <c r="G125" s="112"/>
      <c r="H125" s="124"/>
      <c r="I125" s="125"/>
    </row>
    <row r="126" spans="1:9" x14ac:dyDescent="0.25">
      <c r="A126" s="112"/>
      <c r="B126" s="112"/>
      <c r="C126" s="113"/>
      <c r="D126" s="113"/>
      <c r="F126" s="112"/>
      <c r="G126" s="112"/>
      <c r="H126" s="124"/>
      <c r="I126" s="125"/>
    </row>
    <row r="127" spans="1:9" x14ac:dyDescent="0.25">
      <c r="A127" s="112"/>
      <c r="B127" s="112"/>
      <c r="C127" s="113"/>
      <c r="D127" s="113"/>
      <c r="F127" s="112"/>
      <c r="G127" s="112"/>
      <c r="H127" s="124"/>
      <c r="I127" s="125"/>
    </row>
    <row r="128" spans="1:9" x14ac:dyDescent="0.25">
      <c r="A128" s="112"/>
      <c r="B128" s="112"/>
      <c r="C128" s="113"/>
      <c r="D128" s="113"/>
      <c r="F128" s="112"/>
      <c r="G128" s="112"/>
      <c r="H128" s="124"/>
      <c r="I128" s="125"/>
    </row>
    <row r="129" spans="1:9" x14ac:dyDescent="0.25">
      <c r="A129" s="112"/>
      <c r="B129" s="112"/>
      <c r="C129" s="113"/>
      <c r="D129" s="113"/>
      <c r="F129" s="112"/>
      <c r="G129" s="112"/>
      <c r="H129" s="124"/>
      <c r="I129" s="125"/>
    </row>
    <row r="130" spans="1:9" x14ac:dyDescent="0.25">
      <c r="E130" s="112"/>
      <c r="G130" s="112"/>
    </row>
    <row r="131" spans="1:9" x14ac:dyDescent="0.25">
      <c r="E131" s="112"/>
      <c r="G131" s="112"/>
    </row>
    <row r="132" spans="1:9" x14ac:dyDescent="0.25">
      <c r="E132" s="112"/>
      <c r="G132" s="112"/>
    </row>
    <row r="133" spans="1:9" x14ac:dyDescent="0.25">
      <c r="E133" s="112"/>
      <c r="G133" s="112"/>
    </row>
    <row r="134" spans="1:9" x14ac:dyDescent="0.25">
      <c r="E134" s="112"/>
      <c r="G134" s="112"/>
    </row>
    <row r="135" spans="1:9" x14ac:dyDescent="0.25">
      <c r="E135" s="112"/>
      <c r="G135" s="112"/>
    </row>
    <row r="136" spans="1:9" x14ac:dyDescent="0.25">
      <c r="E136" s="112"/>
      <c r="G136" s="112"/>
    </row>
    <row r="137" spans="1:9" x14ac:dyDescent="0.25">
      <c r="E137" s="112"/>
      <c r="G137" s="112"/>
    </row>
    <row r="138" spans="1:9" x14ac:dyDescent="0.25">
      <c r="E138" s="112"/>
      <c r="G138" s="112"/>
    </row>
    <row r="139" spans="1:9" x14ac:dyDescent="0.25">
      <c r="E139" s="112"/>
      <c r="G139" s="112"/>
    </row>
    <row r="140" spans="1:9" x14ac:dyDescent="0.25">
      <c r="E140" s="112"/>
      <c r="G140" s="112"/>
    </row>
    <row r="141" spans="1:9" x14ac:dyDescent="0.25">
      <c r="E141" s="112"/>
      <c r="G141" s="112"/>
    </row>
    <row r="142" spans="1:9" x14ac:dyDescent="0.25">
      <c r="E142" s="112"/>
      <c r="G142" s="112"/>
    </row>
    <row r="143" spans="1:9" x14ac:dyDescent="0.25">
      <c r="E143" s="112"/>
      <c r="G143" s="112"/>
    </row>
    <row r="144" spans="1:9" x14ac:dyDescent="0.25">
      <c r="E144" s="112"/>
      <c r="G144" s="112"/>
    </row>
    <row r="145" spans="5:7" x14ac:dyDescent="0.25">
      <c r="E145" s="112"/>
      <c r="G145" s="112"/>
    </row>
    <row r="146" spans="5:7" x14ac:dyDescent="0.25">
      <c r="E146" s="112"/>
      <c r="G146" s="112"/>
    </row>
    <row r="147" spans="5:7" x14ac:dyDescent="0.25">
      <c r="E147" s="112"/>
      <c r="G147" s="112"/>
    </row>
    <row r="148" spans="5:7" x14ac:dyDescent="0.25">
      <c r="E148" s="112"/>
      <c r="G148" s="112"/>
    </row>
    <row r="149" spans="5:7" x14ac:dyDescent="0.25">
      <c r="E149" s="112"/>
      <c r="G149" s="112"/>
    </row>
    <row r="150" spans="5:7" x14ac:dyDescent="0.25">
      <c r="E150" s="112"/>
      <c r="G150" s="112"/>
    </row>
    <row r="151" spans="5:7" x14ac:dyDescent="0.25">
      <c r="E151" s="112"/>
      <c r="G151" s="112"/>
    </row>
    <row r="152" spans="5:7" x14ac:dyDescent="0.25">
      <c r="E152" s="112"/>
      <c r="G152" s="112"/>
    </row>
    <row r="153" spans="5:7" x14ac:dyDescent="0.25">
      <c r="E153" s="112"/>
      <c r="G153" s="112"/>
    </row>
    <row r="154" spans="5:7" x14ac:dyDescent="0.25">
      <c r="E154" s="112"/>
      <c r="G154" s="112"/>
    </row>
    <row r="155" spans="5:7" x14ac:dyDescent="0.25">
      <c r="E155" s="112"/>
      <c r="G155" s="112"/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8"/>
  <sheetViews>
    <sheetView workbookViewId="0">
      <selection activeCell="I21" sqref="I21"/>
    </sheetView>
  </sheetViews>
  <sheetFormatPr defaultRowHeight="15" x14ac:dyDescent="0.25"/>
  <cols>
    <col min="1" max="1" width="18.28515625" style="111" bestFit="1" customWidth="1"/>
    <col min="2" max="2" width="16.42578125" style="111" bestFit="1" customWidth="1"/>
    <col min="3" max="3" width="20" style="111" bestFit="1" customWidth="1"/>
    <col min="4" max="4" width="16.5703125" style="111" customWidth="1"/>
    <col min="5" max="5" width="18" style="111" bestFit="1" customWidth="1"/>
    <col min="6" max="6" width="16.42578125" style="111" bestFit="1" customWidth="1"/>
    <col min="7" max="7" width="16.28515625" style="111" bestFit="1" customWidth="1"/>
    <col min="8" max="8" width="23.5703125" style="111" customWidth="1"/>
    <col min="9" max="9" width="26.140625" style="111" bestFit="1" customWidth="1"/>
    <col min="10" max="10" width="16.140625" style="111" customWidth="1"/>
    <col min="11" max="12" width="16.28515625" style="111" customWidth="1"/>
    <col min="13" max="16384" width="9.140625" style="111"/>
  </cols>
  <sheetData>
    <row r="1" spans="1:19" x14ac:dyDescent="0.25">
      <c r="A1" s="111" t="s">
        <v>1</v>
      </c>
      <c r="C1" s="111" t="s">
        <v>3</v>
      </c>
      <c r="E1" s="111" t="s">
        <v>6</v>
      </c>
      <c r="H1" s="111" t="s">
        <v>12</v>
      </c>
    </row>
    <row r="2" spans="1:19" ht="17.25" x14ac:dyDescent="0.25">
      <c r="A2" s="115">
        <v>6.0219999999999996E+23</v>
      </c>
      <c r="B2" s="116" t="s">
        <v>2</v>
      </c>
      <c r="C2" s="115">
        <v>1.3800000000000001E-23</v>
      </c>
      <c r="D2" s="115" t="s">
        <v>4</v>
      </c>
      <c r="E2" s="113">
        <v>96485.331999999995</v>
      </c>
      <c r="F2" s="111" t="s">
        <v>7</v>
      </c>
      <c r="H2" s="111" t="s">
        <v>198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177</v>
      </c>
    </row>
    <row r="6" spans="1:19" x14ac:dyDescent="0.25">
      <c r="A6" s="138">
        <f>B6+273.15</f>
        <v>873.15</v>
      </c>
      <c r="B6" s="139">
        <v>600</v>
      </c>
      <c r="C6" s="140"/>
      <c r="D6" s="153">
        <v>6.9999999999999997E-7</v>
      </c>
    </row>
    <row r="7" spans="1:19" x14ac:dyDescent="0.25">
      <c r="A7" s="138">
        <f t="shared" ref="A7:A10" si="0">B7+273.15</f>
        <v>823.15</v>
      </c>
      <c r="B7" s="139">
        <v>550</v>
      </c>
      <c r="C7" s="140"/>
      <c r="D7" s="153">
        <v>4.7999999999999996E-7</v>
      </c>
      <c r="H7" s="111" t="s">
        <v>18</v>
      </c>
    </row>
    <row r="8" spans="1:19" ht="15.75" x14ac:dyDescent="0.25">
      <c r="A8" s="138">
        <f t="shared" si="0"/>
        <v>773.15</v>
      </c>
      <c r="B8" s="139">
        <v>500</v>
      </c>
      <c r="C8" s="140"/>
      <c r="D8" s="153">
        <v>2.4999999999999999E-7</v>
      </c>
      <c r="G8" s="111">
        <v>1</v>
      </c>
      <c r="H8" s="35" t="s">
        <v>162</v>
      </c>
    </row>
    <row r="9" spans="1:19" ht="15.75" x14ac:dyDescent="0.25">
      <c r="A9" s="138">
        <f t="shared" si="0"/>
        <v>723.15</v>
      </c>
      <c r="B9" s="139">
        <v>450</v>
      </c>
      <c r="C9" s="140"/>
      <c r="D9" s="153">
        <v>7.0000000000000005E-8</v>
      </c>
      <c r="G9" s="111">
        <v>2</v>
      </c>
      <c r="H9" s="35" t="s">
        <v>164</v>
      </c>
    </row>
    <row r="10" spans="1:19" ht="16.5" thickBot="1" x14ac:dyDescent="0.3">
      <c r="A10" s="141">
        <f t="shared" si="0"/>
        <v>673.15</v>
      </c>
      <c r="B10" s="131">
        <v>400</v>
      </c>
      <c r="C10" s="130"/>
      <c r="D10" s="154">
        <v>2.9999999999999997E-8</v>
      </c>
      <c r="J10" s="2"/>
    </row>
    <row r="11" spans="1:19" ht="19.5" thickBot="1" x14ac:dyDescent="0.3">
      <c r="A11" s="112"/>
      <c r="B11" s="112"/>
      <c r="D11" s="114"/>
      <c r="H11" s="169" t="s">
        <v>184</v>
      </c>
    </row>
    <row r="12" spans="1:19" ht="15.75" x14ac:dyDescent="0.25">
      <c r="A12" s="133" t="s">
        <v>13</v>
      </c>
      <c r="B12" s="134"/>
      <c r="C12" s="134"/>
      <c r="D12" s="135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75" x14ac:dyDescent="0.25">
      <c r="A13" s="136" t="s">
        <v>16</v>
      </c>
      <c r="B13" s="115" t="s">
        <v>14</v>
      </c>
      <c r="C13" s="142" t="s">
        <v>37</v>
      </c>
      <c r="D13" s="137" t="s">
        <v>15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>B14+273.15</f>
        <v>873.15</v>
      </c>
      <c r="B14" s="139">
        <v>600</v>
      </c>
      <c r="C14" s="140">
        <f>'PCO,Ma (ACS Appl)'!E34</f>
        <v>638.68222135798283</v>
      </c>
      <c r="D14" s="157">
        <f>D6/C14</f>
        <v>1.0960067097400046E-9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ref="A15:A18" si="1">B15+273.15</f>
        <v>823.15</v>
      </c>
      <c r="B15" s="139">
        <v>550</v>
      </c>
      <c r="C15" s="140">
        <f>'PCO,Ma (ACS Appl)'!E36</f>
        <v>338.61545485206557</v>
      </c>
      <c r="D15" s="157">
        <f>D7/C15</f>
        <v>1.4175371889322138E-9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1"/>
        <v>773.15</v>
      </c>
      <c r="B16" s="139">
        <v>500</v>
      </c>
      <c r="C16" s="140">
        <f>'PCO,Ma (ACS Appl)'!E38</f>
        <v>287.82313662425582</v>
      </c>
      <c r="D16" s="157">
        <f>D8/C16</f>
        <v>8.6858896380650332E-10</v>
      </c>
    </row>
    <row r="17" spans="1:12" x14ac:dyDescent="0.25">
      <c r="A17" s="138">
        <f t="shared" si="1"/>
        <v>723.15</v>
      </c>
      <c r="B17" s="139">
        <v>450</v>
      </c>
      <c r="C17" s="140">
        <f>'PCO,Ma (ACS Appl)'!E40</f>
        <v>156.55494341643731</v>
      </c>
      <c r="D17" s="157">
        <f>D9/C17</f>
        <v>4.4712736929551618E-10</v>
      </c>
    </row>
    <row r="18" spans="1:12" ht="15.75" thickBot="1" x14ac:dyDescent="0.3">
      <c r="A18" s="141">
        <f t="shared" si="1"/>
        <v>673.15</v>
      </c>
      <c r="B18" s="131">
        <v>400</v>
      </c>
      <c r="C18" s="130">
        <f>'PCO,Ma (ACS Appl)'!E42</f>
        <v>97.359179826409175</v>
      </c>
      <c r="D18" s="158">
        <f>D10/C18</f>
        <v>3.081373533907107E-10</v>
      </c>
    </row>
    <row r="19" spans="1:12" ht="15.75" thickBot="1" x14ac:dyDescent="0.3">
      <c r="A19" s="112"/>
      <c r="D19" s="114"/>
    </row>
    <row r="20" spans="1:12" ht="15.75" x14ac:dyDescent="0.25">
      <c r="A20" s="133" t="s">
        <v>19</v>
      </c>
      <c r="B20" s="134"/>
      <c r="C20" s="134"/>
      <c r="D20" s="135"/>
      <c r="G20" s="119"/>
      <c r="H20" s="119"/>
    </row>
    <row r="21" spans="1:12" ht="47.25" x14ac:dyDescent="0.25">
      <c r="A21" s="136" t="s">
        <v>16</v>
      </c>
      <c r="B21" s="115" t="s">
        <v>14</v>
      </c>
      <c r="C21" s="142" t="s">
        <v>163</v>
      </c>
      <c r="D21" s="143" t="s">
        <v>35</v>
      </c>
      <c r="G21" s="119"/>
      <c r="H21" s="114"/>
    </row>
    <row r="22" spans="1:12" x14ac:dyDescent="0.25">
      <c r="A22" s="138">
        <f t="shared" ref="A22:A26" si="2">B22+273.15</f>
        <v>873.15</v>
      </c>
      <c r="B22" s="139">
        <v>600</v>
      </c>
      <c r="C22" s="144">
        <f>'PCO,Chen (Electroceram)'!C45</f>
        <v>8.3636199825509641E-2</v>
      </c>
      <c r="D22" s="157">
        <f>($C$2*$A$2*A22)/(4*($E$2^2)*C22*D14)</f>
        <v>2125.7814303858058</v>
      </c>
      <c r="H22" s="114"/>
      <c r="K22" s="118"/>
      <c r="L22" s="118"/>
    </row>
    <row r="23" spans="1:12" x14ac:dyDescent="0.25">
      <c r="A23" s="138">
        <f t="shared" si="2"/>
        <v>823.15</v>
      </c>
      <c r="B23" s="139">
        <v>550</v>
      </c>
      <c r="C23" s="144">
        <f>'PCO,Chen (Electroceram)'!C48</f>
        <v>8.94302210873196E-2</v>
      </c>
      <c r="D23" s="157">
        <f>($C$2*$A$2*A23)/(4*($E$2^2)*C23*D15)</f>
        <v>1449.0970483888639</v>
      </c>
      <c r="H23" s="114"/>
      <c r="J23" s="113"/>
      <c r="K23" s="113"/>
      <c r="L23" s="113"/>
    </row>
    <row r="24" spans="1:12" x14ac:dyDescent="0.25">
      <c r="A24" s="138">
        <f t="shared" si="2"/>
        <v>773.15</v>
      </c>
      <c r="B24" s="139">
        <v>500</v>
      </c>
      <c r="C24" s="144">
        <f>'PCO,Chen (Electroceram)'!C50</f>
        <v>8.9095109483913817E-2</v>
      </c>
      <c r="D24" s="157">
        <f>($C$2*$A$2*A24)/(4*($E$2^2)*C24*D16)</f>
        <v>2229.6302222275763</v>
      </c>
      <c r="H24" s="114"/>
      <c r="J24" s="113"/>
      <c r="K24" s="113"/>
      <c r="L24" s="113"/>
    </row>
    <row r="25" spans="1:12" x14ac:dyDescent="0.25">
      <c r="A25" s="138">
        <f t="shared" si="2"/>
        <v>723.15</v>
      </c>
      <c r="B25" s="139">
        <v>450</v>
      </c>
      <c r="C25" s="144">
        <f>'PCO,Chen (Electroceram)'!C52</f>
        <v>9.0820048425526559E-2</v>
      </c>
      <c r="D25" s="157">
        <f>($C$2*$A$2*A25)/(4*($E$2^2)*C25*D17)</f>
        <v>3974.2269317580631</v>
      </c>
      <c r="H25" s="114"/>
      <c r="J25" s="113"/>
      <c r="K25" s="113"/>
      <c r="L25" s="113"/>
    </row>
    <row r="26" spans="1:12" ht="15.75" thickBot="1" x14ac:dyDescent="0.3">
      <c r="A26" s="141">
        <f t="shared" si="2"/>
        <v>673.15</v>
      </c>
      <c r="B26" s="131">
        <v>400</v>
      </c>
      <c r="C26" s="129">
        <f>'PCO,Chen (Electroceram)'!C54</f>
        <v>9.2787930434675661E-2</v>
      </c>
      <c r="D26" s="158">
        <f>($C$2*$A$2*A26)/(4*($E$2^2)*C26*D18)</f>
        <v>5254.2806822476732</v>
      </c>
      <c r="H26" s="114"/>
      <c r="J26" s="113"/>
      <c r="K26" s="113"/>
      <c r="L26" s="113"/>
    </row>
    <row r="27" spans="1:12" x14ac:dyDescent="0.25">
      <c r="D27" s="113"/>
      <c r="G27" s="119"/>
      <c r="H27" s="114"/>
      <c r="J27" s="113"/>
      <c r="K27" s="113"/>
      <c r="L27" s="113"/>
    </row>
    <row r="28" spans="1:12" x14ac:dyDescent="0.25">
      <c r="G28" s="119"/>
      <c r="H28" s="114"/>
      <c r="J28" s="113"/>
      <c r="K28" s="113"/>
      <c r="L28" s="113"/>
    </row>
    <row r="29" spans="1:12" x14ac:dyDescent="0.25">
      <c r="G29" s="119"/>
      <c r="H29" s="114"/>
      <c r="J29" s="113"/>
      <c r="K29" s="113"/>
      <c r="L29" s="113"/>
    </row>
    <row r="30" spans="1:12" x14ac:dyDescent="0.25">
      <c r="A30" s="118"/>
      <c r="G30" s="119"/>
      <c r="H30" s="114"/>
    </row>
    <row r="31" spans="1:12" x14ac:dyDescent="0.25">
      <c r="C31" s="118"/>
      <c r="E31" s="118"/>
      <c r="F31" s="118"/>
      <c r="J31" s="118"/>
    </row>
    <row r="32" spans="1:12" x14ac:dyDescent="0.25">
      <c r="A32" s="112"/>
      <c r="B32" s="112"/>
      <c r="C32" s="114"/>
      <c r="E32" s="114"/>
      <c r="F32" s="113"/>
      <c r="G32" s="112"/>
      <c r="H32" s="112"/>
      <c r="I32" s="114"/>
      <c r="J32" s="114"/>
    </row>
    <row r="33" spans="1:10" x14ac:dyDescent="0.25">
      <c r="A33" s="112"/>
      <c r="B33" s="112"/>
      <c r="C33" s="114"/>
      <c r="E33" s="114"/>
      <c r="F33" s="113"/>
      <c r="G33" s="112"/>
      <c r="H33" s="112"/>
      <c r="I33" s="114"/>
      <c r="J33" s="114"/>
    </row>
    <row r="34" spans="1:10" x14ac:dyDescent="0.25">
      <c r="A34" s="112"/>
      <c r="B34" s="112"/>
      <c r="C34" s="114"/>
      <c r="E34" s="114"/>
      <c r="F34" s="113"/>
      <c r="G34" s="112"/>
      <c r="H34" s="112"/>
      <c r="I34" s="114"/>
      <c r="J34" s="114"/>
    </row>
    <row r="35" spans="1:10" x14ac:dyDescent="0.25">
      <c r="A35" s="112"/>
      <c r="B35" s="117"/>
      <c r="C35" s="114"/>
      <c r="E35" s="114"/>
      <c r="F35" s="113"/>
      <c r="G35" s="112"/>
      <c r="H35" s="112"/>
      <c r="I35" s="114"/>
      <c r="J35" s="114"/>
    </row>
    <row r="36" spans="1:10" x14ac:dyDescent="0.25">
      <c r="A36" s="112"/>
      <c r="B36" s="117"/>
      <c r="C36" s="114"/>
      <c r="D36" s="114"/>
      <c r="E36" s="114"/>
      <c r="F36" s="113"/>
      <c r="G36" s="112"/>
      <c r="H36" s="112"/>
      <c r="I36" s="114"/>
      <c r="J36" s="114"/>
    </row>
    <row r="37" spans="1:10" x14ac:dyDescent="0.25">
      <c r="A37" s="112"/>
      <c r="B37" s="117"/>
      <c r="C37" s="114"/>
      <c r="D37" s="114"/>
      <c r="E37" s="114"/>
      <c r="F37" s="113"/>
      <c r="G37" s="112"/>
      <c r="H37" s="112"/>
      <c r="I37" s="113"/>
      <c r="J37" s="114"/>
    </row>
    <row r="38" spans="1:10" x14ac:dyDescent="0.25">
      <c r="A38" s="112"/>
      <c r="B38" s="117"/>
      <c r="C38" s="114"/>
      <c r="D38" s="114"/>
      <c r="E38" s="114"/>
      <c r="F38" s="113"/>
      <c r="G38" s="112"/>
      <c r="H38" s="112"/>
      <c r="I38" s="113"/>
      <c r="J38" s="114"/>
    </row>
    <row r="39" spans="1:10" x14ac:dyDescent="0.25">
      <c r="A39" s="112"/>
      <c r="B39" s="117"/>
      <c r="C39" s="114"/>
      <c r="D39" s="114"/>
      <c r="E39" s="114"/>
      <c r="F39" s="113"/>
      <c r="G39" s="112"/>
      <c r="H39" s="112"/>
      <c r="I39" s="113"/>
      <c r="J39" s="114"/>
    </row>
    <row r="40" spans="1:10" x14ac:dyDescent="0.25">
      <c r="A40" s="112"/>
      <c r="B40" s="117"/>
      <c r="C40" s="114"/>
      <c r="E40" s="114"/>
      <c r="F40" s="113"/>
      <c r="G40" s="112"/>
      <c r="H40" s="112"/>
      <c r="I40" s="113"/>
      <c r="J40" s="114"/>
    </row>
    <row r="41" spans="1:10" x14ac:dyDescent="0.25">
      <c r="A41" s="112"/>
      <c r="B41" s="117"/>
      <c r="C41" s="114"/>
      <c r="E41" s="114"/>
      <c r="F41" s="113"/>
      <c r="G41" s="112"/>
      <c r="H41" s="112"/>
      <c r="I41" s="113"/>
      <c r="J41" s="114"/>
    </row>
    <row r="42" spans="1:10" x14ac:dyDescent="0.25">
      <c r="A42" s="112"/>
      <c r="B42" s="117"/>
      <c r="C42" s="114"/>
      <c r="E42" s="114"/>
      <c r="F42" s="113"/>
      <c r="G42" s="112"/>
      <c r="H42" s="112"/>
      <c r="I42" s="113"/>
      <c r="J42" s="114"/>
    </row>
    <row r="43" spans="1:10" x14ac:dyDescent="0.25">
      <c r="A43" s="112"/>
      <c r="B43" s="117"/>
      <c r="C43" s="114"/>
      <c r="E43" s="114"/>
      <c r="H43" s="114"/>
    </row>
    <row r="44" spans="1:10" x14ac:dyDescent="0.25">
      <c r="A44" s="112"/>
      <c r="B44" s="112"/>
      <c r="C44" s="114"/>
      <c r="D44" s="113"/>
      <c r="E44" s="114"/>
      <c r="H44" s="114"/>
    </row>
    <row r="45" spans="1:10" x14ac:dyDescent="0.25">
      <c r="A45" s="112"/>
      <c r="B45" s="112"/>
      <c r="C45" s="113"/>
      <c r="E45" s="113"/>
      <c r="H45" s="114"/>
    </row>
    <row r="46" spans="1:10" x14ac:dyDescent="0.25">
      <c r="A46" s="112"/>
      <c r="B46" s="112"/>
      <c r="C46" s="113"/>
      <c r="E46" s="113"/>
      <c r="H46" s="114"/>
    </row>
    <row r="47" spans="1:10" x14ac:dyDescent="0.25">
      <c r="A47" s="119"/>
      <c r="B47" s="119"/>
      <c r="C47" s="121"/>
      <c r="D47" s="119"/>
      <c r="E47" s="113"/>
      <c r="I47" s="118"/>
    </row>
    <row r="48" spans="1:10" x14ac:dyDescent="0.25">
      <c r="A48" s="112"/>
      <c r="B48" s="112"/>
      <c r="C48" s="113"/>
      <c r="D48" s="113"/>
      <c r="F48" s="112"/>
      <c r="G48" s="112"/>
      <c r="H48" s="124"/>
      <c r="I48" s="125"/>
    </row>
    <row r="49" spans="1:9" x14ac:dyDescent="0.25">
      <c r="A49" s="112"/>
      <c r="B49" s="112"/>
      <c r="C49" s="113"/>
      <c r="D49" s="113"/>
      <c r="F49" s="112"/>
      <c r="G49" s="112"/>
      <c r="H49" s="124"/>
      <c r="I49" s="125"/>
    </row>
    <row r="50" spans="1:9" x14ac:dyDescent="0.25">
      <c r="A50" s="112"/>
      <c r="B50" s="112"/>
      <c r="C50" s="113"/>
      <c r="D50" s="113"/>
      <c r="F50" s="112"/>
      <c r="G50" s="112"/>
      <c r="H50" s="124"/>
      <c r="I50" s="125"/>
    </row>
    <row r="51" spans="1:9" x14ac:dyDescent="0.25">
      <c r="A51" s="112"/>
      <c r="B51" s="112"/>
      <c r="C51" s="113"/>
      <c r="D51" s="113"/>
      <c r="F51" s="112"/>
      <c r="G51" s="112"/>
      <c r="H51" s="124"/>
      <c r="I51" s="125"/>
    </row>
    <row r="52" spans="1:9" x14ac:dyDescent="0.25">
      <c r="A52" s="112"/>
      <c r="B52" s="112"/>
      <c r="C52" s="113"/>
      <c r="D52" s="113"/>
      <c r="F52" s="112"/>
      <c r="G52" s="112"/>
      <c r="H52" s="124"/>
      <c r="I52" s="125"/>
    </row>
    <row r="53" spans="1:9" x14ac:dyDescent="0.25">
      <c r="A53" s="112"/>
      <c r="B53" s="112"/>
      <c r="C53" s="113"/>
      <c r="D53" s="113"/>
      <c r="F53" s="112"/>
      <c r="G53" s="112"/>
      <c r="H53" s="124"/>
      <c r="I53" s="125"/>
    </row>
    <row r="54" spans="1:9" x14ac:dyDescent="0.25">
      <c r="A54" s="112"/>
      <c r="B54" s="112"/>
      <c r="C54" s="113"/>
      <c r="D54" s="113"/>
      <c r="F54" s="112"/>
      <c r="G54" s="112"/>
      <c r="H54" s="124"/>
      <c r="I54" s="125"/>
    </row>
    <row r="55" spans="1:9" x14ac:dyDescent="0.25">
      <c r="A55" s="112"/>
      <c r="B55" s="112"/>
      <c r="C55" s="113"/>
      <c r="D55" s="113"/>
      <c r="F55" s="112"/>
      <c r="G55" s="112"/>
      <c r="H55" s="124"/>
      <c r="I55" s="125"/>
    </row>
    <row r="56" spans="1:9" x14ac:dyDescent="0.25">
      <c r="A56" s="112"/>
      <c r="B56" s="112"/>
      <c r="C56" s="113"/>
      <c r="D56" s="113"/>
      <c r="F56" s="112"/>
      <c r="G56" s="112"/>
      <c r="H56" s="124"/>
      <c r="I56" s="125"/>
    </row>
    <row r="57" spans="1:9" x14ac:dyDescent="0.25">
      <c r="A57" s="112"/>
      <c r="B57" s="112"/>
      <c r="C57" s="113"/>
      <c r="D57" s="113"/>
      <c r="F57" s="112"/>
      <c r="G57" s="112"/>
      <c r="H57" s="124"/>
      <c r="I57" s="125"/>
    </row>
    <row r="58" spans="1:9" x14ac:dyDescent="0.25">
      <c r="A58" s="112"/>
      <c r="B58" s="112"/>
      <c r="C58" s="113"/>
      <c r="D58" s="113"/>
      <c r="F58" s="112"/>
      <c r="G58" s="112"/>
      <c r="H58" s="124"/>
      <c r="I58" s="125"/>
    </row>
    <row r="59" spans="1:9" x14ac:dyDescent="0.25">
      <c r="A59" s="112"/>
      <c r="B59" s="112"/>
      <c r="C59" s="113"/>
      <c r="D59" s="113"/>
      <c r="F59" s="112"/>
      <c r="G59" s="112"/>
      <c r="H59" s="124"/>
      <c r="I59" s="125"/>
    </row>
    <row r="60" spans="1:9" x14ac:dyDescent="0.25">
      <c r="A60" s="112"/>
      <c r="B60" s="112"/>
      <c r="C60" s="113"/>
      <c r="D60" s="113"/>
      <c r="F60" s="112"/>
      <c r="G60" s="112"/>
      <c r="H60" s="124"/>
      <c r="I60" s="125"/>
    </row>
    <row r="61" spans="1:9" x14ac:dyDescent="0.25">
      <c r="A61" s="112"/>
      <c r="B61" s="112"/>
      <c r="C61" s="113"/>
      <c r="D61" s="113"/>
      <c r="F61" s="112"/>
      <c r="G61" s="112"/>
      <c r="H61" s="124"/>
      <c r="I61" s="125"/>
    </row>
    <row r="62" spans="1:9" x14ac:dyDescent="0.25">
      <c r="A62" s="112"/>
      <c r="B62" s="112"/>
      <c r="C62" s="113"/>
      <c r="D62" s="113"/>
      <c r="F62" s="112"/>
      <c r="G62" s="112"/>
      <c r="H62" s="124"/>
      <c r="I62" s="125"/>
    </row>
    <row r="63" spans="1:9" x14ac:dyDescent="0.25">
      <c r="A63" s="112"/>
      <c r="B63" s="112"/>
      <c r="C63" s="113"/>
      <c r="D63" s="113"/>
      <c r="F63" s="112"/>
      <c r="G63" s="112"/>
      <c r="H63" s="124"/>
      <c r="I63" s="125"/>
    </row>
    <row r="64" spans="1:9" x14ac:dyDescent="0.25">
      <c r="A64" s="112"/>
      <c r="B64" s="112"/>
      <c r="C64" s="113"/>
      <c r="D64" s="113"/>
      <c r="F64" s="112"/>
      <c r="G64" s="112"/>
      <c r="H64" s="124"/>
      <c r="I64" s="125"/>
    </row>
    <row r="65" spans="1:9" x14ac:dyDescent="0.25">
      <c r="A65" s="112"/>
      <c r="B65" s="112"/>
      <c r="C65" s="113"/>
      <c r="D65" s="113"/>
      <c r="F65" s="112"/>
      <c r="G65" s="112"/>
      <c r="H65" s="124"/>
      <c r="I65" s="125"/>
    </row>
    <row r="66" spans="1:9" x14ac:dyDescent="0.25">
      <c r="A66" s="112"/>
      <c r="B66" s="112"/>
      <c r="C66" s="113"/>
      <c r="D66" s="113"/>
      <c r="F66" s="112"/>
      <c r="G66" s="112"/>
      <c r="H66" s="124"/>
      <c r="I66" s="125"/>
    </row>
    <row r="67" spans="1:9" x14ac:dyDescent="0.25">
      <c r="A67" s="112"/>
      <c r="B67" s="112"/>
      <c r="C67" s="113"/>
      <c r="D67" s="113"/>
      <c r="F67" s="112"/>
      <c r="G67" s="112"/>
      <c r="H67" s="124"/>
      <c r="I67" s="125"/>
    </row>
    <row r="68" spans="1:9" x14ac:dyDescent="0.25">
      <c r="A68" s="112"/>
      <c r="B68" s="112"/>
      <c r="C68" s="113"/>
      <c r="D68" s="113"/>
      <c r="F68" s="112"/>
      <c r="G68" s="112"/>
      <c r="H68" s="124"/>
      <c r="I68" s="125"/>
    </row>
    <row r="69" spans="1:9" x14ac:dyDescent="0.25">
      <c r="A69" s="112"/>
      <c r="B69" s="112"/>
      <c r="C69" s="113"/>
      <c r="D69" s="113"/>
      <c r="F69" s="112"/>
      <c r="G69" s="112"/>
      <c r="H69" s="124"/>
      <c r="I69" s="125"/>
    </row>
    <row r="70" spans="1:9" x14ac:dyDescent="0.25">
      <c r="A70" s="112"/>
      <c r="B70" s="112"/>
      <c r="C70" s="113"/>
      <c r="D70" s="113"/>
      <c r="F70" s="112"/>
      <c r="G70" s="112"/>
      <c r="H70" s="124"/>
      <c r="I70" s="125"/>
    </row>
    <row r="71" spans="1:9" x14ac:dyDescent="0.25">
      <c r="A71" s="112"/>
      <c r="B71" s="112"/>
      <c r="C71" s="113"/>
      <c r="D71" s="113"/>
      <c r="F71" s="112"/>
      <c r="G71" s="112"/>
      <c r="H71" s="124"/>
      <c r="I71" s="125"/>
    </row>
    <row r="72" spans="1:9" x14ac:dyDescent="0.25">
      <c r="A72" s="112"/>
      <c r="B72" s="112"/>
      <c r="C72" s="113"/>
      <c r="D72" s="113"/>
      <c r="F72" s="112"/>
      <c r="G72" s="112"/>
      <c r="H72" s="124"/>
      <c r="I72" s="125"/>
    </row>
    <row r="73" spans="1:9" x14ac:dyDescent="0.25">
      <c r="A73" s="112"/>
      <c r="B73" s="112"/>
      <c r="C73" s="113"/>
      <c r="D73" s="113"/>
      <c r="F73" s="112"/>
      <c r="G73" s="112"/>
      <c r="H73" s="124"/>
      <c r="I73" s="125"/>
    </row>
    <row r="74" spans="1:9" x14ac:dyDescent="0.25">
      <c r="A74" s="112"/>
      <c r="B74" s="112"/>
      <c r="C74" s="113"/>
      <c r="D74" s="113"/>
      <c r="F74" s="112"/>
      <c r="G74" s="112"/>
      <c r="H74" s="124"/>
      <c r="I74" s="125"/>
    </row>
    <row r="75" spans="1:9" x14ac:dyDescent="0.25">
      <c r="A75" s="112"/>
      <c r="B75" s="112"/>
      <c r="C75" s="113"/>
      <c r="D75" s="113"/>
      <c r="F75" s="112"/>
      <c r="G75" s="112"/>
      <c r="H75" s="124"/>
      <c r="I75" s="125"/>
    </row>
    <row r="76" spans="1:9" x14ac:dyDescent="0.25">
      <c r="A76" s="112"/>
      <c r="B76" s="112"/>
      <c r="C76" s="113"/>
      <c r="D76" s="113"/>
      <c r="F76" s="112"/>
      <c r="G76" s="112"/>
      <c r="H76" s="124"/>
      <c r="I76" s="125"/>
    </row>
    <row r="77" spans="1:9" x14ac:dyDescent="0.25">
      <c r="A77" s="112"/>
      <c r="B77" s="112"/>
      <c r="C77" s="113"/>
      <c r="D77" s="113"/>
      <c r="F77" s="112"/>
      <c r="G77" s="112"/>
      <c r="H77" s="124"/>
      <c r="I77" s="125"/>
    </row>
    <row r="78" spans="1:9" x14ac:dyDescent="0.25">
      <c r="A78" s="112"/>
      <c r="B78" s="112"/>
      <c r="C78" s="113"/>
      <c r="D78" s="113"/>
      <c r="F78" s="112"/>
      <c r="G78" s="112"/>
      <c r="H78" s="124"/>
      <c r="I78" s="125"/>
    </row>
    <row r="79" spans="1:9" x14ac:dyDescent="0.25">
      <c r="A79" s="112"/>
      <c r="B79" s="112"/>
      <c r="C79" s="113"/>
      <c r="D79" s="113"/>
      <c r="F79" s="112"/>
      <c r="G79" s="112"/>
      <c r="H79" s="124"/>
      <c r="I79" s="125"/>
    </row>
    <row r="80" spans="1:9" x14ac:dyDescent="0.25">
      <c r="A80" s="112"/>
      <c r="B80" s="112"/>
      <c r="C80" s="113"/>
      <c r="D80" s="113"/>
      <c r="F80" s="112"/>
      <c r="G80" s="112"/>
      <c r="H80" s="124"/>
      <c r="I80" s="125"/>
    </row>
    <row r="81" spans="1:9" x14ac:dyDescent="0.25">
      <c r="A81" s="112"/>
      <c r="B81" s="112"/>
      <c r="C81" s="113"/>
      <c r="D81" s="113"/>
      <c r="F81" s="112"/>
      <c r="G81" s="112"/>
      <c r="H81" s="124"/>
      <c r="I81" s="125"/>
    </row>
    <row r="82" spans="1:9" x14ac:dyDescent="0.25">
      <c r="A82" s="112"/>
      <c r="B82" s="112"/>
      <c r="C82" s="113"/>
      <c r="D82" s="113"/>
      <c r="F82" s="112"/>
      <c r="G82" s="112"/>
      <c r="H82" s="124"/>
      <c r="I82" s="125"/>
    </row>
    <row r="83" spans="1:9" x14ac:dyDescent="0.25">
      <c r="A83" s="112"/>
      <c r="B83" s="112"/>
      <c r="C83" s="113"/>
      <c r="D83" s="113"/>
      <c r="F83" s="112"/>
      <c r="G83" s="112"/>
      <c r="H83" s="124"/>
      <c r="I83" s="125"/>
    </row>
    <row r="84" spans="1:9" x14ac:dyDescent="0.25">
      <c r="A84" s="112"/>
      <c r="B84" s="112"/>
      <c r="C84" s="113"/>
      <c r="D84" s="113"/>
      <c r="F84" s="112"/>
      <c r="G84" s="112"/>
      <c r="H84" s="124"/>
      <c r="I84" s="125"/>
    </row>
    <row r="85" spans="1:9" x14ac:dyDescent="0.25">
      <c r="A85" s="112"/>
      <c r="B85" s="112"/>
      <c r="C85" s="113"/>
      <c r="D85" s="113"/>
      <c r="F85" s="112"/>
      <c r="G85" s="112"/>
      <c r="H85" s="124"/>
      <c r="I85" s="125"/>
    </row>
    <row r="86" spans="1:9" x14ac:dyDescent="0.25">
      <c r="A86" s="112"/>
      <c r="B86" s="112"/>
      <c r="C86" s="113"/>
      <c r="D86" s="113"/>
      <c r="F86" s="112"/>
      <c r="G86" s="112"/>
      <c r="H86" s="124"/>
      <c r="I86" s="125"/>
    </row>
    <row r="87" spans="1:9" x14ac:dyDescent="0.25">
      <c r="A87" s="112"/>
      <c r="B87" s="112"/>
      <c r="C87" s="113"/>
      <c r="D87" s="113"/>
      <c r="F87" s="112"/>
      <c r="G87" s="112"/>
      <c r="H87" s="124"/>
      <c r="I87" s="125"/>
    </row>
    <row r="88" spans="1:9" x14ac:dyDescent="0.25">
      <c r="A88" s="112"/>
      <c r="B88" s="112"/>
      <c r="C88" s="113"/>
      <c r="D88" s="113"/>
      <c r="F88" s="112"/>
      <c r="G88" s="112"/>
      <c r="H88" s="124"/>
      <c r="I88" s="125"/>
    </row>
    <row r="89" spans="1:9" x14ac:dyDescent="0.25">
      <c r="A89" s="112"/>
      <c r="B89" s="112"/>
      <c r="C89" s="113"/>
      <c r="D89" s="113"/>
      <c r="F89" s="112"/>
      <c r="G89" s="112"/>
      <c r="H89" s="124"/>
      <c r="I89" s="125"/>
    </row>
    <row r="90" spans="1:9" x14ac:dyDescent="0.25">
      <c r="A90" s="112"/>
      <c r="B90" s="112"/>
      <c r="C90" s="113"/>
      <c r="D90" s="113"/>
      <c r="F90" s="112"/>
      <c r="G90" s="112"/>
      <c r="H90" s="124"/>
      <c r="I90" s="125"/>
    </row>
    <row r="91" spans="1:9" x14ac:dyDescent="0.25">
      <c r="A91" s="112"/>
      <c r="B91" s="112"/>
      <c r="C91" s="113"/>
      <c r="D91" s="113"/>
      <c r="F91" s="112"/>
      <c r="G91" s="112"/>
      <c r="H91" s="124"/>
      <c r="I91" s="125"/>
    </row>
    <row r="92" spans="1:9" x14ac:dyDescent="0.25">
      <c r="A92" s="112"/>
      <c r="B92" s="112"/>
      <c r="C92" s="113"/>
      <c r="D92" s="113"/>
      <c r="F92" s="112"/>
      <c r="G92" s="112"/>
      <c r="H92" s="124"/>
      <c r="I92" s="125"/>
    </row>
    <row r="93" spans="1:9" x14ac:dyDescent="0.25">
      <c r="A93" s="112"/>
      <c r="B93" s="112"/>
      <c r="C93" s="113"/>
      <c r="D93" s="113"/>
      <c r="F93" s="112"/>
      <c r="G93" s="112"/>
      <c r="H93" s="124"/>
      <c r="I93" s="125"/>
    </row>
    <row r="94" spans="1:9" x14ac:dyDescent="0.25">
      <c r="A94" s="112"/>
      <c r="B94" s="112"/>
      <c r="C94" s="113"/>
      <c r="D94" s="113"/>
      <c r="F94" s="112"/>
      <c r="G94" s="112"/>
      <c r="H94" s="124"/>
      <c r="I94" s="125"/>
    </row>
    <row r="95" spans="1:9" x14ac:dyDescent="0.25">
      <c r="A95" s="112"/>
      <c r="B95" s="112"/>
      <c r="C95" s="113"/>
      <c r="D95" s="113"/>
      <c r="F95" s="112"/>
      <c r="G95" s="112"/>
      <c r="H95" s="124"/>
      <c r="I95" s="125"/>
    </row>
    <row r="96" spans="1:9" x14ac:dyDescent="0.25">
      <c r="A96" s="112"/>
      <c r="B96" s="112"/>
      <c r="C96" s="113"/>
      <c r="D96" s="113"/>
      <c r="F96" s="112"/>
      <c r="G96" s="112"/>
      <c r="H96" s="124"/>
      <c r="I96" s="125"/>
    </row>
    <row r="97" spans="1:9" x14ac:dyDescent="0.25">
      <c r="A97" s="112"/>
      <c r="B97" s="112"/>
      <c r="C97" s="113"/>
      <c r="D97" s="113"/>
      <c r="F97" s="112"/>
      <c r="G97" s="112"/>
      <c r="H97" s="124"/>
      <c r="I97" s="125"/>
    </row>
    <row r="98" spans="1:9" x14ac:dyDescent="0.25">
      <c r="A98" s="112"/>
      <c r="B98" s="112"/>
      <c r="C98" s="113"/>
      <c r="D98" s="113"/>
      <c r="F98" s="112"/>
      <c r="G98" s="112"/>
      <c r="H98" s="124"/>
      <c r="I98" s="125"/>
    </row>
    <row r="99" spans="1:9" x14ac:dyDescent="0.25">
      <c r="A99" s="112"/>
      <c r="B99" s="112"/>
      <c r="C99" s="113"/>
      <c r="D99" s="113"/>
      <c r="F99" s="112"/>
      <c r="G99" s="112"/>
      <c r="H99" s="124"/>
      <c r="I99" s="125"/>
    </row>
    <row r="100" spans="1:9" x14ac:dyDescent="0.25">
      <c r="A100" s="112"/>
      <c r="B100" s="112"/>
      <c r="C100" s="113"/>
      <c r="D100" s="113"/>
      <c r="F100" s="112"/>
      <c r="G100" s="112"/>
      <c r="H100" s="124"/>
      <c r="I100" s="125"/>
    </row>
    <row r="101" spans="1:9" x14ac:dyDescent="0.25">
      <c r="A101" s="112"/>
      <c r="B101" s="112"/>
      <c r="C101" s="113"/>
      <c r="D101" s="113"/>
      <c r="F101" s="112"/>
      <c r="G101" s="112"/>
      <c r="H101" s="124"/>
      <c r="I101" s="125"/>
    </row>
    <row r="102" spans="1:9" x14ac:dyDescent="0.25">
      <c r="A102" s="112"/>
      <c r="B102" s="112"/>
      <c r="C102" s="113"/>
      <c r="D102" s="113"/>
      <c r="F102" s="112"/>
      <c r="G102" s="112"/>
      <c r="H102" s="124"/>
      <c r="I102" s="125"/>
    </row>
    <row r="103" spans="1:9" x14ac:dyDescent="0.25">
      <c r="A103" s="112"/>
      <c r="B103" s="112"/>
      <c r="C103" s="113"/>
      <c r="D103" s="113"/>
      <c r="F103" s="112"/>
      <c r="G103" s="112"/>
      <c r="H103" s="124"/>
      <c r="I103" s="125"/>
    </row>
    <row r="104" spans="1:9" x14ac:dyDescent="0.25">
      <c r="A104" s="112"/>
      <c r="B104" s="112"/>
      <c r="C104" s="113"/>
      <c r="D104" s="113"/>
      <c r="F104" s="112"/>
      <c r="G104" s="112"/>
      <c r="H104" s="124"/>
      <c r="I104" s="125"/>
    </row>
    <row r="105" spans="1:9" x14ac:dyDescent="0.25">
      <c r="A105" s="112"/>
      <c r="B105" s="112"/>
      <c r="C105" s="113"/>
      <c r="D105" s="113"/>
      <c r="F105" s="112"/>
      <c r="G105" s="112"/>
      <c r="H105" s="124"/>
      <c r="I105" s="125"/>
    </row>
    <row r="106" spans="1:9" x14ac:dyDescent="0.25">
      <c r="A106" s="112"/>
      <c r="B106" s="112"/>
      <c r="C106" s="113"/>
      <c r="D106" s="113"/>
      <c r="F106" s="112"/>
      <c r="G106" s="112"/>
      <c r="H106" s="124"/>
      <c r="I106" s="125"/>
    </row>
    <row r="107" spans="1:9" x14ac:dyDescent="0.25">
      <c r="A107" s="112"/>
      <c r="B107" s="112"/>
      <c r="C107" s="113"/>
      <c r="D107" s="113"/>
      <c r="F107" s="112"/>
      <c r="G107" s="112"/>
      <c r="H107" s="124"/>
      <c r="I107" s="125"/>
    </row>
    <row r="108" spans="1:9" x14ac:dyDescent="0.25">
      <c r="A108" s="112"/>
      <c r="B108" s="112"/>
      <c r="C108" s="113"/>
      <c r="D108" s="113"/>
      <c r="F108" s="112"/>
      <c r="G108" s="112"/>
      <c r="H108" s="124"/>
      <c r="I108" s="125"/>
    </row>
    <row r="109" spans="1:9" x14ac:dyDescent="0.25">
      <c r="A109" s="112"/>
      <c r="B109" s="112"/>
      <c r="C109" s="113"/>
      <c r="D109" s="113"/>
      <c r="F109" s="112"/>
      <c r="G109" s="112"/>
      <c r="H109" s="124"/>
      <c r="I109" s="125"/>
    </row>
    <row r="110" spans="1:9" x14ac:dyDescent="0.25">
      <c r="A110" s="112"/>
      <c r="B110" s="112"/>
      <c r="C110" s="113"/>
      <c r="D110" s="113"/>
      <c r="F110" s="112"/>
      <c r="G110" s="112"/>
      <c r="H110" s="124"/>
      <c r="I110" s="125"/>
    </row>
    <row r="111" spans="1:9" x14ac:dyDescent="0.25">
      <c r="A111" s="112"/>
      <c r="B111" s="112"/>
      <c r="C111" s="113"/>
      <c r="D111" s="113"/>
      <c r="F111" s="112"/>
      <c r="G111" s="112"/>
      <c r="H111" s="124"/>
      <c r="I111" s="125"/>
    </row>
    <row r="112" spans="1:9" x14ac:dyDescent="0.25">
      <c r="A112" s="112"/>
      <c r="B112" s="112"/>
      <c r="C112" s="113"/>
      <c r="D112" s="113"/>
      <c r="F112" s="112"/>
      <c r="G112" s="112"/>
      <c r="H112" s="124"/>
      <c r="I112" s="125"/>
    </row>
    <row r="113" spans="1:9" x14ac:dyDescent="0.25">
      <c r="A113" s="112"/>
      <c r="B113" s="112"/>
      <c r="C113" s="113"/>
      <c r="D113" s="113"/>
      <c r="F113" s="112"/>
      <c r="G113" s="112"/>
      <c r="H113" s="124"/>
      <c r="I113" s="125"/>
    </row>
    <row r="114" spans="1:9" x14ac:dyDescent="0.25">
      <c r="A114" s="112"/>
      <c r="B114" s="112"/>
      <c r="C114" s="114"/>
      <c r="D114" s="113"/>
      <c r="F114" s="112"/>
      <c r="G114" s="112"/>
      <c r="H114" s="124"/>
      <c r="I114" s="125"/>
    </row>
    <row r="115" spans="1:9" x14ac:dyDescent="0.25">
      <c r="A115" s="112"/>
      <c r="B115" s="112"/>
      <c r="C115" s="113"/>
      <c r="D115" s="113"/>
      <c r="F115" s="112"/>
      <c r="G115" s="112"/>
      <c r="H115" s="124"/>
      <c r="I115" s="125"/>
    </row>
    <row r="116" spans="1:9" x14ac:dyDescent="0.25">
      <c r="A116" s="112"/>
      <c r="B116" s="112"/>
      <c r="C116" s="113"/>
      <c r="D116" s="113"/>
      <c r="F116" s="112"/>
      <c r="G116" s="112"/>
      <c r="H116" s="124"/>
      <c r="I116" s="125"/>
    </row>
    <row r="117" spans="1:9" x14ac:dyDescent="0.25">
      <c r="A117" s="112"/>
      <c r="B117" s="112"/>
      <c r="C117" s="113"/>
      <c r="D117" s="113"/>
      <c r="F117" s="112"/>
      <c r="G117" s="112"/>
      <c r="H117" s="124"/>
      <c r="I117" s="125"/>
    </row>
    <row r="118" spans="1:9" x14ac:dyDescent="0.25">
      <c r="A118" s="112"/>
      <c r="B118" s="112"/>
      <c r="C118" s="113"/>
      <c r="D118" s="113"/>
      <c r="F118" s="112"/>
      <c r="G118" s="112"/>
      <c r="H118" s="124"/>
      <c r="I118" s="125"/>
    </row>
    <row r="119" spans="1:9" x14ac:dyDescent="0.25">
      <c r="A119" s="112"/>
      <c r="B119" s="112"/>
      <c r="C119" s="113"/>
      <c r="D119" s="113"/>
      <c r="F119" s="112"/>
      <c r="G119" s="112"/>
      <c r="H119" s="124"/>
      <c r="I119" s="125"/>
    </row>
    <row r="120" spans="1:9" x14ac:dyDescent="0.25">
      <c r="A120" s="112"/>
      <c r="B120" s="112"/>
      <c r="C120" s="113"/>
      <c r="D120" s="113"/>
      <c r="F120" s="112"/>
      <c r="G120" s="112"/>
      <c r="H120" s="124"/>
      <c r="I120" s="125"/>
    </row>
    <row r="121" spans="1:9" x14ac:dyDescent="0.25">
      <c r="A121" s="112"/>
      <c r="B121" s="112"/>
      <c r="C121" s="113"/>
      <c r="D121" s="113"/>
      <c r="F121" s="112"/>
      <c r="G121" s="112"/>
      <c r="H121" s="124"/>
      <c r="I121" s="125"/>
    </row>
    <row r="122" spans="1:9" x14ac:dyDescent="0.25">
      <c r="A122" s="112"/>
      <c r="B122" s="112"/>
      <c r="C122" s="113"/>
      <c r="D122" s="113"/>
      <c r="F122" s="112"/>
      <c r="G122" s="112"/>
      <c r="H122" s="124"/>
      <c r="I122" s="125"/>
    </row>
    <row r="123" spans="1:9" x14ac:dyDescent="0.25">
      <c r="A123" s="112"/>
      <c r="B123" s="112"/>
      <c r="C123" s="113"/>
      <c r="D123" s="113"/>
      <c r="F123" s="112"/>
      <c r="G123" s="112"/>
      <c r="H123" s="124"/>
      <c r="I123" s="125"/>
    </row>
    <row r="124" spans="1:9" x14ac:dyDescent="0.25">
      <c r="A124" s="112"/>
      <c r="B124" s="112"/>
      <c r="C124" s="113"/>
      <c r="D124" s="113"/>
      <c r="F124" s="112"/>
      <c r="G124" s="112"/>
      <c r="H124" s="124"/>
      <c r="I124" s="125"/>
    </row>
    <row r="125" spans="1:9" x14ac:dyDescent="0.25">
      <c r="A125" s="112"/>
      <c r="B125" s="112"/>
      <c r="C125" s="113"/>
      <c r="D125" s="113"/>
      <c r="F125" s="112"/>
      <c r="G125" s="112"/>
      <c r="H125" s="124"/>
      <c r="I125" s="125"/>
    </row>
    <row r="126" spans="1:9" x14ac:dyDescent="0.25">
      <c r="A126" s="112"/>
      <c r="B126" s="112"/>
      <c r="C126" s="113"/>
      <c r="D126" s="113"/>
      <c r="F126" s="112"/>
      <c r="G126" s="112"/>
      <c r="H126" s="124"/>
      <c r="I126" s="125"/>
    </row>
    <row r="127" spans="1:9" x14ac:dyDescent="0.25">
      <c r="A127" s="112"/>
      <c r="B127" s="112"/>
      <c r="C127" s="113"/>
      <c r="D127" s="113"/>
      <c r="F127" s="112"/>
      <c r="G127" s="112"/>
      <c r="H127" s="124"/>
      <c r="I127" s="125"/>
    </row>
    <row r="128" spans="1:9" x14ac:dyDescent="0.25">
      <c r="A128" s="112"/>
      <c r="B128" s="112"/>
      <c r="C128" s="113"/>
      <c r="D128" s="113"/>
      <c r="F128" s="112"/>
      <c r="G128" s="112"/>
      <c r="H128" s="124"/>
      <c r="I128" s="125"/>
    </row>
    <row r="129" spans="1:9" x14ac:dyDescent="0.25">
      <c r="A129" s="112"/>
      <c r="B129" s="112"/>
      <c r="C129" s="113"/>
      <c r="D129" s="113"/>
      <c r="F129" s="112"/>
      <c r="G129" s="112"/>
      <c r="H129" s="124"/>
      <c r="I129" s="125"/>
    </row>
    <row r="130" spans="1:9" x14ac:dyDescent="0.25">
      <c r="A130" s="112"/>
      <c r="B130" s="112"/>
      <c r="C130" s="113"/>
      <c r="D130" s="113"/>
      <c r="F130" s="112"/>
      <c r="G130" s="112"/>
      <c r="H130" s="124"/>
      <c r="I130" s="125"/>
    </row>
    <row r="131" spans="1:9" x14ac:dyDescent="0.25">
      <c r="A131" s="112"/>
      <c r="B131" s="112"/>
      <c r="C131" s="113"/>
      <c r="D131" s="113"/>
      <c r="F131" s="112"/>
      <c r="G131" s="112"/>
      <c r="H131" s="124"/>
      <c r="I131" s="125"/>
    </row>
    <row r="132" spans="1:9" x14ac:dyDescent="0.25">
      <c r="A132" s="112"/>
      <c r="B132" s="112"/>
      <c r="C132" s="113"/>
      <c r="D132" s="113"/>
      <c r="F132" s="112"/>
      <c r="G132" s="112"/>
      <c r="H132" s="124"/>
      <c r="I132" s="125"/>
    </row>
    <row r="133" spans="1:9" x14ac:dyDescent="0.25">
      <c r="A133" s="112"/>
      <c r="B133" s="112"/>
      <c r="C133" s="113"/>
      <c r="D133" s="113"/>
      <c r="F133" s="112"/>
      <c r="G133" s="112"/>
      <c r="H133" s="124"/>
      <c r="I133" s="125"/>
    </row>
    <row r="134" spans="1:9" x14ac:dyDescent="0.25">
      <c r="A134" s="112"/>
      <c r="B134" s="112"/>
      <c r="C134" s="113"/>
      <c r="D134" s="113"/>
      <c r="F134" s="112"/>
      <c r="G134" s="112"/>
      <c r="H134" s="124"/>
      <c r="I134" s="125"/>
    </row>
    <row r="135" spans="1:9" x14ac:dyDescent="0.25">
      <c r="A135" s="112"/>
      <c r="B135" s="112"/>
      <c r="C135" s="113"/>
      <c r="D135" s="113"/>
      <c r="F135" s="112"/>
      <c r="G135" s="112"/>
      <c r="H135" s="124"/>
      <c r="I135" s="125"/>
    </row>
    <row r="136" spans="1:9" x14ac:dyDescent="0.25">
      <c r="A136" s="112"/>
      <c r="B136" s="112"/>
      <c r="C136" s="113"/>
      <c r="D136" s="113"/>
      <c r="F136" s="112"/>
      <c r="G136" s="112"/>
      <c r="H136" s="124"/>
      <c r="I136" s="125"/>
    </row>
    <row r="137" spans="1:9" x14ac:dyDescent="0.25">
      <c r="A137" s="112"/>
      <c r="B137" s="112"/>
      <c r="C137" s="113"/>
      <c r="D137" s="113"/>
      <c r="F137" s="112"/>
      <c r="G137" s="112"/>
      <c r="H137" s="124"/>
      <c r="I137" s="125"/>
    </row>
    <row r="138" spans="1:9" x14ac:dyDescent="0.25">
      <c r="A138" s="112"/>
      <c r="B138" s="112"/>
      <c r="C138" s="113"/>
      <c r="D138" s="113"/>
      <c r="F138" s="112"/>
      <c r="G138" s="112"/>
      <c r="H138" s="124"/>
      <c r="I138" s="125"/>
    </row>
    <row r="139" spans="1:9" x14ac:dyDescent="0.25">
      <c r="A139" s="112"/>
      <c r="B139" s="112"/>
      <c r="C139" s="113"/>
      <c r="D139" s="113"/>
      <c r="F139" s="112"/>
      <c r="G139" s="112"/>
      <c r="H139" s="124"/>
      <c r="I139" s="125"/>
    </row>
    <row r="140" spans="1:9" x14ac:dyDescent="0.25">
      <c r="A140" s="112"/>
      <c r="B140" s="112"/>
      <c r="C140" s="113"/>
      <c r="D140" s="113"/>
      <c r="F140" s="112"/>
      <c r="G140" s="112"/>
      <c r="H140" s="124"/>
      <c r="I140" s="125"/>
    </row>
    <row r="141" spans="1:9" x14ac:dyDescent="0.25">
      <c r="A141" s="112"/>
      <c r="B141" s="112"/>
      <c r="C141" s="113"/>
      <c r="D141" s="113"/>
      <c r="F141" s="112"/>
      <c r="G141" s="112"/>
      <c r="H141" s="124"/>
      <c r="I141" s="125"/>
    </row>
    <row r="142" spans="1:9" x14ac:dyDescent="0.25">
      <c r="A142" s="112"/>
      <c r="B142" s="112"/>
      <c r="C142" s="113"/>
      <c r="D142" s="113"/>
      <c r="F142" s="112"/>
      <c r="G142" s="112"/>
      <c r="H142" s="124"/>
      <c r="I142" s="125"/>
    </row>
    <row r="143" spans="1:9" x14ac:dyDescent="0.25">
      <c r="A143" s="112"/>
      <c r="B143" s="112"/>
      <c r="C143" s="113"/>
      <c r="D143" s="113"/>
      <c r="F143" s="112"/>
      <c r="G143" s="112"/>
      <c r="H143" s="124"/>
      <c r="I143" s="125"/>
    </row>
    <row r="144" spans="1:9" x14ac:dyDescent="0.25">
      <c r="A144" s="112"/>
      <c r="B144" s="112"/>
      <c r="C144" s="113"/>
      <c r="D144" s="113"/>
      <c r="F144" s="112"/>
      <c r="G144" s="112"/>
      <c r="H144" s="124"/>
      <c r="I144" s="125"/>
    </row>
    <row r="145" spans="1:9" x14ac:dyDescent="0.25">
      <c r="A145" s="112"/>
      <c r="B145" s="112"/>
      <c r="C145" s="113"/>
      <c r="D145" s="113"/>
      <c r="F145" s="112"/>
      <c r="G145" s="112"/>
      <c r="H145" s="124"/>
      <c r="I145" s="125"/>
    </row>
    <row r="146" spans="1:9" x14ac:dyDescent="0.25">
      <c r="A146" s="112"/>
      <c r="B146" s="112"/>
      <c r="C146" s="113"/>
      <c r="D146" s="113"/>
      <c r="F146" s="112"/>
      <c r="G146" s="112"/>
      <c r="H146" s="124"/>
      <c r="I146" s="125"/>
    </row>
    <row r="147" spans="1:9" x14ac:dyDescent="0.25">
      <c r="A147" s="112"/>
      <c r="B147" s="112"/>
      <c r="C147" s="113"/>
      <c r="D147" s="113"/>
      <c r="F147" s="112"/>
      <c r="G147" s="112"/>
      <c r="H147" s="124"/>
      <c r="I147" s="125"/>
    </row>
    <row r="148" spans="1:9" x14ac:dyDescent="0.25">
      <c r="A148" s="112"/>
      <c r="B148" s="112"/>
      <c r="C148" s="113"/>
      <c r="D148" s="113"/>
      <c r="F148" s="112"/>
      <c r="G148" s="112"/>
      <c r="H148" s="124"/>
      <c r="I148" s="125"/>
    </row>
    <row r="149" spans="1:9" x14ac:dyDescent="0.25">
      <c r="A149" s="112"/>
      <c r="B149" s="112"/>
      <c r="C149" s="113"/>
      <c r="D149" s="113"/>
      <c r="F149" s="112"/>
      <c r="G149" s="112"/>
      <c r="H149" s="124"/>
      <c r="I149" s="125"/>
    </row>
    <row r="150" spans="1:9" x14ac:dyDescent="0.25">
      <c r="A150" s="112"/>
      <c r="B150" s="112"/>
      <c r="C150" s="113"/>
      <c r="D150" s="113"/>
      <c r="F150" s="112"/>
      <c r="G150" s="112"/>
      <c r="H150" s="124"/>
      <c r="I150" s="125"/>
    </row>
    <row r="151" spans="1:9" x14ac:dyDescent="0.25">
      <c r="A151" s="112"/>
      <c r="B151" s="112"/>
      <c r="C151" s="113"/>
      <c r="D151" s="113"/>
      <c r="F151" s="112"/>
      <c r="G151" s="112"/>
      <c r="H151" s="124"/>
      <c r="I151" s="125"/>
    </row>
    <row r="152" spans="1:9" x14ac:dyDescent="0.25">
      <c r="A152" s="112"/>
      <c r="B152" s="112"/>
      <c r="C152" s="113"/>
      <c r="D152" s="113"/>
      <c r="F152" s="112"/>
      <c r="G152" s="112"/>
      <c r="H152" s="124"/>
      <c r="I152" s="125"/>
    </row>
    <row r="153" spans="1:9" x14ac:dyDescent="0.25">
      <c r="E153" s="112"/>
      <c r="G153" s="112"/>
    </row>
    <row r="154" spans="1:9" x14ac:dyDescent="0.25">
      <c r="E154" s="112"/>
      <c r="G154" s="112"/>
    </row>
    <row r="155" spans="1:9" x14ac:dyDescent="0.25">
      <c r="E155" s="112"/>
      <c r="G155" s="112"/>
    </row>
    <row r="156" spans="1:9" x14ac:dyDescent="0.25">
      <c r="E156" s="112"/>
      <c r="G156" s="112"/>
    </row>
    <row r="157" spans="1:9" x14ac:dyDescent="0.25">
      <c r="E157" s="112"/>
      <c r="G157" s="112"/>
    </row>
    <row r="158" spans="1:9" x14ac:dyDescent="0.25">
      <c r="E158" s="112"/>
      <c r="G158" s="112"/>
    </row>
    <row r="159" spans="1:9" x14ac:dyDescent="0.25">
      <c r="E159" s="112"/>
      <c r="G159" s="112"/>
    </row>
    <row r="160" spans="1:9" x14ac:dyDescent="0.25">
      <c r="E160" s="112"/>
      <c r="G160" s="112"/>
    </row>
    <row r="161" spans="5:7" x14ac:dyDescent="0.25">
      <c r="E161" s="112"/>
      <c r="G161" s="112"/>
    </row>
    <row r="162" spans="5:7" x14ac:dyDescent="0.25">
      <c r="E162" s="112"/>
      <c r="G162" s="112"/>
    </row>
    <row r="163" spans="5:7" x14ac:dyDescent="0.25">
      <c r="E163" s="112"/>
      <c r="G163" s="112"/>
    </row>
    <row r="164" spans="5:7" x14ac:dyDescent="0.25">
      <c r="E164" s="112"/>
      <c r="G164" s="112"/>
    </row>
    <row r="165" spans="5:7" x14ac:dyDescent="0.25">
      <c r="E165" s="112"/>
      <c r="G165" s="112"/>
    </row>
    <row r="166" spans="5:7" x14ac:dyDescent="0.25">
      <c r="E166" s="112"/>
      <c r="G166" s="112"/>
    </row>
    <row r="167" spans="5:7" x14ac:dyDescent="0.25">
      <c r="E167" s="112"/>
      <c r="G167" s="112"/>
    </row>
    <row r="168" spans="5:7" x14ac:dyDescent="0.25">
      <c r="E168" s="112"/>
      <c r="G168" s="112"/>
    </row>
    <row r="169" spans="5:7" x14ac:dyDescent="0.25">
      <c r="E169" s="112"/>
      <c r="G169" s="112"/>
    </row>
    <row r="170" spans="5:7" x14ac:dyDescent="0.25">
      <c r="E170" s="112"/>
      <c r="G170" s="112"/>
    </row>
    <row r="171" spans="5:7" x14ac:dyDescent="0.25">
      <c r="E171" s="112"/>
      <c r="G171" s="112"/>
    </row>
    <row r="172" spans="5:7" x14ac:dyDescent="0.25">
      <c r="E172" s="112"/>
      <c r="G172" s="112"/>
    </row>
    <row r="173" spans="5:7" x14ac:dyDescent="0.25">
      <c r="E173" s="112"/>
      <c r="G173" s="112"/>
    </row>
    <row r="174" spans="5:7" x14ac:dyDescent="0.25">
      <c r="E174" s="112"/>
      <c r="G174" s="112"/>
    </row>
    <row r="175" spans="5:7" x14ac:dyDescent="0.25">
      <c r="E175" s="112"/>
      <c r="G175" s="112"/>
    </row>
    <row r="176" spans="5:7" x14ac:dyDescent="0.25">
      <c r="E176" s="112"/>
      <c r="G176" s="112"/>
    </row>
    <row r="177" spans="5:7" x14ac:dyDescent="0.25">
      <c r="E177" s="112"/>
      <c r="G177" s="112"/>
    </row>
    <row r="178" spans="5:7" x14ac:dyDescent="0.25">
      <c r="E178" s="112"/>
      <c r="G178" s="11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1"/>
  <sheetViews>
    <sheetView topLeftCell="B1" workbookViewId="0">
      <selection activeCell="H18" sqref="H18"/>
    </sheetView>
  </sheetViews>
  <sheetFormatPr defaultRowHeight="15" x14ac:dyDescent="0.25"/>
  <cols>
    <col min="1" max="1" width="18.28515625" style="63" bestFit="1" customWidth="1"/>
    <col min="2" max="2" width="16.42578125" style="63" bestFit="1" customWidth="1"/>
    <col min="3" max="3" width="20" style="63" bestFit="1" customWidth="1"/>
    <col min="4" max="4" width="16.5703125" style="63" customWidth="1"/>
    <col min="5" max="5" width="18" style="63" bestFit="1" customWidth="1"/>
    <col min="6" max="6" width="16.42578125" style="63" bestFit="1" customWidth="1"/>
    <col min="7" max="7" width="16.28515625" style="63" bestFit="1" customWidth="1"/>
    <col min="8" max="8" width="16.42578125" style="63" bestFit="1" customWidth="1"/>
    <col min="9" max="9" width="26.140625" style="63" bestFit="1" customWidth="1"/>
    <col min="10" max="10" width="16.140625" style="63" customWidth="1"/>
    <col min="11" max="16384" width="9.140625" style="63"/>
  </cols>
  <sheetData>
    <row r="1" spans="1:19" x14ac:dyDescent="0.25">
      <c r="A1" s="63" t="s">
        <v>1</v>
      </c>
      <c r="C1" s="63" t="s">
        <v>3</v>
      </c>
      <c r="E1" s="63" t="s">
        <v>6</v>
      </c>
      <c r="H1" s="63" t="s">
        <v>12</v>
      </c>
    </row>
    <row r="2" spans="1:19" ht="17.25" x14ac:dyDescent="0.25">
      <c r="A2" s="67">
        <v>6.0219999999999996E+23</v>
      </c>
      <c r="B2" s="68" t="s">
        <v>2</v>
      </c>
      <c r="C2" s="67">
        <v>1.3800000000000001E-23</v>
      </c>
      <c r="D2" s="67" t="s">
        <v>4</v>
      </c>
      <c r="E2" s="93">
        <v>96485.331999999995</v>
      </c>
      <c r="F2" s="63" t="s">
        <v>7</v>
      </c>
      <c r="H2" s="63" t="s">
        <v>44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45</v>
      </c>
    </row>
    <row r="6" spans="1:19" x14ac:dyDescent="0.25">
      <c r="A6" s="138">
        <f>B6+273.15</f>
        <v>1123.1500000000001</v>
      </c>
      <c r="B6" s="115">
        <v>850</v>
      </c>
      <c r="C6" s="140">
        <f>'LSF,Sogaard (Solid State Chem)'!J40</f>
        <v>168.00498614694925</v>
      </c>
      <c r="D6" s="157">
        <f>C6*D13</f>
        <v>5.1913540719407316E-6</v>
      </c>
    </row>
    <row r="7" spans="1:19" x14ac:dyDescent="0.25">
      <c r="A7" s="138">
        <f t="shared" ref="A7:A9" si="0">B7+273.15</f>
        <v>1073.1500000000001</v>
      </c>
      <c r="B7" s="115">
        <v>800</v>
      </c>
      <c r="C7" s="140">
        <f>'LSF,Sogaard (Solid State Chem)'!J41</f>
        <v>223.87211385683412</v>
      </c>
      <c r="D7" s="157">
        <f>C7*D14</f>
        <v>7.0967460092616414E-6</v>
      </c>
      <c r="H7" s="63" t="s">
        <v>18</v>
      </c>
    </row>
    <row r="8" spans="1:19" ht="15.75" x14ac:dyDescent="0.25">
      <c r="A8" s="138">
        <f t="shared" si="0"/>
        <v>1023.15</v>
      </c>
      <c r="B8" s="115">
        <v>750</v>
      </c>
      <c r="C8" s="140">
        <f>'LSF,Sogaard (Solid State Chem)'!J42</f>
        <v>234.20027838088862</v>
      </c>
      <c r="D8" s="157">
        <f>C8*D15</f>
        <v>7.0962684349409255E-6</v>
      </c>
      <c r="G8" s="63">
        <v>1</v>
      </c>
      <c r="H8" s="2" t="s">
        <v>28</v>
      </c>
    </row>
    <row r="9" spans="1:19" ht="16.5" thickBot="1" x14ac:dyDescent="0.3">
      <c r="A9" s="141">
        <f t="shared" si="0"/>
        <v>973.15</v>
      </c>
      <c r="B9" s="126">
        <v>700</v>
      </c>
      <c r="C9" s="130">
        <f>'LSF,Sogaard (Solid State Chem)'!J43</f>
        <v>281.26118475207005</v>
      </c>
      <c r="D9" s="158">
        <f>C9*D16</f>
        <v>7.8471870545827551E-6</v>
      </c>
      <c r="J9" s="2"/>
    </row>
    <row r="10" spans="1:19" ht="15.75" thickBot="1" x14ac:dyDescent="0.3">
      <c r="A10" s="64"/>
      <c r="B10" s="64"/>
      <c r="D10" s="66"/>
    </row>
    <row r="11" spans="1:19" ht="19.5" thickBot="1" x14ac:dyDescent="0.3">
      <c r="A11" s="133" t="s">
        <v>13</v>
      </c>
      <c r="B11" s="134"/>
      <c r="C11" s="134"/>
      <c r="D11" s="135"/>
      <c r="H11" s="169" t="s">
        <v>184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25">
      <c r="A12" s="136" t="s">
        <v>16</v>
      </c>
      <c r="B12" s="115" t="s">
        <v>14</v>
      </c>
      <c r="C12" s="115"/>
      <c r="D12" s="137" t="s">
        <v>15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>B13+273.15</f>
        <v>1123.1500000000001</v>
      </c>
      <c r="B13" s="115">
        <v>850</v>
      </c>
      <c r="C13" s="140"/>
      <c r="D13" s="165">
        <v>3.0899999999999999E-8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ref="A14:A16" si="1">B14+273.15</f>
        <v>1073.1500000000001</v>
      </c>
      <c r="B14" s="115">
        <v>800</v>
      </c>
      <c r="C14" s="140"/>
      <c r="D14" s="165">
        <v>3.1699999999999999E-8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si="1"/>
        <v>1023.15</v>
      </c>
      <c r="B15" s="115">
        <v>750</v>
      </c>
      <c r="C15" s="140"/>
      <c r="D15" s="165">
        <v>3.03E-8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5.75" thickBot="1" x14ac:dyDescent="0.3">
      <c r="A16" s="141">
        <f t="shared" si="1"/>
        <v>973.15</v>
      </c>
      <c r="B16" s="126">
        <v>700</v>
      </c>
      <c r="C16" s="130"/>
      <c r="D16" s="166">
        <v>2.7900000000000002E-8</v>
      </c>
    </row>
    <row r="17" spans="1:10" ht="15.75" thickBot="1" x14ac:dyDescent="0.3">
      <c r="A17" s="64"/>
      <c r="D17" s="66"/>
    </row>
    <row r="18" spans="1:10" ht="15.75" x14ac:dyDescent="0.25">
      <c r="A18" s="133" t="s">
        <v>19</v>
      </c>
      <c r="B18" s="134"/>
      <c r="C18" s="134"/>
      <c r="D18" s="135"/>
    </row>
    <row r="19" spans="1:10" ht="47.25" x14ac:dyDescent="0.25">
      <c r="A19" s="136" t="s">
        <v>16</v>
      </c>
      <c r="B19" s="115" t="s">
        <v>14</v>
      </c>
      <c r="C19" s="142" t="s">
        <v>21</v>
      </c>
      <c r="D19" s="143" t="s">
        <v>35</v>
      </c>
    </row>
    <row r="20" spans="1:10" x14ac:dyDescent="0.25">
      <c r="A20" s="138">
        <f>B20+273.15</f>
        <v>1123.1500000000001</v>
      </c>
      <c r="B20" s="115">
        <v>850</v>
      </c>
      <c r="C20" s="140">
        <f>'LSF,Sogaard (Solid State Chem)'!E41</f>
        <v>8.8023611624812689E-2</v>
      </c>
      <c r="D20" s="157">
        <f>($C$2*A20*$A$2)/(4*($E$2^2)*C20*D13)</f>
        <v>92.154671079726384</v>
      </c>
    </row>
    <row r="21" spans="1:10" x14ac:dyDescent="0.25">
      <c r="A21" s="138">
        <f t="shared" ref="A21:A23" si="2">B21+273.15</f>
        <v>1073.1500000000001</v>
      </c>
      <c r="B21" s="115">
        <v>800</v>
      </c>
      <c r="C21" s="140">
        <f>'LSF,Sogaard (Solid State Chem)'!E42</f>
        <v>7.9831893510962024E-2</v>
      </c>
      <c r="D21" s="157">
        <f>($C$2*A21*$A$2)/(4*($E$2^2)*C21*D14)</f>
        <v>94.637223974763415</v>
      </c>
    </row>
    <row r="22" spans="1:10" x14ac:dyDescent="0.25">
      <c r="A22" s="138">
        <f t="shared" si="2"/>
        <v>1023.15</v>
      </c>
      <c r="B22" s="115">
        <v>750</v>
      </c>
      <c r="C22" s="140">
        <f>'LSF,Sogaard (Solid State Chem)'!E44</f>
        <v>7.9526729965448933E-2</v>
      </c>
      <c r="D22" s="157">
        <f>($C$2*A22*$A$2)/(4*($E$2^2)*C22*D15)</f>
        <v>94.759074419442399</v>
      </c>
    </row>
    <row r="23" spans="1:10" ht="15.75" thickBot="1" x14ac:dyDescent="0.3">
      <c r="A23" s="141">
        <f t="shared" si="2"/>
        <v>973.15</v>
      </c>
      <c r="B23" s="126">
        <v>700</v>
      </c>
      <c r="C23" s="129">
        <f>'LSF,Sogaard (Solid State Chem)'!E46</f>
        <v>7.5296715239057996E-2</v>
      </c>
      <c r="D23" s="158">
        <f>($C$2*A23*$A$2)/(4*($E$2^2)*C23*D16)</f>
        <v>103.38006668547359</v>
      </c>
    </row>
    <row r="24" spans="1:10" x14ac:dyDescent="0.25">
      <c r="A24" s="64"/>
      <c r="B24" s="64"/>
      <c r="C24" s="66"/>
      <c r="D24" s="65"/>
    </row>
    <row r="25" spans="1:10" s="126" customFormat="1" ht="15.75" thickBot="1" x14ac:dyDescent="0.3"/>
    <row r="26" spans="1:10" ht="60" x14ac:dyDescent="0.25">
      <c r="A26" s="69" t="s">
        <v>26</v>
      </c>
    </row>
    <row r="27" spans="1:10" ht="47.25" x14ac:dyDescent="0.25">
      <c r="A27" s="63" t="s">
        <v>16</v>
      </c>
      <c r="B27" s="63" t="s">
        <v>14</v>
      </c>
      <c r="C27" s="70" t="s">
        <v>29</v>
      </c>
      <c r="D27" s="76" t="s">
        <v>46</v>
      </c>
      <c r="E27" s="76" t="s">
        <v>20</v>
      </c>
      <c r="J27" s="69"/>
    </row>
    <row r="28" spans="1:10" x14ac:dyDescent="0.25">
      <c r="A28" s="11">
        <f>B28+273.15</f>
        <v>1173.1500000000001</v>
      </c>
      <c r="B28" s="63">
        <v>900</v>
      </c>
      <c r="C28" s="65">
        <v>0.23</v>
      </c>
      <c r="D28" s="65">
        <f>'LSF,Sogaard (Solid State Chem)'!D39</f>
        <v>1.4999999999999999E-7</v>
      </c>
      <c r="E28" s="72">
        <f>($C$2*A28*$A$2*C28)/(4*($E$2^2)*D28)</f>
        <v>0.40144622374595484</v>
      </c>
      <c r="G28" s="64"/>
      <c r="I28" s="65"/>
      <c r="J28" s="65"/>
    </row>
    <row r="29" spans="1:10" x14ac:dyDescent="0.25">
      <c r="A29" s="11">
        <f t="shared" ref="A29:A31" si="3">B29+273.15</f>
        <v>1123.1500000000001</v>
      </c>
      <c r="B29" s="63">
        <v>850</v>
      </c>
      <c r="C29" s="65">
        <v>0.19</v>
      </c>
      <c r="D29" s="65">
        <f>'LSF,Sogaard (Solid State Chem)'!D41</f>
        <v>7.2846292583330114E-8</v>
      </c>
      <c r="E29" s="72">
        <f>($C$2*A29*$A$2*C29)/(4*($E$2^2)*D29)</f>
        <v>0.65376424318031012</v>
      </c>
      <c r="G29" s="64"/>
      <c r="I29" s="65"/>
      <c r="J29" s="65"/>
    </row>
    <row r="30" spans="1:10" x14ac:dyDescent="0.25">
      <c r="A30" s="11">
        <f t="shared" si="3"/>
        <v>1073.1500000000001</v>
      </c>
      <c r="B30" s="63">
        <v>800</v>
      </c>
      <c r="C30" s="65">
        <v>0.15</v>
      </c>
      <c r="D30" s="65">
        <f>'LSF,Sogaard (Solid State Chem)'!D42</f>
        <v>3.8999999999999998E-8</v>
      </c>
      <c r="E30" s="72">
        <f>($C$2*A30*$A$2*C30)/(4*($E$2^2)*D30)</f>
        <v>0.92113723281879256</v>
      </c>
      <c r="G30" s="64"/>
      <c r="I30" s="65"/>
      <c r="J30" s="65"/>
    </row>
    <row r="31" spans="1:10" x14ac:dyDescent="0.25">
      <c r="A31" s="11">
        <f t="shared" si="3"/>
        <v>1023.15</v>
      </c>
      <c r="B31" s="63">
        <v>750</v>
      </c>
      <c r="C31" s="65">
        <v>0.11</v>
      </c>
      <c r="D31" s="65">
        <f>'LSF,Sogaard (Solid State Chem)'!D44</f>
        <v>1.5472778540458326E-8</v>
      </c>
      <c r="E31" s="72">
        <f>($C$2*A31*$A$2*C31)/(4*($E$2^2)*D31)</f>
        <v>1.6233080385865333</v>
      </c>
      <c r="G31" s="64"/>
      <c r="I31" s="65"/>
      <c r="J31" s="65"/>
    </row>
    <row r="32" spans="1:10" x14ac:dyDescent="0.25">
      <c r="A32" s="11"/>
      <c r="C32" s="65"/>
      <c r="D32" s="65"/>
      <c r="E32" s="65"/>
      <c r="G32" s="64"/>
      <c r="I32" s="65"/>
      <c r="J32" s="65"/>
    </row>
    <row r="33" spans="1:10" x14ac:dyDescent="0.25">
      <c r="A33" s="11"/>
      <c r="C33" s="65"/>
      <c r="D33" s="65"/>
      <c r="E33" s="65"/>
      <c r="G33" s="64"/>
      <c r="I33" s="65"/>
      <c r="J33" s="65"/>
    </row>
    <row r="34" spans="1:10" x14ac:dyDescent="0.25">
      <c r="A34" s="11"/>
      <c r="C34" s="65"/>
      <c r="D34" s="65"/>
      <c r="E34" s="65"/>
      <c r="G34" s="64"/>
      <c r="I34" s="65"/>
      <c r="J34" s="65"/>
    </row>
    <row r="35" spans="1:10" x14ac:dyDescent="0.25">
      <c r="A35" s="11"/>
      <c r="C35" s="65"/>
      <c r="D35" s="65"/>
      <c r="E35" s="65"/>
      <c r="G35" s="64"/>
      <c r="I35" s="65"/>
      <c r="J35" s="65"/>
    </row>
    <row r="36" spans="1:10" x14ac:dyDescent="0.25">
      <c r="A36" s="11"/>
      <c r="C36" s="65"/>
      <c r="D36" s="65"/>
      <c r="E36" s="65"/>
      <c r="G36" s="64"/>
      <c r="I36" s="65"/>
      <c r="J36" s="65"/>
    </row>
    <row r="37" spans="1:10" x14ac:dyDescent="0.25">
      <c r="A37" s="11"/>
      <c r="C37" s="65"/>
      <c r="D37" s="65"/>
      <c r="E37" s="65"/>
      <c r="G37" s="64"/>
      <c r="I37" s="65"/>
      <c r="J37" s="65"/>
    </row>
    <row r="38" spans="1:10" x14ac:dyDescent="0.25">
      <c r="A38" s="11"/>
      <c r="C38" s="65"/>
      <c r="D38" s="65"/>
      <c r="E38" s="65"/>
      <c r="G38" s="64"/>
      <c r="I38" s="65"/>
      <c r="J38" s="65"/>
    </row>
    <row r="39" spans="1:10" x14ac:dyDescent="0.25">
      <c r="A39" s="11"/>
      <c r="C39" s="65"/>
      <c r="D39" s="65"/>
      <c r="E39" s="65"/>
      <c r="G39" s="64"/>
      <c r="I39" s="65"/>
      <c r="J39" s="65"/>
    </row>
    <row r="40" spans="1:10" x14ac:dyDescent="0.25">
      <c r="A40" s="11"/>
      <c r="C40" s="65"/>
      <c r="D40" s="65"/>
      <c r="E40" s="65"/>
      <c r="G40" s="64"/>
      <c r="I40" s="65"/>
      <c r="J40" s="65"/>
    </row>
    <row r="41" spans="1:10" x14ac:dyDescent="0.25">
      <c r="A41" s="11"/>
      <c r="C41" s="65"/>
      <c r="D41" s="65"/>
      <c r="E41" s="65"/>
      <c r="G41" s="64"/>
      <c r="I41" s="65"/>
      <c r="J41" s="65"/>
    </row>
    <row r="42" spans="1:10" x14ac:dyDescent="0.25">
      <c r="A42" s="11"/>
      <c r="C42" s="65"/>
      <c r="D42" s="65"/>
      <c r="E42" s="65"/>
      <c r="G42" s="64"/>
      <c r="I42" s="65"/>
      <c r="J42" s="65"/>
    </row>
    <row r="43" spans="1:10" x14ac:dyDescent="0.25">
      <c r="A43" s="11"/>
      <c r="C43" s="65"/>
      <c r="D43" s="65"/>
      <c r="E43" s="65"/>
      <c r="G43" s="64"/>
      <c r="I43" s="65"/>
      <c r="J43" s="65"/>
    </row>
    <row r="44" spans="1:10" x14ac:dyDescent="0.25">
      <c r="A44" s="11"/>
      <c r="C44" s="65"/>
      <c r="D44" s="65"/>
      <c r="E44" s="65"/>
      <c r="G44" s="64"/>
      <c r="I44" s="65"/>
      <c r="J44" s="65"/>
    </row>
    <row r="45" spans="1:10" x14ac:dyDescent="0.25">
      <c r="A45" s="11"/>
      <c r="C45" s="65"/>
      <c r="D45" s="65"/>
      <c r="E45" s="65"/>
      <c r="G45" s="64"/>
      <c r="I45" s="65"/>
      <c r="J45" s="65"/>
    </row>
    <row r="46" spans="1:10" x14ac:dyDescent="0.25">
      <c r="A46" s="11"/>
      <c r="C46" s="65"/>
      <c r="D46" s="65"/>
      <c r="E46" s="65"/>
      <c r="G46" s="64"/>
      <c r="I46" s="65"/>
      <c r="J46" s="65"/>
    </row>
    <row r="47" spans="1:10" x14ac:dyDescent="0.25">
      <c r="A47" s="11"/>
      <c r="C47" s="65"/>
      <c r="D47" s="65"/>
      <c r="E47" s="65"/>
      <c r="G47" s="64"/>
      <c r="I47" s="65"/>
      <c r="J47" s="65"/>
    </row>
    <row r="48" spans="1:10" x14ac:dyDescent="0.25">
      <c r="A48" s="11"/>
      <c r="C48" s="65"/>
      <c r="D48" s="65"/>
      <c r="E48" s="65"/>
    </row>
    <row r="49" spans="1:5" x14ac:dyDescent="0.25">
      <c r="A49" s="11"/>
      <c r="C49" s="65"/>
      <c r="D49" s="65"/>
      <c r="E49" s="65"/>
    </row>
    <row r="50" spans="1:5" x14ac:dyDescent="0.25">
      <c r="A50" s="11"/>
      <c r="C50" s="65"/>
      <c r="D50" s="65"/>
      <c r="E50" s="65"/>
    </row>
    <row r="51" spans="1:5" x14ac:dyDescent="0.25">
      <c r="A51" s="11"/>
      <c r="C51" s="65"/>
      <c r="D51" s="65"/>
      <c r="E51" s="6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44"/>
  <sheetViews>
    <sheetView topLeftCell="B1" workbookViewId="0">
      <selection activeCell="I18" sqref="I18"/>
    </sheetView>
  </sheetViews>
  <sheetFormatPr defaultRowHeight="15" x14ac:dyDescent="0.25"/>
  <cols>
    <col min="1" max="1" width="18.28515625" style="70" bestFit="1" customWidth="1"/>
    <col min="2" max="2" width="16.42578125" style="70" bestFit="1" customWidth="1"/>
    <col min="3" max="3" width="20" style="70" bestFit="1" customWidth="1"/>
    <col min="4" max="4" width="16.5703125" style="70" customWidth="1"/>
    <col min="5" max="5" width="18" style="70" bestFit="1" customWidth="1"/>
    <col min="6" max="6" width="16.42578125" style="70" bestFit="1" customWidth="1"/>
    <col min="7" max="7" width="16.28515625" style="70" bestFit="1" customWidth="1"/>
    <col min="8" max="8" width="16.42578125" style="70" bestFit="1" customWidth="1"/>
    <col min="9" max="9" width="26.140625" style="70" bestFit="1" customWidth="1"/>
    <col min="10" max="10" width="16.140625" style="70" customWidth="1"/>
    <col min="11" max="16384" width="9.140625" style="70"/>
  </cols>
  <sheetData>
    <row r="1" spans="1:19" x14ac:dyDescent="0.25">
      <c r="A1" s="70" t="s">
        <v>1</v>
      </c>
      <c r="C1" s="70" t="s">
        <v>3</v>
      </c>
      <c r="E1" s="70" t="s">
        <v>6</v>
      </c>
      <c r="H1" s="70" t="s">
        <v>12</v>
      </c>
    </row>
    <row r="2" spans="1:19" ht="17.25" x14ac:dyDescent="0.25">
      <c r="A2" s="74">
        <v>6.0219999999999996E+23</v>
      </c>
      <c r="B2" s="75" t="s">
        <v>2</v>
      </c>
      <c r="C2" s="74">
        <v>1.3800000000000001E-23</v>
      </c>
      <c r="D2" s="74" t="s">
        <v>4</v>
      </c>
      <c r="E2" s="93">
        <v>96485.331999999995</v>
      </c>
      <c r="F2" s="70" t="s">
        <v>7</v>
      </c>
      <c r="H2" s="70" t="s">
        <v>47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48</v>
      </c>
    </row>
    <row r="6" spans="1:19" ht="15.75" thickBot="1" x14ac:dyDescent="0.3">
      <c r="A6" s="141">
        <f>B6+273.15</f>
        <v>1273.1500000000001</v>
      </c>
      <c r="B6" s="126">
        <v>1000</v>
      </c>
      <c r="C6" s="130">
        <f>'LSF,Sogaard (Solid State Chem)'!J37</f>
        <v>124.45146117713867</v>
      </c>
      <c r="D6" s="158">
        <f>C6*D11</f>
        <v>1.5058626802433781E-3</v>
      </c>
    </row>
    <row r="7" spans="1:19" x14ac:dyDescent="0.25">
      <c r="A7" s="71"/>
      <c r="C7" s="72"/>
      <c r="D7" s="73"/>
      <c r="H7" s="70" t="s">
        <v>18</v>
      </c>
    </row>
    <row r="8" spans="1:19" ht="16.5" thickBot="1" x14ac:dyDescent="0.3">
      <c r="A8" s="71"/>
      <c r="C8" s="72"/>
      <c r="D8" s="73"/>
      <c r="G8" s="77">
        <v>1</v>
      </c>
      <c r="H8" s="2" t="s">
        <v>28</v>
      </c>
    </row>
    <row r="9" spans="1:19" ht="15.75" x14ac:dyDescent="0.25">
      <c r="A9" s="133" t="s">
        <v>13</v>
      </c>
      <c r="B9" s="134"/>
      <c r="C9" s="134"/>
      <c r="D9" s="135"/>
    </row>
    <row r="10" spans="1:19" ht="15.75" thickBot="1" x14ac:dyDescent="0.3">
      <c r="A10" s="136" t="s">
        <v>16</v>
      </c>
      <c r="B10" s="115" t="s">
        <v>14</v>
      </c>
      <c r="C10" s="115"/>
      <c r="D10" s="137" t="s">
        <v>15</v>
      </c>
    </row>
    <row r="11" spans="1:19" ht="19.5" thickBot="1" x14ac:dyDescent="0.3">
      <c r="A11" s="141">
        <f>B11+273.15</f>
        <v>1273.1500000000001</v>
      </c>
      <c r="B11" s="126">
        <v>1000</v>
      </c>
      <c r="C11" s="130"/>
      <c r="D11" s="156">
        <v>1.2100000000000001E-5</v>
      </c>
      <c r="H11" s="169" t="s">
        <v>184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ht="15.75" thickBot="1" x14ac:dyDescent="0.3">
      <c r="A12" s="71"/>
      <c r="D12" s="73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5.75" x14ac:dyDescent="0.25">
      <c r="A13" s="133" t="s">
        <v>19</v>
      </c>
      <c r="B13" s="134"/>
      <c r="C13" s="134"/>
      <c r="D13" s="135"/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ht="47.25" x14ac:dyDescent="0.25">
      <c r="A14" s="136" t="s">
        <v>16</v>
      </c>
      <c r="B14" s="115" t="s">
        <v>14</v>
      </c>
      <c r="C14" s="142" t="s">
        <v>21</v>
      </c>
      <c r="D14" s="143" t="s">
        <v>35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>B15+273.15</f>
        <v>1273.1500000000001</v>
      </c>
      <c r="B15" s="126">
        <v>1000</v>
      </c>
      <c r="C15" s="130">
        <f>'LSF,Sogaard (Solid State Chem)'!E37</f>
        <v>9.6237522624521427E-2</v>
      </c>
      <c r="D15" s="158">
        <f>($C$2*A15*$A$2)/(4*($E$2^2)*C15*D11)</f>
        <v>0.24399842581660766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71"/>
      <c r="B16" s="71"/>
      <c r="C16" s="73"/>
      <c r="D16" s="72"/>
    </row>
    <row r="19" spans="1:10" x14ac:dyDescent="0.25">
      <c r="A19" s="76"/>
    </row>
    <row r="20" spans="1:10" x14ac:dyDescent="0.25">
      <c r="D20" s="76"/>
      <c r="E20" s="76"/>
      <c r="J20" s="76"/>
    </row>
    <row r="21" spans="1:10" x14ac:dyDescent="0.25">
      <c r="A21" s="11"/>
      <c r="C21" s="72"/>
      <c r="D21" s="72"/>
      <c r="E21" s="72"/>
      <c r="G21" s="71"/>
      <c r="I21" s="72"/>
      <c r="J21" s="72"/>
    </row>
    <row r="22" spans="1:10" x14ac:dyDescent="0.25">
      <c r="A22" s="11"/>
      <c r="C22" s="72"/>
      <c r="D22" s="72"/>
      <c r="E22" s="72"/>
      <c r="G22" s="71"/>
      <c r="I22" s="72"/>
      <c r="J22" s="72"/>
    </row>
    <row r="23" spans="1:10" x14ac:dyDescent="0.25">
      <c r="A23" s="11"/>
      <c r="C23" s="72"/>
      <c r="D23" s="72"/>
      <c r="E23" s="72"/>
      <c r="G23" s="71"/>
      <c r="I23" s="72"/>
      <c r="J23" s="72"/>
    </row>
    <row r="24" spans="1:10" x14ac:dyDescent="0.25">
      <c r="A24" s="11"/>
      <c r="C24" s="72"/>
      <c r="D24" s="72"/>
      <c r="E24" s="72"/>
      <c r="G24" s="71"/>
      <c r="I24" s="72"/>
      <c r="J24" s="72"/>
    </row>
    <row r="25" spans="1:10" x14ac:dyDescent="0.25">
      <c r="A25" s="11"/>
      <c r="C25" s="72"/>
      <c r="D25" s="72"/>
      <c r="E25" s="72"/>
      <c r="G25" s="71"/>
      <c r="I25" s="72"/>
      <c r="J25" s="72"/>
    </row>
    <row r="26" spans="1:10" x14ac:dyDescent="0.25">
      <c r="A26" s="11"/>
      <c r="C26" s="72"/>
      <c r="D26" s="72"/>
      <c r="E26" s="72"/>
      <c r="G26" s="71"/>
      <c r="I26" s="72"/>
      <c r="J26" s="72"/>
    </row>
    <row r="27" spans="1:10" x14ac:dyDescent="0.25">
      <c r="A27" s="11"/>
      <c r="C27" s="72"/>
      <c r="D27" s="72"/>
      <c r="E27" s="72"/>
      <c r="G27" s="71"/>
      <c r="I27" s="72"/>
      <c r="J27" s="72"/>
    </row>
    <row r="28" spans="1:10" x14ac:dyDescent="0.25">
      <c r="A28" s="11"/>
      <c r="C28" s="72"/>
      <c r="D28" s="72"/>
      <c r="E28" s="72"/>
      <c r="G28" s="71"/>
      <c r="I28" s="72"/>
      <c r="J28" s="72"/>
    </row>
    <row r="29" spans="1:10" x14ac:dyDescent="0.25">
      <c r="A29" s="11"/>
      <c r="C29" s="72"/>
      <c r="D29" s="72"/>
      <c r="E29" s="72"/>
      <c r="G29" s="71"/>
      <c r="I29" s="72"/>
      <c r="J29" s="72"/>
    </row>
    <row r="30" spans="1:10" x14ac:dyDescent="0.25">
      <c r="A30" s="11"/>
      <c r="C30" s="72"/>
      <c r="D30" s="72"/>
      <c r="E30" s="72"/>
      <c r="G30" s="71"/>
      <c r="I30" s="72"/>
      <c r="J30" s="72"/>
    </row>
    <row r="31" spans="1:10" x14ac:dyDescent="0.25">
      <c r="A31" s="11"/>
      <c r="C31" s="72"/>
      <c r="D31" s="72"/>
      <c r="E31" s="72"/>
      <c r="G31" s="71"/>
      <c r="I31" s="72"/>
      <c r="J31" s="72"/>
    </row>
    <row r="32" spans="1:10" x14ac:dyDescent="0.25">
      <c r="A32" s="11"/>
      <c r="C32" s="72"/>
      <c r="D32" s="72"/>
      <c r="E32" s="72"/>
      <c r="G32" s="71"/>
      <c r="I32" s="72"/>
      <c r="J32" s="72"/>
    </row>
    <row r="33" spans="1:10" x14ac:dyDescent="0.25">
      <c r="A33" s="11"/>
      <c r="C33" s="72"/>
      <c r="D33" s="72"/>
      <c r="E33" s="72"/>
      <c r="G33" s="71"/>
      <c r="I33" s="72"/>
      <c r="J33" s="72"/>
    </row>
    <row r="34" spans="1:10" x14ac:dyDescent="0.25">
      <c r="A34" s="11"/>
      <c r="C34" s="72"/>
      <c r="D34" s="72"/>
      <c r="E34" s="72"/>
      <c r="G34" s="71"/>
      <c r="I34" s="72"/>
      <c r="J34" s="72"/>
    </row>
    <row r="35" spans="1:10" x14ac:dyDescent="0.25">
      <c r="A35" s="11"/>
      <c r="C35" s="72"/>
      <c r="D35" s="72"/>
      <c r="E35" s="72"/>
      <c r="G35" s="71"/>
      <c r="I35" s="72"/>
      <c r="J35" s="72"/>
    </row>
    <row r="36" spans="1:10" x14ac:dyDescent="0.25">
      <c r="A36" s="11"/>
      <c r="C36" s="72"/>
      <c r="D36" s="72"/>
      <c r="E36" s="72"/>
      <c r="G36" s="71"/>
      <c r="I36" s="72"/>
      <c r="J36" s="72"/>
    </row>
    <row r="37" spans="1:10" x14ac:dyDescent="0.25">
      <c r="A37" s="11"/>
      <c r="C37" s="72"/>
      <c r="D37" s="72"/>
      <c r="E37" s="72"/>
      <c r="G37" s="71"/>
      <c r="I37" s="72"/>
      <c r="J37" s="72"/>
    </row>
    <row r="38" spans="1:10" x14ac:dyDescent="0.25">
      <c r="A38" s="11"/>
      <c r="C38" s="72"/>
      <c r="D38" s="72"/>
      <c r="E38" s="72"/>
      <c r="G38" s="71"/>
      <c r="I38" s="72"/>
      <c r="J38" s="72"/>
    </row>
    <row r="39" spans="1:10" x14ac:dyDescent="0.25">
      <c r="A39" s="11"/>
      <c r="C39" s="72"/>
      <c r="D39" s="72"/>
      <c r="E39" s="72"/>
      <c r="G39" s="71"/>
      <c r="I39" s="72"/>
      <c r="J39" s="72"/>
    </row>
    <row r="40" spans="1:10" x14ac:dyDescent="0.25">
      <c r="A40" s="11"/>
      <c r="C40" s="72"/>
      <c r="D40" s="72"/>
      <c r="E40" s="72"/>
      <c r="G40" s="71"/>
      <c r="I40" s="72"/>
      <c r="J40" s="72"/>
    </row>
    <row r="41" spans="1:10" x14ac:dyDescent="0.25">
      <c r="A41" s="11"/>
      <c r="C41" s="72"/>
      <c r="D41" s="72"/>
      <c r="E41" s="72"/>
    </row>
    <row r="42" spans="1:10" x14ac:dyDescent="0.25">
      <c r="A42" s="11"/>
      <c r="C42" s="72"/>
      <c r="D42" s="72"/>
      <c r="E42" s="72"/>
    </row>
    <row r="43" spans="1:10" x14ac:dyDescent="0.25">
      <c r="A43" s="11"/>
      <c r="C43" s="72"/>
      <c r="D43" s="72"/>
      <c r="E43" s="72"/>
    </row>
    <row r="44" spans="1:10" x14ac:dyDescent="0.25">
      <c r="A44" s="11"/>
      <c r="C44" s="72"/>
      <c r="D44" s="72"/>
      <c r="E44" s="7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105"/>
  <sheetViews>
    <sheetView topLeftCell="C1" workbookViewId="0">
      <selection activeCell="I19" sqref="I19"/>
    </sheetView>
  </sheetViews>
  <sheetFormatPr defaultRowHeight="15" x14ac:dyDescent="0.25"/>
  <cols>
    <col min="1" max="1" width="18.28515625" style="77" bestFit="1" customWidth="1"/>
    <col min="2" max="2" width="16.42578125" style="77" bestFit="1" customWidth="1"/>
    <col min="3" max="3" width="20" style="77" bestFit="1" customWidth="1"/>
    <col min="4" max="4" width="16.5703125" style="77" customWidth="1"/>
    <col min="5" max="5" width="18" style="77" bestFit="1" customWidth="1"/>
    <col min="6" max="6" width="16.42578125" style="77" bestFit="1" customWidth="1"/>
    <col min="7" max="7" width="16.28515625" style="77" bestFit="1" customWidth="1"/>
    <col min="8" max="8" width="23.5703125" style="77" customWidth="1"/>
    <col min="9" max="9" width="26.140625" style="77" bestFit="1" customWidth="1"/>
    <col min="10" max="10" width="16.140625" style="77" customWidth="1"/>
    <col min="11" max="11" width="16.28515625" style="77" customWidth="1"/>
    <col min="12" max="16384" width="9.140625" style="77"/>
  </cols>
  <sheetData>
    <row r="1" spans="1:19" x14ac:dyDescent="0.25">
      <c r="A1" s="77" t="s">
        <v>1</v>
      </c>
      <c r="C1" s="77" t="s">
        <v>3</v>
      </c>
      <c r="E1" s="77" t="s">
        <v>6</v>
      </c>
      <c r="H1" s="77" t="s">
        <v>12</v>
      </c>
    </row>
    <row r="2" spans="1:19" ht="17.25" x14ac:dyDescent="0.25">
      <c r="A2" s="81">
        <v>6.0219999999999996E+23</v>
      </c>
      <c r="B2" s="82" t="s">
        <v>2</v>
      </c>
      <c r="C2" s="81">
        <v>1.3800000000000001E-23</v>
      </c>
      <c r="D2" s="81" t="s">
        <v>4</v>
      </c>
      <c r="E2" s="93">
        <v>96485.331999999995</v>
      </c>
      <c r="F2" s="77" t="s">
        <v>7</v>
      </c>
      <c r="H2" s="77" t="s">
        <v>49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75" x14ac:dyDescent="0.25">
      <c r="A5" s="136" t="s">
        <v>16</v>
      </c>
      <c r="B5" s="115" t="s">
        <v>14</v>
      </c>
      <c r="C5" s="142" t="s">
        <v>37</v>
      </c>
      <c r="D5" s="137" t="s">
        <v>9</v>
      </c>
      <c r="H5" s="35" t="s">
        <v>50</v>
      </c>
    </row>
    <row r="6" spans="1:19" x14ac:dyDescent="0.25">
      <c r="A6" s="138">
        <f>B6+273.15</f>
        <v>1073.1500000000001</v>
      </c>
      <c r="B6" s="115">
        <v>800</v>
      </c>
      <c r="C6" s="140">
        <f>'LSF,Sogaard (Solid State Chem)'!J41</f>
        <v>223.87211385683412</v>
      </c>
      <c r="D6" s="157">
        <f>C6*D14</f>
        <v>2.1928981795312611E-4</v>
      </c>
    </row>
    <row r="7" spans="1:19" x14ac:dyDescent="0.25">
      <c r="A7" s="138">
        <f t="shared" ref="A7:A10" si="0">B7+273.15</f>
        <v>1048.1500000000001</v>
      </c>
      <c r="B7" s="115">
        <v>775</v>
      </c>
      <c r="C7" s="140">
        <v>230</v>
      </c>
      <c r="D7" s="157">
        <f>C7*D15</f>
        <v>1.2106797844128653E-4</v>
      </c>
      <c r="H7" s="77" t="s">
        <v>18</v>
      </c>
    </row>
    <row r="8" spans="1:19" ht="15.75" x14ac:dyDescent="0.25">
      <c r="A8" s="138">
        <f t="shared" si="0"/>
        <v>1023.15</v>
      </c>
      <c r="B8" s="115">
        <v>750</v>
      </c>
      <c r="C8" s="140">
        <f>'LSF,Sogaard (Solid State Chem)'!J42</f>
        <v>234.20027838088862</v>
      </c>
      <c r="D8" s="157">
        <f>C8*D16</f>
        <v>8.0005997369279224E-5</v>
      </c>
      <c r="G8" s="77">
        <v>1</v>
      </c>
      <c r="H8" s="2" t="s">
        <v>28</v>
      </c>
    </row>
    <row r="9" spans="1:19" ht="15.75" x14ac:dyDescent="0.25">
      <c r="A9" s="138">
        <f t="shared" si="0"/>
        <v>998.15</v>
      </c>
      <c r="B9" s="115">
        <v>725</v>
      </c>
      <c r="C9" s="140">
        <v>255</v>
      </c>
      <c r="D9" s="157">
        <f>C9*D17</f>
        <v>5.29743845616278E-5</v>
      </c>
      <c r="G9" s="77">
        <v>2</v>
      </c>
      <c r="H9" s="35" t="s">
        <v>38</v>
      </c>
    </row>
    <row r="10" spans="1:19" s="91" customFormat="1" ht="16.5" thickBot="1" x14ac:dyDescent="0.3">
      <c r="A10" s="141">
        <f t="shared" si="0"/>
        <v>948.15</v>
      </c>
      <c r="B10" s="126">
        <v>675</v>
      </c>
      <c r="C10" s="130">
        <v>309</v>
      </c>
      <c r="D10" s="158">
        <f>C10*D18</f>
        <v>2.1768793775411075E-5</v>
      </c>
      <c r="J10" s="2"/>
    </row>
    <row r="11" spans="1:19" ht="19.5" thickBot="1" x14ac:dyDescent="0.3">
      <c r="A11" s="78"/>
      <c r="B11" s="78"/>
      <c r="D11" s="80"/>
      <c r="H11" s="169" t="s">
        <v>184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ht="15.75" x14ac:dyDescent="0.25">
      <c r="A12" s="133" t="s">
        <v>13</v>
      </c>
      <c r="B12" s="134"/>
      <c r="C12" s="134"/>
      <c r="D12" s="135"/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47.25" x14ac:dyDescent="0.25">
      <c r="A13" s="136" t="s">
        <v>16</v>
      </c>
      <c r="B13" s="115" t="s">
        <v>14</v>
      </c>
      <c r="C13" s="142" t="s">
        <v>21</v>
      </c>
      <c r="D13" s="137" t="s">
        <v>15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>B14+273.15</f>
        <v>1073.1500000000001</v>
      </c>
      <c r="B14" s="115">
        <v>800</v>
      </c>
      <c r="C14" s="140">
        <f>'LSF,Sogaard (Solid State Chem)'!E42</f>
        <v>7.9831893510962024E-2</v>
      </c>
      <c r="D14" s="157">
        <f>($C$2*A14*$A$2)/(4*($E$2^2)*C14*D22)</f>
        <v>9.7953163605433069E-7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38">
        <f t="shared" ref="A15:A18" si="1">B15+273.15</f>
        <v>1048.1500000000001</v>
      </c>
      <c r="B15" s="115">
        <v>775</v>
      </c>
      <c r="C15" s="140">
        <f>'LSF,Sogaard (Solid State Chem)'!E43</f>
        <v>8.1646415779241754E-2</v>
      </c>
      <c r="D15" s="157">
        <f>($C$2*A15*$A$2)/(4*($E$2^2)*C15*D23)</f>
        <v>5.2638251496211534E-7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x14ac:dyDescent="0.25">
      <c r="A16" s="138">
        <f t="shared" si="1"/>
        <v>1023.15</v>
      </c>
      <c r="B16" s="115">
        <v>750</v>
      </c>
      <c r="C16" s="140">
        <f>'LSF,Sogaard (Solid State Chem)'!E44</f>
        <v>7.9526729965448933E-2</v>
      </c>
      <c r="D16" s="157">
        <f>($C$2*A16*$A$2)/(4*($E$2^2)*C16*D24)</f>
        <v>3.4161358783341196E-7</v>
      </c>
    </row>
    <row r="17" spans="1:12" x14ac:dyDescent="0.25">
      <c r="A17" s="138">
        <f t="shared" si="1"/>
        <v>998.15</v>
      </c>
      <c r="B17" s="115">
        <v>725</v>
      </c>
      <c r="C17" s="140">
        <f>'LSF,Sogaard (Solid State Chem)'!E45</f>
        <v>7.7410147106395544E-2</v>
      </c>
      <c r="D17" s="157">
        <f>($C$2*A17*$A$2)/(4*($E$2^2)*C17*D25)</f>
        <v>2.0774268455540313E-7</v>
      </c>
    </row>
    <row r="18" spans="1:12" s="87" customFormat="1" ht="15.75" thickBot="1" x14ac:dyDescent="0.3">
      <c r="A18" s="141">
        <f t="shared" si="1"/>
        <v>948.15</v>
      </c>
      <c r="B18" s="126">
        <v>675</v>
      </c>
      <c r="C18" s="130">
        <f>'LSF,Sogaard (Solid State Chem)'!E47</f>
        <v>7.318648200962688E-2</v>
      </c>
      <c r="D18" s="158">
        <f>($C$2*A18*$A$2)/(4*($E$2^2)*C18*D26)</f>
        <v>7.0449170794210602E-8</v>
      </c>
    </row>
    <row r="19" spans="1:12" ht="15.75" thickBot="1" x14ac:dyDescent="0.3">
      <c r="A19" s="78"/>
      <c r="D19" s="80"/>
    </row>
    <row r="20" spans="1:12" ht="15.75" x14ac:dyDescent="0.25">
      <c r="A20" s="133" t="s">
        <v>19</v>
      </c>
      <c r="B20" s="134"/>
      <c r="C20" s="134"/>
      <c r="D20" s="135"/>
      <c r="G20" s="99"/>
      <c r="H20" s="99"/>
    </row>
    <row r="21" spans="1:12" x14ac:dyDescent="0.25">
      <c r="A21" s="136" t="s">
        <v>16</v>
      </c>
      <c r="B21" s="115" t="s">
        <v>14</v>
      </c>
      <c r="C21" s="142"/>
      <c r="D21" s="143" t="s">
        <v>35</v>
      </c>
      <c r="G21" s="99"/>
      <c r="H21" s="94"/>
    </row>
    <row r="22" spans="1:12" x14ac:dyDescent="0.25">
      <c r="A22" s="138">
        <f>B22+273.15</f>
        <v>1073.1500000000001</v>
      </c>
      <c r="B22" s="115">
        <v>800</v>
      </c>
      <c r="C22" s="115"/>
      <c r="D22" s="167">
        <f>C35</f>
        <v>3.0626882170792915</v>
      </c>
      <c r="G22" s="99"/>
      <c r="H22" s="94"/>
      <c r="K22" s="83"/>
      <c r="L22" s="83"/>
    </row>
    <row r="23" spans="1:12" x14ac:dyDescent="0.25">
      <c r="A23" s="138">
        <f t="shared" ref="A23:A26" si="2">B23+273.15</f>
        <v>1048.1500000000001</v>
      </c>
      <c r="B23" s="115">
        <v>775</v>
      </c>
      <c r="C23" s="115"/>
      <c r="D23" s="167">
        <f>C36</f>
        <v>5.4427967249915339</v>
      </c>
      <c r="G23" s="99"/>
      <c r="H23" s="94"/>
      <c r="J23" s="79"/>
      <c r="K23" s="79"/>
      <c r="L23" s="79"/>
    </row>
    <row r="24" spans="1:12" s="91" customFormat="1" x14ac:dyDescent="0.25">
      <c r="A24" s="138">
        <f t="shared" si="2"/>
        <v>1023.15</v>
      </c>
      <c r="B24" s="115">
        <v>750</v>
      </c>
      <c r="C24" s="115"/>
      <c r="D24" s="167">
        <f>C37</f>
        <v>8.4048177741373902</v>
      </c>
      <c r="G24" s="99"/>
      <c r="H24" s="94"/>
      <c r="J24" s="93"/>
      <c r="K24" s="93"/>
      <c r="L24" s="93"/>
    </row>
    <row r="25" spans="1:12" s="91" customFormat="1" x14ac:dyDescent="0.25">
      <c r="A25" s="138">
        <f t="shared" si="2"/>
        <v>998.15</v>
      </c>
      <c r="B25" s="115">
        <v>725</v>
      </c>
      <c r="C25" s="115"/>
      <c r="D25" s="167">
        <f>C47</f>
        <v>13.851902753946201</v>
      </c>
      <c r="G25" s="99"/>
      <c r="H25" s="94"/>
      <c r="J25" s="93"/>
      <c r="K25" s="93"/>
      <c r="L25" s="93"/>
    </row>
    <row r="26" spans="1:12" ht="15.75" thickBot="1" x14ac:dyDescent="0.3">
      <c r="A26" s="141">
        <f t="shared" si="2"/>
        <v>948.15</v>
      </c>
      <c r="B26" s="126">
        <v>675</v>
      </c>
      <c r="C26" s="126"/>
      <c r="D26" s="168">
        <f>C67</f>
        <v>41.040018433373803</v>
      </c>
      <c r="G26" s="99"/>
      <c r="H26" s="94"/>
      <c r="I26" s="89"/>
      <c r="J26" s="79"/>
      <c r="K26" s="79"/>
      <c r="L26" s="79"/>
    </row>
    <row r="27" spans="1:12" x14ac:dyDescent="0.25">
      <c r="G27" s="99"/>
      <c r="H27" s="94"/>
      <c r="I27" s="89"/>
      <c r="J27" s="79"/>
      <c r="K27" s="79"/>
      <c r="L27" s="79"/>
    </row>
    <row r="28" spans="1:12" s="126" customFormat="1" ht="15.75" thickBot="1" x14ac:dyDescent="0.3">
      <c r="G28" s="128"/>
      <c r="H28" s="129"/>
      <c r="J28" s="130"/>
      <c r="K28" s="130"/>
      <c r="L28" s="130"/>
    </row>
    <row r="29" spans="1:12" ht="60" x14ac:dyDescent="0.25">
      <c r="A29" s="98" t="s">
        <v>26</v>
      </c>
      <c r="G29" s="99"/>
      <c r="H29" s="94"/>
      <c r="I29" s="89"/>
    </row>
    <row r="30" spans="1:12" ht="45" x14ac:dyDescent="0.25">
      <c r="A30" s="91" t="s">
        <v>16</v>
      </c>
      <c r="B30" s="91" t="s">
        <v>14</v>
      </c>
      <c r="C30" s="98" t="s">
        <v>35</v>
      </c>
      <c r="E30" s="91" t="s">
        <v>16</v>
      </c>
      <c r="F30" s="91" t="s">
        <v>14</v>
      </c>
      <c r="G30" s="98" t="s">
        <v>51</v>
      </c>
      <c r="H30" s="98" t="s">
        <v>20</v>
      </c>
    </row>
    <row r="31" spans="1:12" x14ac:dyDescent="0.25">
      <c r="A31" s="78">
        <f>B31+273.15</f>
        <v>1273.1500000000001</v>
      </c>
      <c r="B31" s="88">
        <v>1000</v>
      </c>
      <c r="C31" s="86">
        <f t="shared" ref="C31:C36" si="3">(3*10^8)*EXP(-0.023*B31)</f>
        <v>3.0785638895105671E-2</v>
      </c>
      <c r="E31" s="92">
        <f>F31+273.15</f>
        <v>1073.1500000000001</v>
      </c>
      <c r="F31" s="91">
        <v>800</v>
      </c>
      <c r="G31" s="93">
        <f>'LSF,ten Elshof (Electrochem)'!D16</f>
        <v>8.8593120697305131E-6</v>
      </c>
      <c r="H31" s="93">
        <f>($C$2*E31*$A$2)/(4*($E$2^2)*G31*D22)</f>
        <v>8.8266294995167048E-3</v>
      </c>
    </row>
    <row r="32" spans="1:12" x14ac:dyDescent="0.25">
      <c r="A32" s="85">
        <f t="shared" ref="A32:A95" si="4">B32+273.15</f>
        <v>1223.1500000000001</v>
      </c>
      <c r="B32" s="88">
        <v>950</v>
      </c>
      <c r="C32" s="86">
        <f t="shared" si="3"/>
        <v>9.7226986478792465E-2</v>
      </c>
      <c r="E32" s="92">
        <f t="shared" ref="E32:E35" si="5">F32+273.15</f>
        <v>1048.1500000000001</v>
      </c>
      <c r="F32" s="91">
        <v>775</v>
      </c>
      <c r="G32" s="93">
        <f>'LSF,ten Elshof (Electrochem)'!D17</f>
        <v>4.6885814807810983E-6</v>
      </c>
      <c r="H32" s="93">
        <f>($C$2*E32*$A$2)/(4*($E$2^2)*G32*D23)</f>
        <v>9.1663642514665192E-3</v>
      </c>
      <c r="J32" s="83"/>
    </row>
    <row r="33" spans="1:10" x14ac:dyDescent="0.25">
      <c r="A33" s="85">
        <f t="shared" si="4"/>
        <v>1173.1500000000001</v>
      </c>
      <c r="B33" s="88">
        <v>900</v>
      </c>
      <c r="C33" s="86">
        <f t="shared" si="3"/>
        <v>0.30706157932782485</v>
      </c>
      <c r="E33" s="92">
        <f t="shared" si="5"/>
        <v>1023.15</v>
      </c>
      <c r="F33" s="91">
        <v>750</v>
      </c>
      <c r="G33" s="93">
        <f>'LSF,ten Elshof (Electrochem)'!D18</f>
        <v>3.0154415651713398E-6</v>
      </c>
      <c r="H33" s="93">
        <f>($C$2*E33*$A$2)/(4*($E$2^2)*G33*D24)</f>
        <v>9.0094306140574287E-3</v>
      </c>
      <c r="J33" s="79"/>
    </row>
    <row r="34" spans="1:10" x14ac:dyDescent="0.25">
      <c r="A34" s="85">
        <f t="shared" si="4"/>
        <v>1123.1500000000001</v>
      </c>
      <c r="B34" s="88">
        <v>850</v>
      </c>
      <c r="C34" s="94">
        <f t="shared" si="3"/>
        <v>0.96975970267127709</v>
      </c>
      <c r="E34" s="92">
        <f t="shared" si="5"/>
        <v>998.15</v>
      </c>
      <c r="F34" s="91">
        <v>725</v>
      </c>
      <c r="G34" s="93">
        <f>'LSF,ten Elshof (Electrochem)'!D19</f>
        <v>2.4660393372343393E-6</v>
      </c>
      <c r="H34" s="93">
        <f>($C$2*E34*$A$2)/(4*($E$2^2)*G34*D25)</f>
        <v>6.521141625318333E-3</v>
      </c>
      <c r="J34" s="79"/>
    </row>
    <row r="35" spans="1:10" x14ac:dyDescent="0.25">
      <c r="A35" s="85">
        <f t="shared" si="4"/>
        <v>1073.1500000000001</v>
      </c>
      <c r="B35" s="88">
        <v>800</v>
      </c>
      <c r="C35" s="94">
        <f t="shared" si="3"/>
        <v>3.0626882170792915</v>
      </c>
      <c r="E35" s="92">
        <f t="shared" si="5"/>
        <v>948.15</v>
      </c>
      <c r="F35" s="91">
        <v>675</v>
      </c>
      <c r="G35" s="93">
        <f>'LSF,ten Elshof (Electrochem)'!D20</f>
        <v>7.3014537144126113E-7</v>
      </c>
      <c r="H35" s="93">
        <f>($C$2*E35*$A$2)/(4*($E$2^2)*G35*D26)</f>
        <v>7.0615074375478806E-3</v>
      </c>
      <c r="J35" s="79"/>
    </row>
    <row r="36" spans="1:10" x14ac:dyDescent="0.25">
      <c r="A36" s="85">
        <f t="shared" si="4"/>
        <v>1048.1500000000001</v>
      </c>
      <c r="B36" s="88">
        <v>775</v>
      </c>
      <c r="C36" s="94">
        <f t="shared" si="3"/>
        <v>5.4427967249915339</v>
      </c>
      <c r="H36" s="90"/>
      <c r="I36" s="89"/>
      <c r="J36" s="79"/>
    </row>
    <row r="37" spans="1:10" x14ac:dyDescent="0.25">
      <c r="A37" s="85">
        <f t="shared" si="4"/>
        <v>1022.5189344943695</v>
      </c>
      <c r="B37" s="88">
        <v>749.36893449436957</v>
      </c>
      <c r="C37" s="94">
        <v>8.4048177741373902</v>
      </c>
      <c r="E37" s="79"/>
      <c r="H37" s="90"/>
      <c r="I37" s="89"/>
      <c r="J37" s="79"/>
    </row>
    <row r="38" spans="1:10" x14ac:dyDescent="0.25">
      <c r="A38" s="85">
        <f t="shared" si="4"/>
        <v>1020.350898674054</v>
      </c>
      <c r="B38" s="88">
        <v>747.20089867405397</v>
      </c>
      <c r="C38" s="94">
        <v>8.7780131359724898</v>
      </c>
      <c r="E38" s="79"/>
      <c r="H38" s="90"/>
      <c r="I38" s="89"/>
      <c r="J38" s="79"/>
    </row>
    <row r="39" spans="1:10" x14ac:dyDescent="0.25">
      <c r="A39" s="85">
        <f t="shared" si="4"/>
        <v>1018.6234933285255</v>
      </c>
      <c r="B39" s="88">
        <v>745.47349332852548</v>
      </c>
      <c r="C39" s="94">
        <v>9.3691051525599196</v>
      </c>
      <c r="E39" s="79"/>
      <c r="H39" s="90"/>
      <c r="I39" s="89"/>
      <c r="J39" s="79"/>
    </row>
    <row r="40" spans="1:10" x14ac:dyDescent="0.25">
      <c r="A40" s="85">
        <f t="shared" si="4"/>
        <v>1015.614050411019</v>
      </c>
      <c r="B40" s="88">
        <v>742.464050411019</v>
      </c>
      <c r="C40" s="94">
        <v>9.7851173352677598</v>
      </c>
      <c r="E40" s="79"/>
      <c r="H40" s="90"/>
      <c r="I40" s="89"/>
      <c r="J40" s="79"/>
    </row>
    <row r="41" spans="1:10" x14ac:dyDescent="0.25">
      <c r="A41" s="85">
        <f t="shared" si="4"/>
        <v>1013.0490852673285</v>
      </c>
      <c r="B41" s="88">
        <v>739.89908526732847</v>
      </c>
      <c r="C41" s="94">
        <v>10.444025524245699</v>
      </c>
      <c r="E41" s="79"/>
      <c r="H41" s="94"/>
      <c r="I41" s="89"/>
      <c r="J41" s="79"/>
    </row>
    <row r="42" spans="1:10" x14ac:dyDescent="0.25">
      <c r="A42" s="85">
        <f t="shared" si="4"/>
        <v>1010.9281331190166</v>
      </c>
      <c r="B42" s="88">
        <v>737.77813311901662</v>
      </c>
      <c r="C42" s="94">
        <v>10.9077669151095</v>
      </c>
      <c r="E42" s="79"/>
      <c r="H42" s="94"/>
      <c r="I42" s="89"/>
      <c r="J42" s="79"/>
    </row>
    <row r="43" spans="1:10" x14ac:dyDescent="0.25">
      <c r="A43" s="85">
        <f t="shared" si="4"/>
        <v>1007.9578270445164</v>
      </c>
      <c r="B43" s="88">
        <v>734.80782704451644</v>
      </c>
      <c r="C43" s="94">
        <v>11.1473031353395</v>
      </c>
      <c r="E43" s="79"/>
      <c r="H43" s="94"/>
      <c r="I43" s="89"/>
      <c r="J43" s="79"/>
    </row>
    <row r="44" spans="1:10" x14ac:dyDescent="0.25">
      <c r="A44" s="85">
        <f t="shared" si="4"/>
        <v>1005.8540706914241</v>
      </c>
      <c r="B44" s="88">
        <v>732.70407069142414</v>
      </c>
      <c r="C44" s="94">
        <v>11.8979379074358</v>
      </c>
      <c r="E44" s="79"/>
      <c r="H44" s="94"/>
      <c r="I44" s="89"/>
      <c r="J44" s="79"/>
    </row>
    <row r="45" spans="1:10" x14ac:dyDescent="0.25">
      <c r="A45" s="85">
        <f t="shared" si="4"/>
        <v>1003.7540401100114</v>
      </c>
      <c r="B45" s="88">
        <v>730.6040401100114</v>
      </c>
      <c r="C45" s="94">
        <v>12.699118767158801</v>
      </c>
      <c r="E45" s="79"/>
      <c r="H45" s="94"/>
      <c r="I45" s="89"/>
      <c r="J45" s="79"/>
    </row>
    <row r="46" spans="1:10" x14ac:dyDescent="0.25">
      <c r="A46" s="85">
        <f t="shared" si="4"/>
        <v>1001.001001001001</v>
      </c>
      <c r="B46" s="88">
        <v>727.85100100100101</v>
      </c>
      <c r="C46" s="94">
        <v>13.2629920539634</v>
      </c>
      <c r="E46" s="79"/>
      <c r="H46" s="94"/>
      <c r="I46" s="89"/>
      <c r="J46" s="79"/>
    </row>
    <row r="47" spans="1:10" x14ac:dyDescent="0.25">
      <c r="A47" s="85">
        <f t="shared" si="4"/>
        <v>998.76153569573739</v>
      </c>
      <c r="B47" s="88">
        <v>725.61153569573742</v>
      </c>
      <c r="C47" s="94">
        <v>13.851902753946201</v>
      </c>
      <c r="E47" s="79"/>
      <c r="H47" s="94"/>
      <c r="I47" s="89"/>
      <c r="J47" s="79"/>
    </row>
    <row r="48" spans="1:10" x14ac:dyDescent="0.25">
      <c r="A48" s="85">
        <f t="shared" si="4"/>
        <v>995.86219258978952</v>
      </c>
      <c r="B48" s="88">
        <v>722.71219258978954</v>
      </c>
      <c r="C48" s="94">
        <v>14.4669625921583</v>
      </c>
      <c r="E48" s="79"/>
      <c r="H48" s="94"/>
      <c r="I48" s="89"/>
      <c r="J48" s="79"/>
    </row>
    <row r="49" spans="1:10" x14ac:dyDescent="0.25">
      <c r="A49" s="85">
        <f t="shared" si="4"/>
        <v>993.39590403000852</v>
      </c>
      <c r="B49" s="88">
        <v>720.24590403000855</v>
      </c>
      <c r="C49" s="94">
        <v>15.4411358999483</v>
      </c>
      <c r="E49" s="79"/>
      <c r="H49" s="94"/>
      <c r="I49" s="89"/>
      <c r="J49" s="79"/>
    </row>
    <row r="50" spans="1:10" x14ac:dyDescent="0.25">
      <c r="A50" s="85">
        <f t="shared" si="4"/>
        <v>990.54033975533662</v>
      </c>
      <c r="B50" s="88">
        <v>717.39033975533664</v>
      </c>
      <c r="C50" s="94">
        <v>16.4809078866292</v>
      </c>
      <c r="E50" s="79"/>
      <c r="H50" s="94"/>
      <c r="I50" s="89"/>
      <c r="J50" s="79"/>
    </row>
    <row r="51" spans="1:10" x14ac:dyDescent="0.25">
      <c r="A51" s="85">
        <f t="shared" si="4"/>
        <v>987.28378485111762</v>
      </c>
      <c r="B51" s="88">
        <v>714.13378485111764</v>
      </c>
      <c r="C51" s="94">
        <v>17.590695822349801</v>
      </c>
      <c r="E51" s="79"/>
      <c r="H51" s="94"/>
      <c r="I51" s="89"/>
      <c r="J51" s="79"/>
    </row>
    <row r="52" spans="1:10" x14ac:dyDescent="0.25">
      <c r="A52" s="85">
        <f t="shared" si="4"/>
        <v>984.86266090193715</v>
      </c>
      <c r="B52" s="88">
        <v>711.71266090193717</v>
      </c>
      <c r="C52" s="94">
        <v>18.3717676157863</v>
      </c>
      <c r="E52" s="79"/>
      <c r="H52" s="94"/>
      <c r="I52" s="89"/>
      <c r="J52" s="79"/>
    </row>
    <row r="53" spans="1:10" x14ac:dyDescent="0.25">
      <c r="A53" s="85">
        <f t="shared" si="4"/>
        <v>982.04815964174873</v>
      </c>
      <c r="B53" s="88">
        <v>708.89815964174875</v>
      </c>
      <c r="C53" s="94">
        <v>19.6088818693284</v>
      </c>
      <c r="E53" s="79"/>
      <c r="H53" s="94"/>
      <c r="I53" s="89"/>
    </row>
    <row r="54" spans="1:10" x14ac:dyDescent="0.25">
      <c r="A54" s="85">
        <f t="shared" si="4"/>
        <v>978.85037156181261</v>
      </c>
      <c r="B54" s="88">
        <v>705.70037156181263</v>
      </c>
      <c r="C54" s="94">
        <v>20.929300664290999</v>
      </c>
      <c r="E54" s="79"/>
      <c r="H54" s="94"/>
      <c r="I54" s="89"/>
    </row>
    <row r="55" spans="1:10" x14ac:dyDescent="0.25">
      <c r="A55" s="85">
        <f t="shared" si="4"/>
        <v>976.07160461291437</v>
      </c>
      <c r="B55" s="88">
        <v>702.92160461291439</v>
      </c>
      <c r="C55" s="94">
        <v>21.8586150342467</v>
      </c>
      <c r="E55" s="79"/>
      <c r="H55" s="94"/>
      <c r="I55" s="89"/>
    </row>
    <row r="56" spans="1:10" x14ac:dyDescent="0.25">
      <c r="A56" s="85">
        <f t="shared" si="4"/>
        <v>973.70224964167767</v>
      </c>
      <c r="B56" s="88">
        <v>700.55224964167769</v>
      </c>
      <c r="C56" s="94">
        <v>23.3305258915514</v>
      </c>
      <c r="E56" s="79"/>
      <c r="H56" s="94"/>
      <c r="I56" s="89"/>
    </row>
    <row r="57" spans="1:10" x14ac:dyDescent="0.25">
      <c r="A57" s="85">
        <f t="shared" si="4"/>
        <v>970.56282938476022</v>
      </c>
      <c r="B57" s="88">
        <v>697.41282938476024</v>
      </c>
      <c r="C57" s="94">
        <v>24.901551974979</v>
      </c>
      <c r="H57" s="94"/>
      <c r="I57" s="89"/>
    </row>
    <row r="58" spans="1:10" x14ac:dyDescent="0.25">
      <c r="A58" s="85">
        <f t="shared" si="4"/>
        <v>967.82935232859745</v>
      </c>
      <c r="B58" s="88">
        <v>694.67935232859747</v>
      </c>
      <c r="C58" s="94">
        <v>26.578367484940799</v>
      </c>
      <c r="H58" s="94"/>
      <c r="I58" s="89"/>
    </row>
    <row r="59" spans="1:10" x14ac:dyDescent="0.25">
      <c r="A59" s="85">
        <f t="shared" si="4"/>
        <v>965.90360282043844</v>
      </c>
      <c r="B59" s="88">
        <v>692.75360282043846</v>
      </c>
      <c r="C59" s="94">
        <v>28.991063750986001</v>
      </c>
      <c r="H59" s="94"/>
      <c r="I59" s="89"/>
    </row>
    <row r="60" spans="1:10" x14ac:dyDescent="0.25">
      <c r="A60" s="85">
        <f t="shared" si="4"/>
        <v>963.18049906234376</v>
      </c>
      <c r="B60" s="88">
        <v>690.03049906234378</v>
      </c>
      <c r="C60" s="94">
        <v>29.627711919708599</v>
      </c>
      <c r="H60" s="94"/>
      <c r="I60" s="89"/>
    </row>
    <row r="61" spans="1:10" x14ac:dyDescent="0.25">
      <c r="A61" s="85">
        <f t="shared" si="4"/>
        <v>961.26117466115545</v>
      </c>
      <c r="B61" s="88">
        <v>688.11117466115547</v>
      </c>
      <c r="C61" s="94">
        <v>30.943257951443599</v>
      </c>
      <c r="H61" s="94"/>
      <c r="I61" s="89"/>
    </row>
    <row r="62" spans="1:10" x14ac:dyDescent="0.25">
      <c r="A62" s="85">
        <f t="shared" si="4"/>
        <v>959.41667466180559</v>
      </c>
      <c r="B62" s="88">
        <v>686.26667466180561</v>
      </c>
      <c r="C62" s="94">
        <v>33.026908597550502</v>
      </c>
      <c r="H62" s="94"/>
      <c r="I62" s="89"/>
    </row>
    <row r="63" spans="1:10" x14ac:dyDescent="0.25">
      <c r="A63" s="85">
        <f t="shared" si="4"/>
        <v>957.85440613026822</v>
      </c>
      <c r="B63" s="88">
        <v>684.70440613026824</v>
      </c>
      <c r="C63" s="94">
        <v>34.493387637974699</v>
      </c>
      <c r="H63" s="94"/>
      <c r="I63" s="89"/>
    </row>
    <row r="64" spans="1:10" x14ac:dyDescent="0.25">
      <c r="A64" s="85">
        <f t="shared" si="4"/>
        <v>955.56617295747731</v>
      </c>
      <c r="B64" s="88">
        <v>682.41617295747733</v>
      </c>
      <c r="C64" s="94">
        <v>35.250867676009101</v>
      </c>
      <c r="H64" s="94"/>
      <c r="I64" s="89"/>
    </row>
    <row r="65" spans="1:9" x14ac:dyDescent="0.25">
      <c r="A65" s="85">
        <f t="shared" si="4"/>
        <v>953.65248903299641</v>
      </c>
      <c r="B65" s="88">
        <v>680.50248903299644</v>
      </c>
      <c r="C65" s="94">
        <v>37.624583246754902</v>
      </c>
      <c r="H65" s="94"/>
      <c r="I65" s="89"/>
    </row>
    <row r="66" spans="1:9" x14ac:dyDescent="0.25">
      <c r="A66" s="85">
        <f t="shared" si="4"/>
        <v>952.13611737934048</v>
      </c>
      <c r="B66" s="88">
        <v>678.9861173793405</v>
      </c>
      <c r="C66" s="94">
        <v>39.295210776821499</v>
      </c>
      <c r="H66" s="94"/>
      <c r="I66" s="89"/>
    </row>
    <row r="67" spans="1:9" x14ac:dyDescent="0.25">
      <c r="A67" s="85">
        <f t="shared" si="4"/>
        <v>949.12680334092624</v>
      </c>
      <c r="B67" s="88">
        <v>675.97680334092627</v>
      </c>
      <c r="C67" s="94">
        <v>41.040018433373803</v>
      </c>
      <c r="H67" s="94"/>
      <c r="I67" s="89"/>
    </row>
    <row r="68" spans="1:9" x14ac:dyDescent="0.25">
      <c r="A68" s="85">
        <f t="shared" si="4"/>
        <v>947.63375850501291</v>
      </c>
      <c r="B68" s="88">
        <v>674.48375850501293</v>
      </c>
      <c r="C68" s="94">
        <v>43.803562629628999</v>
      </c>
      <c r="H68" s="94"/>
      <c r="I68" s="89"/>
    </row>
    <row r="69" spans="1:9" x14ac:dyDescent="0.25">
      <c r="A69" s="85">
        <f t="shared" si="4"/>
        <v>945.76957270130708</v>
      </c>
      <c r="B69" s="88">
        <v>672.61957270130711</v>
      </c>
      <c r="C69" s="94">
        <v>45.748552615674001</v>
      </c>
      <c r="H69" s="94"/>
      <c r="I69" s="89"/>
    </row>
    <row r="70" spans="1:9" x14ac:dyDescent="0.25">
      <c r="A70" s="85">
        <f t="shared" si="4"/>
        <v>943.5742592942064</v>
      </c>
      <c r="B70" s="88">
        <v>670.42425929420642</v>
      </c>
      <c r="C70" s="94">
        <v>47.779905121539699</v>
      </c>
      <c r="H70" s="94"/>
      <c r="I70" s="89"/>
    </row>
    <row r="71" spans="1:9" x14ac:dyDescent="0.25">
      <c r="A71" s="85">
        <f t="shared" si="4"/>
        <v>941.70825878142944</v>
      </c>
      <c r="B71" s="88">
        <v>668.55825878142946</v>
      </c>
      <c r="C71" s="94">
        <v>49.901454863539797</v>
      </c>
      <c r="H71" s="94"/>
      <c r="I71" s="89"/>
    </row>
    <row r="72" spans="1:9" x14ac:dyDescent="0.25">
      <c r="A72" s="85">
        <f t="shared" si="4"/>
        <v>939.14350112697218</v>
      </c>
      <c r="B72" s="88">
        <v>665.99350112697221</v>
      </c>
      <c r="C72" s="94">
        <v>53.261708616756401</v>
      </c>
      <c r="H72" s="94"/>
      <c r="I72" s="89"/>
    </row>
    <row r="73" spans="1:9" x14ac:dyDescent="0.25">
      <c r="A73" s="85">
        <f t="shared" si="4"/>
        <v>936.9436896842501</v>
      </c>
      <c r="B73" s="88">
        <v>663.79368968425013</v>
      </c>
      <c r="C73" s="94">
        <v>55.6266644258342</v>
      </c>
      <c r="H73" s="94"/>
      <c r="I73" s="89"/>
    </row>
    <row r="74" spans="1:9" x14ac:dyDescent="0.25">
      <c r="A74" s="85">
        <f t="shared" si="4"/>
        <v>934.38732223281204</v>
      </c>
      <c r="B74" s="88">
        <v>661.23732223281206</v>
      </c>
      <c r="C74" s="94">
        <v>59.372441145710901</v>
      </c>
      <c r="H74" s="94"/>
      <c r="I74" s="89"/>
    </row>
    <row r="75" spans="1:9" x14ac:dyDescent="0.25">
      <c r="A75" s="85">
        <f t="shared" si="4"/>
        <v>931.49766194086862</v>
      </c>
      <c r="B75" s="88">
        <v>658.34766194086865</v>
      </c>
      <c r="C75" s="94">
        <v>62.008729076258</v>
      </c>
      <c r="H75" s="94"/>
      <c r="I75" s="89"/>
    </row>
    <row r="76" spans="1:9" x14ac:dyDescent="0.25">
      <c r="A76" s="85">
        <f t="shared" si="4"/>
        <v>929.36802973977694</v>
      </c>
      <c r="B76" s="88">
        <v>656.21802973977697</v>
      </c>
      <c r="C76" s="94">
        <v>66.184259933634493</v>
      </c>
      <c r="H76" s="94"/>
      <c r="I76" s="89"/>
    </row>
    <row r="77" spans="1:9" x14ac:dyDescent="0.25">
      <c r="A77" s="85">
        <f t="shared" si="4"/>
        <v>926.86996014459169</v>
      </c>
      <c r="B77" s="88">
        <v>653.71996014459171</v>
      </c>
      <c r="C77" s="94">
        <v>69.123010005019097</v>
      </c>
      <c r="H77" s="94"/>
      <c r="I77" s="89"/>
    </row>
    <row r="78" spans="1:9" x14ac:dyDescent="0.25">
      <c r="A78" s="85">
        <f t="shared" si="4"/>
        <v>924.69300192336152</v>
      </c>
      <c r="B78" s="88">
        <v>651.54300192336154</v>
      </c>
      <c r="C78" s="94">
        <v>73.777600826833094</v>
      </c>
      <c r="H78" s="94"/>
      <c r="I78" s="89"/>
    </row>
    <row r="79" spans="1:9" x14ac:dyDescent="0.25">
      <c r="A79" s="85">
        <f t="shared" si="4"/>
        <v>922.59433527078136</v>
      </c>
      <c r="B79" s="88">
        <v>649.44433527078138</v>
      </c>
      <c r="C79" s="90">
        <v>77.053514615305502</v>
      </c>
      <c r="H79" s="94"/>
      <c r="I79" s="89"/>
    </row>
    <row r="80" spans="1:9" x14ac:dyDescent="0.25">
      <c r="A80" s="85">
        <f t="shared" si="4"/>
        <v>920.81031307550643</v>
      </c>
      <c r="B80" s="88">
        <v>647.66031307550645</v>
      </c>
      <c r="C80" s="90">
        <v>82.2421281014785</v>
      </c>
      <c r="H80" s="94"/>
      <c r="I80" s="89"/>
    </row>
    <row r="81" spans="1:9" x14ac:dyDescent="0.25">
      <c r="A81" s="85">
        <f t="shared" si="4"/>
        <v>918.69545245751033</v>
      </c>
      <c r="B81" s="88">
        <v>645.54545245751035</v>
      </c>
      <c r="C81" s="90">
        <v>85.893888506012502</v>
      </c>
      <c r="H81" s="94"/>
      <c r="I81" s="89"/>
    </row>
    <row r="82" spans="1:9" x14ac:dyDescent="0.25">
      <c r="A82" s="85">
        <f t="shared" si="4"/>
        <v>916.9432778888297</v>
      </c>
      <c r="B82" s="88">
        <v>643.79327788882972</v>
      </c>
      <c r="C82" s="90">
        <v>89.707796393350804</v>
      </c>
      <c r="H82" s="94"/>
      <c r="I82" s="89"/>
    </row>
    <row r="83" spans="1:9" x14ac:dyDescent="0.25">
      <c r="A83" s="85">
        <f t="shared" si="4"/>
        <v>914.57837936711178</v>
      </c>
      <c r="B83" s="88">
        <v>641.4283793671118</v>
      </c>
      <c r="C83" s="90">
        <v>95.748521264957702</v>
      </c>
      <c r="H83" s="94"/>
      <c r="I83" s="89"/>
    </row>
    <row r="84" spans="1:9" x14ac:dyDescent="0.25">
      <c r="A84" s="85">
        <f t="shared" si="4"/>
        <v>911.74325309992707</v>
      </c>
      <c r="B84" s="88">
        <v>638.5932530999271</v>
      </c>
      <c r="C84" s="90">
        <v>102.196015207275</v>
      </c>
      <c r="H84" s="94"/>
      <c r="I84" s="89"/>
    </row>
    <row r="85" spans="1:9" x14ac:dyDescent="0.25">
      <c r="A85" s="85">
        <f t="shared" si="4"/>
        <v>909.33891061198517</v>
      </c>
      <c r="B85" s="88">
        <v>636.18891061198519</v>
      </c>
      <c r="C85" s="90">
        <v>109.07766915109499</v>
      </c>
      <c r="H85" s="94"/>
      <c r="I85" s="89"/>
    </row>
    <row r="86" spans="1:9" x14ac:dyDescent="0.25">
      <c r="A86" s="85">
        <f t="shared" si="4"/>
        <v>906.58543661154624</v>
      </c>
      <c r="B86" s="88">
        <v>633.43543661154627</v>
      </c>
      <c r="C86" s="90">
        <v>113.920996073927</v>
      </c>
      <c r="H86" s="94"/>
      <c r="I86" s="89"/>
    </row>
    <row r="87" spans="1:9" x14ac:dyDescent="0.25">
      <c r="A87" s="85">
        <f t="shared" si="4"/>
        <v>904.56806874717324</v>
      </c>
      <c r="B87" s="88">
        <v>631.41806874717327</v>
      </c>
      <c r="C87" s="90">
        <v>121.592184332353</v>
      </c>
      <c r="H87" s="94"/>
      <c r="I87" s="89"/>
    </row>
    <row r="88" spans="1:9" x14ac:dyDescent="0.25">
      <c r="A88" s="85">
        <f t="shared" si="4"/>
        <v>902.20137134608444</v>
      </c>
      <c r="B88" s="88">
        <v>629.05137134608447</v>
      </c>
      <c r="C88" s="90">
        <v>126.99118767158799</v>
      </c>
      <c r="H88" s="94"/>
      <c r="I88" s="89"/>
    </row>
    <row r="89" spans="1:9" x14ac:dyDescent="0.25">
      <c r="A89" s="85">
        <f t="shared" si="4"/>
        <v>900.17103249617423</v>
      </c>
      <c r="B89" s="88">
        <v>627.02103249617426</v>
      </c>
      <c r="C89" s="90">
        <v>135.542493764082</v>
      </c>
      <c r="H89" s="94"/>
      <c r="I89" s="89"/>
    </row>
    <row r="90" spans="1:9" x14ac:dyDescent="0.25">
      <c r="A90" s="85">
        <f t="shared" si="4"/>
        <v>897.78695515554159</v>
      </c>
      <c r="B90" s="88">
        <v>624.63695515554161</v>
      </c>
      <c r="C90" s="90">
        <v>144.66962592158299</v>
      </c>
      <c r="H90" s="94"/>
      <c r="I90" s="89"/>
    </row>
    <row r="91" spans="1:9" x14ac:dyDescent="0.25">
      <c r="A91" s="85">
        <f t="shared" si="4"/>
        <v>895.49565684606432</v>
      </c>
      <c r="B91" s="88">
        <v>622.34565684606434</v>
      </c>
      <c r="C91" s="90">
        <v>154.41135899948301</v>
      </c>
      <c r="H91" s="94"/>
      <c r="I91" s="89"/>
    </row>
    <row r="92" spans="1:9" x14ac:dyDescent="0.25">
      <c r="A92" s="85">
        <f t="shared" si="4"/>
        <v>892.85714285714278</v>
      </c>
      <c r="B92" s="88">
        <v>619.7071428571428</v>
      </c>
      <c r="C92" s="90">
        <v>161.26761746240601</v>
      </c>
      <c r="H92" s="94"/>
      <c r="I92" s="89"/>
    </row>
    <row r="93" spans="1:9" x14ac:dyDescent="0.25">
      <c r="A93" s="85">
        <f t="shared" si="4"/>
        <v>891.50396719265404</v>
      </c>
      <c r="B93" s="88">
        <v>618.35396719265407</v>
      </c>
      <c r="C93" s="90">
        <v>175.90695822349801</v>
      </c>
      <c r="H93" s="94"/>
      <c r="I93" s="89"/>
    </row>
    <row r="94" spans="1:9" x14ac:dyDescent="0.25">
      <c r="A94" s="85">
        <f t="shared" si="4"/>
        <v>889.20505068468788</v>
      </c>
      <c r="B94" s="88">
        <v>616.0550506846879</v>
      </c>
      <c r="C94" s="90">
        <v>183.717676157863</v>
      </c>
      <c r="G94" s="84"/>
      <c r="H94" s="94"/>
      <c r="I94" s="89"/>
    </row>
    <row r="95" spans="1:9" x14ac:dyDescent="0.25">
      <c r="A95" s="85">
        <f t="shared" si="4"/>
        <v>886.91796008869187</v>
      </c>
      <c r="B95" s="88">
        <v>613.76796008869189</v>
      </c>
      <c r="C95" s="90">
        <v>191.87520990478299</v>
      </c>
      <c r="G95" s="84"/>
      <c r="H95" s="94"/>
      <c r="I95" s="89"/>
    </row>
    <row r="96" spans="1:9" x14ac:dyDescent="0.25">
      <c r="A96" s="85">
        <f t="shared" ref="A96:A105" si="6">B96+273.15</f>
        <v>884.6426043878273</v>
      </c>
      <c r="B96" s="88">
        <v>611.49260438782733</v>
      </c>
      <c r="C96" s="90">
        <v>204.79566274518399</v>
      </c>
      <c r="G96" s="84"/>
      <c r="H96" s="94"/>
      <c r="I96" s="89"/>
    </row>
    <row r="97" spans="1:9" x14ac:dyDescent="0.25">
      <c r="A97" s="85">
        <f t="shared" si="6"/>
        <v>882.61253309796996</v>
      </c>
      <c r="B97" s="88">
        <v>609.46253309796998</v>
      </c>
      <c r="C97" s="90">
        <v>218.58615034246699</v>
      </c>
      <c r="G97" s="84"/>
      <c r="H97" s="94"/>
      <c r="I97" s="89"/>
    </row>
    <row r="98" spans="1:9" x14ac:dyDescent="0.25">
      <c r="A98" s="85">
        <f t="shared" si="6"/>
        <v>880.28169014084517</v>
      </c>
      <c r="B98" s="88">
        <v>607.13169014084519</v>
      </c>
      <c r="C98" s="90">
        <v>233.305258915514</v>
      </c>
      <c r="G98" s="84"/>
      <c r="H98" s="99"/>
    </row>
    <row r="99" spans="1:9" x14ac:dyDescent="0.25">
      <c r="A99" s="85">
        <f t="shared" si="6"/>
        <v>877.96312554872691</v>
      </c>
      <c r="B99" s="88">
        <v>604.81312554872693</v>
      </c>
      <c r="C99" s="90">
        <v>249.01551974979</v>
      </c>
    </row>
    <row r="100" spans="1:9" x14ac:dyDescent="0.25">
      <c r="A100" s="85">
        <f t="shared" si="6"/>
        <v>875.65674255691772</v>
      </c>
      <c r="B100" s="88">
        <v>602.50674255691774</v>
      </c>
      <c r="C100" s="90">
        <v>265.78367484940799</v>
      </c>
    </row>
    <row r="101" spans="1:9" x14ac:dyDescent="0.25">
      <c r="A101" s="85">
        <f t="shared" si="6"/>
        <v>873.36244541484712</v>
      </c>
      <c r="B101" s="88">
        <v>600.21244541484714</v>
      </c>
      <c r="C101" s="94">
        <v>277.58514840550299</v>
      </c>
    </row>
    <row r="102" spans="1:9" x14ac:dyDescent="0.25">
      <c r="A102" s="85">
        <f t="shared" si="6"/>
        <v>823.15</v>
      </c>
      <c r="B102" s="88">
        <v>550</v>
      </c>
      <c r="C102" s="86">
        <f>(3*10^8)*EXP(-0.023*B102)</f>
        <v>962.26803317335646</v>
      </c>
    </row>
    <row r="103" spans="1:9" x14ac:dyDescent="0.25">
      <c r="A103" s="85">
        <f t="shared" si="6"/>
        <v>773.15</v>
      </c>
      <c r="B103" s="88">
        <v>500</v>
      </c>
      <c r="C103" s="86">
        <f>(3*10^8)*EXP(-0.023*B103)</f>
        <v>3039.0280795892131</v>
      </c>
    </row>
    <row r="104" spans="1:9" x14ac:dyDescent="0.25">
      <c r="A104" s="85">
        <f t="shared" si="6"/>
        <v>723.15</v>
      </c>
      <c r="B104" s="88">
        <v>450</v>
      </c>
      <c r="C104" s="86">
        <f>(3*10^8)*EXP(-0.023*B104)</f>
        <v>9597.8369333067676</v>
      </c>
    </row>
    <row r="105" spans="1:9" x14ac:dyDescent="0.25">
      <c r="A105" s="85">
        <f t="shared" si="6"/>
        <v>673.15</v>
      </c>
      <c r="B105" s="88">
        <v>400</v>
      </c>
      <c r="C105" s="86">
        <f>(3*10^8)*EXP(-0.023*B105)</f>
        <v>30311.820551128025</v>
      </c>
    </row>
  </sheetData>
  <sortState ref="H22:I96">
    <sortCondition ref="H22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120"/>
  <sheetViews>
    <sheetView workbookViewId="0">
      <selection activeCell="G27" sqref="G27"/>
    </sheetView>
  </sheetViews>
  <sheetFormatPr defaultRowHeight="15" x14ac:dyDescent="0.25"/>
  <cols>
    <col min="1" max="1" width="18.28515625" style="91" bestFit="1" customWidth="1"/>
    <col min="2" max="2" width="16.42578125" style="91" bestFit="1" customWidth="1"/>
    <col min="3" max="3" width="20" style="91" bestFit="1" customWidth="1"/>
    <col min="4" max="4" width="16.5703125" style="91" customWidth="1"/>
    <col min="5" max="5" width="18" style="91" bestFit="1" customWidth="1"/>
    <col min="6" max="6" width="16.42578125" style="91" bestFit="1" customWidth="1"/>
    <col min="7" max="7" width="16.28515625" style="91" bestFit="1" customWidth="1"/>
    <col min="8" max="8" width="23.5703125" style="91" customWidth="1"/>
    <col min="9" max="9" width="26.140625" style="91" bestFit="1" customWidth="1"/>
    <col min="10" max="10" width="16.140625" style="91" customWidth="1"/>
    <col min="11" max="11" width="16.28515625" style="91" customWidth="1"/>
    <col min="12" max="16384" width="9.140625" style="91"/>
  </cols>
  <sheetData>
    <row r="1" spans="1:19" x14ac:dyDescent="0.25">
      <c r="A1" s="91" t="s">
        <v>1</v>
      </c>
      <c r="C1" s="91" t="s">
        <v>3</v>
      </c>
      <c r="E1" s="91" t="s">
        <v>6</v>
      </c>
      <c r="H1" s="91" t="s">
        <v>12</v>
      </c>
    </row>
    <row r="2" spans="1:19" ht="17.25" x14ac:dyDescent="0.25">
      <c r="A2" s="95">
        <v>6.0219999999999996E+23</v>
      </c>
      <c r="B2" s="96" t="s">
        <v>2</v>
      </c>
      <c r="C2" s="95">
        <v>1.3800000000000001E-23</v>
      </c>
      <c r="D2" s="95" t="s">
        <v>4</v>
      </c>
      <c r="E2" s="93">
        <v>96485.331999999995</v>
      </c>
      <c r="F2" s="91" t="s">
        <v>7</v>
      </c>
      <c r="H2" s="91" t="s">
        <v>53</v>
      </c>
    </row>
    <row r="3" spans="1:19" ht="15.75" thickBot="1" x14ac:dyDescent="0.3"/>
    <row r="4" spans="1:19" ht="15.75" x14ac:dyDescent="0.25">
      <c r="A4" s="133" t="s">
        <v>10</v>
      </c>
      <c r="B4" s="134"/>
      <c r="C4" s="134"/>
      <c r="D4" s="135"/>
      <c r="H4" s="1" t="s">
        <v>17</v>
      </c>
    </row>
    <row r="5" spans="1:19" ht="15.75" x14ac:dyDescent="0.25">
      <c r="A5" s="136" t="s">
        <v>16</v>
      </c>
      <c r="B5" s="115" t="s">
        <v>14</v>
      </c>
      <c r="C5" s="142"/>
      <c r="D5" s="137" t="s">
        <v>9</v>
      </c>
      <c r="H5" s="35" t="s">
        <v>52</v>
      </c>
    </row>
    <row r="6" spans="1:19" x14ac:dyDescent="0.25">
      <c r="A6" s="138">
        <f>B6+273.15</f>
        <v>867.37791655824435</v>
      </c>
      <c r="B6" s="148">
        <v>594.22791655824437</v>
      </c>
      <c r="C6" s="140"/>
      <c r="D6" s="159">
        <v>5.8900000000000002E-5</v>
      </c>
    </row>
    <row r="7" spans="1:19" x14ac:dyDescent="0.25">
      <c r="A7" s="138">
        <f t="shared" ref="A7:A15" si="0">B7+273.15</f>
        <v>852.64575979263657</v>
      </c>
      <c r="B7" s="148">
        <v>579.49575979263659</v>
      </c>
      <c r="C7" s="140"/>
      <c r="D7" s="159">
        <v>3.6100000000000003E-5</v>
      </c>
    </row>
    <row r="8" spans="1:19" ht="15.75" x14ac:dyDescent="0.25">
      <c r="A8" s="138">
        <f t="shared" si="0"/>
        <v>826.7879288962381</v>
      </c>
      <c r="B8" s="148">
        <v>553.63792889623812</v>
      </c>
      <c r="C8" s="140"/>
      <c r="D8" s="159">
        <v>2.0000000000000002E-5</v>
      </c>
      <c r="J8" s="2"/>
    </row>
    <row r="9" spans="1:19" ht="15.75" x14ac:dyDescent="0.25">
      <c r="A9" s="138">
        <f t="shared" si="0"/>
        <v>805.67193038994515</v>
      </c>
      <c r="B9" s="148">
        <v>532.52193038994517</v>
      </c>
      <c r="C9" s="140"/>
      <c r="D9" s="159">
        <v>1.1800000000000001E-5</v>
      </c>
      <c r="J9" s="35"/>
    </row>
    <row r="10" spans="1:19" ht="16.5" thickBot="1" x14ac:dyDescent="0.3">
      <c r="A10" s="138">
        <f t="shared" si="0"/>
        <v>783.69905956112848</v>
      </c>
      <c r="B10" s="148">
        <v>510.5490595611285</v>
      </c>
      <c r="C10" s="140"/>
      <c r="D10" s="159">
        <v>7.25E-6</v>
      </c>
      <c r="J10" s="2"/>
    </row>
    <row r="11" spans="1:19" ht="19.5" thickBot="1" x14ac:dyDescent="0.3">
      <c r="A11" s="138">
        <f t="shared" si="0"/>
        <v>764.3273155296024</v>
      </c>
      <c r="B11" s="148">
        <v>491.17731552960242</v>
      </c>
      <c r="C11" s="140"/>
      <c r="D11" s="159">
        <v>4.5299999999999998E-6</v>
      </c>
      <c r="H11" s="169" t="s">
        <v>184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25">
      <c r="A12" s="138">
        <f t="shared" si="0"/>
        <v>743.14081032073955</v>
      </c>
      <c r="B12" s="148">
        <v>469.99081032073957</v>
      </c>
      <c r="C12" s="140"/>
      <c r="D12" s="159">
        <v>2.6699999999999998E-6</v>
      </c>
      <c r="H12" s="151" t="s">
        <v>181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x14ac:dyDescent="0.25">
      <c r="A13" s="138">
        <f t="shared" si="0"/>
        <v>722.12593876372034</v>
      </c>
      <c r="B13" s="148">
        <v>448.97593876372036</v>
      </c>
      <c r="C13" s="140"/>
      <c r="D13" s="159">
        <v>1.4300000000000001E-6</v>
      </c>
      <c r="H13" s="136" t="s">
        <v>185</v>
      </c>
      <c r="I13" s="115" t="s">
        <v>182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37"/>
    </row>
    <row r="14" spans="1:19" x14ac:dyDescent="0.25">
      <c r="A14" s="138">
        <f t="shared" si="0"/>
        <v>701.34096392302081</v>
      </c>
      <c r="B14" s="148">
        <v>428.19096392302083</v>
      </c>
      <c r="C14" s="140"/>
      <c r="D14" s="159">
        <v>7.6300000000000004E-7</v>
      </c>
      <c r="H14" s="161" t="s">
        <v>186</v>
      </c>
      <c r="I14" s="115" t="s">
        <v>188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37"/>
    </row>
    <row r="15" spans="1:19" ht="15.75" thickBot="1" x14ac:dyDescent="0.3">
      <c r="A15" s="141">
        <f t="shared" si="0"/>
        <v>681.14787039118323</v>
      </c>
      <c r="B15" s="149">
        <v>407.99787039118326</v>
      </c>
      <c r="C15" s="130"/>
      <c r="D15" s="160">
        <v>3.7E-7</v>
      </c>
      <c r="H15" s="162" t="s">
        <v>187</v>
      </c>
      <c r="I15" s="126" t="s">
        <v>183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52"/>
    </row>
    <row r="16" spans="1:19" ht="16.5" thickBot="1" x14ac:dyDescent="0.3">
      <c r="A16" s="92"/>
      <c r="C16" s="93"/>
      <c r="D16" s="101"/>
      <c r="J16" s="2"/>
    </row>
    <row r="17" spans="1:12" ht="15.75" x14ac:dyDescent="0.25">
      <c r="A17" s="133" t="s">
        <v>13</v>
      </c>
      <c r="B17" s="134"/>
      <c r="C17" s="134"/>
      <c r="D17" s="135"/>
    </row>
    <row r="18" spans="1:12" x14ac:dyDescent="0.25">
      <c r="A18" s="136" t="s">
        <v>16</v>
      </c>
      <c r="B18" s="115" t="s">
        <v>14</v>
      </c>
      <c r="C18" s="142"/>
      <c r="D18" s="137" t="s">
        <v>15</v>
      </c>
    </row>
    <row r="19" spans="1:12" x14ac:dyDescent="0.25">
      <c r="A19" s="138">
        <f>B19+273.15</f>
        <v>867.37791655824435</v>
      </c>
      <c r="B19" s="148">
        <v>594.22791655824437</v>
      </c>
      <c r="C19" s="140"/>
      <c r="D19" s="159">
        <v>1.0899999999999999E-6</v>
      </c>
    </row>
    <row r="20" spans="1:12" x14ac:dyDescent="0.25">
      <c r="A20" s="138">
        <f t="shared" ref="A20:A28" si="1">B20+273.15</f>
        <v>852.64575979263657</v>
      </c>
      <c r="B20" s="148">
        <v>579.49575979263659</v>
      </c>
      <c r="C20" s="140"/>
      <c r="D20" s="159">
        <v>7.1999999999999999E-7</v>
      </c>
    </row>
    <row r="21" spans="1:12" x14ac:dyDescent="0.25">
      <c r="A21" s="138">
        <f t="shared" si="1"/>
        <v>826.7879288962381</v>
      </c>
      <c r="B21" s="148">
        <v>553.63792889623812</v>
      </c>
      <c r="C21" s="140"/>
      <c r="D21" s="159">
        <v>3.5600000000000001E-7</v>
      </c>
    </row>
    <row r="22" spans="1:12" x14ac:dyDescent="0.25">
      <c r="A22" s="138">
        <f t="shared" si="1"/>
        <v>805.67193038994515</v>
      </c>
      <c r="B22" s="148">
        <v>532.52193038994517</v>
      </c>
      <c r="C22" s="140"/>
      <c r="D22" s="159">
        <v>2.1400000000000001E-7</v>
      </c>
    </row>
    <row r="23" spans="1:12" x14ac:dyDescent="0.25">
      <c r="A23" s="138">
        <f t="shared" si="1"/>
        <v>783.69905956112848</v>
      </c>
      <c r="B23" s="148">
        <v>510.5490595611285</v>
      </c>
      <c r="C23" s="140"/>
      <c r="D23" s="159">
        <v>1.06E-7</v>
      </c>
    </row>
    <row r="24" spans="1:12" s="100" customFormat="1" x14ac:dyDescent="0.25">
      <c r="A24" s="138">
        <f t="shared" si="1"/>
        <v>764.3273155296024</v>
      </c>
      <c r="B24" s="148">
        <v>491.17731552960242</v>
      </c>
      <c r="C24" s="140"/>
      <c r="D24" s="159">
        <v>5.99E-8</v>
      </c>
    </row>
    <row r="25" spans="1:12" s="100" customFormat="1" x14ac:dyDescent="0.25">
      <c r="A25" s="138">
        <f t="shared" si="1"/>
        <v>743.14081032073955</v>
      </c>
      <c r="B25" s="148">
        <v>469.99081032073957</v>
      </c>
      <c r="C25" s="140"/>
      <c r="D25" s="159">
        <v>3.2600000000000001E-8</v>
      </c>
    </row>
    <row r="26" spans="1:12" s="100" customFormat="1" x14ac:dyDescent="0.25">
      <c r="A26" s="138">
        <f t="shared" si="1"/>
        <v>722.12593876372034</v>
      </c>
      <c r="B26" s="148">
        <v>448.97593876372036</v>
      </c>
      <c r="C26" s="140"/>
      <c r="D26" s="159">
        <v>1.5799999999999999E-8</v>
      </c>
    </row>
    <row r="27" spans="1:12" s="100" customFormat="1" x14ac:dyDescent="0.25">
      <c r="A27" s="138">
        <f t="shared" si="1"/>
        <v>701.34096392302081</v>
      </c>
      <c r="B27" s="148">
        <v>428.19096392302083</v>
      </c>
      <c r="C27" s="140"/>
      <c r="D27" s="159">
        <v>8.2900000000000001E-9</v>
      </c>
    </row>
    <row r="28" spans="1:12" s="100" customFormat="1" ht="15.75" thickBot="1" x14ac:dyDescent="0.3">
      <c r="A28" s="141">
        <f t="shared" si="1"/>
        <v>681.14787039118323</v>
      </c>
      <c r="B28" s="149">
        <v>407.99787039118326</v>
      </c>
      <c r="C28" s="130"/>
      <c r="D28" s="160">
        <v>3.7099999999999998E-9</v>
      </c>
    </row>
    <row r="29" spans="1:12" ht="15.75" thickBot="1" x14ac:dyDescent="0.3">
      <c r="A29" s="92"/>
      <c r="D29" s="104"/>
    </row>
    <row r="30" spans="1:12" ht="15.75" x14ac:dyDescent="0.25">
      <c r="A30" s="133" t="s">
        <v>19</v>
      </c>
      <c r="B30" s="134"/>
      <c r="C30" s="134"/>
      <c r="D30" s="135"/>
      <c r="G30" s="99"/>
      <c r="H30" s="99"/>
    </row>
    <row r="31" spans="1:12" x14ac:dyDescent="0.25">
      <c r="A31" s="136" t="s">
        <v>16</v>
      </c>
      <c r="B31" s="115" t="s">
        <v>14</v>
      </c>
      <c r="C31" s="142"/>
      <c r="D31" s="143" t="s">
        <v>35</v>
      </c>
      <c r="G31" s="99"/>
      <c r="H31" s="94"/>
    </row>
    <row r="32" spans="1:12" x14ac:dyDescent="0.25">
      <c r="A32" s="138">
        <f>B32+273.15</f>
        <v>867.37791655824435</v>
      </c>
      <c r="B32" s="148">
        <v>594.22791655824437</v>
      </c>
      <c r="C32" s="115"/>
      <c r="D32" s="167">
        <v>5.32</v>
      </c>
      <c r="G32" s="99"/>
      <c r="H32" s="94"/>
      <c r="K32" s="98"/>
      <c r="L32" s="98"/>
    </row>
    <row r="33" spans="1:12" x14ac:dyDescent="0.25">
      <c r="A33" s="138">
        <f t="shared" ref="A33:A41" si="2">B33+273.15</f>
        <v>852.64575979263657</v>
      </c>
      <c r="B33" s="148">
        <v>579.49575979263659</v>
      </c>
      <c r="C33" s="115"/>
      <c r="D33" s="167">
        <v>8.3699999999999992</v>
      </c>
      <c r="G33" s="99"/>
      <c r="H33" s="94"/>
      <c r="J33" s="93"/>
      <c r="K33" s="93"/>
      <c r="L33" s="93"/>
    </row>
    <row r="34" spans="1:12" x14ac:dyDescent="0.25">
      <c r="A34" s="138">
        <f t="shared" si="2"/>
        <v>826.7879288962381</v>
      </c>
      <c r="B34" s="148">
        <v>553.63792889623812</v>
      </c>
      <c r="C34" s="115"/>
      <c r="D34" s="167">
        <v>12.3</v>
      </c>
      <c r="G34" s="99"/>
      <c r="H34" s="94"/>
      <c r="J34" s="93"/>
      <c r="K34" s="93"/>
      <c r="L34" s="93"/>
    </row>
    <row r="35" spans="1:12" x14ac:dyDescent="0.25">
      <c r="A35" s="138">
        <f t="shared" si="2"/>
        <v>805.67193038994515</v>
      </c>
      <c r="B35" s="148">
        <v>532.52193038994517</v>
      </c>
      <c r="C35" s="115"/>
      <c r="D35" s="167">
        <v>22.1</v>
      </c>
      <c r="G35" s="99"/>
      <c r="H35" s="94"/>
      <c r="J35" s="93"/>
      <c r="K35" s="93"/>
      <c r="L35" s="93"/>
    </row>
    <row r="36" spans="1:12" x14ac:dyDescent="0.25">
      <c r="A36" s="138">
        <f t="shared" si="2"/>
        <v>783.69905956112848</v>
      </c>
      <c r="B36" s="148">
        <v>510.5490595611285</v>
      </c>
      <c r="C36" s="115"/>
      <c r="D36" s="167">
        <v>37.1</v>
      </c>
      <c r="G36" s="99"/>
      <c r="H36" s="94"/>
      <c r="J36" s="93"/>
      <c r="K36" s="93"/>
      <c r="L36" s="93"/>
    </row>
    <row r="37" spans="1:12" s="102" customFormat="1" x14ac:dyDescent="0.25">
      <c r="A37" s="138">
        <f>B37+273.15</f>
        <v>764.3273155296024</v>
      </c>
      <c r="B37" s="148">
        <v>491.17731552960242</v>
      </c>
      <c r="C37" s="115"/>
      <c r="D37" s="167">
        <v>56.5</v>
      </c>
      <c r="G37" s="105"/>
      <c r="H37" s="104"/>
      <c r="J37" s="103"/>
      <c r="K37" s="103"/>
      <c r="L37" s="103"/>
    </row>
    <row r="38" spans="1:12" s="102" customFormat="1" x14ac:dyDescent="0.25">
      <c r="A38" s="138">
        <f t="shared" si="2"/>
        <v>743.14081032073955</v>
      </c>
      <c r="B38" s="148">
        <v>469.99081032073957</v>
      </c>
      <c r="C38" s="115"/>
      <c r="D38" s="167">
        <v>98</v>
      </c>
      <c r="G38" s="105"/>
      <c r="H38" s="104"/>
      <c r="J38" s="103"/>
      <c r="K38" s="103"/>
      <c r="L38" s="103"/>
    </row>
    <row r="39" spans="1:12" s="102" customFormat="1" x14ac:dyDescent="0.25">
      <c r="A39" s="138">
        <f t="shared" si="2"/>
        <v>722.12593876372034</v>
      </c>
      <c r="B39" s="148">
        <v>448.97593876372036</v>
      </c>
      <c r="C39" s="115"/>
      <c r="D39" s="167">
        <v>181</v>
      </c>
      <c r="G39" s="105"/>
      <c r="H39" s="104"/>
      <c r="J39" s="103"/>
      <c r="K39" s="103"/>
      <c r="L39" s="103"/>
    </row>
    <row r="40" spans="1:12" s="102" customFormat="1" x14ac:dyDescent="0.25">
      <c r="A40" s="138">
        <f t="shared" si="2"/>
        <v>701.34096392302081</v>
      </c>
      <c r="B40" s="148">
        <v>428.19096392302083</v>
      </c>
      <c r="C40" s="115"/>
      <c r="D40" s="167">
        <v>358</v>
      </c>
      <c r="G40" s="105"/>
      <c r="H40" s="104"/>
      <c r="J40" s="103"/>
      <c r="K40" s="103"/>
      <c r="L40" s="103"/>
    </row>
    <row r="41" spans="1:12" s="102" customFormat="1" ht="15.75" thickBot="1" x14ac:dyDescent="0.3">
      <c r="A41" s="141">
        <f t="shared" si="2"/>
        <v>681.14787039118323</v>
      </c>
      <c r="B41" s="149">
        <v>407.99787039118326</v>
      </c>
      <c r="C41" s="126"/>
      <c r="D41" s="168">
        <v>778</v>
      </c>
      <c r="G41" s="105"/>
      <c r="H41" s="104"/>
      <c r="J41" s="103"/>
      <c r="K41" s="103"/>
      <c r="L41" s="103"/>
    </row>
    <row r="42" spans="1:12" x14ac:dyDescent="0.25">
      <c r="D42" s="107"/>
      <c r="G42" s="99"/>
      <c r="H42" s="94"/>
      <c r="J42" s="93"/>
      <c r="K42" s="93"/>
      <c r="L42" s="93"/>
    </row>
    <row r="43" spans="1:12" s="126" customFormat="1" ht="15.75" thickBot="1" x14ac:dyDescent="0.3">
      <c r="G43" s="128"/>
      <c r="H43" s="129"/>
      <c r="J43" s="130"/>
      <c r="K43" s="130"/>
      <c r="L43" s="130"/>
    </row>
    <row r="44" spans="1:12" ht="60" x14ac:dyDescent="0.25">
      <c r="A44" s="98" t="s">
        <v>26</v>
      </c>
      <c r="G44" s="99"/>
      <c r="H44" s="94"/>
    </row>
    <row r="45" spans="1:12" ht="45" x14ac:dyDescent="0.25">
      <c r="A45" s="91" t="s">
        <v>16</v>
      </c>
      <c r="B45" s="91" t="s">
        <v>14</v>
      </c>
      <c r="C45" s="109" t="s">
        <v>40</v>
      </c>
      <c r="D45" s="109"/>
      <c r="E45" s="91" t="s">
        <v>16</v>
      </c>
      <c r="F45" s="91" t="s">
        <v>14</v>
      </c>
      <c r="G45" s="109" t="s">
        <v>20</v>
      </c>
      <c r="H45" s="98"/>
    </row>
    <row r="46" spans="1:12" x14ac:dyDescent="0.25">
      <c r="A46" s="106">
        <f>B46+273.15</f>
        <v>867.37791655824435</v>
      </c>
      <c r="B46" s="108">
        <v>594.22791655824437</v>
      </c>
      <c r="C46" s="114">
        <v>54.036697247706428</v>
      </c>
      <c r="D46" s="94"/>
      <c r="E46" s="106">
        <f>F46+273.15</f>
        <v>867.37791655824435</v>
      </c>
      <c r="F46" s="108">
        <v>594.22791655824437</v>
      </c>
      <c r="G46" s="110">
        <v>3.3326702885139101E-2</v>
      </c>
      <c r="H46" s="93"/>
      <c r="I46" s="93"/>
    </row>
    <row r="47" spans="1:12" x14ac:dyDescent="0.25">
      <c r="A47" s="106">
        <f t="shared" ref="A47:A55" si="3">B47+273.15</f>
        <v>852.64575979263657</v>
      </c>
      <c r="B47" s="108">
        <v>579.49575979263659</v>
      </c>
      <c r="C47" s="114">
        <v>50.138888888888893</v>
      </c>
      <c r="D47" s="94"/>
      <c r="E47" s="106">
        <f t="shared" ref="E47:E55" si="4">F47+273.15</f>
        <v>852.64575979263657</v>
      </c>
      <c r="F47" s="108">
        <v>579.49575979263659</v>
      </c>
      <c r="G47" s="110">
        <v>3.1476567677993846E-2</v>
      </c>
      <c r="H47" s="93"/>
      <c r="I47" s="93"/>
      <c r="J47" s="98"/>
    </row>
    <row r="48" spans="1:12" x14ac:dyDescent="0.25">
      <c r="A48" s="106">
        <f t="shared" si="3"/>
        <v>826.7879288962381</v>
      </c>
      <c r="B48" s="108">
        <v>553.63792889623812</v>
      </c>
      <c r="C48" s="114">
        <v>56.17977528089888</v>
      </c>
      <c r="D48" s="94"/>
      <c r="E48" s="106">
        <f t="shared" si="4"/>
        <v>826.7879288962381</v>
      </c>
      <c r="F48" s="108">
        <v>553.63792889623812</v>
      </c>
      <c r="G48" s="110">
        <v>4.2086034083522836E-2</v>
      </c>
      <c r="H48" s="93"/>
      <c r="I48" s="93"/>
      <c r="J48" s="93"/>
    </row>
    <row r="49" spans="1:10" x14ac:dyDescent="0.25">
      <c r="A49" s="106">
        <f t="shared" si="3"/>
        <v>805.67193038994515</v>
      </c>
      <c r="B49" s="108">
        <v>532.52193038994517</v>
      </c>
      <c r="C49" s="114">
        <v>55.140186915887853</v>
      </c>
      <c r="D49" s="94"/>
      <c r="E49" s="106">
        <f t="shared" si="4"/>
        <v>805.67193038994515</v>
      </c>
      <c r="F49" s="108">
        <v>532.52193038994517</v>
      </c>
      <c r="G49" s="110">
        <v>3.7999646155186868E-2</v>
      </c>
      <c r="H49" s="93"/>
      <c r="I49" s="93"/>
      <c r="J49" s="93"/>
    </row>
    <row r="50" spans="1:10" x14ac:dyDescent="0.25">
      <c r="A50" s="106">
        <f t="shared" si="3"/>
        <v>783.69905956112848</v>
      </c>
      <c r="B50" s="108">
        <v>510.5490595611285</v>
      </c>
      <c r="C50" s="114">
        <v>68.396226415094347</v>
      </c>
      <c r="D50" s="94"/>
      <c r="E50" s="106">
        <f t="shared" si="4"/>
        <v>783.69905956112848</v>
      </c>
      <c r="F50" s="108">
        <v>510.5490595611285</v>
      </c>
      <c r="G50" s="110">
        <v>4.444271614586788E-2</v>
      </c>
      <c r="H50" s="93"/>
      <c r="I50" s="93"/>
      <c r="J50" s="93"/>
    </row>
    <row r="51" spans="1:10" x14ac:dyDescent="0.25">
      <c r="A51" s="106">
        <f>B51+273.15</f>
        <v>764.3273155296024</v>
      </c>
      <c r="B51" s="108">
        <v>491.17731552960242</v>
      </c>
      <c r="C51" s="114">
        <v>75.626043405676128</v>
      </c>
      <c r="D51" s="94"/>
      <c r="E51" s="106">
        <f>F51+273.15</f>
        <v>764.3273155296024</v>
      </c>
      <c r="F51" s="108">
        <v>491.17731552960242</v>
      </c>
      <c r="G51" s="110">
        <v>5.0456791066249305E-2</v>
      </c>
      <c r="H51" s="93"/>
      <c r="J51" s="93"/>
    </row>
    <row r="52" spans="1:10" x14ac:dyDescent="0.25">
      <c r="A52" s="106">
        <f t="shared" si="3"/>
        <v>743.14081032073955</v>
      </c>
      <c r="B52" s="108">
        <v>469.99081032073957</v>
      </c>
      <c r="C52" s="114">
        <v>81.901840490797539</v>
      </c>
      <c r="D52" s="94"/>
      <c r="E52" s="106">
        <f t="shared" si="4"/>
        <v>743.14081032073955</v>
      </c>
      <c r="F52" s="108">
        <v>469.99081032073957</v>
      </c>
      <c r="G52" s="110">
        <v>5.1909318468942985E-2</v>
      </c>
      <c r="H52" s="93"/>
      <c r="J52" s="93"/>
    </row>
    <row r="53" spans="1:10" x14ac:dyDescent="0.25">
      <c r="A53" s="106">
        <f t="shared" si="3"/>
        <v>722.12593876372034</v>
      </c>
      <c r="B53" s="108">
        <v>448.97593876372036</v>
      </c>
      <c r="C53" s="114">
        <v>90.506329113924053</v>
      </c>
      <c r="D53" s="94"/>
      <c r="E53" s="106">
        <f t="shared" si="4"/>
        <v>722.12593876372034</v>
      </c>
      <c r="F53" s="108">
        <v>448.97593876372036</v>
      </c>
      <c r="G53" s="110">
        <v>5.6368957463421701E-2</v>
      </c>
      <c r="H53" s="93"/>
      <c r="J53" s="93"/>
    </row>
    <row r="54" spans="1:10" x14ac:dyDescent="0.25">
      <c r="A54" s="106">
        <f t="shared" si="3"/>
        <v>701.34096392302081</v>
      </c>
      <c r="B54" s="108">
        <v>428.19096392302083</v>
      </c>
      <c r="C54" s="114">
        <v>92.038600723763579</v>
      </c>
      <c r="D54" s="94"/>
      <c r="E54" s="106">
        <f t="shared" si="4"/>
        <v>701.34096392302081</v>
      </c>
      <c r="F54" s="108">
        <v>428.19096392302083</v>
      </c>
      <c r="G54" s="110">
        <v>5.2754916923814961E-2</v>
      </c>
      <c r="H54" s="93"/>
      <c r="J54" s="93"/>
    </row>
    <row r="55" spans="1:10" x14ac:dyDescent="0.25">
      <c r="A55" s="106">
        <f t="shared" si="3"/>
        <v>681.14787039118323</v>
      </c>
      <c r="B55" s="108">
        <v>407.99787039118326</v>
      </c>
      <c r="C55" s="114">
        <v>99.730458221024264</v>
      </c>
      <c r="D55" s="94"/>
      <c r="E55" s="106">
        <f t="shared" si="4"/>
        <v>681.14787039118323</v>
      </c>
      <c r="F55" s="108">
        <v>407.99787039118326</v>
      </c>
      <c r="G55" s="110">
        <v>5.2676494403300737E-2</v>
      </c>
      <c r="H55" s="93"/>
      <c r="J55" s="93"/>
    </row>
    <row r="56" spans="1:10" x14ac:dyDescent="0.25">
      <c r="A56" s="92"/>
      <c r="B56" s="97"/>
      <c r="C56" s="114"/>
      <c r="D56" s="94"/>
      <c r="E56" s="93"/>
      <c r="G56" s="110"/>
      <c r="H56" s="94"/>
      <c r="J56" s="93"/>
    </row>
    <row r="57" spans="1:10" x14ac:dyDescent="0.25">
      <c r="A57" s="92"/>
      <c r="B57" s="97"/>
      <c r="D57" s="94"/>
      <c r="E57" s="93"/>
      <c r="H57" s="94"/>
      <c r="J57" s="93"/>
    </row>
    <row r="58" spans="1:10" x14ac:dyDescent="0.25">
      <c r="A58" s="92"/>
      <c r="B58" s="97"/>
      <c r="D58" s="94"/>
      <c r="E58" s="93"/>
      <c r="H58" s="94"/>
      <c r="J58" s="93"/>
    </row>
    <row r="59" spans="1:10" x14ac:dyDescent="0.25">
      <c r="A59" s="92"/>
      <c r="B59" s="97"/>
      <c r="C59" s="93"/>
      <c r="D59" s="94"/>
      <c r="E59" s="93"/>
      <c r="H59" s="94"/>
      <c r="J59" s="93"/>
    </row>
    <row r="60" spans="1:10" x14ac:dyDescent="0.25">
      <c r="A60" s="92"/>
      <c r="B60" s="97"/>
      <c r="C60" s="93"/>
      <c r="D60" s="94"/>
      <c r="E60" s="93"/>
      <c r="H60" s="94"/>
      <c r="J60" s="93"/>
    </row>
    <row r="61" spans="1:10" x14ac:dyDescent="0.25">
      <c r="A61" s="92"/>
      <c r="B61" s="97"/>
      <c r="C61" s="93"/>
      <c r="D61" s="94"/>
      <c r="E61" s="93"/>
      <c r="H61" s="94"/>
      <c r="J61" s="93"/>
    </row>
    <row r="62" spans="1:10" x14ac:dyDescent="0.25">
      <c r="A62" s="92"/>
      <c r="B62" s="97"/>
      <c r="C62" s="93"/>
      <c r="D62" s="94"/>
      <c r="E62" s="93"/>
      <c r="H62" s="94"/>
      <c r="J62" s="93"/>
    </row>
    <row r="63" spans="1:10" x14ac:dyDescent="0.25">
      <c r="A63" s="92"/>
      <c r="B63" s="97"/>
      <c r="C63" s="93"/>
      <c r="D63" s="94"/>
      <c r="E63" s="93"/>
      <c r="H63" s="94"/>
      <c r="J63" s="93"/>
    </row>
    <row r="64" spans="1:10" x14ac:dyDescent="0.25">
      <c r="A64" s="92"/>
      <c r="B64" s="97"/>
      <c r="C64" s="93"/>
      <c r="D64" s="94"/>
      <c r="E64" s="93"/>
      <c r="H64" s="94"/>
      <c r="J64" s="93"/>
    </row>
    <row r="65" spans="1:10" x14ac:dyDescent="0.25">
      <c r="A65" s="92"/>
      <c r="B65" s="97"/>
      <c r="C65" s="93"/>
      <c r="D65" s="94"/>
      <c r="E65" s="93"/>
      <c r="H65" s="94"/>
      <c r="J65" s="93"/>
    </row>
    <row r="66" spans="1:10" x14ac:dyDescent="0.25">
      <c r="A66" s="92"/>
      <c r="B66" s="97"/>
      <c r="C66" s="93"/>
      <c r="D66" s="94"/>
      <c r="E66" s="93"/>
      <c r="H66" s="94"/>
      <c r="J66" s="93"/>
    </row>
    <row r="67" spans="1:10" x14ac:dyDescent="0.25">
      <c r="A67" s="92"/>
      <c r="B67" s="97"/>
      <c r="C67" s="93"/>
      <c r="D67" s="94"/>
      <c r="E67" s="93"/>
      <c r="H67" s="94"/>
      <c r="J67" s="93"/>
    </row>
    <row r="68" spans="1:10" x14ac:dyDescent="0.25">
      <c r="A68" s="92"/>
      <c r="B68" s="97"/>
      <c r="C68" s="93"/>
      <c r="D68" s="94"/>
      <c r="E68" s="93"/>
      <c r="H68" s="94"/>
    </row>
    <row r="69" spans="1:10" x14ac:dyDescent="0.25">
      <c r="A69" s="92"/>
      <c r="B69" s="97"/>
      <c r="C69" s="93"/>
      <c r="D69" s="94"/>
      <c r="E69" s="93"/>
      <c r="H69" s="94"/>
    </row>
    <row r="70" spans="1:10" x14ac:dyDescent="0.25">
      <c r="A70" s="92"/>
      <c r="B70" s="97"/>
      <c r="C70" s="93"/>
      <c r="D70" s="94"/>
      <c r="E70" s="93"/>
      <c r="H70" s="94"/>
    </row>
    <row r="71" spans="1:10" x14ac:dyDescent="0.25">
      <c r="A71" s="92"/>
      <c r="B71" s="97"/>
      <c r="C71" s="93"/>
      <c r="D71" s="94"/>
      <c r="E71" s="93"/>
      <c r="H71" s="94"/>
    </row>
    <row r="72" spans="1:10" x14ac:dyDescent="0.25">
      <c r="A72" s="92"/>
      <c r="B72" s="97"/>
      <c r="C72" s="93"/>
      <c r="D72" s="94"/>
      <c r="H72" s="94"/>
    </row>
    <row r="73" spans="1:10" x14ac:dyDescent="0.25">
      <c r="A73" s="92"/>
      <c r="B73" s="97"/>
      <c r="C73" s="93"/>
      <c r="D73" s="94"/>
      <c r="H73" s="94"/>
    </row>
    <row r="74" spans="1:10" x14ac:dyDescent="0.25">
      <c r="A74" s="92"/>
      <c r="B74" s="97"/>
      <c r="C74" s="93"/>
      <c r="D74" s="94"/>
      <c r="H74" s="94"/>
    </row>
    <row r="75" spans="1:10" x14ac:dyDescent="0.25">
      <c r="A75" s="92"/>
      <c r="B75" s="97"/>
      <c r="C75" s="93"/>
      <c r="D75" s="94"/>
      <c r="H75" s="94"/>
    </row>
    <row r="76" spans="1:10" x14ac:dyDescent="0.25">
      <c r="A76" s="92"/>
      <c r="B76" s="97"/>
      <c r="C76" s="93"/>
      <c r="D76" s="94"/>
      <c r="H76" s="94"/>
    </row>
    <row r="77" spans="1:10" x14ac:dyDescent="0.25">
      <c r="A77" s="92"/>
      <c r="B77" s="97"/>
      <c r="C77" s="93"/>
      <c r="D77" s="94"/>
      <c r="H77" s="94"/>
    </row>
    <row r="78" spans="1:10" x14ac:dyDescent="0.25">
      <c r="A78" s="92"/>
      <c r="B78" s="97"/>
      <c r="C78" s="93"/>
      <c r="D78" s="94"/>
      <c r="H78" s="94"/>
    </row>
    <row r="79" spans="1:10" x14ac:dyDescent="0.25">
      <c r="A79" s="92"/>
      <c r="B79" s="97"/>
      <c r="D79" s="94"/>
      <c r="H79" s="94"/>
    </row>
    <row r="80" spans="1:10" x14ac:dyDescent="0.25">
      <c r="A80" s="92"/>
      <c r="B80" s="97"/>
      <c r="D80" s="94"/>
      <c r="H80" s="94"/>
    </row>
    <row r="81" spans="1:8" x14ac:dyDescent="0.25">
      <c r="A81" s="92"/>
      <c r="B81" s="97"/>
      <c r="D81" s="94"/>
      <c r="H81" s="94"/>
    </row>
    <row r="82" spans="1:8" x14ac:dyDescent="0.25">
      <c r="A82" s="92"/>
      <c r="B82" s="97"/>
      <c r="D82" s="94"/>
      <c r="H82" s="94"/>
    </row>
    <row r="83" spans="1:8" x14ac:dyDescent="0.25">
      <c r="A83" s="92"/>
      <c r="B83" s="97"/>
      <c r="D83" s="94"/>
      <c r="H83" s="94"/>
    </row>
    <row r="84" spans="1:8" x14ac:dyDescent="0.25">
      <c r="A84" s="92"/>
      <c r="B84" s="97"/>
      <c r="D84" s="94"/>
      <c r="H84" s="94"/>
    </row>
    <row r="85" spans="1:8" x14ac:dyDescent="0.25">
      <c r="A85" s="92"/>
      <c r="B85" s="97"/>
      <c r="D85" s="94"/>
      <c r="H85" s="94"/>
    </row>
    <row r="86" spans="1:8" x14ac:dyDescent="0.25">
      <c r="A86" s="92"/>
      <c r="B86" s="97"/>
      <c r="D86" s="94"/>
      <c r="H86" s="94"/>
    </row>
    <row r="87" spans="1:8" x14ac:dyDescent="0.25">
      <c r="A87" s="92"/>
      <c r="B87" s="97"/>
      <c r="D87" s="94"/>
      <c r="H87" s="94"/>
    </row>
    <row r="88" spans="1:8" x14ac:dyDescent="0.25">
      <c r="A88" s="92"/>
      <c r="B88" s="97"/>
      <c r="D88" s="94"/>
      <c r="H88" s="94"/>
    </row>
    <row r="89" spans="1:8" x14ac:dyDescent="0.25">
      <c r="A89" s="92"/>
      <c r="B89" s="97"/>
      <c r="D89" s="94"/>
      <c r="H89" s="94"/>
    </row>
    <row r="90" spans="1:8" x14ac:dyDescent="0.25">
      <c r="A90" s="92"/>
      <c r="B90" s="97"/>
      <c r="D90" s="94"/>
      <c r="H90" s="94"/>
    </row>
    <row r="91" spans="1:8" x14ac:dyDescent="0.25">
      <c r="A91" s="92"/>
      <c r="B91" s="97"/>
      <c r="D91" s="94"/>
      <c r="H91" s="94"/>
    </row>
    <row r="92" spans="1:8" x14ac:dyDescent="0.25">
      <c r="A92" s="92"/>
      <c r="B92" s="97"/>
      <c r="D92" s="94"/>
      <c r="H92" s="94"/>
    </row>
    <row r="93" spans="1:8" x14ac:dyDescent="0.25">
      <c r="A93" s="92"/>
      <c r="B93" s="97"/>
      <c r="D93" s="94"/>
      <c r="H93" s="94"/>
    </row>
    <row r="94" spans="1:8" x14ac:dyDescent="0.25">
      <c r="A94" s="92"/>
      <c r="B94" s="97"/>
      <c r="D94" s="93"/>
      <c r="H94" s="94"/>
    </row>
    <row r="95" spans="1:8" x14ac:dyDescent="0.25">
      <c r="A95" s="92"/>
      <c r="B95" s="97"/>
      <c r="D95" s="93"/>
      <c r="H95" s="94"/>
    </row>
    <row r="96" spans="1:8" x14ac:dyDescent="0.25">
      <c r="A96" s="92"/>
      <c r="B96" s="97"/>
      <c r="D96" s="93"/>
      <c r="H96" s="94"/>
    </row>
    <row r="97" spans="1:8" x14ac:dyDescent="0.25">
      <c r="A97" s="92"/>
      <c r="B97" s="97"/>
      <c r="D97" s="93"/>
      <c r="H97" s="94"/>
    </row>
    <row r="98" spans="1:8" x14ac:dyDescent="0.25">
      <c r="A98" s="92"/>
      <c r="B98" s="97"/>
      <c r="D98" s="93"/>
      <c r="H98" s="94"/>
    </row>
    <row r="99" spans="1:8" x14ac:dyDescent="0.25">
      <c r="A99" s="92"/>
      <c r="B99" s="97"/>
      <c r="D99" s="93"/>
      <c r="H99" s="94"/>
    </row>
    <row r="100" spans="1:8" x14ac:dyDescent="0.25">
      <c r="A100" s="92"/>
      <c r="B100" s="97"/>
      <c r="D100" s="93"/>
      <c r="H100" s="94"/>
    </row>
    <row r="101" spans="1:8" x14ac:dyDescent="0.25">
      <c r="A101" s="92"/>
      <c r="B101" s="97"/>
      <c r="D101" s="93"/>
      <c r="H101" s="94"/>
    </row>
    <row r="102" spans="1:8" x14ac:dyDescent="0.25">
      <c r="A102" s="92"/>
      <c r="B102" s="97"/>
      <c r="D102" s="93"/>
      <c r="H102" s="94"/>
    </row>
    <row r="103" spans="1:8" x14ac:dyDescent="0.25">
      <c r="A103" s="92"/>
      <c r="B103" s="97"/>
      <c r="D103" s="93"/>
      <c r="H103" s="94"/>
    </row>
    <row r="104" spans="1:8" x14ac:dyDescent="0.25">
      <c r="A104" s="92"/>
      <c r="B104" s="97"/>
      <c r="D104" s="93"/>
      <c r="H104" s="94"/>
    </row>
    <row r="105" spans="1:8" x14ac:dyDescent="0.25">
      <c r="A105" s="92"/>
      <c r="B105" s="97"/>
      <c r="D105" s="93"/>
      <c r="H105" s="94"/>
    </row>
    <row r="106" spans="1:8" x14ac:dyDescent="0.25">
      <c r="A106" s="92"/>
      <c r="B106" s="97"/>
      <c r="D106" s="93"/>
      <c r="H106" s="94"/>
    </row>
    <row r="107" spans="1:8" x14ac:dyDescent="0.25">
      <c r="A107" s="92"/>
      <c r="B107" s="97"/>
      <c r="D107" s="93"/>
      <c r="H107" s="94"/>
    </row>
    <row r="108" spans="1:8" x14ac:dyDescent="0.25">
      <c r="A108" s="92"/>
      <c r="B108" s="97"/>
      <c r="D108" s="93"/>
      <c r="H108" s="94"/>
    </row>
    <row r="109" spans="1:8" x14ac:dyDescent="0.25">
      <c r="A109" s="92"/>
      <c r="B109" s="97"/>
      <c r="D109" s="93"/>
      <c r="H109" s="94"/>
    </row>
    <row r="110" spans="1:8" x14ac:dyDescent="0.25">
      <c r="A110" s="92"/>
      <c r="B110" s="97"/>
      <c r="D110" s="93"/>
      <c r="H110" s="94"/>
    </row>
    <row r="111" spans="1:8" x14ac:dyDescent="0.25">
      <c r="A111" s="92"/>
      <c r="B111" s="97"/>
      <c r="D111" s="93"/>
      <c r="H111" s="94"/>
    </row>
    <row r="112" spans="1:8" x14ac:dyDescent="0.25">
      <c r="A112" s="92"/>
      <c r="B112" s="97"/>
      <c r="D112" s="93"/>
      <c r="H112" s="94"/>
    </row>
    <row r="113" spans="1:8" x14ac:dyDescent="0.25">
      <c r="A113" s="92"/>
      <c r="B113" s="97"/>
      <c r="D113" s="93"/>
      <c r="H113" s="99"/>
    </row>
    <row r="114" spans="1:8" x14ac:dyDescent="0.25">
      <c r="A114" s="92"/>
      <c r="B114" s="97"/>
      <c r="D114" s="93"/>
    </row>
    <row r="115" spans="1:8" x14ac:dyDescent="0.25">
      <c r="A115" s="92"/>
      <c r="B115" s="97"/>
      <c r="D115" s="93"/>
    </row>
    <row r="116" spans="1:8" x14ac:dyDescent="0.25">
      <c r="A116" s="92"/>
      <c r="B116" s="97"/>
      <c r="D116" s="94"/>
    </row>
    <row r="117" spans="1:8" x14ac:dyDescent="0.25">
      <c r="A117" s="92"/>
      <c r="B117" s="97"/>
      <c r="D117" s="94"/>
    </row>
    <row r="118" spans="1:8" x14ac:dyDescent="0.25">
      <c r="A118" s="92"/>
      <c r="B118" s="97"/>
      <c r="D118" s="94"/>
    </row>
    <row r="119" spans="1:8" x14ac:dyDescent="0.25">
      <c r="A119" s="92"/>
      <c r="B119" s="97"/>
      <c r="D119" s="94"/>
    </row>
    <row r="120" spans="1:8" x14ac:dyDescent="0.25">
      <c r="A120" s="92"/>
      <c r="B120" s="97"/>
      <c r="D120" s="9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58</vt:i4>
      </vt:variant>
    </vt:vector>
  </HeadingPairs>
  <TitlesOfParts>
    <vt:vector size="58" baseType="lpstr">
      <vt:lpstr>LSF,Mosleh (Electrochem)</vt:lpstr>
      <vt:lpstr>LSF,Sogaard (Electroceram)</vt:lpstr>
      <vt:lpstr>LSF,Sogaard (Solid State Chem)</vt:lpstr>
      <vt:lpstr>LSF,Yang (Solid State Ionics)</vt:lpstr>
      <vt:lpstr>LSF,ten Elshof (Electrochem)</vt:lpstr>
      <vt:lpstr>LSF,Armstrong (Phys Chem)</vt:lpstr>
      <vt:lpstr>LSF,Ishigaki (Solid State Chem)</vt:lpstr>
      <vt:lpstr>LSF,Baumann (Electrochem)</vt:lpstr>
      <vt:lpstr>LSF,Tripkovic (Phys Chem)</vt:lpstr>
      <vt:lpstr>LSFC,Plonczak (Electrochem)</vt:lpstr>
      <vt:lpstr>LSFC,Bouwmeester (Solid State)</vt:lpstr>
      <vt:lpstr>LSFC,Cox-Galhotra (Solid State)</vt:lpstr>
      <vt:lpstr>LSFC,Dalslet (Electrochem)</vt:lpstr>
      <vt:lpstr>LSFC,Huang (Electrochem)</vt:lpstr>
      <vt:lpstr>LSFC,Lane (Electrochem)</vt:lpstr>
      <vt:lpstr>LSFC,Li (Electrochem)</vt:lpstr>
      <vt:lpstr>LSFC,Reid (Electrochem)</vt:lpstr>
      <vt:lpstr>LSFC,Wang (Solid State Ionics)</vt:lpstr>
      <vt:lpstr>LSFC,Armstrong (Phys Chem)</vt:lpstr>
      <vt:lpstr>LSFC,Chater (Solid State Ionics</vt:lpstr>
      <vt:lpstr>LSFC,Steele (Solid State Ionics</vt:lpstr>
      <vt:lpstr>LSFC,Baumann (Electrochem)</vt:lpstr>
      <vt:lpstr>LSFC,Simrick (Electrochem)</vt:lpstr>
      <vt:lpstr>LSC,Moreno (Electrochem)</vt:lpstr>
      <vt:lpstr>LSC,Berenov (Solid State Ionic)</vt:lpstr>
      <vt:lpstr>LSC,Egger (Solid State Ionics)</vt:lpstr>
      <vt:lpstr>LSC,Sogaard (Solid State Ionics</vt:lpstr>
      <vt:lpstr>LSC,Baumann (Electrochem)</vt:lpstr>
      <vt:lpstr>LSC,Januschewsky (Adv Funct)</vt:lpstr>
      <vt:lpstr>LSC,Siebenhofer (Mater Chem)</vt:lpstr>
      <vt:lpstr>LSC,Adler(Solid State Ionics)</vt:lpstr>
      <vt:lpstr>LSC,Hayd (Elechtrochem)</vt:lpstr>
      <vt:lpstr>LSC,Preis (J. Power Sources)</vt:lpstr>
      <vt:lpstr>SSC,Yeh (Solid State Ionics)</vt:lpstr>
      <vt:lpstr>SSC,Fullarton (Ionics)</vt:lpstr>
      <vt:lpstr>SSC,Baumann (Electrochem)</vt:lpstr>
      <vt:lpstr>SSC,Fu (Power Sources)</vt:lpstr>
      <vt:lpstr>BSCF,Burriel (Solid State)</vt:lpstr>
      <vt:lpstr>BSCF,Wang (Applied Phys)</vt:lpstr>
      <vt:lpstr>BSCF,Bucher (Electrochem)</vt:lpstr>
      <vt:lpstr>BSCF,Bucher (Solid State Ionics</vt:lpstr>
      <vt:lpstr>BSCF,Chen (Int J. Hydrogen)</vt:lpstr>
      <vt:lpstr>BSCF,Girdauskaite (Solid State)</vt:lpstr>
      <vt:lpstr>BSCF,Ried (Electrochem)</vt:lpstr>
      <vt:lpstr>BSCF,Moreno (Electrochem)</vt:lpstr>
      <vt:lpstr>BSCF,Baumann (Solid State Ionic</vt:lpstr>
      <vt:lpstr>BSCF,Baumann (Electrochem)</vt:lpstr>
      <vt:lpstr>BSCF,Wang (Electrochem)</vt:lpstr>
      <vt:lpstr>BSCF,Falkenstein (Solid State I</vt:lpstr>
      <vt:lpstr>BSCF,Lohne (J.Electrochem Soc)</vt:lpstr>
      <vt:lpstr>PCO,Nicollet (Nature)</vt:lpstr>
      <vt:lpstr>PCO,Nicollet (Solid State Ionic</vt:lpstr>
      <vt:lpstr>PCO,Chen (ACS Appl)</vt:lpstr>
      <vt:lpstr>PCO,Ma (ACS Appl)</vt:lpstr>
      <vt:lpstr>PCO,Chen (Electroceram)</vt:lpstr>
      <vt:lpstr>PCO,Simons (Am Ceram Soc)</vt:lpstr>
      <vt:lpstr>PCO,Zhao (Chem Mater)</vt:lpstr>
      <vt:lpstr>PCO,Chen (Appl Materis)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</dc:creator>
  <cp:lastModifiedBy>Ted</cp:lastModifiedBy>
  <dcterms:created xsi:type="dcterms:W3CDTF">2021-07-16T11:05:02Z</dcterms:created>
  <dcterms:modified xsi:type="dcterms:W3CDTF">2021-10-18T13:58:45Z</dcterms:modified>
</cp:coreProperties>
</file>