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ojun/Dropbox (MIT)/I-HJANMJL-SACs/Data/energies/"/>
    </mc:Choice>
  </mc:AlternateContent>
  <xr:revisionPtr revIDLastSave="0" documentId="13_ncr:1_{5FDAF527-376B-424B-833C-45BF3A24B260}" xr6:coauthVersionLast="47" xr6:coauthVersionMax="47" xr10:uidLastSave="{00000000-0000-0000-0000-000000000000}"/>
  <bookViews>
    <workbookView xWindow="-38960" yWindow="5620" windowWidth="35840" windowHeight="21900" xr2:uid="{8EBCFFB2-78C9-0A4C-9DCA-CEF9A88F9A2E}"/>
  </bookViews>
  <sheets>
    <sheet name="total energies" sheetId="1" r:id="rId1"/>
    <sheet name="bond lengths" sheetId="2" r:id="rId2"/>
    <sheet name="formation energy " sheetId="3" r:id="rId3"/>
    <sheet name="reaction energy" sheetId="4" r:id="rId4"/>
    <sheet name="reaction progress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2" l="1"/>
  <c r="E4" i="2"/>
  <c r="E3" i="2"/>
  <c r="E2" i="2"/>
  <c r="AU159" i="1" l="1"/>
  <c r="AR159" i="1"/>
  <c r="AO159" i="1"/>
  <c r="AL159" i="1"/>
  <c r="AJ159" i="1"/>
  <c r="AU158" i="1"/>
  <c r="AR158" i="1"/>
  <c r="AO158" i="1"/>
  <c r="AL158" i="1"/>
  <c r="AJ158" i="1"/>
  <c r="AU157" i="1"/>
  <c r="AR157" i="1"/>
  <c r="AO157" i="1"/>
  <c r="AL157" i="1"/>
  <c r="AJ157" i="1"/>
  <c r="AU156" i="1"/>
  <c r="AR156" i="1"/>
  <c r="AO156" i="1"/>
  <c r="AL156" i="1"/>
  <c r="AJ156" i="1"/>
  <c r="AU150" i="1"/>
  <c r="AR150" i="1"/>
  <c r="AO150" i="1"/>
  <c r="AL150" i="1"/>
  <c r="AJ150" i="1"/>
  <c r="AU149" i="1"/>
  <c r="AR149" i="1"/>
  <c r="AO149" i="1"/>
  <c r="AL149" i="1"/>
  <c r="AJ149" i="1"/>
  <c r="AS149" i="1" s="1"/>
  <c r="AT149" i="1" s="1"/>
  <c r="AU148" i="1"/>
  <c r="AR148" i="1"/>
  <c r="AS148" i="1" s="1"/>
  <c r="AT148" i="1" s="1"/>
  <c r="AO148" i="1"/>
  <c r="AL148" i="1"/>
  <c r="AJ148" i="1"/>
  <c r="AU147" i="1"/>
  <c r="AR147" i="1"/>
  <c r="AO147" i="1"/>
  <c r="AL147" i="1"/>
  <c r="AJ147" i="1"/>
  <c r="AU140" i="1"/>
  <c r="AR140" i="1"/>
  <c r="AO140" i="1"/>
  <c r="AL140" i="1"/>
  <c r="AJ140" i="1"/>
  <c r="AU139" i="1"/>
  <c r="AR139" i="1"/>
  <c r="AO139" i="1"/>
  <c r="AL139" i="1"/>
  <c r="AJ139" i="1"/>
  <c r="AU138" i="1"/>
  <c r="AR138" i="1"/>
  <c r="AO138" i="1"/>
  <c r="AL138" i="1"/>
  <c r="AJ138" i="1"/>
  <c r="AU137" i="1"/>
  <c r="AR137" i="1"/>
  <c r="AO137" i="1"/>
  <c r="AL137" i="1"/>
  <c r="AJ137" i="1"/>
  <c r="AU133" i="1"/>
  <c r="AR133" i="1"/>
  <c r="AO133" i="1"/>
  <c r="AL133" i="1"/>
  <c r="AJ133" i="1"/>
  <c r="AU132" i="1"/>
  <c r="AR132" i="1"/>
  <c r="AO132" i="1"/>
  <c r="AL132" i="1"/>
  <c r="AJ132" i="1"/>
  <c r="AU131" i="1"/>
  <c r="AR131" i="1"/>
  <c r="AO131" i="1"/>
  <c r="AL131" i="1"/>
  <c r="AJ131" i="1"/>
  <c r="AU130" i="1"/>
  <c r="AR130" i="1"/>
  <c r="AO130" i="1"/>
  <c r="AL130" i="1"/>
  <c r="AJ130" i="1"/>
  <c r="AH14" i="1"/>
  <c r="AH13" i="1"/>
  <c r="AH12" i="1"/>
  <c r="AH11" i="1"/>
  <c r="AH6" i="1"/>
  <c r="AH5" i="1"/>
  <c r="AH4" i="1"/>
  <c r="AH3" i="1"/>
  <c r="AS156" i="1" l="1"/>
  <c r="AT156" i="1" s="1"/>
  <c r="AM138" i="1"/>
  <c r="AN138" i="1" s="1"/>
  <c r="AV148" i="1"/>
  <c r="AW148" i="1" s="1"/>
  <c r="AI11" i="1"/>
  <c r="AJ11" i="1" s="1"/>
  <c r="AI14" i="1"/>
  <c r="AJ14" i="1" s="1"/>
  <c r="AM158" i="1"/>
  <c r="AN158" i="1" s="1"/>
  <c r="AI13" i="1"/>
  <c r="AJ13" i="1" s="1"/>
  <c r="AM133" i="1"/>
  <c r="AN133" i="1" s="1"/>
  <c r="AP132" i="1"/>
  <c r="AQ132" i="1" s="1"/>
  <c r="AS132" i="1"/>
  <c r="AT132" i="1" s="1"/>
  <c r="AP159" i="1"/>
  <c r="AQ159" i="1" s="1"/>
  <c r="AP133" i="1"/>
  <c r="AQ133" i="1" s="1"/>
  <c r="AI4" i="1"/>
  <c r="AJ3" i="1" s="1"/>
  <c r="AV149" i="1"/>
  <c r="AW149" i="1" s="1"/>
  <c r="AV132" i="1"/>
  <c r="AW132" i="1" s="1"/>
  <c r="AI3" i="1"/>
  <c r="AJ2" i="1" s="1"/>
  <c r="AI5" i="1"/>
  <c r="AJ4" i="1" s="1"/>
  <c r="AP131" i="1"/>
  <c r="AQ131" i="1" s="1"/>
  <c r="AV159" i="1"/>
  <c r="AW159" i="1" s="1"/>
  <c r="AM132" i="1"/>
  <c r="AN132" i="1" s="1"/>
  <c r="AI6" i="1"/>
  <c r="AJ5" i="1" s="1"/>
  <c r="AS131" i="1"/>
  <c r="AT131" i="1" s="1"/>
  <c r="AM130" i="1"/>
  <c r="AN130" i="1" s="1"/>
  <c r="AI12" i="1"/>
  <c r="AJ12" i="1" s="1"/>
  <c r="AV147" i="1"/>
  <c r="AW147" i="1" s="1"/>
  <c r="AV131" i="1"/>
  <c r="AW131" i="1" s="1"/>
  <c r="AM137" i="1"/>
  <c r="AN137" i="1" s="1"/>
  <c r="AV157" i="1"/>
  <c r="AW157" i="1" s="1"/>
  <c r="AV133" i="1"/>
  <c r="AW133" i="1" s="1"/>
  <c r="AM139" i="1"/>
  <c r="AN139" i="1" s="1"/>
  <c r="AP147" i="1"/>
  <c r="AQ147" i="1" s="1"/>
  <c r="AS147" i="1"/>
  <c r="AT147" i="1" s="1"/>
  <c r="AS159" i="1"/>
  <c r="AT159" i="1" s="1"/>
  <c r="AS150" i="1"/>
  <c r="AT150" i="1" s="1"/>
  <c r="AP137" i="1"/>
  <c r="AQ137" i="1" s="1"/>
  <c r="AM140" i="1"/>
  <c r="AN140" i="1" s="1"/>
  <c r="AV137" i="1"/>
  <c r="AW137" i="1" s="1"/>
  <c r="AP158" i="1"/>
  <c r="AQ158" i="1" s="1"/>
  <c r="AS158" i="1"/>
  <c r="AT158" i="1" s="1"/>
  <c r="AP130" i="1"/>
  <c r="AQ130" i="1" s="1"/>
  <c r="AS130" i="1"/>
  <c r="AT130" i="1" s="1"/>
  <c r="AV130" i="1"/>
  <c r="AW130" i="1" s="1"/>
  <c r="AM131" i="1"/>
  <c r="AN131" i="1" s="1"/>
  <c r="AM149" i="1"/>
  <c r="AN149" i="1" s="1"/>
  <c r="AP149" i="1"/>
  <c r="AQ149" i="1" s="1"/>
  <c r="AS133" i="1"/>
  <c r="AT133" i="1" s="1"/>
  <c r="AM157" i="1"/>
  <c r="AN157" i="1" s="1"/>
  <c r="AP157" i="1"/>
  <c r="AQ157" i="1" s="1"/>
  <c r="AS137" i="1"/>
  <c r="AT137" i="1" s="1"/>
  <c r="AM156" i="1"/>
  <c r="AN156" i="1" s="1"/>
  <c r="AS157" i="1"/>
  <c r="AT157" i="1" s="1"/>
  <c r="AP138" i="1"/>
  <c r="AQ138" i="1" s="1"/>
  <c r="AP139" i="1"/>
  <c r="AQ139" i="1" s="1"/>
  <c r="AP156" i="1"/>
  <c r="AQ156" i="1" s="1"/>
  <c r="AS138" i="1"/>
  <c r="AT138" i="1" s="1"/>
  <c r="AS139" i="1"/>
  <c r="AT139" i="1" s="1"/>
  <c r="AM150" i="1"/>
  <c r="AN150" i="1" s="1"/>
  <c r="AV138" i="1"/>
  <c r="AW138" i="1" s="1"/>
  <c r="AV139" i="1"/>
  <c r="AW139" i="1" s="1"/>
  <c r="AP140" i="1"/>
  <c r="AQ140" i="1" s="1"/>
  <c r="AP150" i="1"/>
  <c r="AQ150" i="1" s="1"/>
  <c r="AV156" i="1"/>
  <c r="AW156" i="1" s="1"/>
  <c r="AS140" i="1"/>
  <c r="AT140" i="1" s="1"/>
  <c r="AV140" i="1"/>
  <c r="AW140" i="1" s="1"/>
  <c r="AP148" i="1"/>
  <c r="AQ148" i="1" s="1"/>
  <c r="AV150" i="1"/>
  <c r="AW150" i="1" s="1"/>
  <c r="AM147" i="1"/>
  <c r="AN147" i="1" s="1"/>
  <c r="AM148" i="1"/>
  <c r="AN148" i="1" s="1"/>
  <c r="AM159" i="1"/>
  <c r="AN159" i="1" s="1"/>
  <c r="AV158" i="1"/>
  <c r="AW158" i="1" s="1"/>
</calcChain>
</file>

<file path=xl/sharedStrings.xml><?xml version="1.0" encoding="utf-8"?>
<sst xmlns="http://schemas.openxmlformats.org/spreadsheetml/2006/main" count="121" uniqueCount="48">
  <si>
    <t>Fe_N_C</t>
  </si>
  <si>
    <t>Fe_O_C</t>
  </si>
  <si>
    <t>Fe_P_C</t>
  </si>
  <si>
    <t>Fe_S_C</t>
  </si>
  <si>
    <t>E(resting state) 
+ E(methane)+ E(N2O)</t>
  </si>
  <si>
    <t>E(oxo intermediate) 
+ E(methane) + E(N2)</t>
  </si>
  <si>
    <t>E(hydroxyl intermediate) 
+ E(methyl radical) + E(N2)</t>
  </si>
  <si>
    <t>E(methanaol intermediate) 
+ E(N2)</t>
  </si>
  <si>
    <t>E(resting state) 
+ E(methanol) + E(N2)</t>
  </si>
  <si>
    <t>E(methanol release)  a.u.</t>
  </si>
  <si>
    <t>E(methanol release)  kcal/mol</t>
  </si>
  <si>
    <t>energies are for wPBEh with LACVP*</t>
  </si>
  <si>
    <t>M=O bond length in oxo intermediate (Å)</t>
  </si>
  <si>
    <t>M-OH bond length in hydroxyl intermediate (Å)</t>
  </si>
  <si>
    <t>E_formation (a.u.)</t>
  </si>
  <si>
    <t>E_formation (eV)</t>
  </si>
  <si>
    <t>Fe-dopant1 (Å)</t>
  </si>
  <si>
    <t>Fe-dopant2 (Å)</t>
  </si>
  <si>
    <t>Fe-dopant3(Å)</t>
  </si>
  <si>
    <t>Fe-dopant3 (Å)</t>
  </si>
  <si>
    <t>Fe-dopant4 (Å)</t>
  </si>
  <si>
    <t>average (Å)</t>
  </si>
  <si>
    <t>ΔE(oxo)  (a.u.)</t>
  </si>
  <si>
    <t>ΔE(oxo)  (kcal/mol)</t>
  </si>
  <si>
    <t>ΔE(HAT)  (a.u.)</t>
  </si>
  <si>
    <t>ΔE(HAT) (kcal/mol)</t>
  </si>
  <si>
    <t>ΔE(rebound) (a.u.)</t>
  </si>
  <si>
    <t>ΔE(rebound) (kcal/mol)</t>
  </si>
  <si>
    <t>ΔE(release) (a.u.)</t>
  </si>
  <si>
    <t>ΔE(release)  (kcal/mol)</t>
  </si>
  <si>
    <t>E(hydroxyl intermediate) 
+ E(methyl radical) + E(N2) (a.u.)</t>
  </si>
  <si>
    <t>E(resting state) 
+ E(methanol) + E(N2) (a.u.)</t>
  </si>
  <si>
    <t>E(methanol intermediate) 
+ E(N2) (a.u.)</t>
  </si>
  <si>
    <t>E(resting state) 
+ E(methane)+ E(N2O) (a.u.)</t>
  </si>
  <si>
    <t>E(oxo intermediate) 
+ E(methane) + E(N2) (a.u.)</t>
  </si>
  <si>
    <t>M-O bond length in methanol intermediate (Å)</t>
  </si>
  <si>
    <t>6-membered-rings 
(full optimization)</t>
  </si>
  <si>
    <t>6-membered-rings 
(fixed z-axis)</t>
  </si>
  <si>
    <t>resting state intermediate (a.u.)</t>
  </si>
  <si>
    <t>bare flake without Fe (a.u.)</t>
  </si>
  <si>
    <t>oxo intermediate (a.u.)</t>
  </si>
  <si>
    <t>hydroxyl intermediate (a.u.)</t>
  </si>
  <si>
    <t>methanol intermediate (a.u.)</t>
  </si>
  <si>
    <t>naming scheme</t>
  </si>
  <si>
    <t>metal_coordinating atom_C</t>
  </si>
  <si>
    <t>C stands for graphene</t>
  </si>
  <si>
    <t>name
(full optimization)</t>
  </si>
  <si>
    <t>name
(fixed z-axis)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</si>
</sst>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quotePrefix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D04AD-8C1D-5B49-9FD3-C6FE3CADF5AE}">
  <dimension ref="A1:AW172"/>
  <sheetViews>
    <sheetView tabSelected="1" zoomScale="125" zoomScaleNormal="83" workbookViewId="0">
      <selection activeCell="H1" sqref="H1:H3"/>
    </sheetView>
  </sheetViews>
  <sheetFormatPr baseColWidth="10" defaultRowHeight="16" x14ac:dyDescent="0.2"/>
  <cols>
    <col min="1" max="1" width="33.5" style="1" bestFit="1" customWidth="1"/>
    <col min="2" max="2" width="27.1640625" style="1" customWidth="1"/>
    <col min="3" max="3" width="25.33203125" style="1" customWidth="1"/>
    <col min="4" max="5" width="24" style="1" customWidth="1"/>
    <col min="6" max="6" width="24.33203125" style="1" customWidth="1"/>
    <col min="8" max="8" width="25.5" customWidth="1"/>
    <col min="9" max="9" width="21.5" style="1" customWidth="1"/>
    <col min="10" max="10" width="17.83203125" style="1" customWidth="1"/>
    <col min="11" max="11" width="23.33203125" style="1" customWidth="1"/>
    <col min="12" max="12" width="16.6640625" style="1" customWidth="1"/>
    <col min="13" max="13" width="29.83203125" style="1" customWidth="1"/>
    <col min="14" max="14" width="24" style="1" customWidth="1"/>
    <col min="15" max="15" width="18.5" style="1" customWidth="1"/>
    <col min="16" max="16" width="15.83203125" style="1" customWidth="1"/>
    <col min="17" max="17" width="18.83203125" style="1" customWidth="1"/>
    <col min="18" max="19" width="24.33203125" style="1" customWidth="1"/>
    <col min="20" max="20" width="20.83203125" style="1" customWidth="1"/>
    <col min="21" max="21" width="18.83203125" style="1" customWidth="1"/>
    <col min="22" max="22" width="16.6640625" style="1" customWidth="1"/>
    <col min="23" max="23" width="23.83203125" style="1" customWidth="1"/>
    <col min="24" max="24" width="22.83203125" style="1" customWidth="1"/>
    <col min="25" max="25" width="27.6640625" style="1" customWidth="1"/>
    <col min="26" max="26" width="20.5" style="1" customWidth="1"/>
    <col min="27" max="27" width="24.83203125" style="1" customWidth="1"/>
    <col min="28" max="29" width="23" style="1" customWidth="1"/>
    <col min="30" max="30" width="19.83203125" style="1" customWidth="1"/>
    <col min="31" max="31" width="16.33203125" style="1" customWidth="1"/>
    <col min="32" max="32" width="22.5" style="1" customWidth="1"/>
    <col min="33" max="33" width="26.83203125" style="1" customWidth="1"/>
    <col min="34" max="34" width="16.6640625" style="1" customWidth="1"/>
    <col min="35" max="35" width="22.1640625" style="1" customWidth="1"/>
    <col min="36" max="36" width="28" style="1" customWidth="1"/>
    <col min="37" max="37" width="14" style="1" customWidth="1"/>
    <col min="38" max="38" width="20.83203125" style="1" customWidth="1"/>
    <col min="39" max="39" width="10.6640625" style="1" customWidth="1"/>
    <col min="40" max="40" width="15.33203125" style="1" customWidth="1"/>
    <col min="41" max="41" width="25.1640625" style="1" customWidth="1"/>
    <col min="42" max="43" width="13.5" style="1" customWidth="1"/>
    <col min="44" max="44" width="25.6640625" style="1" customWidth="1"/>
    <col min="45" max="46" width="10.83203125" style="1"/>
    <col min="47" max="47" width="28" style="1" customWidth="1"/>
    <col min="48" max="48" width="17" style="1" customWidth="1"/>
    <col min="49" max="16384" width="10.83203125" style="1"/>
  </cols>
  <sheetData>
    <row r="1" spans="1:36" ht="51" x14ac:dyDescent="0.2">
      <c r="A1" s="9" t="s">
        <v>46</v>
      </c>
      <c r="B1" s="2" t="s">
        <v>38</v>
      </c>
      <c r="C1" s="2" t="s">
        <v>39</v>
      </c>
      <c r="D1" s="2" t="s">
        <v>40</v>
      </c>
      <c r="E1" s="2" t="s">
        <v>41</v>
      </c>
      <c r="F1" s="2" t="s">
        <v>42</v>
      </c>
      <c r="G1" s="1"/>
      <c r="H1" s="6" t="s">
        <v>43</v>
      </c>
      <c r="N1" s="2"/>
      <c r="R1" s="2"/>
      <c r="X1" s="2"/>
      <c r="Y1" s="2"/>
      <c r="AB1" s="2"/>
      <c r="AE1" s="2"/>
      <c r="AH1" s="2" t="s">
        <v>8</v>
      </c>
      <c r="AI1" s="1" t="s">
        <v>9</v>
      </c>
      <c r="AJ1" s="1" t="s">
        <v>10</v>
      </c>
    </row>
    <row r="2" spans="1:36" ht="19" customHeight="1" x14ac:dyDescent="0.2">
      <c r="A2" s="3" t="s">
        <v>0</v>
      </c>
      <c r="B2" s="8">
        <v>-1721.9736507798</v>
      </c>
      <c r="C2" s="6">
        <v>-1598.3066793619</v>
      </c>
      <c r="D2" s="6">
        <v>-1797.0657403511</v>
      </c>
      <c r="E2" s="6">
        <v>-1797.7547612651999</v>
      </c>
      <c r="F2" s="6">
        <v>-1837.6396328962001</v>
      </c>
      <c r="G2" s="1"/>
      <c r="H2" s="6" t="s">
        <v>44</v>
      </c>
      <c r="AJ2" s="1" t="e">
        <f>AI3*627.51</f>
        <v>#REF!</v>
      </c>
    </row>
    <row r="3" spans="1:36" x14ac:dyDescent="0.2">
      <c r="A3" s="3" t="s">
        <v>1</v>
      </c>
      <c r="B3" s="8">
        <v>-1803.4782975378</v>
      </c>
      <c r="C3" s="6">
        <v>-1680.1336139166001</v>
      </c>
      <c r="D3" s="6">
        <v>-1878.5751011144</v>
      </c>
      <c r="E3" s="6">
        <v>-1879.2776659302001</v>
      </c>
      <c r="F3" s="6">
        <v>-1919.1532836698</v>
      </c>
      <c r="G3" s="1"/>
      <c r="H3" s="6" t="s">
        <v>45</v>
      </c>
      <c r="K3" s="3"/>
      <c r="O3" s="3"/>
      <c r="S3" s="3"/>
      <c r="X3" s="4"/>
      <c r="AH3" s="4" t="e">
        <f>-1874.8439458795+#REF!+#REF!</f>
        <v>#REF!</v>
      </c>
      <c r="AI3" s="1" t="e">
        <f>AH3-X3</f>
        <v>#REF!</v>
      </c>
      <c r="AJ3" s="1" t="e">
        <f>AI4*627.51</f>
        <v>#REF!</v>
      </c>
    </row>
    <row r="4" spans="1:36" x14ac:dyDescent="0.2">
      <c r="A4" s="3" t="s">
        <v>2</v>
      </c>
      <c r="B4" s="9">
        <v>-2867.8015472908</v>
      </c>
      <c r="C4" s="6">
        <v>-2744.2720032152001</v>
      </c>
      <c r="D4" s="6">
        <v>-2942.898746591</v>
      </c>
      <c r="E4" s="6">
        <v>-2943.5496642398998</v>
      </c>
      <c r="F4" s="6">
        <v>-2983.4445570958001</v>
      </c>
      <c r="G4" s="1"/>
      <c r="H4" s="1"/>
      <c r="K4" s="3"/>
      <c r="O4" s="3"/>
      <c r="S4" s="3"/>
      <c r="X4" s="2"/>
      <c r="AH4" s="2" t="e">
        <f>-1955.8706833693+#REF!+#REF!</f>
        <v>#REF!</v>
      </c>
      <c r="AI4" s="1" t="e">
        <f>AH4-X4</f>
        <v>#REF!</v>
      </c>
      <c r="AJ4" s="1" t="e">
        <f>AI5*627.51</f>
        <v>#REF!</v>
      </c>
    </row>
    <row r="5" spans="1:36" x14ac:dyDescent="0.2">
      <c r="A5" s="3" t="s">
        <v>3</v>
      </c>
      <c r="B5" s="6">
        <v>-3095.0567781399</v>
      </c>
      <c r="C5" s="6">
        <v>-2971.6100249127999</v>
      </c>
      <c r="D5" s="6">
        <v>-3170.1296703978001</v>
      </c>
      <c r="E5" s="6">
        <v>-3170.8131570911</v>
      </c>
      <c r="F5" s="6">
        <v>-3210.7272908120999</v>
      </c>
      <c r="G5" s="1"/>
      <c r="H5" s="1"/>
      <c r="O5" s="3"/>
      <c r="S5" s="3"/>
      <c r="AH5" s="1" t="e">
        <f>-3020.7517928541+#REF!+#REF!</f>
        <v>#REF!</v>
      </c>
      <c r="AI5" s="1" t="e">
        <f>AH5-X5</f>
        <v>#REF!</v>
      </c>
      <c r="AJ5" s="1" t="e">
        <f>AI6*627.51</f>
        <v>#REF!</v>
      </c>
    </row>
    <row r="6" spans="1:36" x14ac:dyDescent="0.2">
      <c r="G6" s="1"/>
      <c r="H6" s="1"/>
      <c r="K6" s="3"/>
      <c r="O6" s="5"/>
      <c r="S6" s="3"/>
      <c r="AH6" s="1" t="e">
        <f>-3247.4494824409+#REF!+#REF!</f>
        <v>#REF!</v>
      </c>
      <c r="AI6" s="1" t="e">
        <f>AH6-X6</f>
        <v>#REF!</v>
      </c>
    </row>
    <row r="7" spans="1:36" x14ac:dyDescent="0.2">
      <c r="B7" s="4"/>
      <c r="G7" s="1"/>
      <c r="H7" s="1"/>
      <c r="X7" s="4"/>
      <c r="AH7" s="4"/>
    </row>
    <row r="8" spans="1:36" x14ac:dyDescent="0.2">
      <c r="A8" s="3"/>
      <c r="B8" s="4"/>
      <c r="G8" s="1"/>
      <c r="H8" s="1"/>
      <c r="X8" s="4"/>
      <c r="AH8" s="4"/>
    </row>
    <row r="9" spans="1:36" ht="51" x14ac:dyDescent="0.2">
      <c r="A9" s="9" t="s">
        <v>47</v>
      </c>
      <c r="B9" s="2" t="s">
        <v>38</v>
      </c>
      <c r="C9" s="2" t="s">
        <v>39</v>
      </c>
      <c r="D9" s="2" t="s">
        <v>40</v>
      </c>
      <c r="E9" s="2" t="s">
        <v>41</v>
      </c>
      <c r="F9" s="2" t="s">
        <v>42</v>
      </c>
      <c r="G9" s="1"/>
      <c r="H9" s="1"/>
      <c r="N9" s="2"/>
      <c r="R9" s="2"/>
      <c r="X9" s="2"/>
      <c r="Y9" s="2"/>
      <c r="AB9" s="2"/>
      <c r="AE9" s="2"/>
      <c r="AH9" s="2" t="s">
        <v>8</v>
      </c>
      <c r="AI9" s="1" t="s">
        <v>9</v>
      </c>
      <c r="AJ9" s="1" t="s">
        <v>10</v>
      </c>
    </row>
    <row r="10" spans="1:36" x14ac:dyDescent="0.2">
      <c r="A10" s="3" t="s">
        <v>0</v>
      </c>
      <c r="B10" s="6">
        <v>-1721.9736517353001</v>
      </c>
      <c r="C10" s="6">
        <v>-1598.2992049662</v>
      </c>
      <c r="D10" s="6">
        <v>-1797.0429241415</v>
      </c>
      <c r="E10" s="6">
        <v>-1797.7462700729</v>
      </c>
      <c r="F10" s="6">
        <v>-1837.6368772911001</v>
      </c>
      <c r="G10" s="1"/>
      <c r="H10" s="1"/>
      <c r="J10" s="2"/>
    </row>
    <row r="11" spans="1:36" ht="17" customHeight="1" x14ac:dyDescent="0.2">
      <c r="A11" s="3" t="s">
        <v>1</v>
      </c>
      <c r="B11" s="6">
        <v>-1803.4782991207001</v>
      </c>
      <c r="C11" s="6">
        <v>-1680.1284900221001</v>
      </c>
      <c r="D11" s="6">
        <v>-1878.5604138228</v>
      </c>
      <c r="E11" s="6">
        <v>-1879.2666419118</v>
      </c>
      <c r="F11" s="6">
        <v>-1919.1469756372001</v>
      </c>
      <c r="G11" s="1"/>
      <c r="H11" s="1"/>
      <c r="J11" s="2"/>
      <c r="K11" s="3"/>
      <c r="O11" s="3"/>
      <c r="S11" s="3"/>
      <c r="AH11" s="1" t="e">
        <f>-1874.8442918453+#REF!+#REF!</f>
        <v>#REF!</v>
      </c>
      <c r="AI11" s="1" t="e">
        <f>AH11-X11</f>
        <v>#REF!</v>
      </c>
      <c r="AJ11" s="1" t="e">
        <f t="shared" ref="AJ11:AJ14" si="0">AI11*627.51</f>
        <v>#REF!</v>
      </c>
    </row>
    <row r="12" spans="1:36" x14ac:dyDescent="0.2">
      <c r="A12" s="3" t="s">
        <v>2</v>
      </c>
      <c r="B12" s="6">
        <v>-2867.6759214782001</v>
      </c>
      <c r="C12" s="6">
        <v>-2744.2029040737998</v>
      </c>
      <c r="D12" s="6">
        <v>-2942.7541607429998</v>
      </c>
      <c r="E12" s="6">
        <v>-2943.4082724750001</v>
      </c>
      <c r="F12" s="6">
        <v>-2983.3394195476999</v>
      </c>
      <c r="G12" s="1"/>
      <c r="H12" s="1"/>
      <c r="J12" s="2"/>
      <c r="K12" s="3"/>
      <c r="O12" s="3"/>
      <c r="S12" s="3"/>
      <c r="AH12" s="1" t="e">
        <f>-1955.8706831326+#REF!+#REF!</f>
        <v>#REF!</v>
      </c>
      <c r="AI12" s="1" t="e">
        <f>AH12-X12</f>
        <v>#REF!</v>
      </c>
      <c r="AJ12" s="1" t="e">
        <f t="shared" si="0"/>
        <v>#REF!</v>
      </c>
    </row>
    <row r="13" spans="1:36" x14ac:dyDescent="0.2">
      <c r="A13" s="3" t="s">
        <v>3</v>
      </c>
      <c r="B13" s="6">
        <v>-3094.9469572573998</v>
      </c>
      <c r="C13" s="6">
        <v>-2971.5568506489999</v>
      </c>
      <c r="D13" s="6">
        <v>-3169.9522807091998</v>
      </c>
      <c r="E13" s="6">
        <v>-3170.644815652</v>
      </c>
      <c r="F13" s="6">
        <v>-3210.5614885278001</v>
      </c>
      <c r="G13" s="1"/>
      <c r="H13" s="1"/>
      <c r="J13" s="2"/>
      <c r="K13" s="3"/>
      <c r="O13" s="3"/>
      <c r="S13" s="3"/>
      <c r="Y13" s="2"/>
      <c r="AH13" s="1" t="e">
        <f>-3020.635048134+#REF!+#REF!</f>
        <v>#REF!</v>
      </c>
      <c r="AI13" s="1" t="e">
        <f>AH13-X13</f>
        <v>#REF!</v>
      </c>
      <c r="AJ13" s="1" t="e">
        <f t="shared" si="0"/>
        <v>#REF!</v>
      </c>
    </row>
    <row r="14" spans="1:36" x14ac:dyDescent="0.2">
      <c r="G14" s="1"/>
      <c r="H14" s="1"/>
      <c r="J14" s="2"/>
      <c r="K14" s="3"/>
      <c r="O14" s="3"/>
      <c r="S14" s="3"/>
      <c r="AH14" s="1" t="e">
        <f>-3247.2936039041+#REF!+#REF!</f>
        <v>#REF!</v>
      </c>
      <c r="AI14" s="1" t="e">
        <f>AH14-X14</f>
        <v>#REF!</v>
      </c>
      <c r="AJ14" s="1" t="e">
        <f t="shared" si="0"/>
        <v>#REF!</v>
      </c>
    </row>
    <row r="15" spans="1:36" x14ac:dyDescent="0.2">
      <c r="G15" s="1"/>
      <c r="H15" s="1"/>
    </row>
    <row r="16" spans="1:36" x14ac:dyDescent="0.2">
      <c r="G16" s="1"/>
      <c r="H16" s="1"/>
    </row>
    <row r="17" spans="1:10" x14ac:dyDescent="0.2">
      <c r="A17" s="1" t="s">
        <v>11</v>
      </c>
    </row>
    <row r="20" spans="1:10" x14ac:dyDescent="0.2">
      <c r="G20" s="1"/>
      <c r="H20" s="1"/>
    </row>
    <row r="21" spans="1:10" x14ac:dyDescent="0.2">
      <c r="G21" s="1"/>
      <c r="H21" s="1"/>
    </row>
    <row r="22" spans="1:10" x14ac:dyDescent="0.2">
      <c r="G22" s="1"/>
      <c r="H22" s="1"/>
    </row>
    <row r="23" spans="1:10" x14ac:dyDescent="0.2">
      <c r="G23" s="1"/>
      <c r="H23" s="1"/>
    </row>
    <row r="24" spans="1:10" hidden="1" x14ac:dyDescent="0.2">
      <c r="G24" s="1"/>
      <c r="H24" s="1"/>
      <c r="J24" s="2"/>
    </row>
    <row r="25" spans="1:10" hidden="1" x14ac:dyDescent="0.2">
      <c r="G25" s="1"/>
      <c r="H25" s="1"/>
    </row>
    <row r="26" spans="1:10" x14ac:dyDescent="0.2">
      <c r="G26" s="1"/>
      <c r="H26" s="1"/>
    </row>
    <row r="27" spans="1:10" x14ac:dyDescent="0.2">
      <c r="G27" s="1"/>
      <c r="H27" s="1"/>
    </row>
    <row r="28" spans="1:10" x14ac:dyDescent="0.2">
      <c r="G28" s="1"/>
      <c r="H28" s="1"/>
    </row>
    <row r="29" spans="1:10" x14ac:dyDescent="0.2">
      <c r="G29" s="1"/>
      <c r="H29" s="1"/>
    </row>
    <row r="30" spans="1:10" x14ac:dyDescent="0.2">
      <c r="G30" s="1"/>
      <c r="H30" s="1"/>
    </row>
    <row r="34" spans="1:19" x14ac:dyDescent="0.2">
      <c r="G34" s="1"/>
      <c r="H34" s="1"/>
      <c r="J34" s="2"/>
    </row>
    <row r="35" spans="1:19" x14ac:dyDescent="0.2">
      <c r="A35" s="3"/>
      <c r="G35" s="1"/>
      <c r="H35" s="1"/>
      <c r="J35" s="2"/>
    </row>
    <row r="36" spans="1:19" x14ac:dyDescent="0.2">
      <c r="A36" s="2"/>
      <c r="C36" s="2"/>
      <c r="D36" s="2"/>
      <c r="E36" s="2"/>
      <c r="F36" s="2"/>
      <c r="G36" s="1"/>
      <c r="H36" s="1"/>
      <c r="N36" s="2"/>
      <c r="R36" s="2"/>
    </row>
    <row r="37" spans="1:19" x14ac:dyDescent="0.2">
      <c r="A37" s="3"/>
      <c r="G37" s="1"/>
      <c r="H37" s="1"/>
      <c r="K37" s="3"/>
      <c r="O37" s="3"/>
      <c r="S37" s="3"/>
    </row>
    <row r="38" spans="1:19" x14ac:dyDescent="0.2">
      <c r="A38" s="3"/>
      <c r="G38" s="1"/>
      <c r="H38" s="1"/>
      <c r="K38" s="3"/>
      <c r="O38" s="3"/>
      <c r="S38" s="3"/>
    </row>
    <row r="39" spans="1:19" x14ac:dyDescent="0.2">
      <c r="A39" s="3"/>
      <c r="G39" s="1"/>
      <c r="H39" s="1"/>
      <c r="K39" s="3"/>
      <c r="O39" s="5"/>
      <c r="S39" s="3"/>
    </row>
    <row r="40" spans="1:19" x14ac:dyDescent="0.2">
      <c r="A40" s="3"/>
      <c r="G40" s="1"/>
      <c r="H40" s="1"/>
      <c r="K40" s="3"/>
      <c r="O40" s="5"/>
      <c r="S40" s="3"/>
    </row>
    <row r="41" spans="1:19" x14ac:dyDescent="0.2">
      <c r="G41" s="1"/>
      <c r="H41" s="1"/>
    </row>
    <row r="42" spans="1:19" ht="12" customHeight="1" x14ac:dyDescent="0.2">
      <c r="G42" s="1"/>
      <c r="H42" s="1"/>
    </row>
    <row r="48" spans="1:19" x14ac:dyDescent="0.2">
      <c r="B48" s="2"/>
      <c r="G48" s="1"/>
      <c r="H48" s="1"/>
    </row>
    <row r="50" spans="2:8" x14ac:dyDescent="0.2">
      <c r="B50" s="2"/>
      <c r="G50" s="1"/>
      <c r="H50" s="1"/>
    </row>
    <row r="51" spans="2:8" x14ac:dyDescent="0.2">
      <c r="G51" s="1"/>
      <c r="H51" s="1"/>
    </row>
    <row r="52" spans="2:8" x14ac:dyDescent="0.2">
      <c r="B52" s="2"/>
      <c r="G52" s="1"/>
      <c r="H52" s="1"/>
    </row>
    <row r="53" spans="2:8" x14ac:dyDescent="0.2">
      <c r="G53" s="1"/>
      <c r="H53" s="1"/>
    </row>
    <row r="54" spans="2:8" x14ac:dyDescent="0.2">
      <c r="G54" s="1"/>
      <c r="H54" s="1"/>
    </row>
    <row r="55" spans="2:8" x14ac:dyDescent="0.2">
      <c r="G55" s="1"/>
      <c r="H55" s="1"/>
    </row>
    <row r="56" spans="2:8" x14ac:dyDescent="0.2">
      <c r="G56" s="1"/>
      <c r="H56" s="1"/>
    </row>
    <row r="58" spans="2:8" x14ac:dyDescent="0.2">
      <c r="G58" s="1"/>
      <c r="H58" s="1"/>
    </row>
    <row r="61" spans="2:8" x14ac:dyDescent="0.2">
      <c r="G61" s="1"/>
      <c r="H61" s="1"/>
    </row>
    <row r="62" spans="2:8" x14ac:dyDescent="0.2">
      <c r="G62" s="1"/>
      <c r="H62" s="1"/>
    </row>
    <row r="63" spans="2:8" x14ac:dyDescent="0.2">
      <c r="G63" s="1"/>
      <c r="H63" s="1"/>
    </row>
    <row r="64" spans="2:8" x14ac:dyDescent="0.2">
      <c r="G64" s="1"/>
      <c r="H64" s="1"/>
    </row>
    <row r="65" spans="1:19" x14ac:dyDescent="0.2">
      <c r="F65" s="2"/>
      <c r="G65" s="1"/>
      <c r="H65" s="1"/>
      <c r="O65" s="2"/>
      <c r="R65" s="2"/>
    </row>
    <row r="66" spans="1:19" x14ac:dyDescent="0.2">
      <c r="G66" s="1"/>
      <c r="H66" s="1"/>
    </row>
    <row r="68" spans="1:19" x14ac:dyDescent="0.2">
      <c r="G68" s="1"/>
      <c r="H68" s="1"/>
    </row>
    <row r="69" spans="1:19" x14ac:dyDescent="0.2">
      <c r="G69" s="1"/>
      <c r="H69" s="1"/>
    </row>
    <row r="70" spans="1:19" x14ac:dyDescent="0.2">
      <c r="G70" s="1"/>
      <c r="H70" s="1"/>
    </row>
    <row r="71" spans="1:19" x14ac:dyDescent="0.2">
      <c r="B71" s="2"/>
      <c r="G71" s="1"/>
      <c r="H71" s="1"/>
    </row>
    <row r="72" spans="1:19" x14ac:dyDescent="0.2">
      <c r="G72" s="1"/>
      <c r="H72" s="1"/>
    </row>
    <row r="73" spans="1:19" x14ac:dyDescent="0.2">
      <c r="G73" s="1"/>
      <c r="H73" s="1"/>
    </row>
    <row r="74" spans="1:19" x14ac:dyDescent="0.2">
      <c r="B74" s="2"/>
      <c r="G74" s="1"/>
      <c r="H74" s="1"/>
    </row>
    <row r="75" spans="1:19" x14ac:dyDescent="0.2">
      <c r="G75" s="1"/>
      <c r="H75" s="1"/>
      <c r="S75" s="2"/>
    </row>
    <row r="76" spans="1:19" x14ac:dyDescent="0.2">
      <c r="G76" s="1"/>
      <c r="H76" s="1"/>
    </row>
    <row r="77" spans="1:19" x14ac:dyDescent="0.2">
      <c r="A77" s="3"/>
      <c r="B77" s="2"/>
      <c r="G77" s="1"/>
      <c r="H77" s="1"/>
    </row>
    <row r="78" spans="1:19" x14ac:dyDescent="0.2">
      <c r="A78" s="3"/>
      <c r="G78" s="1"/>
      <c r="H78" s="1"/>
    </row>
    <row r="79" spans="1:19" x14ac:dyDescent="0.2">
      <c r="A79" s="3"/>
      <c r="G79" s="1"/>
      <c r="H79" s="1"/>
    </row>
    <row r="80" spans="1:19" x14ac:dyDescent="0.2">
      <c r="G80" s="1"/>
      <c r="H80" s="1"/>
    </row>
    <row r="81" spans="1:8" x14ac:dyDescent="0.2">
      <c r="G81" s="1"/>
      <c r="H81" s="1"/>
    </row>
    <row r="84" spans="1:8" x14ac:dyDescent="0.2">
      <c r="G84" s="1"/>
      <c r="H84" s="1"/>
    </row>
    <row r="85" spans="1:8" x14ac:dyDescent="0.2">
      <c r="G85" s="1"/>
      <c r="H85" s="1"/>
    </row>
    <row r="86" spans="1:8" x14ac:dyDescent="0.2">
      <c r="G86" s="1"/>
      <c r="H86" s="1"/>
    </row>
    <row r="87" spans="1:8" x14ac:dyDescent="0.2">
      <c r="G87" s="1"/>
      <c r="H87" s="1"/>
    </row>
    <row r="88" spans="1:8" x14ac:dyDescent="0.2">
      <c r="A88" s="3"/>
      <c r="G88" s="1"/>
      <c r="H88" s="1"/>
    </row>
    <row r="89" spans="1:8" x14ac:dyDescent="0.2">
      <c r="A89" s="3"/>
      <c r="G89" s="1"/>
      <c r="H89" s="1"/>
    </row>
    <row r="90" spans="1:8" x14ac:dyDescent="0.2">
      <c r="A90" s="3"/>
      <c r="G90" s="1"/>
      <c r="H90" s="1"/>
    </row>
    <row r="91" spans="1:8" x14ac:dyDescent="0.2">
      <c r="A91" s="3"/>
      <c r="G91" s="1"/>
      <c r="H91" s="1"/>
    </row>
    <row r="92" spans="1:8" ht="18" customHeight="1" x14ac:dyDescent="0.2">
      <c r="A92" s="3"/>
      <c r="B92" s="3"/>
      <c r="G92" s="1"/>
      <c r="H92" s="1"/>
    </row>
    <row r="93" spans="1:8" ht="16" customHeight="1" x14ac:dyDescent="0.2">
      <c r="A93" s="3"/>
      <c r="B93" s="3"/>
      <c r="G93" s="1"/>
      <c r="H93" s="1"/>
    </row>
    <row r="94" spans="1:8" x14ac:dyDescent="0.2">
      <c r="A94" s="3"/>
      <c r="B94" s="3"/>
      <c r="G94" s="1"/>
      <c r="H94" s="1"/>
    </row>
    <row r="95" spans="1:8" x14ac:dyDescent="0.2">
      <c r="A95" s="3"/>
      <c r="B95" s="3"/>
      <c r="G95" s="1"/>
      <c r="H95" s="1"/>
    </row>
    <row r="96" spans="1:8" x14ac:dyDescent="0.2">
      <c r="B96" s="3"/>
      <c r="G96" s="1"/>
      <c r="H96" s="1"/>
    </row>
    <row r="97" spans="1:8" x14ac:dyDescent="0.2">
      <c r="B97" s="3"/>
      <c r="G97" s="1"/>
      <c r="H97" s="1"/>
    </row>
    <row r="98" spans="1:8" x14ac:dyDescent="0.2">
      <c r="A98" s="3"/>
      <c r="B98" s="3"/>
      <c r="G98" s="1"/>
      <c r="H98" s="1"/>
    </row>
    <row r="99" spans="1:8" x14ac:dyDescent="0.2">
      <c r="A99" s="3"/>
      <c r="B99" s="3"/>
      <c r="G99" s="1"/>
      <c r="H99" s="1"/>
    </row>
    <row r="100" spans="1:8" x14ac:dyDescent="0.2">
      <c r="G100" s="1"/>
      <c r="H100" s="1"/>
    </row>
    <row r="101" spans="1:8" x14ac:dyDescent="0.2">
      <c r="G101" s="1"/>
      <c r="H101" s="1"/>
    </row>
    <row r="102" spans="1:8" x14ac:dyDescent="0.2">
      <c r="G102" s="1"/>
      <c r="H102" s="1"/>
    </row>
    <row r="103" spans="1:8" x14ac:dyDescent="0.2">
      <c r="G103" s="1"/>
      <c r="H103" s="1"/>
    </row>
    <row r="104" spans="1:8" x14ac:dyDescent="0.2">
      <c r="G104" s="1"/>
      <c r="H104" s="1"/>
    </row>
    <row r="105" spans="1:8" x14ac:dyDescent="0.2">
      <c r="G105" s="1"/>
      <c r="H105" s="1"/>
    </row>
    <row r="106" spans="1:8" x14ac:dyDescent="0.2">
      <c r="B106" s="2"/>
      <c r="G106" s="1"/>
      <c r="H106" s="1"/>
    </row>
    <row r="107" spans="1:8" x14ac:dyDescent="0.2">
      <c r="A107" s="3"/>
      <c r="G107" s="1"/>
      <c r="H107" s="1"/>
    </row>
    <row r="108" spans="1:8" x14ac:dyDescent="0.2">
      <c r="A108" s="3"/>
      <c r="G108" s="1"/>
      <c r="H108" s="1"/>
    </row>
    <row r="109" spans="1:8" x14ac:dyDescent="0.2">
      <c r="A109" s="3"/>
      <c r="G109" s="1"/>
      <c r="H109" s="1"/>
    </row>
    <row r="110" spans="1:8" x14ac:dyDescent="0.2">
      <c r="G110" s="1"/>
      <c r="H110" s="1"/>
    </row>
    <row r="111" spans="1:8" x14ac:dyDescent="0.2">
      <c r="G111" s="1"/>
      <c r="H111" s="1"/>
    </row>
    <row r="112" spans="1:8" x14ac:dyDescent="0.2">
      <c r="G112" s="1"/>
      <c r="H112" s="1"/>
    </row>
    <row r="113" spans="1:8" x14ac:dyDescent="0.2">
      <c r="G113" s="1"/>
      <c r="H113" s="1"/>
    </row>
    <row r="119" spans="1:8" x14ac:dyDescent="0.2">
      <c r="G119" s="1"/>
      <c r="H119" s="1"/>
    </row>
    <row r="120" spans="1:8" x14ac:dyDescent="0.2">
      <c r="G120" s="1"/>
      <c r="H120" s="1"/>
    </row>
    <row r="121" spans="1:8" x14ac:dyDescent="0.2">
      <c r="G121" s="1"/>
      <c r="H121" s="1"/>
    </row>
    <row r="122" spans="1:8" x14ac:dyDescent="0.2">
      <c r="G122" s="1"/>
      <c r="H122" s="1"/>
    </row>
    <row r="123" spans="1:8" x14ac:dyDescent="0.2">
      <c r="G123" s="1"/>
      <c r="H123" s="1"/>
    </row>
    <row r="124" spans="1:8" x14ac:dyDescent="0.2">
      <c r="G124" s="1"/>
      <c r="H124" s="1"/>
    </row>
    <row r="125" spans="1:8" x14ac:dyDescent="0.2">
      <c r="G125" s="1"/>
      <c r="H125" s="1"/>
    </row>
    <row r="126" spans="1:8" x14ac:dyDescent="0.2">
      <c r="G126" s="1"/>
      <c r="H126" s="1"/>
    </row>
    <row r="127" spans="1:8" x14ac:dyDescent="0.2">
      <c r="G127" s="1"/>
      <c r="H127" s="1"/>
    </row>
    <row r="128" spans="1:8" x14ac:dyDescent="0.2">
      <c r="A128" s="3"/>
      <c r="G128" s="1"/>
      <c r="H128" s="1"/>
    </row>
    <row r="129" spans="1:49" ht="34" x14ac:dyDescent="0.2">
      <c r="B129" s="2"/>
      <c r="F129" s="2"/>
      <c r="G129" s="1"/>
      <c r="H129" s="1"/>
      <c r="I129" s="2"/>
      <c r="L129" s="2"/>
      <c r="M129" s="2"/>
      <c r="R129" s="2"/>
      <c r="W129" s="2"/>
      <c r="AJ129" s="2" t="s">
        <v>4</v>
      </c>
      <c r="AL129" s="2" t="s">
        <v>5</v>
      </c>
      <c r="AO129" s="2" t="s">
        <v>6</v>
      </c>
      <c r="AR129" s="2" t="s">
        <v>7</v>
      </c>
      <c r="AU129" s="2" t="s">
        <v>8</v>
      </c>
    </row>
    <row r="130" spans="1:49" x14ac:dyDescent="0.2">
      <c r="B130" s="2"/>
      <c r="G130" s="1"/>
      <c r="H130" s="1"/>
      <c r="AJ130" s="4">
        <f>-1721.9736507798+B125+B123</f>
        <v>-1721.9736507798</v>
      </c>
      <c r="AL130" s="1">
        <f>-1797.0657403511+B118+B125</f>
        <v>-1797.0657403511</v>
      </c>
      <c r="AM130" s="1">
        <f>AL130-AJ130</f>
        <v>-75.092089571299994</v>
      </c>
      <c r="AN130" s="1">
        <f>AM130*627.51</f>
        <v>-47121.037126886462</v>
      </c>
      <c r="AO130" s="1">
        <f>-1797.7547612652+B124+B118</f>
        <v>-1797.7547612651999</v>
      </c>
      <c r="AP130" s="1">
        <f>AO130-AJ130</f>
        <v>-75.78111048539995</v>
      </c>
      <c r="AQ130" s="1">
        <f>AP130*627.51</f>
        <v>-47553.404640693319</v>
      </c>
      <c r="AR130" s="1">
        <f>-1837.6396328962+B118</f>
        <v>-1837.6396328962001</v>
      </c>
      <c r="AS130" s="1">
        <f>AR130-AJ130</f>
        <v>-115.66598211640007</v>
      </c>
      <c r="AT130" s="1">
        <f>AS130*627.51</f>
        <v>-72581.560437862208</v>
      </c>
      <c r="AU130" s="4">
        <f>-1721.9736507798+B126+B118</f>
        <v>-1721.9736507798</v>
      </c>
      <c r="AV130" s="1">
        <f>AU130-AJ130</f>
        <v>0</v>
      </c>
      <c r="AW130" s="1">
        <f>AV130*627.51</f>
        <v>0</v>
      </c>
    </row>
    <row r="131" spans="1:49" x14ac:dyDescent="0.2">
      <c r="A131" s="3"/>
      <c r="B131" s="4"/>
      <c r="E131" s="3"/>
      <c r="G131" s="1"/>
      <c r="H131" s="1"/>
      <c r="N131" s="3"/>
      <c r="S131" s="3"/>
      <c r="X131" s="3"/>
      <c r="AJ131" s="4">
        <f>-1803.4782975378+B125+B123</f>
        <v>-1803.4782975378</v>
      </c>
      <c r="AL131" s="1">
        <f>-1878.5751011144+B118+B125</f>
        <v>-1878.5751011144</v>
      </c>
      <c r="AM131" s="1">
        <f>AL131-AJ131</f>
        <v>-75.096803576599996</v>
      </c>
      <c r="AN131" s="1">
        <f>AM131*627.51</f>
        <v>-47123.99521235226</v>
      </c>
      <c r="AO131" s="1">
        <f>-1879.2776659302+B124+B118</f>
        <v>-1879.2776659302001</v>
      </c>
      <c r="AP131" s="1">
        <f>AO131-AJ131</f>
        <v>-75.799368392400083</v>
      </c>
      <c r="AQ131" s="1">
        <f>AP131*627.51</f>
        <v>-47564.861659914975</v>
      </c>
      <c r="AR131" s="1">
        <f>-1919.1532836698+B118</f>
        <v>-1919.1532836698</v>
      </c>
      <c r="AS131" s="1">
        <f>AR131-AJ131</f>
        <v>-115.67498613199996</v>
      </c>
      <c r="AT131" s="1">
        <f>AS131*627.51</f>
        <v>-72587.210547691298</v>
      </c>
      <c r="AU131" s="4">
        <f>-1803.4782975378+B126+B118</f>
        <v>-1803.4782975378</v>
      </c>
      <c r="AV131" s="1">
        <f>AU131-AJ131</f>
        <v>0</v>
      </c>
      <c r="AW131" s="1">
        <f>AV131*627.51</f>
        <v>0</v>
      </c>
    </row>
    <row r="132" spans="1:49" x14ac:dyDescent="0.2">
      <c r="A132" s="3"/>
      <c r="B132" s="4"/>
      <c r="E132" s="3"/>
      <c r="G132" s="1"/>
      <c r="H132" s="1"/>
      <c r="N132" s="3"/>
      <c r="S132" s="3"/>
      <c r="X132" s="3"/>
      <c r="AJ132" s="2">
        <f>-2867.80154729+B125+B123</f>
        <v>-2867.8015472900001</v>
      </c>
      <c r="AL132" s="1">
        <f>-2942.891746591+B118+B125</f>
        <v>-2942.8917465909999</v>
      </c>
      <c r="AM132" s="1">
        <f>AL132-AJ132</f>
        <v>-75.090199300999757</v>
      </c>
      <c r="AN132" s="1">
        <f>AM132*627.51</f>
        <v>-47119.850963370358</v>
      </c>
      <c r="AO132" s="1">
        <f>-2943.5396642399+B124+B118</f>
        <v>-2943.5396642399</v>
      </c>
      <c r="AP132" s="1">
        <f>AO132-AJ132</f>
        <v>-75.738116949899904</v>
      </c>
      <c r="AQ132" s="1">
        <f>AP132*627.51</f>
        <v>-47526.425767231689</v>
      </c>
      <c r="AR132" s="1">
        <f>-2983.4445570958+B118</f>
        <v>-2983.4445570958001</v>
      </c>
      <c r="AS132" s="1">
        <f>AR132-AJ132</f>
        <v>-115.64300980579992</v>
      </c>
      <c r="AT132" s="1">
        <f>AS132*627.51</f>
        <v>-72567.145083237512</v>
      </c>
      <c r="AU132" s="2">
        <f>-2867.8015472908+B126+B118</f>
        <v>-2867.8015472908</v>
      </c>
      <c r="AV132" s="1">
        <f>AU132-AJ132</f>
        <v>-7.9990059020929039E-10</v>
      </c>
      <c r="AW132" s="1">
        <f>AV132*627.51</f>
        <v>-5.0194561936223185E-7</v>
      </c>
    </row>
    <row r="133" spans="1:49" x14ac:dyDescent="0.2">
      <c r="A133" s="3"/>
      <c r="B133" s="2"/>
      <c r="E133" s="3"/>
      <c r="G133" s="1"/>
      <c r="H133" s="1"/>
      <c r="N133" s="3"/>
      <c r="S133" s="3"/>
      <c r="X133" s="3"/>
      <c r="AJ133" s="1">
        <f>-3095.0567781399+B125+B123</f>
        <v>-3095.0567781399</v>
      </c>
      <c r="AL133" s="1">
        <f>-3170.1296703978+B118+B125</f>
        <v>-3170.1296703978001</v>
      </c>
      <c r="AM133" s="1">
        <f>AL133-AJ133</f>
        <v>-75.072892257900094</v>
      </c>
      <c r="AN133" s="1">
        <f>AM133*627.51</f>
        <v>-47108.990620754885</v>
      </c>
      <c r="AO133" s="1">
        <f>-3170.8131570911+B124+B118</f>
        <v>-3170.8131570911</v>
      </c>
      <c r="AP133" s="1">
        <f>AO133-AJ133</f>
        <v>-75.756378951200077</v>
      </c>
      <c r="AQ133" s="1">
        <f>AP133*627.51</f>
        <v>-47537.88535566756</v>
      </c>
      <c r="AR133" s="1">
        <f>-3210.7272908121+B118</f>
        <v>-3210.7272908120999</v>
      </c>
      <c r="AS133" s="1">
        <f>AR133-AJ133</f>
        <v>-115.67051267219995</v>
      </c>
      <c r="AT133" s="1">
        <f>AS133*627.51</f>
        <v>-72584.403406932193</v>
      </c>
      <c r="AU133" s="1">
        <f>-3095.0567781399+B126+B118</f>
        <v>-3095.0567781399</v>
      </c>
      <c r="AV133" s="1">
        <f>AU133-AJ133</f>
        <v>0</v>
      </c>
      <c r="AW133" s="1">
        <f>AV133*627.51</f>
        <v>0</v>
      </c>
    </row>
    <row r="134" spans="1:49" x14ac:dyDescent="0.2">
      <c r="A134" s="3"/>
      <c r="E134" s="3"/>
      <c r="G134" s="1"/>
      <c r="H134" s="1"/>
      <c r="N134" s="3"/>
      <c r="S134" s="3"/>
      <c r="X134" s="3"/>
      <c r="AJ134" s="4"/>
      <c r="AU134" s="4"/>
    </row>
    <row r="135" spans="1:49" x14ac:dyDescent="0.2">
      <c r="B135" s="4"/>
      <c r="G135" s="1"/>
      <c r="H135" s="1"/>
      <c r="AJ135" s="4"/>
      <c r="AU135" s="4"/>
    </row>
    <row r="136" spans="1:49" x14ac:dyDescent="0.2">
      <c r="A136" s="3"/>
      <c r="B136" s="4"/>
      <c r="G136" s="1"/>
      <c r="H136" s="1"/>
      <c r="AJ136" s="4"/>
      <c r="AU136" s="4"/>
    </row>
    <row r="137" spans="1:49" x14ac:dyDescent="0.2">
      <c r="B137" s="4"/>
      <c r="G137" s="1"/>
      <c r="H137" s="1"/>
      <c r="AJ137" s="4">
        <f>-1874.843945879+B125+B123</f>
        <v>-1874.8439458790001</v>
      </c>
      <c r="AL137" s="1">
        <f>-1949.9342323245+B118+B125</f>
        <v>-1949.9342323245</v>
      </c>
      <c r="AM137" s="1">
        <f>AL137-AJ137</f>
        <v>-75.090286445499942</v>
      </c>
      <c r="AN137" s="1">
        <f>AM137*627.51</f>
        <v>-47119.905647415668</v>
      </c>
      <c r="AO137" s="1">
        <f>-1950.6178749388+B124+B118</f>
        <v>-1950.6178749388</v>
      </c>
      <c r="AP137" s="1">
        <f>AO137-AJ137</f>
        <v>-75.773929059799912</v>
      </c>
      <c r="AQ137" s="1">
        <f>AP137*627.51</f>
        <v>-47548.898224315039</v>
      </c>
      <c r="AR137" s="1">
        <f>-1990.4720080547+B118</f>
        <v>-1990.4720080546999</v>
      </c>
      <c r="AS137" s="1">
        <f>AR137-AJ137</f>
        <v>-115.62806217569982</v>
      </c>
      <c r="AT137" s="1">
        <f>AS137*627.51</f>
        <v>-72557.765295873396</v>
      </c>
      <c r="AU137" s="4">
        <f>-1874.8439458795+B126+B118</f>
        <v>-1874.8439458795001</v>
      </c>
      <c r="AV137" s="1">
        <f>AU137-AJ137</f>
        <v>-4.999947122996673E-10</v>
      </c>
      <c r="AW137" s="1">
        <f>AV137*627.51</f>
        <v>-3.1375168191516422E-7</v>
      </c>
    </row>
    <row r="138" spans="1:49" x14ac:dyDescent="0.2">
      <c r="A138" s="3"/>
      <c r="B138" s="4"/>
      <c r="E138" s="3"/>
      <c r="G138" s="1"/>
      <c r="H138" s="1"/>
      <c r="N138" s="3"/>
      <c r="S138" s="3"/>
      <c r="X138" s="3"/>
      <c r="AJ138" s="2">
        <f>-1955.8706833693+B125+B123</f>
        <v>-1955.8706833693</v>
      </c>
      <c r="AL138" s="1">
        <f>-2030.9441165183+B118+B125</f>
        <v>-2030.9441165183</v>
      </c>
      <c r="AM138" s="1">
        <f>AL138-AJ138</f>
        <v>-75.073433149000039</v>
      </c>
      <c r="AN138" s="1">
        <f>AM138*627.51</f>
        <v>-47109.330035329011</v>
      </c>
      <c r="AO138" s="1">
        <f>-2031.6451232171+B124+B118</f>
        <v>-2031.6451232171</v>
      </c>
      <c r="AP138" s="1">
        <f>AO138-AJ138</f>
        <v>-75.774439847800068</v>
      </c>
      <c r="AQ138" s="1">
        <f>AP138*627.51</f>
        <v>-47549.218748893021</v>
      </c>
      <c r="AR138" s="1">
        <f>-2071.564671448+B118</f>
        <v>-2071.5646714479999</v>
      </c>
      <c r="AS138" s="1">
        <f>AR138-AJ138</f>
        <v>-115.69398807869993</v>
      </c>
      <c r="AT138" s="1">
        <f>AS138*627.51</f>
        <v>-72599.134459264998</v>
      </c>
      <c r="AU138" s="2">
        <f>-1955.8706833693+B126+B118</f>
        <v>-1955.8706833693</v>
      </c>
      <c r="AV138" s="1">
        <f>AU138-AJ138</f>
        <v>0</v>
      </c>
      <c r="AW138" s="1">
        <f>AV138*627.51</f>
        <v>0</v>
      </c>
    </row>
    <row r="139" spans="1:49" x14ac:dyDescent="0.2">
      <c r="A139" s="3"/>
      <c r="B139" s="2"/>
      <c r="E139" s="3"/>
      <c r="G139" s="1"/>
      <c r="H139" s="1"/>
      <c r="N139" s="3"/>
      <c r="S139" s="3"/>
      <c r="X139" s="3"/>
      <c r="AJ139" s="1">
        <f>-3020.7517928541+B125+B123</f>
        <v>-3020.7517928541001</v>
      </c>
      <c r="AL139" s="1">
        <f>-3095.8554816382+B118+B125</f>
        <v>-3095.8554816382002</v>
      </c>
      <c r="AM139" s="1">
        <f>AL139-AJ139</f>
        <v>-75.103688784100086</v>
      </c>
      <c r="AN139" s="1">
        <f>AM139*627.51</f>
        <v>-47128.315748910645</v>
      </c>
      <c r="AO139" s="1">
        <f>-3096.5168779066+B124+B118</f>
        <v>-3096.5168779065998</v>
      </c>
      <c r="AP139" s="1">
        <f>AO139-AJ139</f>
        <v>-75.765085052499671</v>
      </c>
      <c r="AQ139" s="1">
        <f>AP139*627.51</f>
        <v>-47543.348521294065</v>
      </c>
      <c r="AR139" s="1">
        <f>-3136.3749905444+B118</f>
        <v>-3136.3749905444001</v>
      </c>
      <c r="AS139" s="1">
        <f>AR139-AJ139</f>
        <v>-115.6231976903</v>
      </c>
      <c r="AT139" s="1">
        <f>AS139*627.51</f>
        <v>-72554.712782640156</v>
      </c>
      <c r="AU139" s="1">
        <f>-3020.7517928541+B126+B118</f>
        <v>-3020.7517928541001</v>
      </c>
      <c r="AV139" s="1">
        <f>AU139-AJ139</f>
        <v>0</v>
      </c>
      <c r="AW139" s="1">
        <f>AV139*627.51</f>
        <v>0</v>
      </c>
    </row>
    <row r="140" spans="1:49" x14ac:dyDescent="0.2">
      <c r="A140" s="3"/>
      <c r="G140" s="1"/>
      <c r="H140" s="1"/>
      <c r="S140" s="3"/>
      <c r="X140" s="3"/>
      <c r="AJ140" s="1">
        <f>-3247.4494824409+B125+B123</f>
        <v>-3247.4494824408998</v>
      </c>
      <c r="AL140" s="1">
        <f>-3322.5008071297+B118+B125</f>
        <v>-3322.5008071297002</v>
      </c>
      <c r="AM140" s="1">
        <f>AL140-AJ140</f>
        <v>-75.051324688800378</v>
      </c>
      <c r="AN140" s="1">
        <f>AM140*627.51</f>
        <v>-47095.456755469124</v>
      </c>
      <c r="AO140" s="1">
        <f>-3323.1941119209+B124+B118</f>
        <v>-3323.1941119209</v>
      </c>
      <c r="AP140" s="1">
        <f>AO140-AJ140</f>
        <v>-75.744629480000185</v>
      </c>
      <c r="AQ140" s="1">
        <f>AP140*627.51</f>
        <v>-47530.512444994914</v>
      </c>
      <c r="AR140" s="1">
        <f>-3363.1057224026+B118</f>
        <v>-3363.1057224025999</v>
      </c>
      <c r="AS140" s="1">
        <f>AR140-AJ140</f>
        <v>-115.65623996170007</v>
      </c>
      <c r="AT140" s="1">
        <f>AS140*627.51</f>
        <v>-72575.447138366406</v>
      </c>
      <c r="AU140" s="1">
        <f>-3247.4494824409+B126+B118</f>
        <v>-3247.4494824408998</v>
      </c>
      <c r="AV140" s="1">
        <f>AU140-AJ140</f>
        <v>0</v>
      </c>
      <c r="AW140" s="1">
        <f>AV140*627.51</f>
        <v>0</v>
      </c>
    </row>
    <row r="141" spans="1:49" x14ac:dyDescent="0.2">
      <c r="A141" s="3"/>
      <c r="E141" s="3"/>
      <c r="G141" s="1"/>
      <c r="H141" s="1"/>
      <c r="N141" s="3"/>
      <c r="S141" s="3"/>
      <c r="X141" s="3"/>
    </row>
    <row r="144" spans="1:49" x14ac:dyDescent="0.2">
      <c r="G144" s="1"/>
      <c r="H144" s="1"/>
    </row>
    <row r="145" spans="1:49" ht="34" x14ac:dyDescent="0.2">
      <c r="B145" s="2"/>
      <c r="F145" s="2"/>
      <c r="G145" s="1"/>
      <c r="H145" s="1"/>
      <c r="I145" s="2"/>
      <c r="M145" s="2"/>
      <c r="R145" s="2"/>
      <c r="W145" s="2"/>
      <c r="AJ145" s="2" t="s">
        <v>4</v>
      </c>
      <c r="AL145" s="2" t="s">
        <v>5</v>
      </c>
      <c r="AO145" s="2" t="s">
        <v>6</v>
      </c>
      <c r="AR145" s="2" t="s">
        <v>7</v>
      </c>
      <c r="AU145" s="2" t="s">
        <v>8</v>
      </c>
    </row>
    <row r="146" spans="1:49" x14ac:dyDescent="0.2">
      <c r="G146" s="1"/>
      <c r="H146" s="1"/>
      <c r="J146" s="2"/>
      <c r="K146" s="2"/>
    </row>
    <row r="147" spans="1:49" x14ac:dyDescent="0.2">
      <c r="A147" s="3"/>
      <c r="E147" s="3"/>
      <c r="G147" s="1"/>
      <c r="H147" s="1"/>
      <c r="K147" s="2"/>
      <c r="N147" s="3"/>
      <c r="S147" s="3"/>
      <c r="X147" s="3"/>
      <c r="AJ147" s="1">
        <f>-1721.9736517353+B125+B123</f>
        <v>-1721.9736517353001</v>
      </c>
      <c r="AL147" s="1">
        <f>-1797.0429241415+B118+B125</f>
        <v>-1797.0429241415</v>
      </c>
      <c r="AM147" s="1">
        <f>AL147-AJ147</f>
        <v>-75.069272406199843</v>
      </c>
      <c r="AN147" s="1">
        <f>AM147*627.51</f>
        <v>-47106.719127614466</v>
      </c>
      <c r="AO147" s="1">
        <f>-1797.7462700729+B124+B118</f>
        <v>-1797.7462700729</v>
      </c>
      <c r="AP147" s="1">
        <f>AO147-AJ147</f>
        <v>-75.772618337599852</v>
      </c>
      <c r="AQ147" s="1">
        <f>AP147*627.51</f>
        <v>-47548.075733027283</v>
      </c>
      <c r="AR147" s="1">
        <f>-1837.6368772911+B118</f>
        <v>-1837.6368772911001</v>
      </c>
      <c r="AS147" s="1">
        <f>AR147-AJ147</f>
        <v>-115.66322555579995</v>
      </c>
      <c r="AT147" s="1">
        <f>AS147*627.51</f>
        <v>-72579.830668520022</v>
      </c>
      <c r="AU147" s="1">
        <f>-1721.9736517353+B126+B118</f>
        <v>-1721.9736517353001</v>
      </c>
      <c r="AV147" s="1">
        <f>AU147-AJ147</f>
        <v>0</v>
      </c>
      <c r="AW147" s="1">
        <f>AV147*627.51</f>
        <v>0</v>
      </c>
    </row>
    <row r="148" spans="1:49" x14ac:dyDescent="0.2">
      <c r="A148" s="3"/>
      <c r="E148" s="3"/>
      <c r="G148" s="1"/>
      <c r="H148" s="1"/>
      <c r="K148" s="2"/>
      <c r="N148" s="3"/>
      <c r="S148" s="3"/>
      <c r="X148" s="3"/>
      <c r="AJ148" s="1">
        <f>-1803.4782991207+B125+B123</f>
        <v>-1803.4782991207001</v>
      </c>
      <c r="AL148" s="1">
        <f>-1878.5604138228+B118+B125</f>
        <v>-1878.5604138228</v>
      </c>
      <c r="AM148" s="1">
        <f>AL148-AJ148</f>
        <v>-75.082114702099943</v>
      </c>
      <c r="AN148" s="1">
        <f>AM148*627.51</f>
        <v>-47114.777796714734</v>
      </c>
      <c r="AO148" s="1">
        <f>-1879.2666419118+B124+B118</f>
        <v>-1879.2666419118</v>
      </c>
      <c r="AP148" s="1">
        <f>AO148-AJ148</f>
        <v>-75.788342791099922</v>
      </c>
      <c r="AQ148" s="1">
        <f>AP148*627.51</f>
        <v>-47557.94298484311</v>
      </c>
      <c r="AR148" s="1">
        <f>-1919.1469756372+B118</f>
        <v>-1919.1469756372001</v>
      </c>
      <c r="AS148" s="1">
        <f>AR148-AJ148</f>
        <v>-115.6686765165</v>
      </c>
      <c r="AT148" s="1">
        <f>AS148*627.51</f>
        <v>-72583.251200868908</v>
      </c>
      <c r="AU148" s="1">
        <f>-1803.4782991207+B126+B118</f>
        <v>-1803.4782991207001</v>
      </c>
      <c r="AV148" s="1">
        <f>AU148-AJ148</f>
        <v>0</v>
      </c>
      <c r="AW148" s="1">
        <f>AV148*627.51</f>
        <v>0</v>
      </c>
    </row>
    <row r="149" spans="1:49" x14ac:dyDescent="0.2">
      <c r="A149" s="3"/>
      <c r="E149" s="3"/>
      <c r="G149" s="1"/>
      <c r="H149" s="1"/>
      <c r="K149" s="2"/>
      <c r="N149" s="3"/>
      <c r="S149" s="3"/>
      <c r="X149" s="3"/>
      <c r="AJ149" s="1">
        <f>-2867.6759214782+B125+B123</f>
        <v>-2867.6759214782001</v>
      </c>
      <c r="AL149" s="1">
        <f>-2942.754160743+B118+B125</f>
        <v>-2942.7541607429998</v>
      </c>
      <c r="AM149" s="1">
        <f>AL149-AJ149</f>
        <v>-75.078239264799777</v>
      </c>
      <c r="AN149" s="1">
        <f>AM149*627.51</f>
        <v>-47112.345921054504</v>
      </c>
      <c r="AO149" s="1">
        <f>-2943.408272475+B124+B118</f>
        <v>-2943.4082724750001</v>
      </c>
      <c r="AP149" s="1">
        <f>AO149-AJ149</f>
        <v>-75.732350996800051</v>
      </c>
      <c r="AQ149" s="1">
        <f>AP149*627.51</f>
        <v>-47522.807574001999</v>
      </c>
      <c r="AR149" s="1">
        <f>-2983.3394195477+B118</f>
        <v>-2983.3394195476999</v>
      </c>
      <c r="AS149" s="1">
        <f>AR149-AJ149</f>
        <v>-115.66349806949984</v>
      </c>
      <c r="AT149" s="1">
        <f>AS149*627.51</f>
        <v>-72580.001673591847</v>
      </c>
      <c r="AU149" s="1">
        <f>-2867.6759214782+B126+B118</f>
        <v>-2867.6759214782001</v>
      </c>
      <c r="AV149" s="1">
        <f>AU149-AJ149</f>
        <v>0</v>
      </c>
      <c r="AW149" s="1">
        <f>AV149*627.51</f>
        <v>0</v>
      </c>
    </row>
    <row r="150" spans="1:49" x14ac:dyDescent="0.2">
      <c r="A150" s="3"/>
      <c r="E150" s="3"/>
      <c r="G150" s="1"/>
      <c r="H150" s="1"/>
      <c r="K150" s="2"/>
      <c r="N150" s="3"/>
      <c r="S150" s="3"/>
      <c r="X150" s="3"/>
      <c r="AJ150" s="1">
        <f>-3094.9469572574+B125+B123</f>
        <v>-3094.9469572573998</v>
      </c>
      <c r="AL150" s="1">
        <f>-3169.9522807092+B118+B125</f>
        <v>-3169.9522807091998</v>
      </c>
      <c r="AM150" s="1">
        <f>AL150-AJ150</f>
        <v>-75.005323451799995</v>
      </c>
      <c r="AN150" s="1">
        <f>AM150*627.51</f>
        <v>-47066.590519239013</v>
      </c>
      <c r="AO150" s="1">
        <f>-3170.644815652+B124+B118</f>
        <v>-3170.644815652</v>
      </c>
      <c r="AP150" s="1">
        <f>AO150-AJ150</f>
        <v>-75.697858394600189</v>
      </c>
      <c r="AQ150" s="1">
        <f>AP150*627.51</f>
        <v>-47501.163121195561</v>
      </c>
      <c r="AR150" s="1">
        <f>-3210.5614885278+B118</f>
        <v>-3210.5614885278001</v>
      </c>
      <c r="AS150" s="1">
        <f>AR150-AJ150</f>
        <v>-115.61453127040022</v>
      </c>
      <c r="AT150" s="1">
        <f>AS150*627.51</f>
        <v>-72549.274517488841</v>
      </c>
      <c r="AU150" s="1">
        <f>-3094.9469572574+B126+B118</f>
        <v>-3094.9469572573998</v>
      </c>
      <c r="AV150" s="1">
        <f>AU150-AJ150</f>
        <v>0</v>
      </c>
      <c r="AW150" s="1">
        <f>AV150*627.51</f>
        <v>0</v>
      </c>
    </row>
    <row r="151" spans="1:49" x14ac:dyDescent="0.2">
      <c r="G151" s="1"/>
      <c r="H151" s="1"/>
    </row>
    <row r="152" spans="1:49" x14ac:dyDescent="0.2">
      <c r="G152" s="1"/>
      <c r="H152" s="1"/>
      <c r="K152" s="2"/>
    </row>
    <row r="153" spans="1:49" x14ac:dyDescent="0.2">
      <c r="G153" s="1"/>
      <c r="H153" s="1"/>
    </row>
    <row r="154" spans="1:49" x14ac:dyDescent="0.2">
      <c r="G154" s="1"/>
      <c r="H154" s="1"/>
    </row>
    <row r="155" spans="1:49" x14ac:dyDescent="0.2">
      <c r="G155" s="1"/>
      <c r="H155" s="1"/>
      <c r="K155" s="2"/>
    </row>
    <row r="156" spans="1:49" x14ac:dyDescent="0.2">
      <c r="A156" s="3"/>
      <c r="E156" s="3"/>
      <c r="G156" s="1"/>
      <c r="H156" s="1"/>
      <c r="K156" s="2"/>
      <c r="N156" s="3"/>
      <c r="S156" s="3"/>
      <c r="X156" s="3"/>
      <c r="AJ156" s="1">
        <f>-1874.8442918453+B125+B123</f>
        <v>-1874.8442918452999</v>
      </c>
      <c r="AL156" s="1">
        <f>-1949.9105985905+B118+B125</f>
        <v>-1949.9105985905001</v>
      </c>
      <c r="AM156" s="1">
        <f>AL156-AJ156</f>
        <v>-75.066306745200109</v>
      </c>
      <c r="AN156" s="1">
        <f>AM156*627.51</f>
        <v>-47104.858145680519</v>
      </c>
      <c r="AO156" s="1">
        <f>-1950.6055704709+B124+B118</f>
        <v>-1950.6055704708999</v>
      </c>
      <c r="AP156" s="1">
        <f>AO156-AJ156</f>
        <v>-75.761278625599971</v>
      </c>
      <c r="AQ156" s="1">
        <f>AP156*627.51</f>
        <v>-47540.95995035024</v>
      </c>
      <c r="AR156" s="1">
        <f>-1990.4694736074+B118</f>
        <v>-1990.4694736074</v>
      </c>
      <c r="AS156" s="1">
        <f>AR156-AJ156</f>
        <v>-115.62518176210006</v>
      </c>
      <c r="AT156" s="1">
        <f>AS156*627.51</f>
        <v>-72555.957807535407</v>
      </c>
      <c r="AU156" s="1">
        <f>-1874.8442918453+B126+B118</f>
        <v>-1874.8442918452999</v>
      </c>
      <c r="AV156" s="1">
        <f>AU156-AJ156</f>
        <v>0</v>
      </c>
      <c r="AW156" s="1">
        <f>AV156*627.51</f>
        <v>0</v>
      </c>
    </row>
    <row r="157" spans="1:49" x14ac:dyDescent="0.2">
      <c r="A157" s="3"/>
      <c r="E157" s="3"/>
      <c r="G157" s="1"/>
      <c r="H157" s="1"/>
      <c r="K157" s="2"/>
      <c r="N157" s="3"/>
      <c r="S157" s="3"/>
      <c r="X157" s="3"/>
      <c r="AJ157" s="1">
        <f>-1955.8706831326+B125+B123</f>
        <v>-1955.8706831326001</v>
      </c>
      <c r="AL157" s="1">
        <f>-2030.9319141889+B118+B125</f>
        <v>-2030.9319141889</v>
      </c>
      <c r="AM157" s="1">
        <f>AL157-AJ157</f>
        <v>-75.061231056299903</v>
      </c>
      <c r="AN157" s="1">
        <f>AM157*627.51</f>
        <v>-47101.673100138752</v>
      </c>
      <c r="AO157" s="1">
        <f>-2031.6401876275+B124+B118</f>
        <v>-2031.6401876274999</v>
      </c>
      <c r="AP157" s="1">
        <f>AO157-AJ157</f>
        <v>-75.76950449489982</v>
      </c>
      <c r="AQ157" s="1">
        <f>AP157*627.51</f>
        <v>-47546.121765594587</v>
      </c>
      <c r="AR157" s="1">
        <f>-2071.5618471884+B118</f>
        <v>-2071.5618471884</v>
      </c>
      <c r="AS157" s="1">
        <f>AR157-AJ157</f>
        <v>-115.69116405579985</v>
      </c>
      <c r="AT157" s="1">
        <f>AS157*627.51</f>
        <v>-72597.362356654965</v>
      </c>
      <c r="AU157" s="1">
        <f>-1955.8706831326+B126+B118</f>
        <v>-1955.8706831326001</v>
      </c>
      <c r="AV157" s="1">
        <f>AU157-AJ157</f>
        <v>0</v>
      </c>
      <c r="AW157" s="1">
        <f>AV157*627.51</f>
        <v>0</v>
      </c>
    </row>
    <row r="158" spans="1:49" x14ac:dyDescent="0.2">
      <c r="A158" s="3"/>
      <c r="E158" s="3"/>
      <c r="G158" s="1"/>
      <c r="H158" s="1"/>
      <c r="K158" s="2"/>
      <c r="L158" s="2"/>
      <c r="M158" s="2"/>
      <c r="N158" s="3"/>
      <c r="S158" s="3"/>
      <c r="X158" s="3"/>
      <c r="AJ158" s="1">
        <f>-3020.635048134+B125+B123</f>
        <v>-3020.635048134</v>
      </c>
      <c r="AL158" s="2">
        <f>-3095.669479042+B118+B125</f>
        <v>-3095.6694790420001</v>
      </c>
      <c r="AM158" s="1">
        <f>AL158-AJ158</f>
        <v>-75.034430908000104</v>
      </c>
      <c r="AN158" s="1">
        <f>AM158*627.51</f>
        <v>-47084.855739079147</v>
      </c>
      <c r="AO158" s="1">
        <f>-3096.3598583817+B124+B118</f>
        <v>-3096.3598583817002</v>
      </c>
      <c r="AP158" s="1">
        <f>AO158-AJ158</f>
        <v>-75.724810247700134</v>
      </c>
      <c r="AQ158" s="1">
        <f>AP158*627.51</f>
        <v>-47518.075678534311</v>
      </c>
      <c r="AR158" s="1">
        <f>-3136.2801842056+B118</f>
        <v>-3136.2801842056001</v>
      </c>
      <c r="AS158" s="1">
        <f>AR158-AJ158</f>
        <v>-115.64513607160006</v>
      </c>
      <c r="AT158" s="1">
        <f>AS158*627.51</f>
        <v>-72568.479336289762</v>
      </c>
      <c r="AU158" s="1">
        <f>-3020.635048134+B126+B118</f>
        <v>-3020.635048134</v>
      </c>
      <c r="AV158" s="1">
        <f>AU158-AJ158</f>
        <v>0</v>
      </c>
      <c r="AW158" s="1">
        <f>AV158*627.51</f>
        <v>0</v>
      </c>
    </row>
    <row r="159" spans="1:49" x14ac:dyDescent="0.2">
      <c r="A159" s="3"/>
      <c r="E159" s="3"/>
      <c r="G159" s="1"/>
      <c r="H159" s="1"/>
      <c r="K159" s="2"/>
      <c r="N159" s="3"/>
      <c r="S159" s="3"/>
      <c r="X159" s="3"/>
      <c r="AJ159" s="1">
        <f>-3247.2936039041+B125+B123</f>
        <v>-3247.2936039041001</v>
      </c>
      <c r="AL159" s="1">
        <f>-3322.3163103658+B118+B125</f>
        <v>-3322.3163103657998</v>
      </c>
      <c r="AM159" s="1">
        <f>AL159-AJ159</f>
        <v>-75.022706461699727</v>
      </c>
      <c r="AN159" s="1">
        <f>AM159*627.51</f>
        <v>-47077.498531781195</v>
      </c>
      <c r="AO159" s="1">
        <f>-3323.0294241546+B124+B118</f>
        <v>-3323.0294241545998</v>
      </c>
      <c r="AP159" s="1">
        <f>AO159-AJ159</f>
        <v>-75.735820250499728</v>
      </c>
      <c r="AQ159" s="1">
        <f>AP159*627.51</f>
        <v>-47524.984565391082</v>
      </c>
      <c r="AR159" s="1">
        <f>-3362.9398336186+B118</f>
        <v>-3362.9398336186</v>
      </c>
      <c r="AS159" s="1">
        <f>AR159-AJ159</f>
        <v>-115.6462297144999</v>
      </c>
      <c r="AT159" s="1">
        <f>AS159*627.51</f>
        <v>-72569.165608145835</v>
      </c>
      <c r="AU159" s="1">
        <f>-3247.2936039041+B126+B118</f>
        <v>-3247.2936039041001</v>
      </c>
      <c r="AV159" s="1">
        <f>AU159-AJ159</f>
        <v>0</v>
      </c>
      <c r="AW159" s="1">
        <f>AV159*627.51</f>
        <v>0</v>
      </c>
    </row>
    <row r="161" spans="7:8" x14ac:dyDescent="0.2">
      <c r="G161" s="1"/>
      <c r="H161" s="1"/>
    </row>
    <row r="162" spans="7:8" x14ac:dyDescent="0.2">
      <c r="G162" s="1"/>
      <c r="H162" s="1"/>
    </row>
    <row r="163" spans="7:8" x14ac:dyDescent="0.2">
      <c r="G163" s="1"/>
      <c r="H163" s="1"/>
    </row>
    <row r="165" spans="7:8" x14ac:dyDescent="0.2">
      <c r="G165" s="1"/>
      <c r="H165" s="1"/>
    </row>
    <row r="168" spans="7:8" x14ac:dyDescent="0.2">
      <c r="G168" s="1"/>
      <c r="H168" s="1"/>
    </row>
    <row r="169" spans="7:8" x14ac:dyDescent="0.2">
      <c r="G169" s="1"/>
      <c r="H169" s="1"/>
    </row>
    <row r="170" spans="7:8" x14ac:dyDescent="0.2">
      <c r="G170" s="1"/>
      <c r="H170" s="1"/>
    </row>
    <row r="171" spans="7:8" x14ac:dyDescent="0.2">
      <c r="G171" s="1"/>
      <c r="H171" s="1"/>
    </row>
    <row r="172" spans="7:8" x14ac:dyDescent="0.2">
      <c r="G172" s="1"/>
      <c r="H172" s="1"/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D6F49-5196-B046-B93E-9FC53B9E08B4}">
  <dimension ref="A1:J159"/>
  <sheetViews>
    <sheetView zoomScale="176" workbookViewId="0">
      <selection activeCell="H21" sqref="H21"/>
    </sheetView>
  </sheetViews>
  <sheetFormatPr baseColWidth="10" defaultRowHeight="16" x14ac:dyDescent="0.2"/>
  <cols>
    <col min="1" max="1" width="22.83203125" style="1" bestFit="1" customWidth="1"/>
    <col min="2" max="2" width="20.6640625" style="1" customWidth="1"/>
    <col min="3" max="3" width="22.1640625" style="1" customWidth="1"/>
    <col min="4" max="4" width="19.1640625" style="1" customWidth="1"/>
    <col min="5" max="5" width="17.83203125" style="1" customWidth="1"/>
    <col min="6" max="6" width="6.33203125" style="1" customWidth="1"/>
    <col min="7" max="7" width="38.33203125" customWidth="1"/>
    <col min="8" max="8" width="43.6640625" style="1" customWidth="1"/>
    <col min="9" max="9" width="40.83203125" style="1" bestFit="1" customWidth="1"/>
    <col min="10" max="10" width="44.83203125" customWidth="1"/>
  </cols>
  <sheetData>
    <row r="1" spans="1:10" x14ac:dyDescent="0.2">
      <c r="A1" s="1" t="s">
        <v>16</v>
      </c>
      <c r="B1" s="1" t="s">
        <v>17</v>
      </c>
      <c r="C1" s="1" t="s">
        <v>18</v>
      </c>
      <c r="D1" s="1" t="s">
        <v>20</v>
      </c>
      <c r="E1" s="1" t="s">
        <v>21</v>
      </c>
      <c r="F1"/>
      <c r="G1" s="1" t="s">
        <v>12</v>
      </c>
      <c r="H1" s="1" t="s">
        <v>13</v>
      </c>
      <c r="I1" s="1" t="s">
        <v>35</v>
      </c>
    </row>
    <row r="2" spans="1:10" x14ac:dyDescent="0.2">
      <c r="A2" s="5">
        <v>1.92079</v>
      </c>
      <c r="B2" s="5">
        <v>1.92056</v>
      </c>
      <c r="C2" s="5">
        <v>1.9206399999999999</v>
      </c>
      <c r="D2" s="5">
        <v>1.92073</v>
      </c>
      <c r="E2" s="6">
        <f>(A2+B2+C2+D2)/4</f>
        <v>1.9206799999999999</v>
      </c>
      <c r="F2"/>
      <c r="G2" s="3">
        <v>1.59622</v>
      </c>
      <c r="H2" s="5">
        <v>1.5859399999999999</v>
      </c>
      <c r="I2" s="5">
        <v>1.9893799999999999</v>
      </c>
    </row>
    <row r="3" spans="1:10" x14ac:dyDescent="0.2">
      <c r="A3" s="5">
        <v>1.89852</v>
      </c>
      <c r="B3" s="5">
        <v>1.8983699999999999</v>
      </c>
      <c r="C3" s="5">
        <v>1.89835</v>
      </c>
      <c r="D3" s="5">
        <v>1.8985799999999999</v>
      </c>
      <c r="E3" s="6">
        <f t="shared" ref="E3:E5" si="0">(A3+B3+C3+D3)/4</f>
        <v>1.898455</v>
      </c>
      <c r="F3"/>
      <c r="G3" s="3">
        <v>1.5943700000000001</v>
      </c>
      <c r="H3" s="5">
        <v>1.6408100000000001</v>
      </c>
      <c r="I3" s="5">
        <v>1.9408300000000001</v>
      </c>
    </row>
    <row r="4" spans="1:10" x14ac:dyDescent="0.2">
      <c r="A4" s="5">
        <v>2.1553900000000001</v>
      </c>
      <c r="B4" s="5">
        <v>2.1550500000000001</v>
      </c>
      <c r="C4" s="5">
        <v>2.1563599999999998</v>
      </c>
      <c r="D4" s="5">
        <v>2.1562700000000001</v>
      </c>
      <c r="E4" s="6">
        <f t="shared" si="0"/>
        <v>2.1557674999999996</v>
      </c>
      <c r="F4"/>
      <c r="G4" s="1">
        <v>1.61704</v>
      </c>
      <c r="H4" s="5">
        <v>1.61178</v>
      </c>
      <c r="I4" s="5">
        <v>2.0665100000000001</v>
      </c>
    </row>
    <row r="5" spans="1:10" x14ac:dyDescent="0.2">
      <c r="A5" s="5">
        <v>2.2170700000000001</v>
      </c>
      <c r="B5" s="5">
        <v>2.2170299999999998</v>
      </c>
      <c r="C5" s="5">
        <v>2.21719</v>
      </c>
      <c r="D5" s="5">
        <v>2.21712</v>
      </c>
      <c r="E5" s="6">
        <f t="shared" si="0"/>
        <v>2.2171024999999998</v>
      </c>
      <c r="F5"/>
      <c r="G5" s="3">
        <v>1.59032</v>
      </c>
      <c r="H5" s="5">
        <v>1.59639</v>
      </c>
      <c r="I5" s="5">
        <v>1.98702</v>
      </c>
    </row>
    <row r="6" spans="1:10" x14ac:dyDescent="0.2">
      <c r="A6" s="3" t="s">
        <v>3</v>
      </c>
    </row>
    <row r="7" spans="1:10" x14ac:dyDescent="0.2">
      <c r="J7" s="1"/>
    </row>
    <row r="8" spans="1:10" x14ac:dyDescent="0.2">
      <c r="A8" s="3"/>
      <c r="J8" s="1"/>
    </row>
    <row r="9" spans="1:10" ht="34" x14ac:dyDescent="0.2">
      <c r="A9" s="9" t="s">
        <v>37</v>
      </c>
      <c r="B9" s="1" t="s">
        <v>16</v>
      </c>
      <c r="C9" s="1" t="s">
        <v>17</v>
      </c>
      <c r="D9" s="1" t="s">
        <v>19</v>
      </c>
      <c r="E9" s="1" t="s">
        <v>20</v>
      </c>
      <c r="G9" s="1" t="s">
        <v>12</v>
      </c>
      <c r="H9" s="1" t="s">
        <v>13</v>
      </c>
      <c r="I9" s="1" t="s">
        <v>35</v>
      </c>
    </row>
    <row r="10" spans="1:10" x14ac:dyDescent="0.2">
      <c r="A10" s="3" t="s">
        <v>0</v>
      </c>
      <c r="B10" s="5">
        <v>1.92079</v>
      </c>
      <c r="C10" s="5">
        <v>1.92056</v>
      </c>
      <c r="D10" s="5">
        <v>1.9206399999999999</v>
      </c>
      <c r="E10" s="5">
        <v>1.92073</v>
      </c>
      <c r="G10" s="3">
        <v>1.5959300000000001</v>
      </c>
      <c r="H10" s="5">
        <v>1.5929800000000001</v>
      </c>
      <c r="I10" s="5">
        <v>2.0030800000000002</v>
      </c>
    </row>
    <row r="11" spans="1:10" x14ac:dyDescent="0.2">
      <c r="A11" s="3" t="s">
        <v>1</v>
      </c>
      <c r="B11" s="5">
        <v>1.8985399999999999</v>
      </c>
      <c r="C11" s="5">
        <v>1.89838</v>
      </c>
      <c r="D11" s="5">
        <v>1.8983699999999999</v>
      </c>
      <c r="E11" s="5">
        <v>1.89856</v>
      </c>
      <c r="G11" s="3">
        <v>1.61053</v>
      </c>
      <c r="H11" s="5">
        <v>1.65659</v>
      </c>
      <c r="I11" s="5">
        <v>1.94526</v>
      </c>
    </row>
    <row r="12" spans="1:10" x14ac:dyDescent="0.2">
      <c r="A12" s="3" t="s">
        <v>2</v>
      </c>
      <c r="B12" s="5">
        <v>2.0188600000000001</v>
      </c>
      <c r="C12" s="5">
        <v>2.0186799999999998</v>
      </c>
      <c r="D12" s="5">
        <v>2.0186999999999999</v>
      </c>
      <c r="E12" s="5">
        <v>2.0188299999999999</v>
      </c>
      <c r="G12" s="3">
        <v>1.6531100000000001</v>
      </c>
      <c r="H12" s="5">
        <v>1.63357</v>
      </c>
      <c r="I12" s="5">
        <v>2.07551</v>
      </c>
    </row>
    <row r="13" spans="1:10" x14ac:dyDescent="0.2">
      <c r="A13" s="3" t="s">
        <v>3</v>
      </c>
      <c r="B13" s="5">
        <v>1.9477100000000001</v>
      </c>
      <c r="C13" s="5">
        <v>1.9477100000000001</v>
      </c>
      <c r="D13" s="5">
        <v>1.9477100000000001</v>
      </c>
      <c r="E13" s="5">
        <v>1.9477100000000001</v>
      </c>
      <c r="G13" s="3">
        <v>1.65655</v>
      </c>
      <c r="H13" s="5">
        <v>1.86463</v>
      </c>
      <c r="I13" s="5">
        <v>3.1169699999999998</v>
      </c>
    </row>
    <row r="35" spans="1:9" x14ac:dyDescent="0.2">
      <c r="A35" s="3"/>
    </row>
    <row r="36" spans="1:9" x14ac:dyDescent="0.2">
      <c r="A36" s="2"/>
    </row>
    <row r="37" spans="1:9" x14ac:dyDescent="0.2">
      <c r="A37" s="3"/>
      <c r="B37" s="3"/>
      <c r="C37" s="3"/>
      <c r="D37" s="3"/>
      <c r="E37" s="3"/>
      <c r="H37" s="3"/>
      <c r="I37" s="3"/>
    </row>
    <row r="38" spans="1:9" x14ac:dyDescent="0.2">
      <c r="A38" s="3"/>
      <c r="B38" s="3"/>
      <c r="C38" s="3"/>
      <c r="D38" s="3"/>
      <c r="E38" s="3"/>
      <c r="H38" s="3"/>
      <c r="I38" s="3"/>
    </row>
    <row r="39" spans="1:9" x14ac:dyDescent="0.2">
      <c r="A39" s="3"/>
      <c r="B39" s="3"/>
      <c r="C39" s="3"/>
      <c r="D39" s="3"/>
      <c r="E39" s="3"/>
      <c r="H39" s="3"/>
      <c r="I39" s="5"/>
    </row>
    <row r="40" spans="1:9" x14ac:dyDescent="0.2">
      <c r="A40" s="3"/>
      <c r="B40" s="3"/>
      <c r="C40" s="3"/>
      <c r="D40" s="3"/>
      <c r="E40" s="3"/>
      <c r="H40" s="3"/>
      <c r="I40" s="5"/>
    </row>
    <row r="48" spans="1:9" x14ac:dyDescent="0.2">
      <c r="F48" s="2"/>
    </row>
    <row r="51" spans="2:6" x14ac:dyDescent="0.2">
      <c r="B51" s="3"/>
      <c r="C51" s="3"/>
      <c r="D51" s="3"/>
      <c r="E51" s="3"/>
    </row>
    <row r="52" spans="2:6" x14ac:dyDescent="0.2">
      <c r="B52" s="3"/>
      <c r="C52" s="3"/>
      <c r="D52" s="3"/>
      <c r="E52" s="3"/>
      <c r="F52" s="2"/>
    </row>
    <row r="53" spans="2:6" x14ac:dyDescent="0.2">
      <c r="B53" s="3"/>
      <c r="C53" s="3"/>
      <c r="D53" s="3"/>
      <c r="E53" s="3"/>
    </row>
    <row r="54" spans="2:6" x14ac:dyDescent="0.2">
      <c r="B54" s="3"/>
      <c r="C54" s="3"/>
      <c r="D54" s="3"/>
      <c r="E54" s="3"/>
    </row>
    <row r="55" spans="2:6" x14ac:dyDescent="0.2">
      <c r="B55" s="3"/>
      <c r="C55" s="3"/>
      <c r="D55" s="3"/>
      <c r="E55" s="3"/>
    </row>
    <row r="56" spans="2:6" x14ac:dyDescent="0.2">
      <c r="B56" s="3"/>
      <c r="C56" s="3"/>
      <c r="D56" s="3"/>
      <c r="E56" s="3"/>
    </row>
    <row r="61" spans="2:6" x14ac:dyDescent="0.2">
      <c r="B61" s="3"/>
      <c r="C61" s="3"/>
      <c r="D61" s="3"/>
      <c r="E61" s="3"/>
    </row>
    <row r="62" spans="2:6" x14ac:dyDescent="0.2">
      <c r="B62" s="3"/>
      <c r="C62" s="3"/>
      <c r="D62" s="3"/>
      <c r="E62" s="3"/>
    </row>
    <row r="63" spans="2:6" x14ac:dyDescent="0.2">
      <c r="B63" s="3"/>
      <c r="C63" s="3"/>
      <c r="D63" s="3"/>
      <c r="E63" s="3"/>
    </row>
    <row r="64" spans="2:6" x14ac:dyDescent="0.2">
      <c r="B64" s="3"/>
      <c r="C64" s="3"/>
      <c r="D64" s="3"/>
      <c r="E64" s="3"/>
    </row>
    <row r="65" spans="1:9" x14ac:dyDescent="0.2">
      <c r="B65" s="3"/>
      <c r="C65" s="3"/>
      <c r="D65" s="3"/>
      <c r="E65" s="3"/>
      <c r="I65" s="2"/>
    </row>
    <row r="66" spans="1:9" x14ac:dyDescent="0.2">
      <c r="B66" s="3"/>
      <c r="C66" s="3"/>
      <c r="D66" s="3"/>
      <c r="E66" s="3"/>
    </row>
    <row r="71" spans="1:9" x14ac:dyDescent="0.2">
      <c r="B71" s="3"/>
      <c r="C71" s="3"/>
      <c r="D71" s="3"/>
      <c r="E71" s="3"/>
    </row>
    <row r="72" spans="1:9" x14ac:dyDescent="0.2">
      <c r="B72" s="3"/>
      <c r="C72" s="3"/>
      <c r="E72" s="3"/>
    </row>
    <row r="73" spans="1:9" x14ac:dyDescent="0.2">
      <c r="B73" s="3"/>
      <c r="C73" s="3"/>
      <c r="D73" s="3"/>
      <c r="E73" s="3"/>
    </row>
    <row r="74" spans="1:9" x14ac:dyDescent="0.2">
      <c r="B74" s="3"/>
      <c r="C74" s="3"/>
      <c r="D74" s="3"/>
      <c r="E74" s="3"/>
      <c r="F74" s="2"/>
    </row>
    <row r="75" spans="1:9" x14ac:dyDescent="0.2">
      <c r="B75" s="3"/>
      <c r="C75" s="3"/>
      <c r="D75" s="3"/>
      <c r="E75" s="3"/>
    </row>
    <row r="76" spans="1:9" x14ac:dyDescent="0.2">
      <c r="B76" s="3"/>
      <c r="C76" s="3"/>
      <c r="D76" s="3"/>
      <c r="E76" s="3"/>
    </row>
    <row r="77" spans="1:9" x14ac:dyDescent="0.2">
      <c r="A77" s="3"/>
      <c r="F77" s="2"/>
    </row>
    <row r="78" spans="1:9" x14ac:dyDescent="0.2">
      <c r="A78" s="3"/>
    </row>
    <row r="79" spans="1:9" x14ac:dyDescent="0.2">
      <c r="A79" s="3"/>
    </row>
    <row r="81" spans="1:6" x14ac:dyDescent="0.2">
      <c r="B81" s="3"/>
      <c r="C81" s="3"/>
      <c r="D81" s="3"/>
      <c r="E81" s="3"/>
    </row>
    <row r="84" spans="1:6" x14ac:dyDescent="0.2">
      <c r="B84" s="3"/>
      <c r="C84" s="3"/>
      <c r="D84" s="3"/>
      <c r="E84" s="3"/>
    </row>
    <row r="85" spans="1:6" x14ac:dyDescent="0.2">
      <c r="B85" s="3"/>
      <c r="C85" s="3"/>
      <c r="D85" s="3"/>
      <c r="E85" s="3"/>
    </row>
    <row r="86" spans="1:6" x14ac:dyDescent="0.2">
      <c r="B86" s="3"/>
      <c r="C86" s="3"/>
      <c r="D86" s="3"/>
      <c r="E86" s="3"/>
    </row>
    <row r="88" spans="1:6" x14ac:dyDescent="0.2">
      <c r="A88" s="3"/>
    </row>
    <row r="89" spans="1:6" x14ac:dyDescent="0.2">
      <c r="A89" s="3"/>
    </row>
    <row r="90" spans="1:6" x14ac:dyDescent="0.2">
      <c r="A90" s="3"/>
    </row>
    <row r="91" spans="1:6" x14ac:dyDescent="0.2">
      <c r="A91" s="3"/>
    </row>
    <row r="92" spans="1:6" x14ac:dyDescent="0.2">
      <c r="A92" s="3"/>
      <c r="B92" s="3"/>
      <c r="C92" s="3"/>
      <c r="D92" s="3"/>
      <c r="E92" s="3"/>
      <c r="F92" s="3"/>
    </row>
    <row r="93" spans="1:6" x14ac:dyDescent="0.2">
      <c r="A93" s="3"/>
      <c r="B93" s="3"/>
      <c r="C93" s="3"/>
      <c r="D93" s="3"/>
      <c r="E93" s="3"/>
      <c r="F93" s="3"/>
    </row>
    <row r="94" spans="1:6" x14ac:dyDescent="0.2">
      <c r="A94" s="3"/>
      <c r="B94" s="3"/>
      <c r="C94" s="3"/>
      <c r="D94" s="3"/>
      <c r="E94" s="3"/>
      <c r="F94" s="3"/>
    </row>
    <row r="95" spans="1:6" x14ac:dyDescent="0.2">
      <c r="A95" s="3"/>
      <c r="B95" s="3"/>
      <c r="C95" s="3"/>
      <c r="D95" s="3"/>
      <c r="E95" s="3"/>
      <c r="F95" s="3"/>
    </row>
    <row r="96" spans="1:6" x14ac:dyDescent="0.2">
      <c r="B96" s="3"/>
      <c r="C96" s="3"/>
      <c r="D96" s="3"/>
      <c r="E96" s="3"/>
      <c r="F96" s="3"/>
    </row>
    <row r="97" spans="1:6" x14ac:dyDescent="0.2">
      <c r="B97" s="3"/>
      <c r="C97" s="3"/>
      <c r="D97" s="3"/>
      <c r="E97" s="3"/>
      <c r="F97" s="3"/>
    </row>
    <row r="98" spans="1:6" x14ac:dyDescent="0.2">
      <c r="A98" s="3"/>
      <c r="B98" s="3"/>
      <c r="C98" s="3"/>
      <c r="D98" s="3"/>
      <c r="E98" s="3"/>
      <c r="F98" s="3"/>
    </row>
    <row r="99" spans="1:6" x14ac:dyDescent="0.2">
      <c r="A99" s="3"/>
      <c r="B99" s="3"/>
      <c r="C99" s="3"/>
      <c r="D99" s="3"/>
      <c r="E99" s="3"/>
      <c r="F99" s="3"/>
    </row>
    <row r="103" spans="1:6" x14ac:dyDescent="0.2">
      <c r="F103" s="3"/>
    </row>
    <row r="104" spans="1:6" x14ac:dyDescent="0.2">
      <c r="F104" s="3"/>
    </row>
    <row r="105" spans="1:6" x14ac:dyDescent="0.2">
      <c r="F105" s="3"/>
    </row>
    <row r="106" spans="1:6" x14ac:dyDescent="0.2">
      <c r="B106" s="2"/>
      <c r="D106" s="2"/>
      <c r="F106" s="3"/>
    </row>
    <row r="107" spans="1:6" x14ac:dyDescent="0.2">
      <c r="A107" s="3"/>
    </row>
    <row r="108" spans="1:6" x14ac:dyDescent="0.2">
      <c r="A108" s="3"/>
      <c r="F108" s="3"/>
    </row>
    <row r="109" spans="1:6" x14ac:dyDescent="0.2">
      <c r="A109" s="3"/>
    </row>
    <row r="110" spans="1:6" x14ac:dyDescent="0.2">
      <c r="F110" s="3"/>
    </row>
    <row r="111" spans="1:6" x14ac:dyDescent="0.2">
      <c r="F111" s="3"/>
    </row>
    <row r="112" spans="1:6" x14ac:dyDescent="0.2">
      <c r="F112" s="3"/>
    </row>
    <row r="113" spans="1:6" x14ac:dyDescent="0.2">
      <c r="F113" s="3"/>
    </row>
    <row r="128" spans="1:6" x14ac:dyDescent="0.2">
      <c r="A128" s="3"/>
    </row>
    <row r="129" spans="1:6" x14ac:dyDescent="0.2">
      <c r="B129" s="2"/>
    </row>
    <row r="130" spans="1:6" x14ac:dyDescent="0.2">
      <c r="B130" s="2"/>
    </row>
    <row r="131" spans="1:6" x14ac:dyDescent="0.2">
      <c r="A131" s="3"/>
      <c r="C131" s="3"/>
      <c r="D131" s="3"/>
      <c r="E131" s="3"/>
      <c r="F131" s="3"/>
    </row>
    <row r="132" spans="1:6" x14ac:dyDescent="0.2">
      <c r="A132" s="3"/>
      <c r="C132" s="3"/>
      <c r="D132" s="3"/>
      <c r="E132" s="3"/>
      <c r="F132" s="3"/>
    </row>
    <row r="133" spans="1:6" x14ac:dyDescent="0.2">
      <c r="A133" s="3"/>
      <c r="C133" s="3"/>
      <c r="D133" s="3"/>
      <c r="E133" s="3"/>
      <c r="F133" s="3"/>
    </row>
    <row r="134" spans="1:6" x14ac:dyDescent="0.2">
      <c r="A134" s="3"/>
      <c r="C134" s="3"/>
      <c r="D134" s="3"/>
      <c r="E134" s="3"/>
      <c r="F134" s="3"/>
    </row>
    <row r="136" spans="1:6" x14ac:dyDescent="0.2">
      <c r="A136" s="3"/>
    </row>
    <row r="138" spans="1:6" x14ac:dyDescent="0.2">
      <c r="A138" s="3"/>
      <c r="C138" s="3"/>
      <c r="D138" s="3"/>
      <c r="E138" s="3"/>
      <c r="F138" s="3"/>
    </row>
    <row r="139" spans="1:6" x14ac:dyDescent="0.2">
      <c r="A139" s="3"/>
      <c r="C139" s="3"/>
      <c r="D139" s="3"/>
      <c r="E139" s="3"/>
      <c r="F139" s="3"/>
    </row>
    <row r="140" spans="1:6" x14ac:dyDescent="0.2">
      <c r="A140" s="3"/>
      <c r="C140" s="3"/>
      <c r="D140" s="3"/>
      <c r="E140" s="3"/>
      <c r="F140" s="3"/>
    </row>
    <row r="141" spans="1:6" x14ac:dyDescent="0.2">
      <c r="A141" s="3"/>
      <c r="C141" s="3"/>
      <c r="D141" s="3"/>
      <c r="E141" s="3"/>
      <c r="F141" s="3"/>
    </row>
    <row r="145" spans="1:8" x14ac:dyDescent="0.2">
      <c r="B145" s="2"/>
    </row>
    <row r="146" spans="1:8" x14ac:dyDescent="0.2">
      <c r="H146" s="2"/>
    </row>
    <row r="147" spans="1:8" x14ac:dyDescent="0.2">
      <c r="A147" s="3"/>
      <c r="C147" s="3"/>
      <c r="D147" s="3"/>
      <c r="E147" s="3"/>
      <c r="F147" s="3"/>
      <c r="H147" s="2"/>
    </row>
    <row r="148" spans="1:8" x14ac:dyDescent="0.2">
      <c r="A148" s="3"/>
      <c r="C148" s="3"/>
      <c r="D148" s="3"/>
      <c r="E148" s="3"/>
      <c r="F148" s="3"/>
      <c r="H148" s="2"/>
    </row>
    <row r="149" spans="1:8" x14ac:dyDescent="0.2">
      <c r="A149" s="3"/>
      <c r="C149" s="3"/>
      <c r="D149" s="3"/>
      <c r="E149" s="3"/>
      <c r="F149" s="3"/>
      <c r="H149" s="2"/>
    </row>
    <row r="150" spans="1:8" x14ac:dyDescent="0.2">
      <c r="A150" s="3"/>
      <c r="C150" s="3"/>
      <c r="D150" s="3"/>
      <c r="E150" s="3"/>
      <c r="F150" s="3"/>
      <c r="H150" s="2"/>
    </row>
    <row r="152" spans="1:8" x14ac:dyDescent="0.2">
      <c r="H152" s="2"/>
    </row>
    <row r="155" spans="1:8" x14ac:dyDescent="0.2">
      <c r="H155" s="2"/>
    </row>
    <row r="156" spans="1:8" x14ac:dyDescent="0.2">
      <c r="A156" s="3"/>
      <c r="C156" s="3"/>
      <c r="D156" s="3"/>
      <c r="E156" s="3"/>
      <c r="F156" s="3"/>
      <c r="H156" s="2"/>
    </row>
    <row r="157" spans="1:8" x14ac:dyDescent="0.2">
      <c r="A157" s="3"/>
      <c r="C157" s="3"/>
      <c r="D157" s="3"/>
      <c r="E157" s="3"/>
      <c r="F157" s="3"/>
      <c r="H157" s="2"/>
    </row>
    <row r="158" spans="1:8" x14ac:dyDescent="0.2">
      <c r="A158" s="3"/>
      <c r="C158" s="3"/>
      <c r="D158" s="3"/>
      <c r="E158" s="3"/>
      <c r="F158" s="3"/>
      <c r="H158" s="2"/>
    </row>
    <row r="159" spans="1:8" x14ac:dyDescent="0.2">
      <c r="A159" s="3"/>
      <c r="C159" s="3"/>
      <c r="D159" s="3"/>
      <c r="E159" s="3"/>
      <c r="F159" s="3"/>
      <c r="H159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880C7-2D8E-6847-92D8-F9872A735B94}">
  <dimension ref="A1:E159"/>
  <sheetViews>
    <sheetView zoomScale="125" workbookViewId="0">
      <selection activeCell="B1" sqref="B1"/>
    </sheetView>
  </sheetViews>
  <sheetFormatPr baseColWidth="10" defaultColWidth="25.83203125" defaultRowHeight="16" x14ac:dyDescent="0.2"/>
  <cols>
    <col min="1" max="3" width="25.83203125" style="1"/>
    <col min="4" max="16384" width="25.83203125" style="6"/>
  </cols>
  <sheetData>
    <row r="1" spans="1:5" ht="34" x14ac:dyDescent="0.2">
      <c r="A1" s="9" t="s">
        <v>36</v>
      </c>
      <c r="B1" s="1" t="s">
        <v>14</v>
      </c>
      <c r="C1" s="1" t="s">
        <v>15</v>
      </c>
      <c r="D1" s="5"/>
      <c r="E1" s="5"/>
    </row>
    <row r="2" spans="1:5" x14ac:dyDescent="0.2">
      <c r="A2" s="3" t="s">
        <v>0</v>
      </c>
      <c r="B2" s="6">
        <v>-1.3737004710999514</v>
      </c>
      <c r="C2" s="5">
        <v>-37.379763519100777</v>
      </c>
      <c r="D2" s="5"/>
      <c r="E2" s="5"/>
    </row>
    <row r="3" spans="1:5" x14ac:dyDescent="0.2">
      <c r="A3" s="3" t="s">
        <v>1</v>
      </c>
      <c r="B3" s="6">
        <v>-1.0514126743999128</v>
      </c>
      <c r="C3" s="5">
        <v>-28.609990283096025</v>
      </c>
      <c r="D3" s="5"/>
      <c r="E3" s="5"/>
    </row>
    <row r="4" spans="1:5" x14ac:dyDescent="0.2">
      <c r="A4" s="3" t="s">
        <v>2</v>
      </c>
      <c r="B4" s="6">
        <v>-1.2362731287999082</v>
      </c>
      <c r="C4" s="5">
        <v>-33.640228107774298</v>
      </c>
      <c r="D4" s="5"/>
      <c r="E4" s="5"/>
    </row>
    <row r="5" spans="1:5" x14ac:dyDescent="0.2">
      <c r="A5" s="3" t="s">
        <v>3</v>
      </c>
      <c r="B5" s="6">
        <v>-1.1534822803000822</v>
      </c>
      <c r="C5" s="5">
        <v>-31.387406329245533</v>
      </c>
      <c r="D5" s="5"/>
      <c r="E5" s="5"/>
    </row>
    <row r="6" spans="1:5" x14ac:dyDescent="0.2">
      <c r="D6" s="5"/>
      <c r="E6" s="5"/>
    </row>
    <row r="7" spans="1:5" x14ac:dyDescent="0.2">
      <c r="D7" s="5"/>
      <c r="E7" s="5"/>
    </row>
    <row r="8" spans="1:5" x14ac:dyDescent="0.2">
      <c r="A8" s="3"/>
      <c r="D8" s="5"/>
      <c r="E8" s="5"/>
    </row>
    <row r="9" spans="1:5" ht="34" x14ac:dyDescent="0.2">
      <c r="A9" s="9" t="s">
        <v>37</v>
      </c>
      <c r="B9" s="1" t="s">
        <v>14</v>
      </c>
      <c r="C9" s="1" t="s">
        <v>15</v>
      </c>
      <c r="D9" s="5"/>
      <c r="E9" s="5"/>
    </row>
    <row r="10" spans="1:5" x14ac:dyDescent="0.2">
      <c r="A10" s="3" t="s">
        <v>0</v>
      </c>
      <c r="B10" s="2">
        <v>-1.3811758223000794</v>
      </c>
      <c r="C10" s="5">
        <v>-37.583175300607458</v>
      </c>
      <c r="D10" s="5"/>
      <c r="E10" s="5"/>
    </row>
    <row r="11" spans="1:5" x14ac:dyDescent="0.2">
      <c r="A11" s="3" t="s">
        <v>1</v>
      </c>
      <c r="B11" s="2">
        <v>-1.0565381517999555</v>
      </c>
      <c r="C11" s="5">
        <v>-28.749459648628587</v>
      </c>
      <c r="D11" s="5"/>
      <c r="E11" s="5"/>
    </row>
    <row r="12" spans="1:5" x14ac:dyDescent="0.2">
      <c r="A12" s="3" t="s">
        <v>2</v>
      </c>
      <c r="B12" s="2">
        <v>-1.1797464576002454</v>
      </c>
      <c r="C12" s="5">
        <v>-32.102080857760278</v>
      </c>
      <c r="D12" s="5"/>
      <c r="E12" s="5"/>
    </row>
    <row r="13" spans="1:5" x14ac:dyDescent="0.2">
      <c r="A13" s="3" t="s">
        <v>3</v>
      </c>
      <c r="B13" s="2">
        <v>-1.0968356615999397</v>
      </c>
      <c r="C13" s="5">
        <v>-29.845995187795957</v>
      </c>
      <c r="D13" s="5"/>
      <c r="E13" s="5"/>
    </row>
    <row r="14" spans="1:5" x14ac:dyDescent="0.2">
      <c r="D14" s="5"/>
      <c r="E14" s="5"/>
    </row>
    <row r="37" spans="1:3" x14ac:dyDescent="0.2">
      <c r="A37" s="6"/>
      <c r="B37" s="6"/>
      <c r="C37" s="6"/>
    </row>
    <row r="38" spans="1:3" x14ac:dyDescent="0.2">
      <c r="A38" s="3"/>
    </row>
    <row r="39" spans="1:3" x14ac:dyDescent="0.2">
      <c r="A39" s="3"/>
    </row>
    <row r="40" spans="1:3" x14ac:dyDescent="0.2">
      <c r="A40" s="3"/>
    </row>
    <row r="77" spans="1:1" x14ac:dyDescent="0.2">
      <c r="A77" s="3"/>
    </row>
    <row r="78" spans="1:1" x14ac:dyDescent="0.2">
      <c r="A78" s="3"/>
    </row>
    <row r="79" spans="1:1" x14ac:dyDescent="0.2">
      <c r="A79" s="3"/>
    </row>
    <row r="88" spans="1:1" x14ac:dyDescent="0.2">
      <c r="A88" s="3"/>
    </row>
    <row r="89" spans="1:1" x14ac:dyDescent="0.2">
      <c r="A89" s="3"/>
    </row>
    <row r="90" spans="1:1" x14ac:dyDescent="0.2">
      <c r="A90" s="3"/>
    </row>
    <row r="91" spans="1:1" x14ac:dyDescent="0.2">
      <c r="A91" s="3"/>
    </row>
    <row r="92" spans="1:1" x14ac:dyDescent="0.2">
      <c r="A92" s="3"/>
    </row>
    <row r="93" spans="1:1" x14ac:dyDescent="0.2">
      <c r="A93" s="3"/>
    </row>
    <row r="94" spans="1:1" x14ac:dyDescent="0.2">
      <c r="A94" s="3"/>
    </row>
    <row r="95" spans="1:1" x14ac:dyDescent="0.2">
      <c r="A95" s="3"/>
    </row>
    <row r="98" spans="1:1" x14ac:dyDescent="0.2">
      <c r="A98" s="3"/>
    </row>
    <row r="99" spans="1:1" x14ac:dyDescent="0.2">
      <c r="A99" s="3"/>
    </row>
    <row r="107" spans="1:1" x14ac:dyDescent="0.2">
      <c r="A107" s="3"/>
    </row>
    <row r="108" spans="1:1" x14ac:dyDescent="0.2">
      <c r="A108" s="3"/>
    </row>
    <row r="109" spans="1:1" x14ac:dyDescent="0.2">
      <c r="A109" s="3"/>
    </row>
    <row r="128" spans="1:1" x14ac:dyDescent="0.2">
      <c r="A128" s="3"/>
    </row>
    <row r="129" spans="1:2" x14ac:dyDescent="0.2">
      <c r="B129" s="2"/>
    </row>
    <row r="131" spans="1:2" x14ac:dyDescent="0.2">
      <c r="A131" s="3"/>
    </row>
    <row r="132" spans="1:2" x14ac:dyDescent="0.2">
      <c r="A132" s="3"/>
    </row>
    <row r="133" spans="1:2" x14ac:dyDescent="0.2">
      <c r="A133" s="3"/>
    </row>
    <row r="134" spans="1:2" x14ac:dyDescent="0.2">
      <c r="A134" s="3"/>
    </row>
    <row r="136" spans="1:2" x14ac:dyDescent="0.2">
      <c r="A136" s="3"/>
    </row>
    <row r="138" spans="1:2" x14ac:dyDescent="0.2">
      <c r="A138" s="3"/>
    </row>
    <row r="139" spans="1:2" x14ac:dyDescent="0.2">
      <c r="A139" s="3"/>
    </row>
    <row r="140" spans="1:2" x14ac:dyDescent="0.2">
      <c r="A140" s="3"/>
    </row>
    <row r="141" spans="1:2" x14ac:dyDescent="0.2">
      <c r="A141" s="3"/>
    </row>
    <row r="145" spans="1:3" x14ac:dyDescent="0.2">
      <c r="B145" s="2"/>
    </row>
    <row r="146" spans="1:3" x14ac:dyDescent="0.2">
      <c r="C146" s="2"/>
    </row>
    <row r="147" spans="1:3" x14ac:dyDescent="0.2">
      <c r="A147" s="3"/>
    </row>
    <row r="148" spans="1:3" x14ac:dyDescent="0.2">
      <c r="A148" s="3"/>
    </row>
    <row r="149" spans="1:3" x14ac:dyDescent="0.2">
      <c r="A149" s="3"/>
    </row>
    <row r="150" spans="1:3" x14ac:dyDescent="0.2">
      <c r="A150" s="3"/>
    </row>
    <row r="156" spans="1:3" x14ac:dyDescent="0.2">
      <c r="A156" s="3"/>
    </row>
    <row r="157" spans="1:3" x14ac:dyDescent="0.2">
      <c r="A157" s="3"/>
    </row>
    <row r="158" spans="1:3" x14ac:dyDescent="0.2">
      <c r="A158" s="3"/>
    </row>
    <row r="159" spans="1:3" x14ac:dyDescent="0.2">
      <c r="A159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3CC80-3A7B-CE41-9AA3-688EFE17B865}">
  <dimension ref="A1:I13"/>
  <sheetViews>
    <sheetView workbookViewId="0">
      <selection activeCell="E1" sqref="E1"/>
    </sheetView>
  </sheetViews>
  <sheetFormatPr baseColWidth="10" defaultRowHeight="16" x14ac:dyDescent="0.2"/>
  <cols>
    <col min="1" max="11" width="25.83203125" customWidth="1"/>
  </cols>
  <sheetData>
    <row r="1" spans="1:9" ht="34" x14ac:dyDescent="0.2">
      <c r="A1" s="9" t="s">
        <v>36</v>
      </c>
      <c r="B1" s="5" t="s">
        <v>22</v>
      </c>
      <c r="C1" s="5" t="s">
        <v>23</v>
      </c>
      <c r="D1" s="6" t="s">
        <v>24</v>
      </c>
      <c r="E1" s="6" t="s">
        <v>25</v>
      </c>
      <c r="F1" s="6" t="s">
        <v>26</v>
      </c>
      <c r="G1" s="6" t="s">
        <v>27</v>
      </c>
      <c r="H1" s="6" t="s">
        <v>28</v>
      </c>
      <c r="I1" s="6" t="s">
        <v>29</v>
      </c>
    </row>
    <row r="2" spans="1:9" x14ac:dyDescent="0.2">
      <c r="A2" s="3" t="s">
        <v>0</v>
      </c>
      <c r="B2" s="5">
        <v>-2.204009580000843E-2</v>
      </c>
      <c r="C2" s="5">
        <v>-13.83038051546329</v>
      </c>
      <c r="D2" s="6">
        <v>-1.0831266299959452E-2</v>
      </c>
      <c r="E2" s="6">
        <v>-6.7967279158875558</v>
      </c>
      <c r="F2" s="6">
        <v>-9.410734600012205E-2</v>
      </c>
      <c r="G2" s="6">
        <v>-59.053300688536588</v>
      </c>
      <c r="H2" s="6">
        <v>6.8236410200071873E-2</v>
      </c>
      <c r="I2" s="6">
        <v>42.819029764647098</v>
      </c>
    </row>
    <row r="3" spans="1:9" x14ac:dyDescent="0.2">
      <c r="A3" s="3" t="s">
        <v>1</v>
      </c>
      <c r="B3" s="5">
        <v>-2.675410110001053E-2</v>
      </c>
      <c r="C3" s="5">
        <v>-16.788465981267606</v>
      </c>
      <c r="D3" s="6">
        <v>-2.4375168000091207E-2</v>
      </c>
      <c r="E3" s="6">
        <v>-15.295661671737234</v>
      </c>
      <c r="F3" s="6">
        <v>-8.4853454599873146E-2</v>
      </c>
      <c r="G3" s="6">
        <v>-53.246391295966397</v>
      </c>
      <c r="H3" s="6">
        <v>7.7240425799956824E-2</v>
      </c>
      <c r="I3" s="6">
        <v>48.469139593730908</v>
      </c>
    </row>
    <row r="4" spans="1:9" x14ac:dyDescent="0.2">
      <c r="A4" s="3" t="s">
        <v>2</v>
      </c>
      <c r="B4" s="5">
        <v>-2.7149824699932879E-2</v>
      </c>
      <c r="C4" s="5">
        <v>-17.03678649745488</v>
      </c>
      <c r="D4" s="6">
        <v>2.727199890014731E-2</v>
      </c>
      <c r="E4" s="6">
        <v>17.113452029831439</v>
      </c>
      <c r="F4" s="6">
        <v>-0.10412857090025085</v>
      </c>
      <c r="G4" s="6">
        <v>-65.341719525616412</v>
      </c>
      <c r="H4" s="6">
        <v>4.526409880001836E-2</v>
      </c>
      <c r="I4" s="6">
        <v>28.403674637999522</v>
      </c>
    </row>
    <row r="5" spans="1:9" x14ac:dyDescent="0.2">
      <c r="A5" s="3" t="s">
        <v>3</v>
      </c>
      <c r="B5" s="5">
        <v>-2.84278240010849E-3</v>
      </c>
      <c r="C5" s="5">
        <v>-1.7838743838920785</v>
      </c>
      <c r="D5" s="6">
        <v>-5.2970454999865524E-3</v>
      </c>
      <c r="E5" s="6">
        <v>-3.3239490216965613</v>
      </c>
      <c r="F5" s="6">
        <v>-0.12336943599986938</v>
      </c>
      <c r="G5" s="6">
        <v>-77.415554784278029</v>
      </c>
      <c r="H5" s="6">
        <v>7.2766965999946365E-2</v>
      </c>
      <c r="I5" s="6">
        <v>45.661998834626345</v>
      </c>
    </row>
    <row r="7" spans="1:9" x14ac:dyDescent="0.2">
      <c r="A7" s="1"/>
      <c r="B7" s="5"/>
      <c r="C7" s="5"/>
      <c r="D7" s="6"/>
      <c r="E7" s="6"/>
      <c r="F7" s="6"/>
      <c r="G7" s="6"/>
      <c r="H7" s="6"/>
      <c r="I7" s="6"/>
    </row>
    <row r="8" spans="1:9" x14ac:dyDescent="0.2">
      <c r="A8" s="3"/>
      <c r="B8" s="5"/>
      <c r="C8" s="5"/>
      <c r="D8" s="6"/>
      <c r="E8" s="6"/>
      <c r="F8" s="6"/>
      <c r="G8" s="6"/>
      <c r="H8" s="6"/>
      <c r="I8" s="6"/>
    </row>
    <row r="9" spans="1:9" ht="34" x14ac:dyDescent="0.2">
      <c r="A9" s="9" t="s">
        <v>37</v>
      </c>
      <c r="B9" s="5" t="s">
        <v>22</v>
      </c>
      <c r="C9" s="5" t="s">
        <v>23</v>
      </c>
      <c r="D9" s="6" t="s">
        <v>24</v>
      </c>
      <c r="E9" s="6" t="s">
        <v>25</v>
      </c>
      <c r="F9" s="6" t="s">
        <v>26</v>
      </c>
      <c r="G9" s="6" t="s">
        <v>27</v>
      </c>
      <c r="H9" s="6" t="s">
        <v>28</v>
      </c>
      <c r="I9" s="6" t="s">
        <v>29</v>
      </c>
    </row>
    <row r="10" spans="1:9" x14ac:dyDescent="0.2">
      <c r="A10" s="3" t="s">
        <v>0</v>
      </c>
      <c r="B10" s="5">
        <v>7.7706930014187492E-4</v>
      </c>
      <c r="C10" s="5">
        <v>0.48761875653202791</v>
      </c>
      <c r="D10" s="6">
        <v>-2.5156283600011875E-2</v>
      </c>
      <c r="E10" s="6">
        <v>-15.785819521843452</v>
      </c>
      <c r="F10" s="6">
        <v>-9.9842933200100958E-2</v>
      </c>
      <c r="G10" s="6">
        <v>-62.652439012395348</v>
      </c>
      <c r="H10" s="6">
        <v>6.54798495999529E-2</v>
      </c>
      <c r="I10" s="6">
        <v>41.089260422466445</v>
      </c>
    </row>
    <row r="11" spans="1:9" x14ac:dyDescent="0.2">
      <c r="A11" s="3" t="s">
        <v>1</v>
      </c>
      <c r="B11" s="5">
        <v>-1.2065226599958123E-2</v>
      </c>
      <c r="C11" s="5">
        <v>-7.5710503437397216</v>
      </c>
      <c r="D11" s="6">
        <v>-2.8038441199981889E-2</v>
      </c>
      <c r="E11" s="6">
        <v>-17.594402237400637</v>
      </c>
      <c r="F11" s="6">
        <v>-8.9569440400076417E-2</v>
      </c>
      <c r="G11" s="6">
        <v>-56.205719545451949</v>
      </c>
      <c r="H11" s="6">
        <v>7.093081029999837E-2</v>
      </c>
      <c r="I11" s="6">
        <v>44.509792771351975</v>
      </c>
    </row>
    <row r="12" spans="1:9" x14ac:dyDescent="0.2">
      <c r="A12" s="3" t="s">
        <v>2</v>
      </c>
      <c r="B12" s="5">
        <v>-8.1897892997915278E-3</v>
      </c>
      <c r="C12" s="5">
        <v>-5.1391746835121817</v>
      </c>
      <c r="D12" s="6">
        <v>2.4077915799722405E-2</v>
      </c>
      <c r="E12" s="6">
        <v>15.109132943483806</v>
      </c>
      <c r="F12" s="6">
        <v>-0.14038278769978518</v>
      </c>
      <c r="G12" s="6">
        <v>-88.091603109492198</v>
      </c>
      <c r="H12" s="6">
        <v>6.5752363299836247E-2</v>
      </c>
      <c r="I12" s="6">
        <v>41.26026549428024</v>
      </c>
    </row>
    <row r="13" spans="1:9" x14ac:dyDescent="0.2">
      <c r="A13" s="3" t="s">
        <v>3</v>
      </c>
      <c r="B13" s="5">
        <v>6.472602369998981E-2</v>
      </c>
      <c r="C13" s="5">
        <v>40.616227131980608</v>
      </c>
      <c r="D13" s="6">
        <v>-1.4345295000197211E-2</v>
      </c>
      <c r="E13" s="6">
        <v>-9.0018160655737525</v>
      </c>
      <c r="F13" s="6">
        <v>-0.12590859080003014</v>
      </c>
      <c r="G13" s="6">
        <v>-79.008899812926913</v>
      </c>
      <c r="H13" s="6">
        <v>1.6785564200219483E-2</v>
      </c>
      <c r="I13" s="6">
        <v>10.533109391279728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BFB32-54A5-944C-B7BE-F6EF1991A149}">
  <dimension ref="A1:N15"/>
  <sheetViews>
    <sheetView workbookViewId="0">
      <selection activeCell="H21" sqref="H21"/>
    </sheetView>
  </sheetViews>
  <sheetFormatPr baseColWidth="10" defaultRowHeight="16" x14ac:dyDescent="0.2"/>
  <cols>
    <col min="1" max="8" width="25.83203125" style="6" customWidth="1"/>
    <col min="10" max="11" width="25.83203125" style="6" customWidth="1"/>
    <col min="13" max="14" width="25.83203125" style="6" customWidth="1"/>
    <col min="15" max="16384" width="10.83203125" style="6"/>
  </cols>
  <sheetData>
    <row r="1" spans="1:14" ht="51" x14ac:dyDescent="0.2">
      <c r="A1" s="9" t="s">
        <v>36</v>
      </c>
      <c r="B1" s="9" t="s">
        <v>33</v>
      </c>
      <c r="C1" s="9" t="s">
        <v>34</v>
      </c>
      <c r="D1" s="7" t="s">
        <v>30</v>
      </c>
      <c r="E1" s="7" t="s">
        <v>32</v>
      </c>
      <c r="F1" s="7" t="s">
        <v>31</v>
      </c>
      <c r="G1" s="5"/>
      <c r="H1" s="5"/>
      <c r="J1" s="5"/>
      <c r="K1" s="5"/>
      <c r="M1" s="5"/>
      <c r="N1" s="5"/>
    </row>
    <row r="2" spans="1:14" x14ac:dyDescent="0.2">
      <c r="A2" s="3" t="s">
        <v>0</v>
      </c>
      <c r="B2" s="6">
        <v>-1946.9264449117002</v>
      </c>
      <c r="C2" s="6">
        <v>-1946.9484850075</v>
      </c>
      <c r="D2" s="6">
        <v>-1946.9593162737999</v>
      </c>
      <c r="E2" s="6">
        <v>-1947.0534236198</v>
      </c>
      <c r="F2" s="6">
        <v>-1946.9851872095999</v>
      </c>
    </row>
    <row r="3" spans="1:14" x14ac:dyDescent="0.2">
      <c r="A3" s="3" t="s">
        <v>1</v>
      </c>
      <c r="B3" s="6">
        <v>-2028.4310916697002</v>
      </c>
      <c r="C3" s="6">
        <v>-2028.4578457708001</v>
      </c>
      <c r="D3" s="6">
        <v>-2028.4822209388001</v>
      </c>
      <c r="E3" s="6">
        <v>-2028.5670743933999</v>
      </c>
      <c r="F3" s="6">
        <v>-2028.4898339675999</v>
      </c>
    </row>
    <row r="4" spans="1:14" x14ac:dyDescent="0.2">
      <c r="A4" s="3" t="s">
        <v>2</v>
      </c>
      <c r="B4" s="6">
        <v>-3092.7543414219003</v>
      </c>
      <c r="C4" s="6">
        <v>-3092.7744912474</v>
      </c>
      <c r="D4" s="6">
        <v>-3092.7442192485</v>
      </c>
      <c r="E4" s="6">
        <v>-3092.8583478194</v>
      </c>
      <c r="F4" s="6">
        <v>-3092.8130837205999</v>
      </c>
    </row>
    <row r="5" spans="1:14" x14ac:dyDescent="0.2">
      <c r="A5" s="3" t="s">
        <v>3</v>
      </c>
      <c r="B5" s="6">
        <v>-3320.0095722718002</v>
      </c>
      <c r="C5" s="6">
        <v>-3320.0124150542001</v>
      </c>
      <c r="D5" s="6">
        <v>-3320.0177120997</v>
      </c>
      <c r="E5" s="6">
        <v>-3320.1410815356999</v>
      </c>
      <c r="F5" s="6">
        <v>-3320.0683145696999</v>
      </c>
    </row>
    <row r="7" spans="1:14" x14ac:dyDescent="0.2">
      <c r="A7" s="1"/>
    </row>
    <row r="8" spans="1:14" x14ac:dyDescent="0.2">
      <c r="A8" s="3"/>
    </row>
    <row r="9" spans="1:14" ht="51" x14ac:dyDescent="0.2">
      <c r="A9" s="9" t="s">
        <v>37</v>
      </c>
      <c r="B9" s="9" t="s">
        <v>33</v>
      </c>
      <c r="C9" s="9" t="s">
        <v>34</v>
      </c>
      <c r="D9" s="7" t="s">
        <v>30</v>
      </c>
      <c r="E9" s="7" t="s">
        <v>32</v>
      </c>
      <c r="F9" s="7" t="s">
        <v>31</v>
      </c>
      <c r="G9" s="5"/>
      <c r="H9" s="5"/>
      <c r="J9" s="5"/>
      <c r="K9" s="5"/>
      <c r="M9" s="5"/>
      <c r="N9" s="5"/>
    </row>
    <row r="10" spans="1:14" x14ac:dyDescent="0.2">
      <c r="A10" s="3" t="s">
        <v>0</v>
      </c>
      <c r="B10" s="6">
        <v>-1946.9264458672003</v>
      </c>
      <c r="C10" s="6">
        <v>-1946.9256687979</v>
      </c>
      <c r="D10" s="6">
        <v>-1946.9508250814999</v>
      </c>
      <c r="E10" s="6">
        <v>-1947.0506680147</v>
      </c>
      <c r="F10" s="6">
        <v>-1946.9851881651</v>
      </c>
    </row>
    <row r="11" spans="1:14" x14ac:dyDescent="0.2">
      <c r="A11" s="3" t="s">
        <v>1</v>
      </c>
      <c r="B11" s="6">
        <v>-2028.4310932526002</v>
      </c>
      <c r="C11" s="6">
        <v>-2028.4431584792001</v>
      </c>
      <c r="D11" s="6">
        <v>-2028.4711969204</v>
      </c>
      <c r="E11" s="6">
        <v>-2028.5607663608</v>
      </c>
      <c r="F11" s="6">
        <v>-2028.4898355504999</v>
      </c>
    </row>
    <row r="12" spans="1:14" x14ac:dyDescent="0.2">
      <c r="A12" s="3" t="s">
        <v>2</v>
      </c>
      <c r="B12" s="6">
        <v>-3092.6287156101002</v>
      </c>
      <c r="C12" s="6">
        <v>-3092.6369053993999</v>
      </c>
      <c r="D12" s="6">
        <v>-3092.6128274836001</v>
      </c>
      <c r="E12" s="6">
        <v>-3092.7532102712998</v>
      </c>
      <c r="F12" s="6">
        <v>-3092.6874579079999</v>
      </c>
    </row>
    <row r="13" spans="1:14" x14ac:dyDescent="0.2">
      <c r="A13" s="3" t="s">
        <v>3</v>
      </c>
      <c r="B13" s="6">
        <v>-3319.8997513893</v>
      </c>
      <c r="C13" s="6">
        <v>-3319.8350253655999</v>
      </c>
      <c r="D13" s="6">
        <v>-3319.8493706606</v>
      </c>
      <c r="E13" s="6">
        <v>-3319.9752792514</v>
      </c>
      <c r="F13" s="6">
        <v>-3319.9584936871997</v>
      </c>
    </row>
    <row r="15" spans="1:14" x14ac:dyDescent="0.2">
      <c r="A15" s="1"/>
      <c r="B15" s="1"/>
      <c r="C1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total energies</vt:lpstr>
      <vt:lpstr>bond lengths</vt:lpstr>
      <vt:lpstr>formation energy </vt:lpstr>
      <vt:lpstr>reaction energy</vt:lpstr>
      <vt:lpstr>reaction progress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2020-07-02T06:56:25Z</dcterms:created>
  <dcterms:modified xsi:type="dcterms:W3CDTF">2021-06-01T18:09:20Z</dcterms:modified>
</cp:coreProperties>
</file>