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aojun/Dropbox (MIT)/I-HJANMJL-SACs/Data/energies/"/>
    </mc:Choice>
  </mc:AlternateContent>
  <xr:revisionPtr revIDLastSave="0" documentId="13_ncr:1_{49CD2219-D5AE-774B-8FF2-94A97B012343}" xr6:coauthVersionLast="47" xr6:coauthVersionMax="47" xr10:uidLastSave="{00000000-0000-0000-0000-000000000000}"/>
  <bookViews>
    <workbookView xWindow="0" yWindow="500" windowWidth="35840" windowHeight="21900" xr2:uid="{8EBCFFB2-78C9-0A4C-9DCA-CEF9A88F9A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AK143" i="1"/>
  <c r="AW143" i="1" s="1"/>
  <c r="AX143" i="1" s="1"/>
  <c r="AM143" i="1"/>
  <c r="AN143" i="1"/>
  <c r="AO143" i="1" s="1"/>
  <c r="AP143" i="1"/>
  <c r="AQ143" i="1" s="1"/>
  <c r="AR143" i="1" s="1"/>
  <c r="AS143" i="1"/>
  <c r="AV143" i="1"/>
  <c r="AK144" i="1"/>
  <c r="AM144" i="1"/>
  <c r="AN144" i="1" s="1"/>
  <c r="AO144" i="1" s="1"/>
  <c r="AP144" i="1"/>
  <c r="AQ144" i="1" s="1"/>
  <c r="AR144" i="1" s="1"/>
  <c r="AS144" i="1"/>
  <c r="AV144" i="1"/>
  <c r="AK145" i="1"/>
  <c r="AM145" i="1"/>
  <c r="AP145" i="1"/>
  <c r="AQ145" i="1" s="1"/>
  <c r="AR145" i="1" s="1"/>
  <c r="AS145" i="1"/>
  <c r="AV145" i="1"/>
  <c r="AK146" i="1"/>
  <c r="AM146" i="1"/>
  <c r="AN146" i="1"/>
  <c r="AO146" i="1" s="1"/>
  <c r="AP146" i="1"/>
  <c r="AQ146" i="1" s="1"/>
  <c r="AR146" i="1" s="1"/>
  <c r="AS146" i="1"/>
  <c r="AV146" i="1"/>
  <c r="AW146" i="1"/>
  <c r="AX146" i="1" s="1"/>
  <c r="AK150" i="1"/>
  <c r="AM150" i="1"/>
  <c r="AN150" i="1" s="1"/>
  <c r="AO150" i="1" s="1"/>
  <c r="AP150" i="1"/>
  <c r="AS150" i="1"/>
  <c r="AV150" i="1"/>
  <c r="AK151" i="1"/>
  <c r="AM151" i="1"/>
  <c r="AN151" i="1" s="1"/>
  <c r="AO151" i="1" s="1"/>
  <c r="AP151" i="1"/>
  <c r="AS151" i="1"/>
  <c r="AV151" i="1"/>
  <c r="AK152" i="1"/>
  <c r="AW152" i="1" s="1"/>
  <c r="AX152" i="1" s="1"/>
  <c r="AM152" i="1"/>
  <c r="AN152" i="1" s="1"/>
  <c r="AO152" i="1" s="1"/>
  <c r="AP152" i="1"/>
  <c r="AQ152" i="1"/>
  <c r="AR152" i="1"/>
  <c r="AS152" i="1"/>
  <c r="AT152" i="1" s="1"/>
  <c r="AU152" i="1" s="1"/>
  <c r="AV152" i="1"/>
  <c r="AK153" i="1"/>
  <c r="AM153" i="1"/>
  <c r="AN153" i="1" s="1"/>
  <c r="AO153" i="1" s="1"/>
  <c r="AP153" i="1"/>
  <c r="AQ153" i="1"/>
  <c r="AR153" i="1"/>
  <c r="AS153" i="1"/>
  <c r="AT153" i="1" s="1"/>
  <c r="AU153" i="1" s="1"/>
  <c r="AV153" i="1"/>
  <c r="AW153" i="1" s="1"/>
  <c r="AX153" i="1" s="1"/>
  <c r="AK160" i="1"/>
  <c r="AM160" i="1"/>
  <c r="AN160" i="1"/>
  <c r="AO160" i="1"/>
  <c r="AP160" i="1"/>
  <c r="AQ160" i="1"/>
  <c r="AR160" i="1"/>
  <c r="AS160" i="1"/>
  <c r="AT160" i="1"/>
  <c r="AU160" i="1"/>
  <c r="AV160" i="1"/>
  <c r="AW160" i="1" s="1"/>
  <c r="AX160" i="1" s="1"/>
  <c r="AK161" i="1"/>
  <c r="AQ161" i="1" s="1"/>
  <c r="AR161" i="1" s="1"/>
  <c r="AM161" i="1"/>
  <c r="AP161" i="1"/>
  <c r="AS161" i="1"/>
  <c r="AV161" i="1"/>
  <c r="AK162" i="1"/>
  <c r="AW162" i="1" s="1"/>
  <c r="AX162" i="1" s="1"/>
  <c r="AM162" i="1"/>
  <c r="AN162" i="1"/>
  <c r="AO162" i="1"/>
  <c r="AP162" i="1"/>
  <c r="AS162" i="1"/>
  <c r="AV162" i="1"/>
  <c r="AK163" i="1"/>
  <c r="AM163" i="1"/>
  <c r="AN163" i="1"/>
  <c r="AO163" i="1"/>
  <c r="AP163" i="1"/>
  <c r="AQ163" i="1"/>
  <c r="AR163" i="1"/>
  <c r="AS163" i="1"/>
  <c r="AT163" i="1" s="1"/>
  <c r="AU163" i="1" s="1"/>
  <c r="AV163" i="1"/>
  <c r="AK169" i="1"/>
  <c r="AM169" i="1"/>
  <c r="AN169" i="1"/>
  <c r="AO169" i="1" s="1"/>
  <c r="AP169" i="1"/>
  <c r="AQ169" i="1"/>
  <c r="AR169" i="1" s="1"/>
  <c r="AS169" i="1"/>
  <c r="AT169" i="1" s="1"/>
  <c r="AU169" i="1" s="1"/>
  <c r="AV169" i="1"/>
  <c r="AK170" i="1"/>
  <c r="AM170" i="1"/>
  <c r="AN170" i="1" s="1"/>
  <c r="AO170" i="1" s="1"/>
  <c r="AP170" i="1"/>
  <c r="AQ170" i="1" s="1"/>
  <c r="AR170" i="1" s="1"/>
  <c r="AS170" i="1"/>
  <c r="AV170" i="1"/>
  <c r="AK171" i="1"/>
  <c r="AM171" i="1"/>
  <c r="AN171" i="1"/>
  <c r="AO171" i="1"/>
  <c r="AP171" i="1"/>
  <c r="AQ171" i="1" s="1"/>
  <c r="AR171" i="1" s="1"/>
  <c r="AS171" i="1"/>
  <c r="AV171" i="1"/>
  <c r="AK172" i="1"/>
  <c r="AM172" i="1"/>
  <c r="AN172" i="1"/>
  <c r="AO172" i="1" s="1"/>
  <c r="AP172" i="1"/>
  <c r="AQ172" i="1" s="1"/>
  <c r="AR172" i="1" s="1"/>
  <c r="AS172" i="1"/>
  <c r="AV172" i="1"/>
  <c r="AT170" i="1" l="1"/>
  <c r="AU170" i="1" s="1"/>
  <c r="AT161" i="1"/>
  <c r="AU161" i="1" s="1"/>
  <c r="AT144" i="1"/>
  <c r="AU144" i="1" s="1"/>
  <c r="AT145" i="1"/>
  <c r="AU145" i="1" s="1"/>
  <c r="AT172" i="1"/>
  <c r="AU172" i="1" s="1"/>
  <c r="AW163" i="1"/>
  <c r="AX163" i="1" s="1"/>
  <c r="AW172" i="1"/>
  <c r="AX172" i="1" s="1"/>
  <c r="AN161" i="1"/>
  <c r="AO161" i="1" s="1"/>
  <c r="AQ151" i="1"/>
  <c r="AR151" i="1" s="1"/>
  <c r="AT146" i="1"/>
  <c r="AU146" i="1" s="1"/>
  <c r="AT143" i="1"/>
  <c r="AU143" i="1" s="1"/>
  <c r="AQ150" i="1"/>
  <c r="AR150" i="1" s="1"/>
  <c r="AW161" i="1"/>
  <c r="AX161" i="1" s="1"/>
  <c r="AT162" i="1"/>
  <c r="AU162" i="1" s="1"/>
  <c r="AT171" i="1"/>
  <c r="AU171" i="1" s="1"/>
  <c r="AW169" i="1"/>
  <c r="AX169" i="1" s="1"/>
  <c r="AQ162" i="1"/>
  <c r="AR162" i="1" s="1"/>
  <c r="AW150" i="1"/>
  <c r="AX150" i="1" s="1"/>
  <c r="AW151" i="1"/>
  <c r="AX151" i="1" s="1"/>
  <c r="AN145" i="1"/>
  <c r="AO145" i="1" s="1"/>
  <c r="AW145" i="1"/>
  <c r="AX145" i="1" s="1"/>
  <c r="AW144" i="1"/>
  <c r="AX144" i="1" s="1"/>
  <c r="AT151" i="1"/>
  <c r="AU151" i="1" s="1"/>
  <c r="AT150" i="1"/>
  <c r="AU150" i="1" s="1"/>
  <c r="AW171" i="1"/>
  <c r="AX171" i="1" s="1"/>
  <c r="AW170" i="1"/>
  <c r="AX170" i="1" s="1"/>
</calcChain>
</file>

<file path=xl/sharedStrings.xml><?xml version="1.0" encoding="utf-8"?>
<sst xmlns="http://schemas.openxmlformats.org/spreadsheetml/2006/main" count="28" uniqueCount="23">
  <si>
    <t>E(resting state) 
+ E(methane)+ E(N2O)</t>
  </si>
  <si>
    <t>E(oxo intermediate) 
+ E(methane) + E(N2)</t>
  </si>
  <si>
    <t>E(hydroxyl intermediate) 
+ E(methyl radical) + E(N2)</t>
  </si>
  <si>
    <t>E(methanaol intermediate) 
+ E(N2)</t>
  </si>
  <si>
    <t>E(resting state) 
+ E(methanol) + E(N2)</t>
  </si>
  <si>
    <t>Fe-dopant1 (Å)</t>
  </si>
  <si>
    <t>Fe-dopant2 (Å)</t>
  </si>
  <si>
    <t>Fe-dopant3 (Å)</t>
  </si>
  <si>
    <t>Fe-dopant4 (Å)</t>
  </si>
  <si>
    <t>Fe-dopant5 (Å)</t>
  </si>
  <si>
    <t>Fe-dopant6 (Å)</t>
  </si>
  <si>
    <t>average (Å)</t>
  </si>
  <si>
    <t>fe_2_1_pyridine_pyridine_pyridine_pyridine_pyridine_pyridine</t>
  </si>
  <si>
    <t>name</t>
  </si>
  <si>
    <t>fe_2_1_4H-pyran_4H-pyran_4H-pyran_4H-pyran_4H-pyran_4H-pyran</t>
  </si>
  <si>
    <t>fe_2_1_pyrrole_pyrrole_pyrrole_pyrrole_pyrrole_pyrrole</t>
  </si>
  <si>
    <t>fe_2_1_furan_furan_furan_furan_furan_furan</t>
  </si>
  <si>
    <t>fe_2_1_phospholide_phospholide_phospholide_phospholide_phospholide_phospholide</t>
  </si>
  <si>
    <t>fe_2_1_thiophene_thiophene_thiophene_thiophene_thiophene_thiophene</t>
  </si>
  <si>
    <t>fe_2_1_phosphinine_phosphinine_phosphinine_phosphinine_phosphinine_phosphinine</t>
  </si>
  <si>
    <t>fe_2_1_4H-thiopyran_4H-thiopyran_4H-thiopyran_4H-thiopyran_4H-thiopyran_4H-thiopyran</t>
  </si>
  <si>
    <t>energies are for wPBEh with LACVP*</t>
  </si>
  <si>
    <t>total energy (a.u.)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</si>
</sst>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8"/>
      <color rgb="FF000000"/>
      <name val="Times New Roman"/>
      <family val="1"/>
    </font>
    <font>
      <sz val="17"/>
      <color rgb="FF000000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D04AD-8C1D-5B49-9FD3-C6FE3CADF5AE}">
  <dimension ref="A1:AX172"/>
  <sheetViews>
    <sheetView tabSelected="1" zoomScale="172" zoomScaleNormal="83" workbookViewId="0">
      <selection activeCell="B1" sqref="B1"/>
    </sheetView>
  </sheetViews>
  <sheetFormatPr baseColWidth="10" defaultRowHeight="16" x14ac:dyDescent="0.2"/>
  <cols>
    <col min="1" max="1" width="20.5" style="1" customWidth="1"/>
    <col min="2" max="2" width="21.6640625" style="1" customWidth="1"/>
    <col min="3" max="3" width="20.6640625" style="1" customWidth="1"/>
    <col min="4" max="4" width="22.1640625" style="1" customWidth="1"/>
    <col min="5" max="5" width="19.1640625" style="1" customWidth="1"/>
    <col min="6" max="6" width="17.83203125" style="1" customWidth="1"/>
    <col min="7" max="7" width="18.1640625" style="1" customWidth="1"/>
    <col min="8" max="8" width="16.6640625" style="1" customWidth="1"/>
    <col min="9" max="9" width="21.5" style="1" customWidth="1"/>
    <col min="10" max="10" width="17.83203125" style="1" customWidth="1"/>
    <col min="11" max="11" width="15.5" style="1" customWidth="1"/>
    <col min="12" max="12" width="23.33203125" style="1" customWidth="1"/>
    <col min="13" max="13" width="16.6640625" style="1" customWidth="1"/>
    <col min="14" max="14" width="29.83203125" style="1" customWidth="1"/>
    <col min="15" max="15" width="24" style="1" customWidth="1"/>
    <col min="16" max="16" width="18.5" style="1" customWidth="1"/>
    <col min="17" max="17" width="15.83203125" style="1" customWidth="1"/>
    <col min="18" max="18" width="18.83203125" style="1" customWidth="1"/>
    <col min="19" max="20" width="24.33203125" style="1" customWidth="1"/>
    <col min="21" max="21" width="20.83203125" style="1" customWidth="1"/>
    <col min="22" max="22" width="18.83203125" style="1" customWidth="1"/>
    <col min="23" max="23" width="16.6640625" style="1" customWidth="1"/>
    <col min="24" max="24" width="23.83203125" style="1" customWidth="1"/>
    <col min="25" max="25" width="22.83203125" style="1" customWidth="1"/>
    <col min="26" max="26" width="27.6640625" style="1" customWidth="1"/>
    <col min="27" max="27" width="20.5" style="1" customWidth="1"/>
    <col min="28" max="28" width="10.83203125" style="1"/>
    <col min="29" max="30" width="23" style="1" customWidth="1"/>
    <col min="31" max="31" width="19.83203125" style="1" customWidth="1"/>
    <col min="32" max="32" width="16.33203125" style="1" customWidth="1"/>
    <col min="33" max="33" width="22.5" style="1" customWidth="1"/>
    <col min="34" max="34" width="10.83203125" style="1"/>
    <col min="35" max="35" width="16.6640625" style="1" customWidth="1"/>
    <col min="36" max="36" width="10.83203125" style="1"/>
    <col min="37" max="37" width="22.5" style="1" customWidth="1"/>
    <col min="38" max="38" width="14" style="1" customWidth="1"/>
    <col min="39" max="39" width="20.83203125" style="1" customWidth="1"/>
    <col min="40" max="40" width="10.6640625" style="1" customWidth="1"/>
    <col min="41" max="41" width="15.33203125" style="1" customWidth="1"/>
    <col min="42" max="42" width="25.1640625" style="1" customWidth="1"/>
    <col min="43" max="44" width="13.5" style="1" customWidth="1"/>
    <col min="45" max="45" width="25.6640625" style="1" customWidth="1"/>
    <col min="46" max="47" width="10.83203125" style="1"/>
    <col min="48" max="48" width="28" style="1" customWidth="1"/>
    <col min="49" max="49" width="17" style="1" customWidth="1"/>
    <col min="50" max="16384" width="10.83203125" style="1"/>
  </cols>
  <sheetData>
    <row r="1" spans="1:35" x14ac:dyDescent="0.2">
      <c r="A1" s="9" t="s">
        <v>13</v>
      </c>
      <c r="B1" s="9" t="s">
        <v>22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T1" s="2"/>
      <c r="U1" s="2"/>
      <c r="Y1" s="2"/>
      <c r="Z1" s="2"/>
      <c r="AE1" s="2"/>
    </row>
    <row r="2" spans="1:35" x14ac:dyDescent="0.2">
      <c r="A2" s="3" t="s">
        <v>12</v>
      </c>
      <c r="B2" s="9">
        <v>-1611.2595361179999</v>
      </c>
      <c r="C2" s="3">
        <v>2.1020099999999999</v>
      </c>
      <c r="D2" s="3">
        <v>2.1500599999999999</v>
      </c>
      <c r="E2" s="3">
        <v>2.10195</v>
      </c>
      <c r="F2" s="3">
        <v>2.15015</v>
      </c>
      <c r="G2" s="3">
        <v>2.0823100000000001</v>
      </c>
      <c r="H2" s="3">
        <v>2.0823499999999999</v>
      </c>
      <c r="I2" s="1">
        <f t="shared" ref="I2:I9" si="0">(C2+D2+E2+F2+G2+H2)/6</f>
        <v>2.1114716666666666</v>
      </c>
    </row>
    <row r="3" spans="1:35" ht="22" x14ac:dyDescent="0.2">
      <c r="A3" s="3" t="s">
        <v>14</v>
      </c>
      <c r="B3" s="9">
        <v>-1737.127871722</v>
      </c>
      <c r="C3" s="3">
        <v>2.0699999999999998</v>
      </c>
      <c r="D3" s="3">
        <v>2.3287499999999999</v>
      </c>
      <c r="E3" s="3">
        <v>2.2880199999999999</v>
      </c>
      <c r="F3" s="3">
        <v>2.32097</v>
      </c>
      <c r="G3" s="3">
        <v>2.0265300000000002</v>
      </c>
      <c r="H3" s="3">
        <v>2.02745</v>
      </c>
      <c r="I3" s="1">
        <f t="shared" si="0"/>
        <v>2.1769533333333331</v>
      </c>
      <c r="T3" s="6"/>
    </row>
    <row r="4" spans="1:35" x14ac:dyDescent="0.2">
      <c r="A4" s="3" t="s">
        <v>19</v>
      </c>
      <c r="B4" s="9">
        <v>-3330.2512952255001</v>
      </c>
      <c r="C4" s="3">
        <v>2.25685</v>
      </c>
      <c r="D4" s="3">
        <v>2.2638799999999999</v>
      </c>
      <c r="E4" s="3">
        <v>2.25685</v>
      </c>
      <c r="F4" s="3">
        <v>2.2638500000000001</v>
      </c>
      <c r="G4" s="3">
        <v>2.2491500000000002</v>
      </c>
      <c r="H4" s="3">
        <v>2.2491500000000002</v>
      </c>
      <c r="I4" s="1">
        <f t="shared" si="0"/>
        <v>2.2566216666666667</v>
      </c>
    </row>
    <row r="5" spans="1:35" x14ac:dyDescent="0.2">
      <c r="A5" s="3" t="s">
        <v>20</v>
      </c>
      <c r="B5" s="9">
        <v>-3674.6272364353999</v>
      </c>
      <c r="C5" s="3">
        <v>2.3508499999999999</v>
      </c>
      <c r="D5" s="3">
        <v>2.3752499999999999</v>
      </c>
      <c r="E5" s="3">
        <v>2.4277500000000001</v>
      </c>
      <c r="F5" s="3">
        <v>2.3876499999999998</v>
      </c>
      <c r="G5" s="3">
        <v>2.42171</v>
      </c>
      <c r="H5" s="3">
        <v>2.34314</v>
      </c>
      <c r="I5" s="1">
        <f t="shared" si="0"/>
        <v>2.3843916666666667</v>
      </c>
    </row>
    <row r="6" spans="1:35" x14ac:dyDescent="0.2">
      <c r="A6" s="1" t="s">
        <v>15</v>
      </c>
      <c r="B6" s="9">
        <v>-1379.1952671777999</v>
      </c>
      <c r="C6" s="3">
        <v>2.1143299999999998</v>
      </c>
      <c r="D6" s="3">
        <v>2.1143100000000001</v>
      </c>
      <c r="E6" s="3">
        <v>2.1143000000000001</v>
      </c>
      <c r="F6" s="3">
        <v>2.11435</v>
      </c>
      <c r="G6" s="3">
        <v>2.1142799999999999</v>
      </c>
      <c r="H6" s="3">
        <v>2.11442</v>
      </c>
      <c r="I6" s="1">
        <f t="shared" si="0"/>
        <v>2.1143316666666667</v>
      </c>
      <c r="T6" s="7"/>
    </row>
    <row r="7" spans="1:35" x14ac:dyDescent="0.2">
      <c r="A7" s="1" t="s">
        <v>16</v>
      </c>
      <c r="B7" s="9">
        <v>-1501.6451198063</v>
      </c>
      <c r="C7" s="3">
        <v>2.0300099999999999</v>
      </c>
      <c r="D7" s="3">
        <v>2.03003</v>
      </c>
      <c r="E7" s="3">
        <v>2.0301100000000001</v>
      </c>
      <c r="F7" s="3">
        <v>2.0301100000000001</v>
      </c>
      <c r="G7" s="3">
        <v>2.0299900000000002</v>
      </c>
      <c r="H7" s="3">
        <v>2.0298600000000002</v>
      </c>
      <c r="I7" s="1">
        <f t="shared" si="0"/>
        <v>2.030018333333333</v>
      </c>
    </row>
    <row r="8" spans="1:35" x14ac:dyDescent="0.2">
      <c r="A8" s="3" t="s">
        <v>17</v>
      </c>
      <c r="B8" s="9">
        <v>-3098.2827208135</v>
      </c>
      <c r="C8" s="3">
        <v>2.3381599999999998</v>
      </c>
      <c r="D8" s="3">
        <v>2.33908</v>
      </c>
      <c r="E8" s="3">
        <v>2.3379599999999998</v>
      </c>
      <c r="F8" s="3">
        <v>2.3384499999999999</v>
      </c>
      <c r="G8" s="3">
        <v>2.3384100000000001</v>
      </c>
      <c r="H8" s="3">
        <v>2.3383099999999999</v>
      </c>
      <c r="I8" s="1">
        <f t="shared" si="0"/>
        <v>2.3383949999999998</v>
      </c>
      <c r="T8" s="7"/>
      <c r="Y8" s="7"/>
    </row>
    <row r="9" spans="1:35" x14ac:dyDescent="0.2">
      <c r="A9" s="3" t="s">
        <v>18</v>
      </c>
      <c r="B9" s="9">
        <v>-3439.0596959252998</v>
      </c>
      <c r="C9" s="3">
        <v>2.3837799999999998</v>
      </c>
      <c r="D9" s="3">
        <v>2.3840699999999999</v>
      </c>
      <c r="E9" s="3">
        <v>2.3837899999999999</v>
      </c>
      <c r="F9" s="3">
        <v>2.3839100000000002</v>
      </c>
      <c r="G9" s="3">
        <v>2.3840599999999998</v>
      </c>
      <c r="H9" s="3">
        <v>2.3835799999999998</v>
      </c>
      <c r="I9" s="1">
        <f t="shared" si="0"/>
        <v>2.3838649999999997</v>
      </c>
    </row>
    <row r="10" spans="1:35" x14ac:dyDescent="0.2">
      <c r="B10" s="2"/>
      <c r="E10" s="2"/>
      <c r="I10" s="2"/>
      <c r="J10" s="2"/>
    </row>
    <row r="12" spans="1:35" ht="17" customHeight="1" x14ac:dyDescent="0.2">
      <c r="A12" s="9"/>
      <c r="J12" s="5"/>
    </row>
    <row r="13" spans="1:35" ht="19" customHeight="1" x14ac:dyDescent="0.2">
      <c r="A13" s="9" t="s">
        <v>21</v>
      </c>
      <c r="J13" s="5"/>
    </row>
    <row r="14" spans="1:35" x14ac:dyDescent="0.2">
      <c r="A14" s="9"/>
      <c r="B14" s="2"/>
      <c r="H14" s="2"/>
      <c r="K14" s="2"/>
      <c r="O14" s="2"/>
      <c r="S14" s="2"/>
      <c r="Y14" s="2"/>
      <c r="Z14" s="2"/>
      <c r="AC14" s="2"/>
      <c r="AF14" s="2"/>
      <c r="AI14" s="2"/>
    </row>
    <row r="15" spans="1:35" x14ac:dyDescent="0.2">
      <c r="A15" s="9"/>
      <c r="B15" s="2"/>
      <c r="Y15" s="4"/>
      <c r="AI15" s="4"/>
    </row>
    <row r="16" spans="1:35" x14ac:dyDescent="0.2">
      <c r="A16" s="3"/>
      <c r="B16" s="4"/>
      <c r="C16" s="3"/>
      <c r="D16" s="3"/>
      <c r="E16" s="3"/>
      <c r="F16" s="3"/>
      <c r="L16" s="3"/>
      <c r="P16" s="3"/>
      <c r="T16" s="3"/>
      <c r="Y16" s="4"/>
      <c r="AI16" s="4"/>
    </row>
    <row r="17" spans="1:35" x14ac:dyDescent="0.2">
      <c r="A17" s="3"/>
      <c r="B17" s="4"/>
      <c r="C17" s="3"/>
      <c r="D17" s="3"/>
      <c r="E17" s="3"/>
      <c r="F17" s="3"/>
      <c r="L17" s="3"/>
      <c r="P17" s="3"/>
      <c r="T17" s="3"/>
      <c r="Y17" s="2"/>
      <c r="AI17" s="2"/>
    </row>
    <row r="18" spans="1:35" x14ac:dyDescent="0.2">
      <c r="A18" s="3"/>
      <c r="B18" s="2"/>
      <c r="C18" s="3"/>
      <c r="D18" s="3"/>
      <c r="E18" s="3"/>
      <c r="F18" s="3"/>
      <c r="L18" s="3"/>
      <c r="P18" s="3"/>
      <c r="T18" s="3"/>
    </row>
    <row r="19" spans="1:35" x14ac:dyDescent="0.2">
      <c r="A19" s="3"/>
      <c r="C19" s="3"/>
      <c r="D19" s="3"/>
      <c r="E19" s="3"/>
      <c r="F19" s="3"/>
      <c r="L19" s="3"/>
      <c r="P19" s="3"/>
      <c r="T19" s="3"/>
      <c r="Y19" s="4"/>
      <c r="AI19" s="4"/>
    </row>
    <row r="20" spans="1:35" x14ac:dyDescent="0.2">
      <c r="B20" s="4"/>
      <c r="Y20" s="4"/>
      <c r="AI20" s="4"/>
    </row>
    <row r="21" spans="1:35" x14ac:dyDescent="0.2">
      <c r="A21" s="3"/>
      <c r="B21" s="4"/>
      <c r="Y21" s="4"/>
      <c r="AI21" s="4"/>
    </row>
    <row r="22" spans="1:35" x14ac:dyDescent="0.2">
      <c r="B22" s="4"/>
      <c r="Y22" s="4"/>
      <c r="AI22" s="4"/>
    </row>
    <row r="23" spans="1:35" x14ac:dyDescent="0.2">
      <c r="A23" s="3"/>
      <c r="B23" s="4"/>
      <c r="C23" s="3"/>
      <c r="D23" s="3"/>
      <c r="E23" s="3"/>
      <c r="F23" s="3"/>
      <c r="L23" s="3"/>
      <c r="P23" s="3"/>
      <c r="T23" s="3"/>
      <c r="Y23" s="2"/>
      <c r="AI23" s="2"/>
    </row>
    <row r="24" spans="1:35" x14ac:dyDescent="0.2">
      <c r="A24" s="3"/>
      <c r="B24" s="2"/>
      <c r="C24" s="3"/>
      <c r="D24" s="3"/>
      <c r="E24" s="3"/>
      <c r="F24" s="3"/>
      <c r="L24" s="3"/>
      <c r="P24" s="3"/>
      <c r="T24" s="3"/>
    </row>
    <row r="25" spans="1:35" x14ac:dyDescent="0.2">
      <c r="A25" s="3"/>
      <c r="C25" s="3"/>
      <c r="D25" s="3"/>
      <c r="E25" s="3"/>
      <c r="F25" s="3"/>
      <c r="P25" s="3"/>
      <c r="T25" s="3"/>
    </row>
    <row r="26" spans="1:35" x14ac:dyDescent="0.2">
      <c r="A26" s="3"/>
      <c r="C26" s="8"/>
      <c r="D26" s="8"/>
      <c r="E26" s="8"/>
      <c r="F26" s="8"/>
      <c r="L26" s="3"/>
      <c r="P26" s="8"/>
      <c r="T26" s="3"/>
    </row>
    <row r="30" spans="1:35" x14ac:dyDescent="0.2">
      <c r="B30" s="2"/>
      <c r="H30" s="2"/>
      <c r="K30" s="2"/>
      <c r="O30" s="2"/>
      <c r="S30" s="2"/>
      <c r="Y30" s="2"/>
      <c r="Z30" s="2"/>
      <c r="AC30" s="2"/>
      <c r="AF30" s="2"/>
      <c r="AI30" s="2"/>
    </row>
    <row r="31" spans="1:35" x14ac:dyDescent="0.2">
      <c r="J31" s="2"/>
    </row>
    <row r="32" spans="1:35" x14ac:dyDescent="0.2">
      <c r="A32" s="3"/>
      <c r="C32" s="3"/>
      <c r="D32" s="3"/>
      <c r="E32" s="3"/>
      <c r="F32" s="3"/>
      <c r="J32" s="2"/>
      <c r="L32" s="3"/>
      <c r="P32" s="3"/>
      <c r="T32" s="3"/>
    </row>
    <row r="33" spans="1:26" x14ac:dyDescent="0.2">
      <c r="A33" s="3"/>
      <c r="C33" s="3"/>
      <c r="D33" s="3"/>
      <c r="E33" s="3"/>
      <c r="F33" s="3"/>
      <c r="J33" s="2"/>
      <c r="L33" s="3"/>
      <c r="P33" s="3"/>
      <c r="T33" s="3"/>
    </row>
    <row r="34" spans="1:26" x14ac:dyDescent="0.2">
      <c r="A34" s="3"/>
      <c r="C34" s="3"/>
      <c r="D34" s="3"/>
      <c r="E34" s="3"/>
      <c r="F34" s="3"/>
      <c r="J34" s="2"/>
      <c r="L34" s="3"/>
      <c r="P34" s="3"/>
      <c r="T34" s="3"/>
    </row>
    <row r="35" spans="1:26" x14ac:dyDescent="0.2">
      <c r="A35" s="3"/>
      <c r="C35" s="3"/>
      <c r="D35" s="3"/>
      <c r="E35" s="3"/>
      <c r="F35" s="3"/>
      <c r="J35" s="2"/>
      <c r="L35" s="3"/>
      <c r="P35" s="3"/>
      <c r="T35" s="3"/>
    </row>
    <row r="37" spans="1:26" hidden="1" x14ac:dyDescent="0.2">
      <c r="J37" s="2"/>
    </row>
    <row r="38" spans="1:26" hidden="1" x14ac:dyDescent="0.2"/>
    <row r="40" spans="1:26" x14ac:dyDescent="0.2">
      <c r="J40" s="2"/>
    </row>
    <row r="41" spans="1:26" ht="17" customHeight="1" x14ac:dyDescent="0.2">
      <c r="A41" s="3"/>
      <c r="C41" s="3"/>
      <c r="D41" s="3"/>
      <c r="E41" s="3"/>
      <c r="F41" s="3"/>
      <c r="J41" s="2"/>
      <c r="L41" s="3"/>
      <c r="P41" s="3"/>
      <c r="T41" s="3"/>
    </row>
    <row r="42" spans="1:26" x14ac:dyDescent="0.2">
      <c r="A42" s="3"/>
      <c r="C42" s="3"/>
      <c r="D42" s="3"/>
      <c r="E42" s="3"/>
      <c r="F42" s="3"/>
      <c r="J42" s="2"/>
      <c r="L42" s="3"/>
      <c r="P42" s="3"/>
      <c r="T42" s="3"/>
    </row>
    <row r="43" spans="1:26" x14ac:dyDescent="0.2">
      <c r="A43" s="3"/>
      <c r="C43" s="3"/>
      <c r="D43" s="3"/>
      <c r="E43" s="3"/>
      <c r="F43" s="3"/>
      <c r="J43" s="2"/>
      <c r="K43" s="2"/>
      <c r="L43" s="3"/>
      <c r="P43" s="3"/>
      <c r="T43" s="3"/>
      <c r="Z43" s="2"/>
    </row>
    <row r="44" spans="1:26" x14ac:dyDescent="0.2">
      <c r="A44" s="3"/>
      <c r="C44" s="3"/>
      <c r="D44" s="3"/>
      <c r="E44" s="3"/>
      <c r="F44" s="3"/>
      <c r="J44" s="2"/>
      <c r="L44" s="3"/>
      <c r="P44" s="3"/>
      <c r="T44" s="3"/>
    </row>
    <row r="47" spans="1:26" x14ac:dyDescent="0.2">
      <c r="J47" s="2"/>
    </row>
    <row r="48" spans="1:26" x14ac:dyDescent="0.2">
      <c r="A48" s="3"/>
      <c r="J48" s="2"/>
    </row>
    <row r="49" spans="1:20" x14ac:dyDescent="0.2">
      <c r="A49" s="2"/>
      <c r="H49" s="2"/>
      <c r="K49" s="2"/>
      <c r="O49" s="2"/>
      <c r="S49" s="2"/>
    </row>
    <row r="50" spans="1:20" x14ac:dyDescent="0.2">
      <c r="A50" s="3"/>
      <c r="C50" s="3"/>
      <c r="D50" s="3"/>
      <c r="E50" s="3"/>
      <c r="F50" s="3"/>
      <c r="L50" s="3"/>
      <c r="P50" s="3"/>
      <c r="T50" s="3"/>
    </row>
    <row r="51" spans="1:20" x14ac:dyDescent="0.2">
      <c r="A51" s="3"/>
      <c r="C51" s="3"/>
      <c r="D51" s="3"/>
      <c r="E51" s="3"/>
      <c r="F51" s="3"/>
      <c r="L51" s="3"/>
      <c r="P51" s="3"/>
      <c r="T51" s="3"/>
    </row>
    <row r="52" spans="1:20" x14ac:dyDescent="0.2">
      <c r="A52" s="3"/>
      <c r="C52" s="3"/>
      <c r="D52" s="3"/>
      <c r="E52" s="3"/>
      <c r="F52" s="3"/>
      <c r="L52" s="3"/>
      <c r="P52" s="8"/>
      <c r="T52" s="3"/>
    </row>
    <row r="53" spans="1:20" x14ac:dyDescent="0.2">
      <c r="A53" s="3"/>
      <c r="C53" s="3"/>
      <c r="D53" s="3"/>
      <c r="E53" s="3"/>
      <c r="F53" s="3"/>
      <c r="L53" s="3"/>
      <c r="P53" s="8"/>
      <c r="T53" s="3"/>
    </row>
    <row r="55" spans="1:20" ht="12" customHeight="1" x14ac:dyDescent="0.2"/>
    <row r="61" spans="1:20" x14ac:dyDescent="0.2">
      <c r="B61" s="2"/>
      <c r="G61" s="2"/>
    </row>
    <row r="63" spans="1:20" x14ac:dyDescent="0.2">
      <c r="B63" s="2"/>
    </row>
    <row r="64" spans="1:20" x14ac:dyDescent="0.2">
      <c r="C64" s="3"/>
      <c r="D64" s="3"/>
      <c r="E64" s="3"/>
      <c r="F64" s="3"/>
    </row>
    <row r="65" spans="2:19" x14ac:dyDescent="0.2">
      <c r="B65" s="2"/>
      <c r="C65" s="3"/>
      <c r="D65" s="3"/>
      <c r="E65" s="3"/>
      <c r="F65" s="3"/>
      <c r="G65" s="2"/>
    </row>
    <row r="66" spans="2:19" x14ac:dyDescent="0.2">
      <c r="C66" s="3"/>
      <c r="D66" s="3"/>
      <c r="E66" s="3"/>
      <c r="F66" s="3"/>
    </row>
    <row r="67" spans="2:19" x14ac:dyDescent="0.2">
      <c r="C67" s="3"/>
      <c r="D67" s="3"/>
      <c r="E67" s="3"/>
      <c r="F67" s="3"/>
    </row>
    <row r="68" spans="2:19" x14ac:dyDescent="0.2">
      <c r="C68" s="3"/>
      <c r="D68" s="3"/>
      <c r="E68" s="3"/>
      <c r="F68" s="3"/>
    </row>
    <row r="69" spans="2:19" x14ac:dyDescent="0.2">
      <c r="C69" s="3"/>
      <c r="D69" s="3"/>
      <c r="E69" s="3"/>
      <c r="F69" s="3"/>
    </row>
    <row r="74" spans="2:19" x14ac:dyDescent="0.2">
      <c r="C74" s="3"/>
      <c r="D74" s="3"/>
      <c r="E74" s="3"/>
      <c r="F74" s="3"/>
    </row>
    <row r="75" spans="2:19" x14ac:dyDescent="0.2">
      <c r="C75" s="3"/>
      <c r="D75" s="3"/>
      <c r="E75" s="3"/>
      <c r="F75" s="3"/>
    </row>
    <row r="76" spans="2:19" x14ac:dyDescent="0.2">
      <c r="C76" s="3"/>
      <c r="D76" s="3"/>
      <c r="E76" s="3"/>
      <c r="F76" s="3"/>
    </row>
    <row r="77" spans="2:19" x14ac:dyDescent="0.2">
      <c r="C77" s="3"/>
      <c r="D77" s="3"/>
      <c r="E77" s="3"/>
      <c r="F77" s="3"/>
    </row>
    <row r="78" spans="2:19" x14ac:dyDescent="0.2">
      <c r="C78" s="3"/>
      <c r="D78" s="3"/>
      <c r="E78" s="3"/>
      <c r="F78" s="3"/>
      <c r="P78" s="2"/>
      <c r="S78" s="2"/>
    </row>
    <row r="79" spans="2:19" x14ac:dyDescent="0.2">
      <c r="C79" s="3"/>
      <c r="D79" s="3"/>
      <c r="E79" s="3"/>
      <c r="F79" s="3"/>
    </row>
    <row r="84" spans="1:20" x14ac:dyDescent="0.2">
      <c r="B84" s="2"/>
      <c r="C84" s="3"/>
      <c r="D84" s="3"/>
      <c r="E84" s="3"/>
      <c r="F84" s="3"/>
    </row>
    <row r="85" spans="1:20" x14ac:dyDescent="0.2">
      <c r="C85" s="3"/>
      <c r="D85" s="3"/>
      <c r="F85" s="3"/>
    </row>
    <row r="86" spans="1:20" x14ac:dyDescent="0.2">
      <c r="C86" s="3"/>
      <c r="D86" s="3"/>
      <c r="E86" s="3"/>
      <c r="F86" s="3"/>
    </row>
    <row r="87" spans="1:20" x14ac:dyDescent="0.2">
      <c r="B87" s="2"/>
      <c r="C87" s="3"/>
      <c r="D87" s="3"/>
      <c r="E87" s="3"/>
      <c r="F87" s="3"/>
      <c r="G87" s="2"/>
    </row>
    <row r="88" spans="1:20" x14ac:dyDescent="0.2">
      <c r="C88" s="3"/>
      <c r="D88" s="3"/>
      <c r="E88" s="3"/>
      <c r="F88" s="3"/>
      <c r="T88" s="2"/>
    </row>
    <row r="89" spans="1:20" x14ac:dyDescent="0.2">
      <c r="C89" s="3"/>
      <c r="D89" s="3"/>
      <c r="E89" s="3"/>
      <c r="F89" s="3"/>
    </row>
    <row r="90" spans="1:20" x14ac:dyDescent="0.2">
      <c r="A90" s="3"/>
      <c r="B90" s="2"/>
      <c r="G90" s="2"/>
    </row>
    <row r="91" spans="1:20" x14ac:dyDescent="0.2">
      <c r="A91" s="3"/>
    </row>
    <row r="92" spans="1:20" x14ac:dyDescent="0.2">
      <c r="A92" s="3"/>
    </row>
    <row r="94" spans="1:20" x14ac:dyDescent="0.2">
      <c r="C94" s="3"/>
      <c r="D94" s="3"/>
      <c r="E94" s="3"/>
      <c r="F94" s="3"/>
    </row>
    <row r="97" spans="1:6" x14ac:dyDescent="0.2">
      <c r="C97" s="3"/>
      <c r="D97" s="3"/>
      <c r="E97" s="3"/>
      <c r="F97" s="3"/>
    </row>
    <row r="98" spans="1:6" x14ac:dyDescent="0.2">
      <c r="C98" s="3"/>
      <c r="D98" s="3"/>
      <c r="E98" s="3"/>
      <c r="F98" s="3"/>
    </row>
    <row r="99" spans="1:6" x14ac:dyDescent="0.2">
      <c r="C99" s="3"/>
      <c r="D99" s="3"/>
      <c r="E99" s="3"/>
      <c r="F99" s="3"/>
    </row>
    <row r="101" spans="1:6" x14ac:dyDescent="0.2">
      <c r="A101" s="3"/>
    </row>
    <row r="102" spans="1:6" x14ac:dyDescent="0.2">
      <c r="A102" s="3"/>
    </row>
    <row r="103" spans="1:6" x14ac:dyDescent="0.2">
      <c r="A103" s="3"/>
    </row>
    <row r="105" spans="1:6" ht="18" customHeight="1" x14ac:dyDescent="0.2"/>
    <row r="106" spans="1:6" ht="16" customHeight="1" x14ac:dyDescent="0.2"/>
    <row r="116" spans="1:7" x14ac:dyDescent="0.2">
      <c r="G116" s="3"/>
    </row>
    <row r="117" spans="1:7" x14ac:dyDescent="0.2">
      <c r="G117" s="3"/>
    </row>
    <row r="118" spans="1:7" x14ac:dyDescent="0.2">
      <c r="G118" s="3"/>
    </row>
    <row r="119" spans="1:7" x14ac:dyDescent="0.2">
      <c r="B119" s="2"/>
      <c r="C119" s="2"/>
      <c r="E119" s="2"/>
      <c r="G119" s="3"/>
    </row>
    <row r="120" spans="1:7" x14ac:dyDescent="0.2">
      <c r="A120" s="3"/>
    </row>
    <row r="121" spans="1:7" x14ac:dyDescent="0.2">
      <c r="A121" s="3"/>
      <c r="G121" s="3"/>
    </row>
    <row r="122" spans="1:7" x14ac:dyDescent="0.2">
      <c r="A122" s="3"/>
    </row>
    <row r="123" spans="1:7" x14ac:dyDescent="0.2">
      <c r="G123" s="3"/>
    </row>
    <row r="124" spans="1:7" x14ac:dyDescent="0.2">
      <c r="G124" s="3"/>
    </row>
    <row r="125" spans="1:7" x14ac:dyDescent="0.2">
      <c r="G125" s="3"/>
    </row>
    <row r="126" spans="1:7" x14ac:dyDescent="0.2">
      <c r="G126" s="3"/>
    </row>
    <row r="141" spans="1:50" x14ac:dyDescent="0.2">
      <c r="A141" s="3"/>
    </row>
    <row r="142" spans="1:50" ht="34" x14ac:dyDescent="0.2">
      <c r="B142" s="2"/>
      <c r="C142" s="2"/>
      <c r="I142" s="2"/>
      <c r="M142" s="2"/>
      <c r="N142" s="2"/>
      <c r="S142" s="2"/>
      <c r="X142" s="2"/>
      <c r="AK142" s="2" t="s">
        <v>0</v>
      </c>
      <c r="AM142" s="2" t="s">
        <v>1</v>
      </c>
      <c r="AP142" s="2" t="s">
        <v>2</v>
      </c>
      <c r="AS142" s="2" t="s">
        <v>3</v>
      </c>
      <c r="AV142" s="2" t="s">
        <v>4</v>
      </c>
    </row>
    <row r="143" spans="1:50" x14ac:dyDescent="0.2">
      <c r="B143" s="2"/>
      <c r="C143" s="2"/>
      <c r="AK143" s="4">
        <f>-1721.9736507798+B138+B136</f>
        <v>-1721.9736507798</v>
      </c>
      <c r="AM143" s="1">
        <f>-1797.0657403511+B131+B138</f>
        <v>-1797.0657403511</v>
      </c>
      <c r="AN143" s="1">
        <f>AM143-AK143</f>
        <v>-75.092089571299994</v>
      </c>
      <c r="AO143" s="1">
        <f>AN143*627.51</f>
        <v>-47121.037126886462</v>
      </c>
      <c r="AP143" s="1">
        <f>-1797.7547612652+B137+B131</f>
        <v>-1797.7547612651999</v>
      </c>
      <c r="AQ143" s="1">
        <f>AP143-AK143</f>
        <v>-75.78111048539995</v>
      </c>
      <c r="AR143" s="1">
        <f>AQ143*627.51</f>
        <v>-47553.404640693319</v>
      </c>
      <c r="AS143" s="1">
        <f>-1837.6396328962+B131</f>
        <v>-1837.6396328962001</v>
      </c>
      <c r="AT143" s="1">
        <f>AS143-AK143</f>
        <v>-115.66598211640007</v>
      </c>
      <c r="AU143" s="1">
        <f>AT143*627.51</f>
        <v>-72581.560437862208</v>
      </c>
      <c r="AV143" s="4">
        <f>-1721.9736507798+B139+B131</f>
        <v>-1721.9736507798</v>
      </c>
      <c r="AW143" s="1">
        <f>AV143-AK143</f>
        <v>0</v>
      </c>
      <c r="AX143" s="1">
        <f>AW143*627.51</f>
        <v>0</v>
      </c>
    </row>
    <row r="144" spans="1:50" x14ac:dyDescent="0.2">
      <c r="A144" s="3"/>
      <c r="B144" s="4"/>
      <c r="D144" s="3"/>
      <c r="E144" s="3"/>
      <c r="F144" s="3"/>
      <c r="G144" s="3"/>
      <c r="O144" s="3"/>
      <c r="T144" s="3"/>
      <c r="Y144" s="3"/>
      <c r="AK144" s="4">
        <f>-1803.4782975378+B138+B136</f>
        <v>-1803.4782975378</v>
      </c>
      <c r="AM144" s="1">
        <f>-1878.5751011144+B131+B138</f>
        <v>-1878.5751011144</v>
      </c>
      <c r="AN144" s="1">
        <f>AM144-AK144</f>
        <v>-75.096803576599996</v>
      </c>
      <c r="AO144" s="1">
        <f>AN144*627.51</f>
        <v>-47123.99521235226</v>
      </c>
      <c r="AP144" s="1">
        <f>-1879.2776659302+B137+B131</f>
        <v>-1879.2776659302001</v>
      </c>
      <c r="AQ144" s="1">
        <f>AP144-AK144</f>
        <v>-75.799368392400083</v>
      </c>
      <c r="AR144" s="1">
        <f>AQ144*627.51</f>
        <v>-47564.861659914975</v>
      </c>
      <c r="AS144" s="1">
        <f>-1919.1532836698+B131</f>
        <v>-1919.1532836698</v>
      </c>
      <c r="AT144" s="1">
        <f>AS144-AK144</f>
        <v>-115.67498613199996</v>
      </c>
      <c r="AU144" s="1">
        <f>AT144*627.51</f>
        <v>-72587.210547691298</v>
      </c>
      <c r="AV144" s="4">
        <f>-1803.4782975378+B139+B131</f>
        <v>-1803.4782975378</v>
      </c>
      <c r="AW144" s="1">
        <f>AV144-AK144</f>
        <v>0</v>
      </c>
      <c r="AX144" s="1">
        <f>AW144*627.51</f>
        <v>0</v>
      </c>
    </row>
    <row r="145" spans="1:50" x14ac:dyDescent="0.2">
      <c r="A145" s="3"/>
      <c r="B145" s="4"/>
      <c r="D145" s="3"/>
      <c r="E145" s="3"/>
      <c r="F145" s="3"/>
      <c r="G145" s="3"/>
      <c r="O145" s="3"/>
      <c r="T145" s="3"/>
      <c r="Y145" s="3"/>
      <c r="AK145" s="2">
        <f>-2867.80154729+B138+B136</f>
        <v>-2867.8015472900001</v>
      </c>
      <c r="AM145" s="1">
        <f>-2942.891746591+B131+B138</f>
        <v>-2942.8917465909999</v>
      </c>
      <c r="AN145" s="1">
        <f>AM145-AK145</f>
        <v>-75.090199300999757</v>
      </c>
      <c r="AO145" s="1">
        <f>AN145*627.51</f>
        <v>-47119.850963370358</v>
      </c>
      <c r="AP145" s="1">
        <f>-2943.5396642399+B137+B131</f>
        <v>-2943.5396642399</v>
      </c>
      <c r="AQ145" s="1">
        <f>AP145-AK145</f>
        <v>-75.738116949899904</v>
      </c>
      <c r="AR145" s="1">
        <f>AQ145*627.51</f>
        <v>-47526.425767231689</v>
      </c>
      <c r="AS145" s="1">
        <f>-2983.4445570958+B131</f>
        <v>-2983.4445570958001</v>
      </c>
      <c r="AT145" s="1">
        <f>AS145-AK145</f>
        <v>-115.64300980579992</v>
      </c>
      <c r="AU145" s="1">
        <f>AT145*627.51</f>
        <v>-72567.145083237512</v>
      </c>
      <c r="AV145" s="2">
        <f>-2867.8015472908+B139+B131</f>
        <v>-2867.8015472908</v>
      </c>
      <c r="AW145" s="1">
        <f>AV145-AK145</f>
        <v>-7.9990059020929039E-10</v>
      </c>
      <c r="AX145" s="1">
        <f>AW145*627.51</f>
        <v>-5.0194561936223185E-7</v>
      </c>
    </row>
    <row r="146" spans="1:50" x14ac:dyDescent="0.2">
      <c r="A146" s="3"/>
      <c r="B146" s="2"/>
      <c r="D146" s="3"/>
      <c r="E146" s="3"/>
      <c r="F146" s="3"/>
      <c r="G146" s="3"/>
      <c r="O146" s="3"/>
      <c r="T146" s="3"/>
      <c r="Y146" s="3"/>
      <c r="AK146" s="1">
        <f>-3095.0567781399+B138+B136</f>
        <v>-3095.0567781399</v>
      </c>
      <c r="AM146" s="1">
        <f>-3170.1296703978+B131+B138</f>
        <v>-3170.1296703978001</v>
      </c>
      <c r="AN146" s="1">
        <f>AM146-AK146</f>
        <v>-75.072892257900094</v>
      </c>
      <c r="AO146" s="1">
        <f>AN146*627.51</f>
        <v>-47108.990620754885</v>
      </c>
      <c r="AP146" s="1">
        <f>-3170.8131570911+B137+B131</f>
        <v>-3170.8131570911</v>
      </c>
      <c r="AQ146" s="1">
        <f>AP146-AK146</f>
        <v>-75.756378951200077</v>
      </c>
      <c r="AR146" s="1">
        <f>AQ146*627.51</f>
        <v>-47537.88535566756</v>
      </c>
      <c r="AS146" s="1">
        <f>-3210.7272908121+B131</f>
        <v>-3210.7272908120999</v>
      </c>
      <c r="AT146" s="1">
        <f>AS146-AK146</f>
        <v>-115.67051267219995</v>
      </c>
      <c r="AU146" s="1">
        <f>AT146*627.51</f>
        <v>-72584.403406932193</v>
      </c>
      <c r="AV146" s="1">
        <f>-3095.0567781399+B139+B131</f>
        <v>-3095.0567781399</v>
      </c>
      <c r="AW146" s="1">
        <f>AV146-AK146</f>
        <v>0</v>
      </c>
      <c r="AX146" s="1">
        <f>AW146*627.51</f>
        <v>0</v>
      </c>
    </row>
    <row r="147" spans="1:50" x14ac:dyDescent="0.2">
      <c r="A147" s="3"/>
      <c r="D147" s="3"/>
      <c r="E147" s="3"/>
      <c r="F147" s="3"/>
      <c r="G147" s="3"/>
      <c r="O147" s="3"/>
      <c r="T147" s="3"/>
      <c r="Y147" s="3"/>
      <c r="AK147" s="4"/>
      <c r="AV147" s="4"/>
    </row>
    <row r="148" spans="1:50" x14ac:dyDescent="0.2">
      <c r="B148" s="4"/>
      <c r="AK148" s="4"/>
      <c r="AV148" s="4"/>
    </row>
    <row r="149" spans="1:50" x14ac:dyDescent="0.2">
      <c r="A149" s="3"/>
      <c r="B149" s="4"/>
      <c r="AK149" s="4"/>
      <c r="AV149" s="4"/>
    </row>
    <row r="150" spans="1:50" x14ac:dyDescent="0.2">
      <c r="B150" s="4"/>
      <c r="AK150" s="4">
        <f>-1874.843945879+B138+B136</f>
        <v>-1874.8439458790001</v>
      </c>
      <c r="AM150" s="1">
        <f>-1949.9342323245+B131+B138</f>
        <v>-1949.9342323245</v>
      </c>
      <c r="AN150" s="1">
        <f>AM150-AK150</f>
        <v>-75.090286445499942</v>
      </c>
      <c r="AO150" s="1">
        <f>AN150*627.51</f>
        <v>-47119.905647415668</v>
      </c>
      <c r="AP150" s="1">
        <f>-1950.6178749388+B137+B131</f>
        <v>-1950.6178749388</v>
      </c>
      <c r="AQ150" s="1">
        <f>AP150-AK150</f>
        <v>-75.773929059799912</v>
      </c>
      <c r="AR150" s="1">
        <f>AQ150*627.51</f>
        <v>-47548.898224315039</v>
      </c>
      <c r="AS150" s="1">
        <f>-1990.4720080547+B131</f>
        <v>-1990.4720080546999</v>
      </c>
      <c r="AT150" s="1">
        <f>AS150-AK150</f>
        <v>-115.62806217569982</v>
      </c>
      <c r="AU150" s="1">
        <f>AT150*627.51</f>
        <v>-72557.765295873396</v>
      </c>
      <c r="AV150" s="4">
        <f>-1874.8439458795+B139+B131</f>
        <v>-1874.8439458795001</v>
      </c>
      <c r="AW150" s="1">
        <f>AV150-AK150</f>
        <v>-4.999947122996673E-10</v>
      </c>
      <c r="AX150" s="1">
        <f>AW150*627.51</f>
        <v>-3.1375168191516422E-7</v>
      </c>
    </row>
    <row r="151" spans="1:50" x14ac:dyDescent="0.2">
      <c r="A151" s="3"/>
      <c r="B151" s="4"/>
      <c r="D151" s="3"/>
      <c r="E151" s="3"/>
      <c r="F151" s="3"/>
      <c r="G151" s="3"/>
      <c r="O151" s="3"/>
      <c r="T151" s="3"/>
      <c r="Y151" s="3"/>
      <c r="AK151" s="2">
        <f>-1955.8706833693+B138+B136</f>
        <v>-1955.8706833693</v>
      </c>
      <c r="AM151" s="1">
        <f>-2030.9441165183+B131+B138</f>
        <v>-2030.9441165183</v>
      </c>
      <c r="AN151" s="1">
        <f>AM151-AK151</f>
        <v>-75.073433149000039</v>
      </c>
      <c r="AO151" s="1">
        <f>AN151*627.51</f>
        <v>-47109.330035329011</v>
      </c>
      <c r="AP151" s="1">
        <f>-2031.6451232171+B137+B131</f>
        <v>-2031.6451232171</v>
      </c>
      <c r="AQ151" s="1">
        <f>AP151-AK151</f>
        <v>-75.774439847800068</v>
      </c>
      <c r="AR151" s="1">
        <f>AQ151*627.51</f>
        <v>-47549.218748893021</v>
      </c>
      <c r="AS151" s="1">
        <f>-2071.564671448+B131</f>
        <v>-2071.5646714479999</v>
      </c>
      <c r="AT151" s="1">
        <f>AS151-AK151</f>
        <v>-115.69398807869993</v>
      </c>
      <c r="AU151" s="1">
        <f>AT151*627.51</f>
        <v>-72599.134459264998</v>
      </c>
      <c r="AV151" s="2">
        <f>-1955.8706833693+B139+B131</f>
        <v>-1955.8706833693</v>
      </c>
      <c r="AW151" s="1">
        <f>AV151-AK151</f>
        <v>0</v>
      </c>
      <c r="AX151" s="1">
        <f>AW151*627.51</f>
        <v>0</v>
      </c>
    </row>
    <row r="152" spans="1:50" x14ac:dyDescent="0.2">
      <c r="A152" s="3"/>
      <c r="B152" s="2"/>
      <c r="D152" s="3"/>
      <c r="E152" s="3"/>
      <c r="F152" s="3"/>
      <c r="G152" s="3"/>
      <c r="O152" s="3"/>
      <c r="T152" s="3"/>
      <c r="Y152" s="3"/>
      <c r="AK152" s="1">
        <f>-3020.7517928541+B138+B136</f>
        <v>-3020.7517928541001</v>
      </c>
      <c r="AM152" s="1">
        <f>-3095.8554816382+B131+B138</f>
        <v>-3095.8554816382002</v>
      </c>
      <c r="AN152" s="1">
        <f>AM152-AK152</f>
        <v>-75.103688784100086</v>
      </c>
      <c r="AO152" s="1">
        <f>AN152*627.51</f>
        <v>-47128.315748910645</v>
      </c>
      <c r="AP152" s="1">
        <f>-3096.5168779066+B137+B131</f>
        <v>-3096.5168779065998</v>
      </c>
      <c r="AQ152" s="1">
        <f>AP152-AK152</f>
        <v>-75.765085052499671</v>
      </c>
      <c r="AR152" s="1">
        <f>AQ152*627.51</f>
        <v>-47543.348521294065</v>
      </c>
      <c r="AS152" s="1">
        <f>-3136.3749905444+B131</f>
        <v>-3136.3749905444001</v>
      </c>
      <c r="AT152" s="1">
        <f>AS152-AK152</f>
        <v>-115.6231976903</v>
      </c>
      <c r="AU152" s="1">
        <f>AT152*627.51</f>
        <v>-72554.712782640156</v>
      </c>
      <c r="AV152" s="1">
        <f>-3020.7517928541+B139+B131</f>
        <v>-3020.7517928541001</v>
      </c>
      <c r="AW152" s="1">
        <f>AV152-AK152</f>
        <v>0</v>
      </c>
      <c r="AX152" s="1">
        <f>AW152*627.51</f>
        <v>0</v>
      </c>
    </row>
    <row r="153" spans="1:50" x14ac:dyDescent="0.2">
      <c r="A153" s="3"/>
      <c r="D153" s="3"/>
      <c r="E153" s="3"/>
      <c r="F153" s="3"/>
      <c r="G153" s="3"/>
      <c r="T153" s="3"/>
      <c r="Y153" s="3"/>
      <c r="AK153" s="1">
        <f>-3247.4494824409+B138+B136</f>
        <v>-3247.4494824408998</v>
      </c>
      <c r="AM153" s="1">
        <f>-3322.5008071297+B131+B138</f>
        <v>-3322.5008071297002</v>
      </c>
      <c r="AN153" s="1">
        <f>AM153-AK153</f>
        <v>-75.051324688800378</v>
      </c>
      <c r="AO153" s="1">
        <f>AN153*627.51</f>
        <v>-47095.456755469124</v>
      </c>
      <c r="AP153" s="1">
        <f>-3323.1941119209+B137+B131</f>
        <v>-3323.1941119209</v>
      </c>
      <c r="AQ153" s="1">
        <f>AP153-AK153</f>
        <v>-75.744629480000185</v>
      </c>
      <c r="AR153" s="1">
        <f>AQ153*627.51</f>
        <v>-47530.512444994914</v>
      </c>
      <c r="AS153" s="1">
        <f>-3363.1057224026+B131</f>
        <v>-3363.1057224025999</v>
      </c>
      <c r="AT153" s="1">
        <f>AS153-AK153</f>
        <v>-115.65623996170007</v>
      </c>
      <c r="AU153" s="1">
        <f>AT153*627.51</f>
        <v>-72575.447138366406</v>
      </c>
      <c r="AV153" s="1">
        <f>-3247.4494824409+B139+B131</f>
        <v>-3247.4494824408998</v>
      </c>
      <c r="AW153" s="1">
        <f>AV153-AK153</f>
        <v>0</v>
      </c>
      <c r="AX153" s="1">
        <f>AW153*627.51</f>
        <v>0</v>
      </c>
    </row>
    <row r="154" spans="1:50" x14ac:dyDescent="0.2">
      <c r="A154" s="3"/>
      <c r="D154" s="3"/>
      <c r="E154" s="3"/>
      <c r="F154" s="3"/>
      <c r="G154" s="3"/>
      <c r="O154" s="3"/>
      <c r="T154" s="3"/>
      <c r="Y154" s="3"/>
    </row>
    <row r="158" spans="1:50" ht="34" x14ac:dyDescent="0.2">
      <c r="B158" s="2"/>
      <c r="C158" s="2"/>
      <c r="I158" s="2"/>
      <c r="N158" s="2"/>
      <c r="S158" s="2"/>
      <c r="X158" s="2"/>
      <c r="AK158" s="2" t="s">
        <v>0</v>
      </c>
      <c r="AM158" s="2" t="s">
        <v>1</v>
      </c>
      <c r="AP158" s="2" t="s">
        <v>2</v>
      </c>
      <c r="AS158" s="2" t="s">
        <v>3</v>
      </c>
      <c r="AV158" s="2" t="s">
        <v>4</v>
      </c>
    </row>
    <row r="159" spans="1:50" x14ac:dyDescent="0.2">
      <c r="J159" s="2"/>
      <c r="L159" s="2"/>
    </row>
    <row r="160" spans="1:50" x14ac:dyDescent="0.2">
      <c r="A160" s="3"/>
      <c r="D160" s="3"/>
      <c r="E160" s="3"/>
      <c r="F160" s="3"/>
      <c r="G160" s="3"/>
      <c r="L160" s="2"/>
      <c r="O160" s="3"/>
      <c r="T160" s="3"/>
      <c r="Y160" s="3"/>
      <c r="AK160" s="1">
        <f>-1721.9736517353+B138+B136</f>
        <v>-1721.9736517353001</v>
      </c>
      <c r="AM160" s="1">
        <f>-1797.0429241415+B131+B138</f>
        <v>-1797.0429241415</v>
      </c>
      <c r="AN160" s="1">
        <f>AM160-AK160</f>
        <v>-75.069272406199843</v>
      </c>
      <c r="AO160" s="1">
        <f>AN160*627.51</f>
        <v>-47106.719127614466</v>
      </c>
      <c r="AP160" s="1">
        <f>-1797.7462700729+B137+B131</f>
        <v>-1797.7462700729</v>
      </c>
      <c r="AQ160" s="1">
        <f>AP160-AK160</f>
        <v>-75.772618337599852</v>
      </c>
      <c r="AR160" s="1">
        <f>AQ160*627.51</f>
        <v>-47548.075733027283</v>
      </c>
      <c r="AS160" s="1">
        <f>-1837.6368772911+B131</f>
        <v>-1837.6368772911001</v>
      </c>
      <c r="AT160" s="1">
        <f>AS160-AK160</f>
        <v>-115.66322555579995</v>
      </c>
      <c r="AU160" s="1">
        <f>AT160*627.51</f>
        <v>-72579.830668520022</v>
      </c>
      <c r="AV160" s="1">
        <f>-1721.9736517353+B139+B131</f>
        <v>-1721.9736517353001</v>
      </c>
      <c r="AW160" s="1">
        <f>AV160-AK160</f>
        <v>0</v>
      </c>
      <c r="AX160" s="1">
        <f>AW160*627.51</f>
        <v>0</v>
      </c>
    </row>
    <row r="161" spans="1:50" x14ac:dyDescent="0.2">
      <c r="A161" s="3"/>
      <c r="D161" s="3"/>
      <c r="E161" s="3"/>
      <c r="F161" s="3"/>
      <c r="G161" s="3"/>
      <c r="L161" s="2"/>
      <c r="O161" s="3"/>
      <c r="T161" s="3"/>
      <c r="Y161" s="3"/>
      <c r="AK161" s="1">
        <f>-1803.4782991207+B138+B136</f>
        <v>-1803.4782991207001</v>
      </c>
      <c r="AM161" s="1">
        <f>-1878.5604138228+B131+B138</f>
        <v>-1878.5604138228</v>
      </c>
      <c r="AN161" s="1">
        <f>AM161-AK161</f>
        <v>-75.082114702099943</v>
      </c>
      <c r="AO161" s="1">
        <f>AN161*627.51</f>
        <v>-47114.777796714734</v>
      </c>
      <c r="AP161" s="1">
        <f>-1879.2666419118+B137+B131</f>
        <v>-1879.2666419118</v>
      </c>
      <c r="AQ161" s="1">
        <f>AP161-AK161</f>
        <v>-75.788342791099922</v>
      </c>
      <c r="AR161" s="1">
        <f>AQ161*627.51</f>
        <v>-47557.94298484311</v>
      </c>
      <c r="AS161" s="1">
        <f>-1919.1469756372+B131</f>
        <v>-1919.1469756372001</v>
      </c>
      <c r="AT161" s="1">
        <f>AS161-AK161</f>
        <v>-115.6686765165</v>
      </c>
      <c r="AU161" s="1">
        <f>AT161*627.51</f>
        <v>-72583.251200868908</v>
      </c>
      <c r="AV161" s="1">
        <f>-1803.4782991207+B139+B131</f>
        <v>-1803.4782991207001</v>
      </c>
      <c r="AW161" s="1">
        <f>AV161-AK161</f>
        <v>0</v>
      </c>
      <c r="AX161" s="1">
        <f>AW161*627.51</f>
        <v>0</v>
      </c>
    </row>
    <row r="162" spans="1:50" x14ac:dyDescent="0.2">
      <c r="A162" s="3"/>
      <c r="D162" s="3"/>
      <c r="E162" s="3"/>
      <c r="F162" s="3"/>
      <c r="G162" s="3"/>
      <c r="L162" s="2"/>
      <c r="O162" s="3"/>
      <c r="T162" s="3"/>
      <c r="Y162" s="3"/>
      <c r="AK162" s="1">
        <f>-2867.6759214782+B138+B136</f>
        <v>-2867.6759214782001</v>
      </c>
      <c r="AM162" s="1">
        <f>-2942.754160743+B131+B138</f>
        <v>-2942.7541607429998</v>
      </c>
      <c r="AN162" s="1">
        <f>AM162-AK162</f>
        <v>-75.078239264799777</v>
      </c>
      <c r="AO162" s="1">
        <f>AN162*627.51</f>
        <v>-47112.345921054504</v>
      </c>
      <c r="AP162" s="1">
        <f>-2943.408272475+B137+B131</f>
        <v>-2943.4082724750001</v>
      </c>
      <c r="AQ162" s="1">
        <f>AP162-AK162</f>
        <v>-75.732350996800051</v>
      </c>
      <c r="AR162" s="1">
        <f>AQ162*627.51</f>
        <v>-47522.807574001999</v>
      </c>
      <c r="AS162" s="1">
        <f>-2983.3394195477+B131</f>
        <v>-2983.3394195476999</v>
      </c>
      <c r="AT162" s="1">
        <f>AS162-AK162</f>
        <v>-115.66349806949984</v>
      </c>
      <c r="AU162" s="1">
        <f>AT162*627.51</f>
        <v>-72580.001673591847</v>
      </c>
      <c r="AV162" s="1">
        <f>-2867.6759214782+B139+B131</f>
        <v>-2867.6759214782001</v>
      </c>
      <c r="AW162" s="1">
        <f>AV162-AK162</f>
        <v>0</v>
      </c>
      <c r="AX162" s="1">
        <f>AW162*627.51</f>
        <v>0</v>
      </c>
    </row>
    <row r="163" spans="1:50" x14ac:dyDescent="0.2">
      <c r="A163" s="3"/>
      <c r="D163" s="3"/>
      <c r="E163" s="3"/>
      <c r="F163" s="3"/>
      <c r="G163" s="3"/>
      <c r="L163" s="2"/>
      <c r="O163" s="3"/>
      <c r="T163" s="3"/>
      <c r="Y163" s="3"/>
      <c r="AK163" s="1">
        <f>-3094.9469572574+B138+B136</f>
        <v>-3094.9469572573998</v>
      </c>
      <c r="AM163" s="1">
        <f>-3169.9522807092+B131+B138</f>
        <v>-3169.9522807091998</v>
      </c>
      <c r="AN163" s="1">
        <f>AM163-AK163</f>
        <v>-75.005323451799995</v>
      </c>
      <c r="AO163" s="1">
        <f>AN163*627.51</f>
        <v>-47066.590519239013</v>
      </c>
      <c r="AP163" s="1">
        <f>-3170.644815652+B137+B131</f>
        <v>-3170.644815652</v>
      </c>
      <c r="AQ163" s="1">
        <f>AP163-AK163</f>
        <v>-75.697858394600189</v>
      </c>
      <c r="AR163" s="1">
        <f>AQ163*627.51</f>
        <v>-47501.163121195561</v>
      </c>
      <c r="AS163" s="1">
        <f>-3210.5614885278+B131</f>
        <v>-3210.5614885278001</v>
      </c>
      <c r="AT163" s="1">
        <f>AS163-AK163</f>
        <v>-115.61453127040022</v>
      </c>
      <c r="AU163" s="1">
        <f>AT163*627.51</f>
        <v>-72549.274517488841</v>
      </c>
      <c r="AV163" s="1">
        <f>-3094.9469572574+B139+B131</f>
        <v>-3094.9469572573998</v>
      </c>
      <c r="AW163" s="1">
        <f>AV163-AK163</f>
        <v>0</v>
      </c>
      <c r="AX163" s="1">
        <f>AW163*627.51</f>
        <v>0</v>
      </c>
    </row>
    <row r="165" spans="1:50" x14ac:dyDescent="0.2">
      <c r="L165" s="2"/>
    </row>
    <row r="168" spans="1:50" x14ac:dyDescent="0.2">
      <c r="L168" s="2"/>
    </row>
    <row r="169" spans="1:50" x14ac:dyDescent="0.2">
      <c r="A169" s="3"/>
      <c r="D169" s="3"/>
      <c r="E169" s="3"/>
      <c r="F169" s="3"/>
      <c r="G169" s="3"/>
      <c r="L169" s="2"/>
      <c r="O169" s="3"/>
      <c r="T169" s="3"/>
      <c r="Y169" s="3"/>
      <c r="AK169" s="1">
        <f>-1874.8442918453+B138+B136</f>
        <v>-1874.8442918452999</v>
      </c>
      <c r="AM169" s="1">
        <f>-1949.9105985905+B131+B138</f>
        <v>-1949.9105985905001</v>
      </c>
      <c r="AN169" s="1">
        <f>AM169-AK169</f>
        <v>-75.066306745200109</v>
      </c>
      <c r="AO169" s="1">
        <f>AN169*627.51</f>
        <v>-47104.858145680519</v>
      </c>
      <c r="AP169" s="1">
        <f>-1950.6055704709+B137+B131</f>
        <v>-1950.6055704708999</v>
      </c>
      <c r="AQ169" s="1">
        <f>AP169-AK169</f>
        <v>-75.761278625599971</v>
      </c>
      <c r="AR169" s="1">
        <f>AQ169*627.51</f>
        <v>-47540.95995035024</v>
      </c>
      <c r="AS169" s="1">
        <f>-1990.4694736074+B131</f>
        <v>-1990.4694736074</v>
      </c>
      <c r="AT169" s="1">
        <f>AS169-AK169</f>
        <v>-115.62518176210006</v>
      </c>
      <c r="AU169" s="1">
        <f>AT169*627.51</f>
        <v>-72555.957807535407</v>
      </c>
      <c r="AV169" s="1">
        <f>-1874.8442918453+B139+B131</f>
        <v>-1874.8442918452999</v>
      </c>
      <c r="AW169" s="1">
        <f>AV169-AK169</f>
        <v>0</v>
      </c>
      <c r="AX169" s="1">
        <f>AW169*627.51</f>
        <v>0</v>
      </c>
    </row>
    <row r="170" spans="1:50" x14ac:dyDescent="0.2">
      <c r="A170" s="3"/>
      <c r="D170" s="3"/>
      <c r="E170" s="3"/>
      <c r="F170" s="3"/>
      <c r="G170" s="3"/>
      <c r="L170" s="2"/>
      <c r="O170" s="3"/>
      <c r="T170" s="3"/>
      <c r="Y170" s="3"/>
      <c r="AK170" s="1">
        <f>-1955.8706831326+B138+B136</f>
        <v>-1955.8706831326001</v>
      </c>
      <c r="AM170" s="1">
        <f>-2030.9319141889+B131+B138</f>
        <v>-2030.9319141889</v>
      </c>
      <c r="AN170" s="1">
        <f>AM170-AK170</f>
        <v>-75.061231056299903</v>
      </c>
      <c r="AO170" s="1">
        <f>AN170*627.51</f>
        <v>-47101.673100138752</v>
      </c>
      <c r="AP170" s="1">
        <f>-2031.6401876275+B137+B131</f>
        <v>-2031.6401876274999</v>
      </c>
      <c r="AQ170" s="1">
        <f>AP170-AK170</f>
        <v>-75.76950449489982</v>
      </c>
      <c r="AR170" s="1">
        <f>AQ170*627.51</f>
        <v>-47546.121765594587</v>
      </c>
      <c r="AS170" s="1">
        <f>-2071.5618471884+B131</f>
        <v>-2071.5618471884</v>
      </c>
      <c r="AT170" s="1">
        <f>AS170-AK170</f>
        <v>-115.69116405579985</v>
      </c>
      <c r="AU170" s="1">
        <f>AT170*627.51</f>
        <v>-72597.362356654965</v>
      </c>
      <c r="AV170" s="1">
        <f>-1955.8706831326+B139+B131</f>
        <v>-1955.8706831326001</v>
      </c>
      <c r="AW170" s="1">
        <f>AV170-AK170</f>
        <v>0</v>
      </c>
      <c r="AX170" s="1">
        <f>AW170*627.51</f>
        <v>0</v>
      </c>
    </row>
    <row r="171" spans="1:50" x14ac:dyDescent="0.2">
      <c r="A171" s="3"/>
      <c r="D171" s="3"/>
      <c r="E171" s="3"/>
      <c r="F171" s="3"/>
      <c r="G171" s="3"/>
      <c r="L171" s="2"/>
      <c r="M171" s="2"/>
      <c r="N171" s="2"/>
      <c r="O171" s="3"/>
      <c r="T171" s="3"/>
      <c r="Y171" s="3"/>
      <c r="AK171" s="1">
        <f>-3020.635048134+B138+B136</f>
        <v>-3020.635048134</v>
      </c>
      <c r="AM171" s="2">
        <f>-3095.669479042+B131+B138</f>
        <v>-3095.6694790420001</v>
      </c>
      <c r="AN171" s="1">
        <f>AM171-AK171</f>
        <v>-75.034430908000104</v>
      </c>
      <c r="AO171" s="1">
        <f>AN171*627.51</f>
        <v>-47084.855739079147</v>
      </c>
      <c r="AP171" s="1">
        <f>-3096.3598583817+B137+B131</f>
        <v>-3096.3598583817002</v>
      </c>
      <c r="AQ171" s="1">
        <f>AP171-AK171</f>
        <v>-75.724810247700134</v>
      </c>
      <c r="AR171" s="1">
        <f>AQ171*627.51</f>
        <v>-47518.075678534311</v>
      </c>
      <c r="AS171" s="1">
        <f>-3136.2801842056+B131</f>
        <v>-3136.2801842056001</v>
      </c>
      <c r="AT171" s="1">
        <f>AS171-AK171</f>
        <v>-115.64513607160006</v>
      </c>
      <c r="AU171" s="1">
        <f>AT171*627.51</f>
        <v>-72568.479336289762</v>
      </c>
      <c r="AV171" s="1">
        <f>-3020.635048134+B139+B131</f>
        <v>-3020.635048134</v>
      </c>
      <c r="AW171" s="1">
        <f>AV171-AK171</f>
        <v>0</v>
      </c>
      <c r="AX171" s="1">
        <f>AW171*627.51</f>
        <v>0</v>
      </c>
    </row>
    <row r="172" spans="1:50" x14ac:dyDescent="0.2">
      <c r="A172" s="3"/>
      <c r="D172" s="3"/>
      <c r="E172" s="3"/>
      <c r="F172" s="3"/>
      <c r="G172" s="3"/>
      <c r="L172" s="2"/>
      <c r="O172" s="3"/>
      <c r="T172" s="3"/>
      <c r="Y172" s="3"/>
      <c r="AK172" s="1">
        <f>-3247.2936039041+B138+B136</f>
        <v>-3247.2936039041001</v>
      </c>
      <c r="AM172" s="1">
        <f>-3322.3163103658+B131+B138</f>
        <v>-3322.3163103657998</v>
      </c>
      <c r="AN172" s="1">
        <f>AM172-AK172</f>
        <v>-75.022706461699727</v>
      </c>
      <c r="AO172" s="1">
        <f>AN172*627.51</f>
        <v>-47077.498531781195</v>
      </c>
      <c r="AP172" s="1">
        <f>-3323.0294241546+B137+B131</f>
        <v>-3323.0294241545998</v>
      </c>
      <c r="AQ172" s="1">
        <f>AP172-AK172</f>
        <v>-75.735820250499728</v>
      </c>
      <c r="AR172" s="1">
        <f>AQ172*627.51</f>
        <v>-47524.984565391082</v>
      </c>
      <c r="AS172" s="1">
        <f>-3362.9398336186+B131</f>
        <v>-3362.9398336186</v>
      </c>
      <c r="AT172" s="1">
        <f>AS172-AK172</f>
        <v>-115.6462297144999</v>
      </c>
      <c r="AU172" s="1">
        <f>AT172*627.51</f>
        <v>-72569.165608145835</v>
      </c>
      <c r="AV172" s="1">
        <f>-3247.2936039041+B139+B131</f>
        <v>-3247.2936039041001</v>
      </c>
      <c r="AW172" s="1">
        <f>AV172-AK172</f>
        <v>0</v>
      </c>
      <c r="AX172" s="1">
        <f>AW172*627.51</f>
        <v>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2020-07-02T06:56:25Z</dcterms:created>
  <dcterms:modified xsi:type="dcterms:W3CDTF">2021-06-05T15:34:31Z</dcterms:modified>
</cp:coreProperties>
</file>