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in/Library/Mobile Documents/com~apple~CloudDocs/00 Science/03 Previous Projects/2022 - Implications of Cp* Non-innocence - Submitted to Dalton/20221216 - Revision/"/>
    </mc:Choice>
  </mc:AlternateContent>
  <xr:revisionPtr revIDLastSave="0" documentId="13_ncr:1_{574B6170-49E2-3B4D-9D34-3C376B9A1A8C}" xr6:coauthVersionLast="36" xr6:coauthVersionMax="36" xr10:uidLastSave="{00000000-0000-0000-0000-000000000000}"/>
  <bookViews>
    <workbookView xWindow="0" yWindow="460" windowWidth="51200" windowHeight="28340" xr2:uid="{11F50545-AAEE-CA45-A0A9-1EE5A98A7D07}"/>
  </bookViews>
  <sheets>
    <sheet name="Computational Table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9" i="1" l="1"/>
  <c r="B68" i="1"/>
  <c r="B67" i="1"/>
  <c r="C56" i="1"/>
  <c r="C57" i="1" s="1"/>
  <c r="D50" i="1"/>
  <c r="D49" i="1"/>
  <c r="D48" i="1"/>
  <c r="C47" i="1"/>
  <c r="B47" i="1"/>
  <c r="B43" i="1"/>
  <c r="B41" i="1"/>
  <c r="B39" i="1"/>
  <c r="B37" i="1"/>
  <c r="B35" i="1"/>
  <c r="D15" i="1"/>
  <c r="E15" i="1" s="1"/>
  <c r="C54" i="1" s="1"/>
  <c r="D14" i="1"/>
  <c r="E14" i="1" s="1"/>
  <c r="D13" i="1"/>
  <c r="E12" i="1"/>
  <c r="B13" i="1" s="1"/>
  <c r="C10" i="1"/>
  <c r="D10" i="1" s="1"/>
  <c r="E10" i="1" s="1"/>
  <c r="D9" i="1"/>
  <c r="E9" i="1" s="1"/>
  <c r="C28" i="1" s="1"/>
  <c r="F28" i="1" s="1"/>
  <c r="C5" i="1"/>
  <c r="C16" i="1" s="1"/>
  <c r="D16" i="1" s="1"/>
  <c r="E16" i="1" s="1"/>
  <c r="C4" i="1"/>
  <c r="C11" i="1" s="1"/>
  <c r="D11" i="1" s="1"/>
  <c r="E11" i="1" s="1"/>
  <c r="C3" i="1"/>
  <c r="C39" i="1" l="1"/>
  <c r="C35" i="1"/>
  <c r="C41" i="1"/>
  <c r="D55" i="1"/>
  <c r="F55" i="1" s="1"/>
  <c r="G55" i="1" s="1"/>
  <c r="D54" i="1"/>
  <c r="D56" i="1"/>
  <c r="C69" i="1"/>
  <c r="D21" i="1"/>
  <c r="C68" i="1"/>
  <c r="C67" i="1"/>
  <c r="F67" i="1" s="1"/>
  <c r="C20" i="1"/>
  <c r="C58" i="1"/>
  <c r="F57" i="1"/>
  <c r="G57" i="1" s="1"/>
  <c r="F54" i="1"/>
  <c r="G54" i="1" s="1"/>
  <c r="E13" i="1"/>
  <c r="C74" i="1"/>
  <c r="F74" i="1" s="1"/>
  <c r="C70" i="1"/>
  <c r="F70" i="1" s="1"/>
  <c r="D68" i="1"/>
  <c r="C29" i="1"/>
  <c r="F29" i="1" s="1"/>
  <c r="E20" i="1"/>
  <c r="C76" i="1"/>
  <c r="F76" i="1" s="1"/>
  <c r="D43" i="1"/>
  <c r="F43" i="1" s="1"/>
  <c r="C25" i="1"/>
  <c r="C23" i="1"/>
  <c r="C73" i="1"/>
  <c r="F73" i="1" s="1"/>
  <c r="D69" i="1"/>
  <c r="C75" i="1"/>
  <c r="F75" i="1" s="1"/>
  <c r="C71" i="1"/>
  <c r="F71" i="1" s="1"/>
  <c r="E47" i="1"/>
  <c r="D31" i="1"/>
  <c r="C30" i="1"/>
  <c r="F30" i="1" s="1"/>
  <c r="C72" i="1"/>
  <c r="F72" i="1" s="1"/>
  <c r="C27" i="1"/>
  <c r="F27" i="1" s="1"/>
  <c r="C26" i="1"/>
  <c r="C24" i="1"/>
  <c r="F47" i="1"/>
  <c r="G47" i="1" s="1"/>
  <c r="F56" i="1"/>
  <c r="G56" i="1" s="1"/>
  <c r="F39" i="1" l="1"/>
  <c r="F26" i="1"/>
  <c r="F24" i="1"/>
  <c r="F69" i="1"/>
  <c r="G69" i="1" s="1"/>
  <c r="G76" i="1"/>
  <c r="D35" i="1"/>
  <c r="F35" i="1" s="1"/>
  <c r="D25" i="1"/>
  <c r="F25" i="1" s="1"/>
  <c r="G25" i="1" s="1"/>
  <c r="C22" i="1"/>
  <c r="F22" i="1" s="1"/>
  <c r="D20" i="1"/>
  <c r="F20" i="1" s="1"/>
  <c r="C50" i="1"/>
  <c r="F50" i="1" s="1"/>
  <c r="G50" i="1" s="1"/>
  <c r="C48" i="1"/>
  <c r="F48" i="1" s="1"/>
  <c r="G48" i="1" s="1"/>
  <c r="C42" i="1"/>
  <c r="F42" i="1" s="1"/>
  <c r="C40" i="1"/>
  <c r="F40" i="1" s="1"/>
  <c r="D41" i="1"/>
  <c r="F41" i="1" s="1"/>
  <c r="D39" i="1"/>
  <c r="D37" i="1"/>
  <c r="F37" i="1" s="1"/>
  <c r="C36" i="1"/>
  <c r="F36" i="1" s="1"/>
  <c r="D26" i="1"/>
  <c r="D24" i="1"/>
  <c r="D23" i="1"/>
  <c r="C21" i="1"/>
  <c r="F21" i="1" s="1"/>
  <c r="C49" i="1"/>
  <c r="F49" i="1" s="1"/>
  <c r="G49" i="1" s="1"/>
  <c r="C38" i="1"/>
  <c r="F38" i="1" s="1"/>
  <c r="C31" i="1"/>
  <c r="F31" i="1" s="1"/>
  <c r="F68" i="1"/>
  <c r="G68" i="1" s="1"/>
  <c r="G72" i="1"/>
  <c r="F23" i="1"/>
  <c r="G74" i="1"/>
  <c r="C59" i="1"/>
  <c r="F58" i="1"/>
  <c r="G58" i="1" s="1"/>
  <c r="G35" i="1" l="1"/>
  <c r="G43" i="1"/>
  <c r="G20" i="1"/>
  <c r="G28" i="1"/>
  <c r="G29" i="1"/>
  <c r="G27" i="1"/>
  <c r="G30" i="1"/>
  <c r="G36" i="1"/>
  <c r="G40" i="1"/>
  <c r="G26" i="1"/>
  <c r="G23" i="1"/>
  <c r="G31" i="1"/>
  <c r="G37" i="1"/>
  <c r="G42" i="1"/>
  <c r="G22" i="1"/>
  <c r="G24" i="1"/>
  <c r="G67" i="1"/>
  <c r="G71" i="1"/>
  <c r="G38" i="1"/>
  <c r="G70" i="1"/>
  <c r="G21" i="1"/>
  <c r="F59" i="1"/>
  <c r="G59" i="1" s="1"/>
  <c r="C60" i="1"/>
  <c r="G41" i="1"/>
  <c r="G75" i="1"/>
  <c r="G73" i="1"/>
  <c r="G39" i="1"/>
  <c r="C61" i="1" l="1"/>
  <c r="F60" i="1"/>
  <c r="G60" i="1" s="1"/>
  <c r="C62" i="1" l="1"/>
  <c r="F61" i="1"/>
  <c r="G61" i="1" s="1"/>
  <c r="C63" i="1" l="1"/>
  <c r="F63" i="1" s="1"/>
  <c r="G63" i="1" s="1"/>
  <c r="F62" i="1"/>
  <c r="G62" i="1" s="1"/>
</calcChain>
</file>

<file path=xl/sharedStrings.xml><?xml version="1.0" encoding="utf-8"?>
<sst xmlns="http://schemas.openxmlformats.org/spreadsheetml/2006/main" count="153" uniqueCount="116">
  <si>
    <t>Table S1: Solubilities of H2 and CO2 at higher pressures</t>
  </si>
  <si>
    <t>Conc.
(M)</t>
  </si>
  <si>
    <t>Notes</t>
  </si>
  <si>
    <t>H2, 2 MPa in water</t>
  </si>
  <si>
    <t xml:space="preserve">Solubility of H2 in water at 2 MPa H2 pressure is 0.44 cc/g of water </t>
  </si>
  <si>
    <t xml:space="preserve">CO2, 2 MPa in water </t>
  </si>
  <si>
    <t>Solubility of CO2 in water at 2 MPa CO2 pressure is 14.2 cc/g of water</t>
  </si>
  <si>
    <t>H2, 4 MPa in THF</t>
  </si>
  <si>
    <t xml:space="preserve">Molefraction solubility of H2 in THF at 4 MPa H2 pressure is 0.00996 </t>
  </si>
  <si>
    <t xml:space="preserve">Table S2: Free energy corrections </t>
  </si>
  <si>
    <t>ΔG (DFT)
(Hartree)</t>
  </si>
  <si>
    <t>conc. 
(M)</t>
  </si>
  <si>
    <t>Correction
(kcal/mol)</t>
  </si>
  <si>
    <t>ΔGcorrected
a.u.</t>
  </si>
  <si>
    <t>H2O</t>
  </si>
  <si>
    <t>SSC</t>
  </si>
  <si>
    <t>H2 (2 MPa  in water)</t>
  </si>
  <si>
    <t>CO2 (2 MPa CO2 pressure)</t>
  </si>
  <si>
    <t>OH-(aq)3</t>
  </si>
  <si>
    <t>-</t>
  </si>
  <si>
    <t>DFT calculated OH- with explisit solvation with three water molecules (aq)</t>
  </si>
  <si>
    <t>OH-(aq)3, 1 M in water</t>
  </si>
  <si>
    <t>ΔG(solv, 1 M) = ΔG(solvated) + SSC</t>
  </si>
  <si>
    <t>THF</t>
  </si>
  <si>
    <t>DMAB</t>
  </si>
  <si>
    <t>H2 (4 MPa in THF)</t>
  </si>
  <si>
    <t>Table S3: Free Energy profile for the formation of 1, 2 and 3 in 1 M aqueous OH-</t>
  </si>
  <si>
    <t>Species</t>
  </si>
  <si>
    <t>ΔG 
(Hartree)</t>
  </si>
  <si>
    <t>SUM
(Hartree)</t>
  </si>
  <si>
    <t>REL
(kcal/mol)</t>
  </si>
  <si>
    <r>
      <rPr>
        <b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+ H2 + OH-(aq)3 + 3 H2O</t>
    </r>
  </si>
  <si>
    <t>Starting materials</t>
  </si>
  <si>
    <r>
      <rPr>
        <b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+ 2 OH-(aq)3 + H2 </t>
    </r>
  </si>
  <si>
    <r>
      <t xml:space="preserve">Dissociation of OH- from Rh(III)-center of </t>
    </r>
    <r>
      <rPr>
        <b/>
        <i/>
        <sz val="12"/>
        <color theme="1" tint="0.34998626667073579"/>
        <rFont val="Calibri"/>
        <family val="2"/>
        <scheme val="minor"/>
      </rPr>
      <t>4</t>
    </r>
  </si>
  <si>
    <r>
      <rPr>
        <b/>
        <sz val="12"/>
        <color theme="1"/>
        <rFont val="Calibri"/>
        <family val="2"/>
        <scheme val="minor"/>
      </rPr>
      <t>6</t>
    </r>
    <r>
      <rPr>
        <sz val="12"/>
        <color theme="1"/>
        <rFont val="Calibri"/>
        <family val="2"/>
        <scheme val="minor"/>
      </rPr>
      <t xml:space="preserve"> + 2 OH-(aq)3 </t>
    </r>
  </si>
  <si>
    <t>Formation of Rh-η2(H2) int.</t>
  </si>
  <si>
    <r>
      <rPr>
        <b/>
        <sz val="12"/>
        <color theme="1"/>
        <rFont val="Calibri"/>
        <family val="2"/>
        <scheme val="minor"/>
      </rPr>
      <t>TS1</t>
    </r>
    <r>
      <rPr>
        <sz val="12"/>
        <color theme="1"/>
        <rFont val="Calibri"/>
        <family val="2"/>
        <scheme val="minor"/>
      </rPr>
      <t xml:space="preserve"> + H2O + OH-(aq)3</t>
    </r>
  </si>
  <si>
    <t>TS for deprotonation of Rh-η2(H2) fragment</t>
  </si>
  <si>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+ 4 H2O + OH-(aq)3</t>
    </r>
  </si>
  <si>
    <t>Formation of Rh(III)-H</t>
  </si>
  <si>
    <r>
      <rPr>
        <b/>
        <sz val="12"/>
        <color theme="1"/>
        <rFont val="Calibri"/>
        <family val="2"/>
        <scheme val="minor"/>
      </rPr>
      <t>TS2</t>
    </r>
    <r>
      <rPr>
        <sz val="12"/>
        <color theme="1"/>
        <rFont val="Calibri"/>
        <family val="2"/>
        <scheme val="minor"/>
      </rPr>
      <t xml:space="preserve"> + 4 H2O + OH-(aq)3</t>
    </r>
  </si>
  <si>
    <t>TS for reductive elimination of the Cp*-H pair</t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</si>
  <si>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+ 4 H2O + OH-(aq)3</t>
    </r>
  </si>
  <si>
    <t>Formation of Cp*H(endo) Rh(I) complex</t>
  </si>
  <si>
    <r>
      <rPr>
        <b/>
        <sz val="12"/>
        <color theme="1"/>
        <rFont val="Calibri"/>
        <family val="2"/>
        <scheme val="minor"/>
      </rPr>
      <t>TS3</t>
    </r>
    <r>
      <rPr>
        <sz val="12"/>
        <color theme="1"/>
        <rFont val="Calibri"/>
        <family val="2"/>
        <scheme val="minor"/>
      </rPr>
      <t xml:space="preserve"> + 5 H2O</t>
    </r>
  </si>
  <si>
    <t>TS for reductive deprotonation of Rh(III)-H</t>
  </si>
  <si>
    <r>
      <rPr>
        <b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 xml:space="preserve"> + 8 H2O</t>
    </r>
  </si>
  <si>
    <r>
      <t xml:space="preserve">Formation of Cp*Rh(I) int. via deprot of Rh-H of </t>
    </r>
    <r>
      <rPr>
        <b/>
        <i/>
        <sz val="12"/>
        <color theme="1" tint="0.34998626667073579"/>
        <rFont val="Calibri"/>
        <family val="2"/>
        <scheme val="minor"/>
      </rPr>
      <t>1</t>
    </r>
  </si>
  <si>
    <r>
      <rPr>
        <b/>
        <sz val="12"/>
        <color theme="1"/>
        <rFont val="Calibri"/>
        <family val="2"/>
        <scheme val="minor"/>
      </rPr>
      <t xml:space="preserve">TS4 </t>
    </r>
    <r>
      <rPr>
        <sz val="12"/>
        <color theme="1"/>
        <rFont val="Calibri"/>
        <family val="2"/>
        <scheme val="minor"/>
      </rPr>
      <t>+ 5 H2O</t>
    </r>
  </si>
  <si>
    <r>
      <t xml:space="preserve">TS for protonation of Cp* fragment of </t>
    </r>
    <r>
      <rPr>
        <b/>
        <i/>
        <sz val="12"/>
        <color theme="1" tint="0.34998626667073579"/>
        <rFont val="Calibri"/>
        <family val="2"/>
        <scheme val="minor"/>
      </rPr>
      <t>7</t>
    </r>
    <r>
      <rPr>
        <i/>
        <sz val="12"/>
        <color theme="1" tint="0.34998626667073579"/>
        <rFont val="Calibri"/>
        <family val="2"/>
        <scheme val="minor"/>
      </rPr>
      <t xml:space="preserve"> in exo manner</t>
    </r>
  </si>
  <si>
    <r>
      <rPr>
        <b/>
        <sz val="12"/>
        <color theme="1"/>
        <rFont val="Calibri"/>
        <family val="2"/>
        <scheme val="minor"/>
      </rPr>
      <t>TS5</t>
    </r>
    <r>
      <rPr>
        <sz val="12"/>
        <color theme="1"/>
        <rFont val="Calibri"/>
        <family val="2"/>
        <scheme val="minor"/>
      </rPr>
      <t xml:space="preserve"> + 5 H2O</t>
    </r>
  </si>
  <si>
    <r>
      <t xml:space="preserve">TS for protonation of the Cp* fragment of </t>
    </r>
    <r>
      <rPr>
        <b/>
        <i/>
        <sz val="12"/>
        <color theme="1" tint="0.34998626667073579"/>
        <rFont val="Calibri"/>
        <family val="2"/>
        <scheme val="minor"/>
      </rPr>
      <t>7</t>
    </r>
    <r>
      <rPr>
        <i/>
        <sz val="12"/>
        <color theme="1" tint="0.34998626667073579"/>
        <rFont val="Calibri"/>
        <family val="2"/>
        <scheme val="minor"/>
      </rPr>
      <t xml:space="preserve"> in endo manner</t>
    </r>
  </si>
  <si>
    <r>
      <rPr>
        <b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+ OH-(aq)3 + 4 H2O</t>
    </r>
  </si>
  <si>
    <t>Formation of Cp*H(exo) Rh(I) int.</t>
  </si>
  <si>
    <t>Table S4: Free energy profile for the hydrogenation of CO2</t>
  </si>
  <si>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+ CO2 + OH-(aq)3</t>
    </r>
  </si>
  <si>
    <t>Rh(III)-H intermediate</t>
  </si>
  <si>
    <r>
      <rPr>
        <b/>
        <sz val="12"/>
        <color theme="1"/>
        <rFont val="Calibri"/>
        <family val="2"/>
        <scheme val="minor"/>
      </rPr>
      <t>TS6</t>
    </r>
    <r>
      <rPr>
        <sz val="12"/>
        <color theme="1"/>
        <rFont val="Calibri"/>
        <family val="2"/>
        <scheme val="minor"/>
      </rPr>
      <t xml:space="preserve"> + OH-(aq)3</t>
    </r>
  </si>
  <si>
    <t>TS for direct hydride transfer to CO2</t>
  </si>
  <si>
    <r>
      <rPr>
        <b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+ HCOO- + OH-(aq)3</t>
    </r>
  </si>
  <si>
    <t>Formation of 5-coordinate Rh(III) int. and formate</t>
  </si>
  <si>
    <r>
      <rPr>
        <b/>
        <sz val="12"/>
        <color theme="1"/>
        <rFont val="Calibri"/>
        <family val="2"/>
        <scheme val="minor"/>
      </rPr>
      <t>8</t>
    </r>
    <r>
      <rPr>
        <sz val="12"/>
        <color theme="1"/>
        <rFont val="Calibri"/>
        <family val="2"/>
        <scheme val="minor"/>
      </rPr>
      <t xml:space="preserve"> + OH-(aq)3</t>
    </r>
  </si>
  <si>
    <r>
      <t xml:space="preserve">Coordination of formate to Rh(III)-center of </t>
    </r>
    <r>
      <rPr>
        <b/>
        <i/>
        <sz val="12"/>
        <color theme="1" tint="0.34998626667073579"/>
        <rFont val="Calibri"/>
        <family val="2"/>
        <scheme val="minor"/>
      </rPr>
      <t>5</t>
    </r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</si>
  <si>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+ CO2 + OH-(aq)3</t>
    </r>
  </si>
  <si>
    <t>endo Cp*H intermediate</t>
  </si>
  <si>
    <r>
      <rPr>
        <b/>
        <sz val="12"/>
        <color theme="1"/>
        <rFont val="Calibri"/>
        <family val="2"/>
        <scheme val="minor"/>
      </rPr>
      <t>TS7</t>
    </r>
    <r>
      <rPr>
        <sz val="12"/>
        <color theme="1"/>
        <rFont val="Calibri"/>
        <family val="2"/>
        <scheme val="minor"/>
      </rPr>
      <t xml:space="preserve"> + OH-(aq)3</t>
    </r>
  </si>
  <si>
    <t xml:space="preserve">TS for hydride transfer from endo Cp*H to CO2 </t>
  </si>
  <si>
    <r>
      <rPr>
        <b/>
        <sz val="12"/>
        <color theme="1"/>
        <rFont val="Calibri"/>
        <family val="2"/>
        <scheme val="minor"/>
      </rPr>
      <t>3</t>
    </r>
    <r>
      <rPr>
        <sz val="12"/>
        <color theme="1"/>
        <rFont val="Calibri"/>
        <family val="2"/>
        <scheme val="minor"/>
      </rPr>
      <t xml:space="preserve"> + CO2 + OH-(aq)3</t>
    </r>
  </si>
  <si>
    <t>exo Cp*H intermediate</t>
  </si>
  <si>
    <r>
      <rPr>
        <b/>
        <sz val="12"/>
        <color theme="1"/>
        <rFont val="Calibri"/>
        <family val="2"/>
        <scheme val="minor"/>
      </rPr>
      <t>TS8</t>
    </r>
    <r>
      <rPr>
        <sz val="12"/>
        <color theme="1"/>
        <rFont val="Calibri"/>
        <family val="2"/>
        <scheme val="minor"/>
      </rPr>
      <t xml:space="preserve"> + OH-(aq)3</t>
    </r>
  </si>
  <si>
    <t xml:space="preserve">TS for hydride transfer from exo Cp*H to CO2 </t>
  </si>
  <si>
    <r>
      <rPr>
        <b/>
        <sz val="12"/>
        <color theme="1"/>
        <rFont val="Calibri"/>
        <family val="2"/>
        <scheme val="minor"/>
      </rPr>
      <t xml:space="preserve">4 </t>
    </r>
    <r>
      <rPr>
        <sz val="12"/>
        <color theme="1"/>
        <rFont val="Calibri"/>
        <family val="2"/>
        <scheme val="minor"/>
      </rPr>
      <t>+ HCOO- + 3 H2O</t>
    </r>
  </si>
  <si>
    <r>
      <t xml:space="preserve">Formation of formate and reinstatement of </t>
    </r>
    <r>
      <rPr>
        <b/>
        <i/>
        <sz val="12"/>
        <color theme="1" tint="0.34998626667073579"/>
        <rFont val="Calibri"/>
        <family val="2"/>
        <scheme val="minor"/>
      </rPr>
      <t>4</t>
    </r>
    <r>
      <rPr>
        <i/>
        <sz val="12"/>
        <color theme="1" tint="0.34998626667073579"/>
        <rFont val="Calibri"/>
        <family val="2"/>
        <scheme val="minor"/>
      </rPr>
      <t xml:space="preserve"> </t>
    </r>
  </si>
  <si>
    <t>Table S5: Barriers for hydride delivery to NAD+ from 1, 2 and 3</t>
  </si>
  <si>
    <r>
      <rPr>
        <b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 xml:space="preserve"> + HCOO- + NAD+ + 3 H2O</t>
    </r>
  </si>
  <si>
    <r>
      <rPr>
        <b/>
        <sz val="12"/>
        <color theme="1"/>
        <rFont val="Calibri"/>
        <family val="2"/>
        <scheme val="minor"/>
      </rPr>
      <t>TS9</t>
    </r>
    <r>
      <rPr>
        <sz val="12"/>
        <color theme="1"/>
        <rFont val="Calibri"/>
        <family val="2"/>
        <scheme val="minor"/>
      </rPr>
      <t xml:space="preserve"> + OH- + CO2</t>
    </r>
  </si>
  <si>
    <t>TS for direct hydride transfer to NAD+</t>
  </si>
  <si>
    <r>
      <rPr>
        <b/>
        <sz val="12"/>
        <color theme="1"/>
        <rFont val="Calibri"/>
        <family val="2"/>
        <scheme val="minor"/>
      </rPr>
      <t xml:space="preserve">TS10 </t>
    </r>
    <r>
      <rPr>
        <sz val="12"/>
        <color theme="1"/>
        <rFont val="Calibri"/>
        <family val="2"/>
        <scheme val="minor"/>
      </rPr>
      <t>+ OH- + CO2</t>
    </r>
  </si>
  <si>
    <t>TS for hydride transfer from endo Cp*H to NAD+</t>
  </si>
  <si>
    <r>
      <rPr>
        <b/>
        <sz val="12"/>
        <color theme="1"/>
        <rFont val="Calibri"/>
        <family val="2"/>
        <scheme val="minor"/>
      </rPr>
      <t>TS11</t>
    </r>
    <r>
      <rPr>
        <sz val="12"/>
        <color theme="1"/>
        <rFont val="Calibri"/>
        <family val="2"/>
        <scheme val="minor"/>
      </rPr>
      <t xml:space="preserve"> + OH- + CO2</t>
    </r>
  </si>
  <si>
    <t>TS for hydride transfer from exo Cp*H to NAD+</t>
  </si>
  <si>
    <t>Table S6: Energy profile for the hydrogenation of the Cp* framework in the reaction with DMAB in the presence of H2 in THF</t>
  </si>
  <si>
    <t>Cp*Rh-THF complex + dimethylamine-borane + H2</t>
  </si>
  <si>
    <r>
      <rPr>
        <b/>
        <sz val="12"/>
        <color theme="1"/>
        <rFont val="Calibri"/>
        <family val="2"/>
        <scheme val="minor"/>
      </rPr>
      <t>1'</t>
    </r>
    <r>
      <rPr>
        <sz val="12"/>
        <color theme="1"/>
        <rFont val="Calibri"/>
        <family val="2"/>
        <scheme val="minor"/>
      </rPr>
      <t xml:space="preserve"> + Me2NHBH2-THF + H2</t>
    </r>
  </si>
  <si>
    <t>Formation of Rh(III)-H intermediate and [Me2NH-BH2THF]+</t>
  </si>
  <si>
    <r>
      <rPr>
        <b/>
        <sz val="12"/>
        <color theme="1"/>
        <rFont val="Calibri"/>
        <family val="2"/>
        <scheme val="minor"/>
      </rPr>
      <t>2'</t>
    </r>
    <r>
      <rPr>
        <sz val="12"/>
        <color theme="1"/>
        <rFont val="Calibri"/>
        <family val="2"/>
        <scheme val="minor"/>
      </rPr>
      <t xml:space="preserve"> + Me2NHBH2-THF + H2</t>
    </r>
  </si>
  <si>
    <t>Formation of (Cp*H)Rh intermediate</t>
  </si>
  <si>
    <r>
      <rPr>
        <b/>
        <sz val="12"/>
        <color theme="1"/>
        <rFont val="Calibri"/>
        <family val="2"/>
        <scheme val="minor"/>
      </rPr>
      <t>10'</t>
    </r>
    <r>
      <rPr>
        <sz val="12"/>
        <color theme="1"/>
        <rFont val="Calibri"/>
        <family val="2"/>
        <scheme val="minor"/>
      </rPr>
      <t xml:space="preserve"> + Me2NHBH2-THF</t>
    </r>
  </si>
  <si>
    <t>Formation of η1-(H2) (Cp*H) Rh intermediate</t>
  </si>
  <si>
    <r>
      <rPr>
        <b/>
        <sz val="12"/>
        <color theme="1"/>
        <rFont val="Calibri"/>
        <family val="2"/>
        <scheme val="minor"/>
      </rPr>
      <t xml:space="preserve">TS12' </t>
    </r>
    <r>
      <rPr>
        <sz val="12"/>
        <color theme="1"/>
        <rFont val="Calibri"/>
        <family val="2"/>
        <scheme val="minor"/>
      </rPr>
      <t>+ Me2NHBH2-THF</t>
    </r>
  </si>
  <si>
    <t>TS for oxidative addition of H2</t>
  </si>
  <si>
    <r>
      <rPr>
        <b/>
        <sz val="12"/>
        <color theme="1"/>
        <rFont val="Calibri"/>
        <family val="2"/>
        <scheme val="minor"/>
      </rPr>
      <t xml:space="preserve">11' </t>
    </r>
    <r>
      <rPr>
        <sz val="12"/>
        <color theme="1"/>
        <rFont val="Calibri"/>
        <family val="2"/>
        <scheme val="minor"/>
      </rPr>
      <t>+ Me2NHBH2-THF</t>
    </r>
  </si>
  <si>
    <t>Formation of (Cp*H) Rh(III) dihydride</t>
  </si>
  <si>
    <r>
      <rPr>
        <b/>
        <sz val="12"/>
        <color theme="1"/>
        <rFont val="Calibri"/>
        <family val="2"/>
        <scheme val="minor"/>
      </rPr>
      <t>TS13'</t>
    </r>
    <r>
      <rPr>
        <sz val="12"/>
        <color theme="1"/>
        <rFont val="Calibri"/>
        <family val="2"/>
        <scheme val="minor"/>
      </rPr>
      <t xml:space="preserve"> + Me2NHBH2-THF</t>
    </r>
  </si>
  <si>
    <t>TS for insertion of Cp*H in Rh(III)-H fragment</t>
  </si>
  <si>
    <r>
      <rPr>
        <b/>
        <sz val="12"/>
        <color theme="1"/>
        <rFont val="Calibri"/>
        <family val="2"/>
        <scheme val="minor"/>
      </rPr>
      <t xml:space="preserve">12' </t>
    </r>
    <r>
      <rPr>
        <sz val="12"/>
        <color theme="1"/>
        <rFont val="Calibri"/>
        <family val="2"/>
        <scheme val="minor"/>
      </rPr>
      <t>+ Me2NHBH2-THF</t>
    </r>
  </si>
  <si>
    <t>Formation of η3-allylic Cp*H2 Rh(III)-H intermediate</t>
  </si>
  <si>
    <r>
      <rPr>
        <b/>
        <sz val="12"/>
        <color theme="1"/>
        <rFont val="Calibri"/>
        <family val="2"/>
        <scheme val="minor"/>
      </rPr>
      <t>TS14'</t>
    </r>
    <r>
      <rPr>
        <sz val="12"/>
        <color theme="1"/>
        <rFont val="Calibri"/>
        <family val="2"/>
        <scheme val="minor"/>
      </rPr>
      <t xml:space="preserve"> + Me2NHBH2-THF</t>
    </r>
  </si>
  <si>
    <t>TS for C-H reductive coupling</t>
  </si>
  <si>
    <r>
      <rPr>
        <b/>
        <sz val="12"/>
        <color theme="1"/>
        <rFont val="Calibri"/>
        <family val="2"/>
        <scheme val="minor"/>
      </rPr>
      <t xml:space="preserve">13' </t>
    </r>
    <r>
      <rPr>
        <sz val="12"/>
        <color theme="1"/>
        <rFont val="Calibri"/>
        <family val="2"/>
        <scheme val="minor"/>
      </rPr>
      <t>+ Me2NHBH2-THF</t>
    </r>
  </si>
  <si>
    <t>Formation of η2-Cp*H3 Rh(I) intermediate</t>
  </si>
  <si>
    <t>Table S7: Energy profile for the hydrogenation of the Cp* framework with H2 in water</t>
  </si>
  <si>
    <r>
      <rPr>
        <b/>
        <sz val="12"/>
        <rFont val="Calibri (Body)_x0000_"/>
      </rPr>
      <t>4</t>
    </r>
    <r>
      <rPr>
        <sz val="12"/>
        <rFont val="Calibri (Body)_x0000_"/>
      </rPr>
      <t xml:space="preserve"> + 2 H2 </t>
    </r>
  </si>
  <si>
    <t>Cp*Rh-OH complex + 2 H2</t>
  </si>
  <si>
    <r>
      <rPr>
        <b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+ H2 + H2O </t>
    </r>
  </si>
  <si>
    <t>Formation of Rh(III)-H intermediate and H2O</t>
  </si>
  <si>
    <r>
      <rPr>
        <b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+ H2 + H2O</t>
    </r>
  </si>
  <si>
    <r>
      <rPr>
        <b/>
        <sz val="12"/>
        <color theme="1"/>
        <rFont val="Calibri"/>
        <family val="2"/>
        <scheme val="minor"/>
      </rPr>
      <t>10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</si>
  <si>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TS12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</si>
  <si>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11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</si>
  <si>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TS13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</si>
  <si>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12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</si>
  <si>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TS14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</si>
  <si>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color theme="1"/>
        <rFont val="Calibri"/>
        <family val="2"/>
        <scheme val="minor"/>
      </rPr>
      <t>13</t>
    </r>
    <r>
      <rPr>
        <sz val="12"/>
        <color theme="1"/>
        <rFont val="Calibri"/>
        <family val="2"/>
        <scheme val="minor"/>
      </rPr>
      <t xml:space="preserve"> + H2O</t>
    </r>
  </si>
  <si>
    <r>
      <rPr>
        <b/>
        <sz val="12"/>
        <rFont val="Calibri (Body)_x0000_"/>
      </rPr>
      <t>9'</t>
    </r>
    <r>
      <rPr>
        <sz val="12"/>
        <rFont val="Calibri (Body)_x0000_"/>
      </rPr>
      <t xml:space="preserve"> + DMAB + H2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</si>
</sst>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"/>
  </numFmts>
  <fonts count="1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FFC000"/>
      <name val="Calibri"/>
      <family val="2"/>
      <scheme val="minor"/>
    </font>
    <font>
      <sz val="12"/>
      <color theme="1" tint="0.34998626667073579"/>
      <name val="Calibri"/>
      <family val="2"/>
      <scheme val="minor"/>
    </font>
    <font>
      <sz val="12"/>
      <color rgb="FF595959"/>
      <name val="Calibri"/>
      <family val="2"/>
      <scheme val="minor"/>
    </font>
    <font>
      <sz val="12"/>
      <color theme="1" tint="0.499984740745262"/>
      <name val="Calibri"/>
      <family val="2"/>
      <scheme val="minor"/>
    </font>
    <font>
      <sz val="12"/>
      <name val="Calibri (Body)_x0000_"/>
    </font>
    <font>
      <sz val="12"/>
      <name val="Calibri"/>
      <family val="2"/>
      <scheme val="minor"/>
    </font>
    <font>
      <i/>
      <sz val="12"/>
      <color theme="1" tint="0.34998626667073579"/>
      <name val="Calibri"/>
      <family val="2"/>
      <scheme val="minor"/>
    </font>
    <font>
      <b/>
      <i/>
      <sz val="12"/>
      <color theme="1" tint="0.34998626667073579"/>
      <name val="Calibri"/>
      <family val="2"/>
      <scheme val="minor"/>
    </font>
    <font>
      <i/>
      <sz val="12"/>
      <color rgb="FF595959"/>
      <name val="Calibri"/>
      <family val="2"/>
      <scheme val="minor"/>
    </font>
    <font>
      <b/>
      <sz val="12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6" fillId="0" borderId="0" xfId="0" applyFont="1" applyFill="1"/>
    <xf numFmtId="164" fontId="6" fillId="0" borderId="0" xfId="0" applyNumberFormat="1" applyFont="1" applyFill="1" applyAlignment="1">
      <alignment horizontal="center"/>
    </xf>
    <xf numFmtId="2" fontId="6" fillId="0" borderId="0" xfId="0" quotePrefix="1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165" fontId="0" fillId="0" borderId="0" xfId="0" applyNumberFormat="1" applyFill="1"/>
    <xf numFmtId="165" fontId="2" fillId="3" borderId="0" xfId="0" applyNumberFormat="1" applyFont="1" applyFill="1"/>
    <xf numFmtId="165" fontId="0" fillId="0" borderId="0" xfId="0" applyNumberFormat="1"/>
    <xf numFmtId="164" fontId="0" fillId="0" borderId="0" xfId="0" applyNumberFormat="1"/>
    <xf numFmtId="0" fontId="11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 applyAlignment="1">
      <alignment horizontal="right"/>
    </xf>
    <xf numFmtId="165" fontId="8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9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Fill="1" applyBorder="1" applyAlignment="1"/>
    <xf numFmtId="0" fontId="9" fillId="0" borderId="0" xfId="0" applyFont="1" applyFill="1" applyBorder="1" applyAlignment="1"/>
    <xf numFmtId="0" fontId="9" fillId="0" borderId="0" xfId="0" applyFont="1" applyFill="1" applyAlignment="1"/>
    <xf numFmtId="0" fontId="9" fillId="0" borderId="0" xfId="0" applyFont="1" applyAlignment="1">
      <alignment horizontal="left"/>
    </xf>
    <xf numFmtId="0" fontId="9" fillId="0" borderId="2" xfId="0" applyFont="1" applyBorder="1" applyAlignment="1"/>
    <xf numFmtId="0" fontId="1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9F7C2-3CEE-4440-B7AA-D2C11ABD29D2}">
  <dimension ref="A1:J82"/>
  <sheetViews>
    <sheetView tabSelected="1" topLeftCell="A13" zoomScaleNormal="100" workbookViewId="0">
      <selection activeCell="A52" sqref="A52:J63"/>
    </sheetView>
  </sheetViews>
  <sheetFormatPr baseColWidth="10" defaultColWidth="11" defaultRowHeight="16"/>
  <cols>
    <col min="1" max="1" width="27.1640625" customWidth="1"/>
    <col min="2" max="2" width="12.33203125" bestFit="1" customWidth="1"/>
    <col min="3" max="3" width="11.33203125" bestFit="1" customWidth="1"/>
    <col min="4" max="4" width="12.1640625" bestFit="1" customWidth="1"/>
    <col min="5" max="5" width="12" customWidth="1"/>
    <col min="6" max="6" width="12.33203125" bestFit="1" customWidth="1"/>
    <col min="8" max="8" width="10.83203125" customWidth="1"/>
    <col min="9" max="9" width="18.33203125" customWidth="1"/>
    <col min="10" max="10" width="21.33203125" customWidth="1"/>
    <col min="11" max="11" width="12.1640625" bestFit="1" customWidth="1"/>
  </cols>
  <sheetData>
    <row r="1" spans="1:10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51" customHeight="1">
      <c r="A2" s="33"/>
      <c r="B2" s="33"/>
      <c r="C2" s="1" t="s">
        <v>1</v>
      </c>
      <c r="D2" s="34" t="s">
        <v>2</v>
      </c>
      <c r="E2" s="34"/>
      <c r="F2" s="34"/>
      <c r="G2" s="34"/>
      <c r="H2" s="34"/>
      <c r="I2" s="34"/>
      <c r="J2" s="34"/>
    </row>
    <row r="3" spans="1:10">
      <c r="A3" s="35" t="s">
        <v>3</v>
      </c>
      <c r="B3" s="35"/>
      <c r="C3" s="2">
        <f>((0.44*0.001)/(0.082*298))*1000</f>
        <v>1.8006220330659684E-2</v>
      </c>
      <c r="D3" s="36" t="s">
        <v>4</v>
      </c>
      <c r="E3" s="36"/>
      <c r="F3" s="36"/>
      <c r="G3" s="36"/>
      <c r="H3" s="36"/>
      <c r="I3" s="36"/>
      <c r="J3" s="36"/>
    </row>
    <row r="4" spans="1:10">
      <c r="A4" s="30" t="s">
        <v>5</v>
      </c>
      <c r="B4" s="30"/>
      <c r="C4" s="2">
        <f>((14.2*0.001)/(0.082*298))*1000</f>
        <v>0.58110983794401705</v>
      </c>
      <c r="D4" s="31" t="s">
        <v>6</v>
      </c>
      <c r="E4" s="31"/>
      <c r="F4" s="31"/>
      <c r="G4" s="31"/>
      <c r="H4" s="31"/>
      <c r="I4" s="31"/>
      <c r="J4" s="31"/>
    </row>
    <row r="5" spans="1:10">
      <c r="A5" s="30" t="s">
        <v>7</v>
      </c>
      <c r="B5" s="30"/>
      <c r="C5" s="2">
        <f>(0.00996*887/72.11)</f>
        <v>0.12251449174871723</v>
      </c>
      <c r="D5" s="37" t="s">
        <v>8</v>
      </c>
      <c r="E5" s="37"/>
      <c r="F5" s="37"/>
      <c r="G5" s="37"/>
      <c r="H5" s="37"/>
      <c r="I5" s="37"/>
      <c r="J5" s="37"/>
    </row>
    <row r="7" spans="1:10">
      <c r="A7" s="32" t="s">
        <v>9</v>
      </c>
      <c r="B7" s="32"/>
      <c r="C7" s="32"/>
      <c r="D7" s="32"/>
      <c r="E7" s="32"/>
      <c r="F7" s="32"/>
      <c r="G7" s="32"/>
      <c r="H7" s="32"/>
      <c r="I7" s="32"/>
      <c r="J7" s="32"/>
    </row>
    <row r="8" spans="1:10" ht="34">
      <c r="A8" s="3"/>
      <c r="B8" s="4" t="s">
        <v>10</v>
      </c>
      <c r="C8" s="4" t="s">
        <v>11</v>
      </c>
      <c r="D8" s="4" t="s">
        <v>12</v>
      </c>
      <c r="E8" s="1" t="s">
        <v>13</v>
      </c>
      <c r="F8" s="34" t="s">
        <v>2</v>
      </c>
      <c r="G8" s="34"/>
      <c r="H8" s="34"/>
      <c r="I8" s="34"/>
      <c r="J8" s="34"/>
    </row>
    <row r="9" spans="1:10">
      <c r="A9" s="5" t="s">
        <v>14</v>
      </c>
      <c r="B9" s="6">
        <v>-76.452183000000005</v>
      </c>
      <c r="C9" s="7">
        <v>55.55</v>
      </c>
      <c r="D9" s="7">
        <f>0.593*LN(C9/0.0409)</f>
        <v>4.2778478780872788</v>
      </c>
      <c r="E9" s="8">
        <f>B9+(D9/627.5)</f>
        <v>-76.445365712544884</v>
      </c>
      <c r="F9" s="36" t="s">
        <v>15</v>
      </c>
      <c r="G9" s="36"/>
      <c r="H9" s="36"/>
      <c r="I9" s="36"/>
      <c r="J9" s="36"/>
    </row>
    <row r="10" spans="1:10">
      <c r="A10" s="5" t="s">
        <v>16</v>
      </c>
      <c r="B10" s="6">
        <v>-1.170728</v>
      </c>
      <c r="C10" s="7">
        <f>C3</f>
        <v>1.8006220330659684E-2</v>
      </c>
      <c r="D10" s="7">
        <f t="shared" ref="D10:D11" si="0">0.593*LN(C10/0.0409)</f>
        <v>-0.486504785017914</v>
      </c>
      <c r="E10" s="8">
        <f t="shared" ref="E10:E11" si="1">B10+(D10/627.5)</f>
        <v>-1.1715033064303075</v>
      </c>
      <c r="F10" s="37" t="s">
        <v>15</v>
      </c>
      <c r="G10" s="37"/>
      <c r="H10" s="37"/>
      <c r="I10" s="37"/>
      <c r="J10" s="37"/>
    </row>
    <row r="11" spans="1:10">
      <c r="A11" s="5" t="s">
        <v>17</v>
      </c>
      <c r="B11" s="6">
        <v>-188.65776700000001</v>
      </c>
      <c r="C11" s="7">
        <f>C4</f>
        <v>0.58110983794401705</v>
      </c>
      <c r="D11" s="7">
        <f t="shared" si="0"/>
        <v>1.5737091673715737</v>
      </c>
      <c r="E11" s="8">
        <f t="shared" si="1"/>
        <v>-188.65525909694443</v>
      </c>
      <c r="F11" s="37" t="s">
        <v>15</v>
      </c>
      <c r="G11" s="37"/>
      <c r="H11" s="37"/>
      <c r="I11" s="37"/>
      <c r="J11" s="37"/>
    </row>
    <row r="12" spans="1:10">
      <c r="A12" s="9" t="s">
        <v>18</v>
      </c>
      <c r="B12" s="10">
        <v>-305.30990000000003</v>
      </c>
      <c r="C12" s="11" t="s">
        <v>19</v>
      </c>
      <c r="D12" s="12" t="s">
        <v>19</v>
      </c>
      <c r="E12" s="10">
        <f>B12</f>
        <v>-305.30990000000003</v>
      </c>
      <c r="F12" s="37" t="s">
        <v>20</v>
      </c>
      <c r="G12" s="37"/>
      <c r="H12" s="37"/>
      <c r="I12" s="37"/>
      <c r="J12" s="37"/>
    </row>
    <row r="13" spans="1:10" ht="16" customHeight="1">
      <c r="A13" s="5" t="s">
        <v>21</v>
      </c>
      <c r="B13" s="6">
        <f>E12</f>
        <v>-305.30990000000003</v>
      </c>
      <c r="C13" s="7">
        <v>1</v>
      </c>
      <c r="D13" s="7">
        <f>0.593*LN(C13/0.0409)</f>
        <v>1.8955987530484948</v>
      </c>
      <c r="E13" s="8">
        <f>B13+(D13/627.5)</f>
        <v>-305.3068791254932</v>
      </c>
      <c r="F13" s="38" t="s">
        <v>22</v>
      </c>
      <c r="G13" s="38"/>
      <c r="H13" s="38"/>
      <c r="I13" s="38"/>
      <c r="J13" s="38"/>
    </row>
    <row r="14" spans="1:10" ht="16" customHeight="1">
      <c r="A14" s="5" t="s">
        <v>23</v>
      </c>
      <c r="B14" s="6">
        <v>-232.41633300000001</v>
      </c>
      <c r="C14" s="7">
        <v>12.3</v>
      </c>
      <c r="D14" s="7">
        <f>0.593*LN(C14/0.0409)</f>
        <v>3.3837911156388691</v>
      </c>
      <c r="E14" s="8">
        <f>B14+(D14/627.5)</f>
        <v>-232.41094050419818</v>
      </c>
      <c r="F14" s="39" t="s">
        <v>15</v>
      </c>
      <c r="G14" s="39"/>
      <c r="H14" s="39"/>
      <c r="I14" s="39"/>
      <c r="J14" s="39"/>
    </row>
    <row r="15" spans="1:10" ht="16" customHeight="1">
      <c r="A15" s="5" t="s">
        <v>24</v>
      </c>
      <c r="B15" s="6">
        <v>-161.78076100000001</v>
      </c>
      <c r="C15" s="7">
        <v>4</v>
      </c>
      <c r="D15" s="7">
        <f>0.593*LN(C15/0.0409)</f>
        <v>2.7176713091925899</v>
      </c>
      <c r="E15" s="8">
        <f>B15+(D15/627.5)</f>
        <v>-161.77643004970648</v>
      </c>
      <c r="F15" s="37" t="s">
        <v>15</v>
      </c>
      <c r="G15" s="37"/>
      <c r="H15" s="37"/>
      <c r="I15" s="37"/>
      <c r="J15" s="37"/>
    </row>
    <row r="16" spans="1:10" ht="16" customHeight="1">
      <c r="A16" s="5" t="s">
        <v>25</v>
      </c>
      <c r="B16" s="6">
        <v>-1.172882</v>
      </c>
      <c r="C16" s="7">
        <f>C5</f>
        <v>0.12251449174871723</v>
      </c>
      <c r="D16" s="7">
        <f>0.593*LN(C16/0.0409)</f>
        <v>0.6505798611376965</v>
      </c>
      <c r="E16" s="8">
        <f>B16+(D16/627.5)</f>
        <v>-1.1718452193448006</v>
      </c>
      <c r="F16" s="37" t="s">
        <v>15</v>
      </c>
      <c r="G16" s="37"/>
      <c r="H16" s="37"/>
      <c r="I16" s="37"/>
      <c r="J16" s="37"/>
    </row>
    <row r="17" spans="1:10">
      <c r="B17" s="13"/>
      <c r="C17" s="13"/>
      <c r="D17" s="14"/>
      <c r="E17" s="13"/>
    </row>
    <row r="18" spans="1:10">
      <c r="A18" s="32" t="s">
        <v>26</v>
      </c>
      <c r="B18" s="32"/>
      <c r="C18" s="32"/>
      <c r="D18" s="32"/>
      <c r="E18" s="32"/>
      <c r="F18" s="32"/>
      <c r="G18" s="32"/>
      <c r="H18" s="32"/>
      <c r="I18" s="32"/>
      <c r="J18" s="32"/>
    </row>
    <row r="19" spans="1:10" ht="34">
      <c r="A19" s="15" t="s">
        <v>27</v>
      </c>
      <c r="B19" s="41" t="s">
        <v>28</v>
      </c>
      <c r="C19" s="41"/>
      <c r="D19" s="41"/>
      <c r="E19" s="41"/>
      <c r="F19" s="16" t="s">
        <v>29</v>
      </c>
      <c r="G19" s="16" t="s">
        <v>30</v>
      </c>
      <c r="H19" s="42" t="s">
        <v>2</v>
      </c>
      <c r="I19" s="42"/>
      <c r="J19" s="42"/>
    </row>
    <row r="20" spans="1:10">
      <c r="A20" s="5" t="s">
        <v>31</v>
      </c>
      <c r="B20" s="17">
        <v>-1071.813508</v>
      </c>
      <c r="C20" s="17">
        <f>E10</f>
        <v>-1.1715033064303075</v>
      </c>
      <c r="D20" s="17">
        <f>E13</f>
        <v>-305.3068791254932</v>
      </c>
      <c r="E20" s="17">
        <f>3*E9</f>
        <v>-229.33609713763465</v>
      </c>
      <c r="F20" s="17">
        <f>SUM(B20:E20)</f>
        <v>-1607.6279875695582</v>
      </c>
      <c r="G20" s="18">
        <f>627.5*(F20-$F$20)</f>
        <v>0</v>
      </c>
      <c r="H20" s="43" t="s">
        <v>32</v>
      </c>
      <c r="I20" s="43"/>
      <c r="J20" s="43"/>
    </row>
    <row r="21" spans="1:10">
      <c r="A21" s="5" t="s">
        <v>33</v>
      </c>
      <c r="B21" s="17">
        <v>-995.82309499999997</v>
      </c>
      <c r="C21" s="17">
        <f>2*E13</f>
        <v>-610.61375825098639</v>
      </c>
      <c r="D21" s="17">
        <f>E10</f>
        <v>-1.1715033064303075</v>
      </c>
      <c r="E21" s="17"/>
      <c r="F21" s="17">
        <f t="shared" ref="F21:F31" si="2">SUM(B21:E21)</f>
        <v>-1607.6083565574168</v>
      </c>
      <c r="G21" s="18">
        <f t="shared" ref="G21:G31" si="3">627.5*(F21-$F$20)</f>
        <v>12.318460118739267</v>
      </c>
      <c r="H21" s="44" t="s">
        <v>34</v>
      </c>
      <c r="I21" s="44"/>
      <c r="J21" s="44"/>
    </row>
    <row r="22" spans="1:10">
      <c r="A22" s="5" t="s">
        <v>35</v>
      </c>
      <c r="B22" s="17">
        <v>-996.98587999999995</v>
      </c>
      <c r="C22" s="17">
        <f>2*E13</f>
        <v>-610.61375825098639</v>
      </c>
      <c r="D22" s="17"/>
      <c r="E22" s="5"/>
      <c r="F22" s="17">
        <f t="shared" si="2"/>
        <v>-1607.5996382509863</v>
      </c>
      <c r="G22" s="18">
        <f t="shared" si="3"/>
        <v>17.789197403821504</v>
      </c>
      <c r="H22" s="45" t="s">
        <v>36</v>
      </c>
      <c r="I22" s="45"/>
      <c r="J22" s="45"/>
    </row>
    <row r="23" spans="1:10">
      <c r="A23" s="5" t="s">
        <v>37</v>
      </c>
      <c r="B23" s="17">
        <v>-1225.835867</v>
      </c>
      <c r="C23" s="17">
        <f>E9</f>
        <v>-76.445365712544884</v>
      </c>
      <c r="D23" s="17">
        <f>E13</f>
        <v>-305.3068791254932</v>
      </c>
      <c r="E23" s="5"/>
      <c r="F23" s="17">
        <f t="shared" si="2"/>
        <v>-1607.588111838038</v>
      </c>
      <c r="G23" s="18">
        <f t="shared" si="3"/>
        <v>25.02202152890618</v>
      </c>
      <c r="H23" s="40" t="s">
        <v>38</v>
      </c>
      <c r="I23" s="40"/>
      <c r="J23" s="40"/>
    </row>
    <row r="24" spans="1:10">
      <c r="A24" s="5" t="s">
        <v>39</v>
      </c>
      <c r="B24" s="17">
        <v>-996.54502200000002</v>
      </c>
      <c r="C24" s="17">
        <f>4*E9</f>
        <v>-305.78146285017954</v>
      </c>
      <c r="D24" s="17">
        <f>E13</f>
        <v>-305.3068791254932</v>
      </c>
      <c r="E24" s="5"/>
      <c r="F24" s="17">
        <f t="shared" si="2"/>
        <v>-1607.6333639756726</v>
      </c>
      <c r="G24" s="19">
        <f t="shared" si="3"/>
        <v>-3.373694836826644</v>
      </c>
      <c r="H24" s="45" t="s">
        <v>40</v>
      </c>
      <c r="I24" s="45"/>
      <c r="J24" s="45"/>
    </row>
    <row r="25" spans="1:10">
      <c r="A25" s="5" t="s">
        <v>41</v>
      </c>
      <c r="B25" s="17">
        <v>-996.51798599999995</v>
      </c>
      <c r="C25" s="17">
        <f>4*E9</f>
        <v>-305.78146285017954</v>
      </c>
      <c r="D25" s="17">
        <f>E13</f>
        <v>-305.3068791254932</v>
      </c>
      <c r="E25" s="5"/>
      <c r="F25" s="17">
        <f t="shared" si="2"/>
        <v>-1607.6063279756727</v>
      </c>
      <c r="G25" s="18">
        <f t="shared" si="3"/>
        <v>13.591395163143716</v>
      </c>
      <c r="H25" s="40" t="s">
        <v>42</v>
      </c>
      <c r="I25" s="40"/>
      <c r="J25" s="40"/>
    </row>
    <row r="26" spans="1:10">
      <c r="A26" s="5" t="s">
        <v>43</v>
      </c>
      <c r="B26" s="17">
        <v>-996.54643399999998</v>
      </c>
      <c r="C26" s="17">
        <f>4*E9</f>
        <v>-305.78146285017954</v>
      </c>
      <c r="D26" s="17">
        <f>E13</f>
        <v>-305.3068791254932</v>
      </c>
      <c r="E26" s="5"/>
      <c r="F26" s="17">
        <f t="shared" si="2"/>
        <v>-1607.6347759756727</v>
      </c>
      <c r="G26" s="19">
        <f t="shared" si="3"/>
        <v>-4.2597248368724649</v>
      </c>
      <c r="H26" s="40" t="s">
        <v>44</v>
      </c>
      <c r="I26" s="40"/>
      <c r="J26" s="40"/>
    </row>
    <row r="27" spans="1:10">
      <c r="A27" s="5" t="s">
        <v>45</v>
      </c>
      <c r="B27" s="17">
        <v>-1225.3896950000001</v>
      </c>
      <c r="C27" s="17">
        <f>5*E9</f>
        <v>-382.22682856272445</v>
      </c>
      <c r="D27" s="17"/>
      <c r="E27" s="5"/>
      <c r="F27" s="17">
        <f t="shared" si="2"/>
        <v>-1607.6165235627245</v>
      </c>
      <c r="G27" s="18">
        <f t="shared" si="3"/>
        <v>7.1936642881144053</v>
      </c>
      <c r="H27" s="40" t="s">
        <v>46</v>
      </c>
      <c r="I27" s="40"/>
      <c r="J27" s="40"/>
    </row>
    <row r="28" spans="1:10">
      <c r="A28" s="5" t="s">
        <v>47</v>
      </c>
      <c r="B28" s="17">
        <v>-996.08098299999995</v>
      </c>
      <c r="C28" s="17">
        <f>8*E9</f>
        <v>-611.56292570035907</v>
      </c>
      <c r="D28" s="17"/>
      <c r="E28" s="5"/>
      <c r="F28" s="17">
        <f t="shared" si="2"/>
        <v>-1607.6439087003591</v>
      </c>
      <c r="G28" s="18">
        <f t="shared" si="3"/>
        <v>-9.9905095776034614</v>
      </c>
      <c r="H28" s="40" t="s">
        <v>48</v>
      </c>
      <c r="I28" s="40"/>
      <c r="J28" s="40"/>
    </row>
    <row r="29" spans="1:10">
      <c r="A29" s="5" t="s">
        <v>49</v>
      </c>
      <c r="B29" s="17">
        <v>-1225.376673</v>
      </c>
      <c r="C29" s="17">
        <f>5*E9</f>
        <v>-382.22682856272445</v>
      </c>
      <c r="D29" s="17"/>
      <c r="E29" s="5"/>
      <c r="F29" s="17">
        <f t="shared" si="2"/>
        <v>-1607.6035015627244</v>
      </c>
      <c r="G29" s="18">
        <f t="shared" si="3"/>
        <v>15.364969288172006</v>
      </c>
      <c r="H29" s="40" t="s">
        <v>50</v>
      </c>
      <c r="I29" s="40"/>
      <c r="J29" s="40"/>
    </row>
    <row r="30" spans="1:10">
      <c r="A30" s="5" t="s">
        <v>51</v>
      </c>
      <c r="B30" s="17">
        <v>-1225.3726059999999</v>
      </c>
      <c r="C30" s="17">
        <f>5*E9</f>
        <v>-382.22682856272445</v>
      </c>
      <c r="D30" s="17"/>
      <c r="E30" s="5"/>
      <c r="F30" s="17">
        <f t="shared" si="2"/>
        <v>-1607.5994345627244</v>
      </c>
      <c r="G30" s="18">
        <f t="shared" si="3"/>
        <v>17.91701178822052</v>
      </c>
      <c r="H30" s="40" t="s">
        <v>52</v>
      </c>
      <c r="I30" s="40"/>
      <c r="J30" s="40"/>
    </row>
    <row r="31" spans="1:10">
      <c r="A31" s="5" t="s">
        <v>53</v>
      </c>
      <c r="B31" s="17">
        <v>-996.54688199999998</v>
      </c>
      <c r="C31" s="17">
        <f>E13</f>
        <v>-305.3068791254932</v>
      </c>
      <c r="D31" s="17">
        <f>4*E9</f>
        <v>-305.78146285017954</v>
      </c>
      <c r="E31" s="5"/>
      <c r="F31" s="17">
        <f t="shared" si="2"/>
        <v>-1607.6352239756729</v>
      </c>
      <c r="G31" s="19">
        <f t="shared" si="3"/>
        <v>-4.5408448370187671</v>
      </c>
      <c r="H31" s="40" t="s">
        <v>54</v>
      </c>
      <c r="I31" s="40"/>
      <c r="J31" s="40"/>
    </row>
    <row r="32" spans="1:10">
      <c r="H32" s="46"/>
      <c r="I32" s="46"/>
      <c r="J32" s="46"/>
    </row>
    <row r="33" spans="1:10">
      <c r="A33" s="32" t="s">
        <v>55</v>
      </c>
      <c r="B33" s="32"/>
      <c r="C33" s="32"/>
      <c r="D33" s="32"/>
      <c r="E33" s="32"/>
      <c r="F33" s="32"/>
      <c r="G33" s="32"/>
      <c r="H33" s="32"/>
      <c r="I33" s="32"/>
      <c r="J33" s="32"/>
    </row>
    <row r="34" spans="1:10" ht="34">
      <c r="A34" s="15" t="s">
        <v>27</v>
      </c>
      <c r="B34" s="41" t="s">
        <v>28</v>
      </c>
      <c r="C34" s="41"/>
      <c r="D34" s="41"/>
      <c r="E34" s="41"/>
      <c r="F34" s="16" t="s">
        <v>29</v>
      </c>
      <c r="G34" s="16" t="s">
        <v>30</v>
      </c>
      <c r="H34" s="42" t="s">
        <v>2</v>
      </c>
      <c r="I34" s="42"/>
      <c r="J34" s="42"/>
    </row>
    <row r="35" spans="1:10">
      <c r="A35" s="5" t="s">
        <v>56</v>
      </c>
      <c r="B35" s="17">
        <f>B24</f>
        <v>-996.54502200000002</v>
      </c>
      <c r="C35" s="17">
        <f>E11</f>
        <v>-188.65525909694443</v>
      </c>
      <c r="D35" s="17">
        <f>E13</f>
        <v>-305.3068791254932</v>
      </c>
      <c r="E35" s="17"/>
      <c r="F35" s="17">
        <f t="shared" ref="F35:F43" si="4">SUM(B35:E35)</f>
        <v>-1490.5071602224377</v>
      </c>
      <c r="G35" s="18">
        <f>627.5*(F35-$F$35)</f>
        <v>0</v>
      </c>
      <c r="H35" s="46" t="s">
        <v>57</v>
      </c>
      <c r="I35" s="46"/>
      <c r="J35" s="46"/>
    </row>
    <row r="36" spans="1:10">
      <c r="A36" s="5" t="s">
        <v>58</v>
      </c>
      <c r="B36" s="17">
        <v>-1185.1816309999999</v>
      </c>
      <c r="C36" s="17">
        <f>E13</f>
        <v>-305.3068791254932</v>
      </c>
      <c r="D36" s="17"/>
      <c r="E36" s="17"/>
      <c r="F36" s="17">
        <f t="shared" si="4"/>
        <v>-1490.4885101254931</v>
      </c>
      <c r="G36" s="18">
        <f t="shared" ref="G36:G43" si="5">627.5*(F36-$F$35)</f>
        <v>11.702935832743719</v>
      </c>
      <c r="H36" s="46" t="s">
        <v>59</v>
      </c>
      <c r="I36" s="46"/>
      <c r="J36" s="46"/>
    </row>
    <row r="37" spans="1:10">
      <c r="A37" s="5" t="s">
        <v>60</v>
      </c>
      <c r="B37" s="17">
        <f>B21</f>
        <v>-995.82309499999997</v>
      </c>
      <c r="C37" s="17">
        <v>-189.367447</v>
      </c>
      <c r="D37" s="17">
        <f>E13</f>
        <v>-305.3068791254932</v>
      </c>
      <c r="E37" s="17"/>
      <c r="F37" s="17">
        <f t="shared" si="4"/>
        <v>-1490.4974211254932</v>
      </c>
      <c r="G37" s="18">
        <f t="shared" si="5"/>
        <v>6.1112833326649252</v>
      </c>
      <c r="H37" s="46" t="s">
        <v>61</v>
      </c>
      <c r="I37" s="46"/>
      <c r="J37" s="46"/>
    </row>
    <row r="38" spans="1:10">
      <c r="A38" s="5" t="s">
        <v>62</v>
      </c>
      <c r="B38" s="17">
        <v>-1185.197682</v>
      </c>
      <c r="C38" s="17">
        <f>E13</f>
        <v>-305.3068791254932</v>
      </c>
      <c r="D38" s="17"/>
      <c r="E38" s="17"/>
      <c r="F38" s="17">
        <f t="shared" si="4"/>
        <v>-1490.5045611254932</v>
      </c>
      <c r="G38" s="18">
        <f t="shared" si="5"/>
        <v>1.63093333270524</v>
      </c>
      <c r="H38" s="46" t="s">
        <v>63</v>
      </c>
      <c r="I38" s="46"/>
      <c r="J38" s="46"/>
    </row>
    <row r="39" spans="1:10">
      <c r="A39" s="5" t="s">
        <v>64</v>
      </c>
      <c r="B39" s="17">
        <f>B26</f>
        <v>-996.54643399999998</v>
      </c>
      <c r="C39" s="17">
        <f>E11</f>
        <v>-188.65525909694443</v>
      </c>
      <c r="D39" s="17">
        <f>E13</f>
        <v>-305.3068791254932</v>
      </c>
      <c r="E39" s="17"/>
      <c r="F39" s="17">
        <f t="shared" si="4"/>
        <v>-1490.5085722224376</v>
      </c>
      <c r="G39" s="18">
        <f t="shared" si="5"/>
        <v>-0.88602999990314402</v>
      </c>
      <c r="H39" s="46" t="s">
        <v>65</v>
      </c>
      <c r="I39" s="46"/>
      <c r="J39" s="46"/>
    </row>
    <row r="40" spans="1:10">
      <c r="A40" s="5" t="s">
        <v>66</v>
      </c>
      <c r="B40" s="17">
        <v>-1185.143513</v>
      </c>
      <c r="C40" s="17">
        <f>E13</f>
        <v>-305.3068791254932</v>
      </c>
      <c r="D40" s="17"/>
      <c r="E40" s="17"/>
      <c r="F40" s="17">
        <f t="shared" si="4"/>
        <v>-1490.4503921254932</v>
      </c>
      <c r="G40" s="18">
        <f t="shared" si="5"/>
        <v>35.621980832706299</v>
      </c>
      <c r="H40" s="46" t="s">
        <v>67</v>
      </c>
      <c r="I40" s="46"/>
      <c r="J40" s="46"/>
    </row>
    <row r="41" spans="1:10">
      <c r="A41" s="5" t="s">
        <v>68</v>
      </c>
      <c r="B41" s="17">
        <f>B31</f>
        <v>-996.54688199999998</v>
      </c>
      <c r="C41" s="17">
        <f>E11</f>
        <v>-188.65525909694443</v>
      </c>
      <c r="D41" s="17">
        <f>E13</f>
        <v>-305.3068791254932</v>
      </c>
      <c r="E41" s="17"/>
      <c r="F41" s="17">
        <f t="shared" si="4"/>
        <v>-1490.5090202224376</v>
      </c>
      <c r="G41" s="18">
        <f t="shared" si="5"/>
        <v>-1.1671499999067692</v>
      </c>
      <c r="H41" s="46" t="s">
        <v>69</v>
      </c>
      <c r="I41" s="46"/>
      <c r="J41" s="46"/>
    </row>
    <row r="42" spans="1:10">
      <c r="A42" s="5" t="s">
        <v>70</v>
      </c>
      <c r="B42" s="17">
        <v>-1185.1594950000001</v>
      </c>
      <c r="C42" s="17">
        <f>E13</f>
        <v>-305.3068791254932</v>
      </c>
      <c r="D42" s="17"/>
      <c r="E42" s="17"/>
      <c r="F42" s="17">
        <f t="shared" si="4"/>
        <v>-1490.4663741254933</v>
      </c>
      <c r="G42" s="18">
        <f t="shared" si="5"/>
        <v>25.593275832629843</v>
      </c>
      <c r="H42" s="46" t="s">
        <v>71</v>
      </c>
      <c r="I42" s="46"/>
      <c r="J42" s="46"/>
    </row>
    <row r="43" spans="1:10">
      <c r="A43" s="5" t="s">
        <v>72</v>
      </c>
      <c r="B43" s="17">
        <f>B20</f>
        <v>-1071.813508</v>
      </c>
      <c r="C43" s="17">
        <v>-189.367447</v>
      </c>
      <c r="D43">
        <f>3*E9</f>
        <v>-229.33609713763465</v>
      </c>
      <c r="E43" s="17"/>
      <c r="F43" s="17">
        <f t="shared" si="4"/>
        <v>-1490.5170521376347</v>
      </c>
      <c r="G43" s="18">
        <f t="shared" si="5"/>
        <v>-6.2071767860743421</v>
      </c>
      <c r="H43" s="46" t="s">
        <v>73</v>
      </c>
      <c r="I43" s="46"/>
      <c r="J43" s="46"/>
    </row>
    <row r="44" spans="1:10">
      <c r="G44" s="20"/>
    </row>
    <row r="45" spans="1:10">
      <c r="A45" s="32" t="s">
        <v>74</v>
      </c>
      <c r="B45" s="32"/>
      <c r="C45" s="32"/>
      <c r="D45" s="32"/>
      <c r="E45" s="32"/>
      <c r="F45" s="32"/>
      <c r="G45" s="32"/>
      <c r="H45" s="32"/>
      <c r="I45" s="32"/>
      <c r="J45" s="32"/>
    </row>
    <row r="46" spans="1:10" ht="34">
      <c r="A46" s="15" t="s">
        <v>27</v>
      </c>
      <c r="B46" s="41" t="s">
        <v>28</v>
      </c>
      <c r="C46" s="41"/>
      <c r="D46" s="41"/>
      <c r="E46" s="41"/>
      <c r="F46" s="16" t="s">
        <v>29</v>
      </c>
      <c r="G46" s="16" t="s">
        <v>30</v>
      </c>
      <c r="H46" s="42" t="s">
        <v>2</v>
      </c>
      <c r="I46" s="42"/>
      <c r="J46" s="42"/>
    </row>
    <row r="47" spans="1:10">
      <c r="A47" t="s">
        <v>75</v>
      </c>
      <c r="B47" s="21">
        <f>B20</f>
        <v>-1071.813508</v>
      </c>
      <c r="C47" s="21">
        <f>C43</f>
        <v>-189.367447</v>
      </c>
      <c r="D47" s="21">
        <v>-456.75261699999999</v>
      </c>
      <c r="E47" s="21">
        <f>3*E9</f>
        <v>-229.33609713763465</v>
      </c>
      <c r="F47" s="21">
        <f>SUM(B47:E47)</f>
        <v>-1947.2696691376345</v>
      </c>
      <c r="G47" s="20">
        <f>627.5*(F47-$F$47)</f>
        <v>0</v>
      </c>
      <c r="H47" s="47" t="s">
        <v>32</v>
      </c>
      <c r="I47" s="47"/>
      <c r="J47" s="47"/>
    </row>
    <row r="48" spans="1:10">
      <c r="A48" t="s">
        <v>76</v>
      </c>
      <c r="B48" s="21">
        <v>-1453.2871230000001</v>
      </c>
      <c r="C48" s="21">
        <f>E13</f>
        <v>-305.3068791254932</v>
      </c>
      <c r="D48" s="21">
        <f>B11</f>
        <v>-188.65776700000001</v>
      </c>
      <c r="E48" s="21"/>
      <c r="F48" s="21">
        <f t="shared" ref="F48:F50" si="6">SUM(B48:E48)</f>
        <v>-1947.2517691254932</v>
      </c>
      <c r="G48" s="20">
        <f t="shared" ref="G48:G50" si="7">627.5*(F48-$F$47)</f>
        <v>11.232257618699464</v>
      </c>
      <c r="H48" s="46" t="s">
        <v>77</v>
      </c>
      <c r="I48" s="46"/>
      <c r="J48" s="46"/>
    </row>
    <row r="49" spans="1:10">
      <c r="A49" t="s">
        <v>78</v>
      </c>
      <c r="B49" s="21">
        <v>-1453.245097</v>
      </c>
      <c r="C49" s="21">
        <f>E13</f>
        <v>-305.3068791254932</v>
      </c>
      <c r="D49" s="21">
        <f>B11</f>
        <v>-188.65776700000001</v>
      </c>
      <c r="E49" s="21"/>
      <c r="F49" s="21">
        <f t="shared" si="6"/>
        <v>-1947.2097431254931</v>
      </c>
      <c r="G49" s="20">
        <f t="shared" si="7"/>
        <v>37.603572618748444</v>
      </c>
      <c r="H49" s="48" t="s">
        <v>79</v>
      </c>
      <c r="I49" s="48"/>
      <c r="J49" s="48"/>
    </row>
    <row r="50" spans="1:10">
      <c r="A50" t="s">
        <v>80</v>
      </c>
      <c r="B50" s="21">
        <v>-1453.2634800000001</v>
      </c>
      <c r="C50" s="21">
        <f>E13</f>
        <v>-305.3068791254932</v>
      </c>
      <c r="D50" s="21">
        <f>B11</f>
        <v>-188.65776700000001</v>
      </c>
      <c r="E50" s="21"/>
      <c r="F50" s="21">
        <f t="shared" si="6"/>
        <v>-1947.2281261254932</v>
      </c>
      <c r="G50" s="20">
        <f t="shared" si="7"/>
        <v>26.068240118694916</v>
      </c>
      <c r="H50" s="48" t="s">
        <v>81</v>
      </c>
      <c r="I50" s="48"/>
      <c r="J50" s="48"/>
    </row>
    <row r="51" spans="1:10">
      <c r="B51" s="21"/>
      <c r="C51" s="21"/>
      <c r="D51" s="21"/>
      <c r="E51" s="21"/>
      <c r="F51" s="21"/>
      <c r="G51" s="20"/>
      <c r="H51" s="22"/>
      <c r="I51" s="22"/>
      <c r="J51" s="22"/>
    </row>
    <row r="52" spans="1:10">
      <c r="A52" s="32" t="s">
        <v>82</v>
      </c>
      <c r="B52" s="32"/>
      <c r="C52" s="32"/>
      <c r="D52" s="32"/>
      <c r="E52" s="32"/>
      <c r="F52" s="32"/>
      <c r="G52" s="32"/>
      <c r="H52" s="32"/>
      <c r="I52" s="32"/>
      <c r="J52" s="32"/>
    </row>
    <row r="53" spans="1:10" ht="34">
      <c r="A53" s="15" t="s">
        <v>27</v>
      </c>
      <c r="B53" s="41" t="s">
        <v>28</v>
      </c>
      <c r="C53" s="41"/>
      <c r="D53" s="41"/>
      <c r="E53" s="41"/>
      <c r="F53" s="16" t="s">
        <v>29</v>
      </c>
      <c r="G53" s="16" t="s">
        <v>30</v>
      </c>
      <c r="H53" s="42" t="s">
        <v>2</v>
      </c>
      <c r="I53" s="42"/>
      <c r="J53" s="42"/>
    </row>
    <row r="54" spans="1:10">
      <c r="A54" s="23" t="s">
        <v>115</v>
      </c>
      <c r="B54" s="24">
        <v>-1228.2170169999999</v>
      </c>
      <c r="C54" s="24">
        <f>E15</f>
        <v>-161.77643004970648</v>
      </c>
      <c r="D54" s="24">
        <f>E16</f>
        <v>-1.1718452193448006</v>
      </c>
      <c r="E54" s="24"/>
      <c r="F54" s="25">
        <f t="shared" ref="F54:F63" si="8">SUM(B54:E54)</f>
        <v>-1391.1652922690512</v>
      </c>
      <c r="G54" s="26">
        <f>627.5*(F54-$F$55)</f>
        <v>12.554988809218344</v>
      </c>
      <c r="H54" s="47" t="s">
        <v>83</v>
      </c>
      <c r="I54" s="47"/>
      <c r="J54" s="47"/>
    </row>
    <row r="55" spans="1:10">
      <c r="A55" s="27" t="s">
        <v>84</v>
      </c>
      <c r="B55" s="25">
        <v>-996.55569300000002</v>
      </c>
      <c r="C55" s="25">
        <v>-393.457762</v>
      </c>
      <c r="D55" s="25">
        <f>E16</f>
        <v>-1.1718452193448006</v>
      </c>
      <c r="E55" s="25"/>
      <c r="F55" s="25">
        <f t="shared" si="8"/>
        <v>-1391.1853002193448</v>
      </c>
      <c r="G55" s="26">
        <f t="shared" ref="G55:G63" si="9">627.5*(F55-$F$55)</f>
        <v>0</v>
      </c>
      <c r="H55" s="46" t="s">
        <v>85</v>
      </c>
      <c r="I55" s="46"/>
      <c r="J55" s="46"/>
    </row>
    <row r="56" spans="1:10">
      <c r="A56" s="27" t="s">
        <v>86</v>
      </c>
      <c r="B56" s="25">
        <v>-996.55517399999997</v>
      </c>
      <c r="C56" s="25">
        <f t="shared" ref="C56:C63" si="10">C55</f>
        <v>-393.457762</v>
      </c>
      <c r="D56" s="25">
        <f>E16</f>
        <v>-1.1718452193448006</v>
      </c>
      <c r="E56" s="25"/>
      <c r="F56" s="25">
        <f t="shared" si="8"/>
        <v>-1391.1847812193448</v>
      </c>
      <c r="G56" s="26">
        <f t="shared" si="9"/>
        <v>0.32567249996247938</v>
      </c>
      <c r="H56" s="46" t="s">
        <v>87</v>
      </c>
      <c r="I56" s="46"/>
      <c r="J56" s="46"/>
    </row>
    <row r="57" spans="1:10">
      <c r="A57" s="27" t="s">
        <v>88</v>
      </c>
      <c r="B57" s="28">
        <v>-997.71821199999999</v>
      </c>
      <c r="C57" s="25">
        <f t="shared" si="10"/>
        <v>-393.457762</v>
      </c>
      <c r="D57" s="25"/>
      <c r="E57" s="25"/>
      <c r="F57" s="25">
        <f t="shared" si="8"/>
        <v>-1391.175974</v>
      </c>
      <c r="G57" s="26">
        <f t="shared" si="9"/>
        <v>5.8522026388351378</v>
      </c>
      <c r="H57" s="46" t="s">
        <v>89</v>
      </c>
      <c r="I57" s="46"/>
      <c r="J57" s="46"/>
    </row>
    <row r="58" spans="1:10">
      <c r="A58" s="27" t="s">
        <v>90</v>
      </c>
      <c r="B58" s="28">
        <v>-997.68602399999997</v>
      </c>
      <c r="C58" s="25">
        <f t="shared" si="10"/>
        <v>-393.457762</v>
      </c>
      <c r="D58" s="25"/>
      <c r="E58" s="25"/>
      <c r="F58" s="25">
        <f t="shared" si="8"/>
        <v>-1391.1437860000001</v>
      </c>
      <c r="G58" s="26">
        <f t="shared" si="9"/>
        <v>26.050172638775848</v>
      </c>
      <c r="H58" s="46" t="s">
        <v>91</v>
      </c>
      <c r="I58" s="46"/>
      <c r="J58" s="46"/>
    </row>
    <row r="59" spans="1:10">
      <c r="A59" s="27" t="s">
        <v>92</v>
      </c>
      <c r="B59" s="28">
        <v>-997.68726600000002</v>
      </c>
      <c r="C59" s="25">
        <f t="shared" si="10"/>
        <v>-393.457762</v>
      </c>
      <c r="D59" s="25"/>
      <c r="E59" s="25"/>
      <c r="F59" s="25">
        <f t="shared" si="8"/>
        <v>-1391.1450279999999</v>
      </c>
      <c r="G59" s="26">
        <f t="shared" si="9"/>
        <v>25.27081763888873</v>
      </c>
      <c r="H59" s="46" t="s">
        <v>93</v>
      </c>
      <c r="I59" s="46"/>
      <c r="J59" s="46"/>
    </row>
    <row r="60" spans="1:10">
      <c r="A60" s="27" t="s">
        <v>94</v>
      </c>
      <c r="B60" s="28">
        <v>-997.68463899999995</v>
      </c>
      <c r="C60" s="25">
        <f t="shared" si="10"/>
        <v>-393.457762</v>
      </c>
      <c r="D60" s="25"/>
      <c r="E60" s="25"/>
      <c r="F60" s="25">
        <f t="shared" si="8"/>
        <v>-1391.1424010000001</v>
      </c>
      <c r="G60" s="26">
        <f t="shared" si="9"/>
        <v>26.919260138793106</v>
      </c>
      <c r="H60" s="46" t="s">
        <v>95</v>
      </c>
      <c r="I60" s="46"/>
      <c r="J60" s="46"/>
    </row>
    <row r="61" spans="1:10">
      <c r="A61" s="27" t="s">
        <v>96</v>
      </c>
      <c r="B61" s="28">
        <v>-997.69779600000004</v>
      </c>
      <c r="C61" s="25">
        <f t="shared" si="10"/>
        <v>-393.457762</v>
      </c>
      <c r="D61" s="25"/>
      <c r="E61" s="25"/>
      <c r="F61" s="25">
        <f t="shared" si="8"/>
        <v>-1391.1555579999999</v>
      </c>
      <c r="G61" s="26">
        <f t="shared" si="9"/>
        <v>18.663242638878046</v>
      </c>
      <c r="H61" s="46" t="s">
        <v>97</v>
      </c>
      <c r="I61" s="46"/>
      <c r="J61" s="46"/>
    </row>
    <row r="62" spans="1:10">
      <c r="A62" s="27" t="s">
        <v>98</v>
      </c>
      <c r="B62" s="28">
        <v>-997.69019500000002</v>
      </c>
      <c r="C62" s="25">
        <f t="shared" si="10"/>
        <v>-393.457762</v>
      </c>
      <c r="D62" s="25"/>
      <c r="E62" s="25"/>
      <c r="F62" s="25">
        <f t="shared" si="8"/>
        <v>-1391.1479570000001</v>
      </c>
      <c r="G62" s="26">
        <f t="shared" si="9"/>
        <v>23.432870138749422</v>
      </c>
      <c r="H62" s="46" t="s">
        <v>99</v>
      </c>
      <c r="I62" s="46"/>
      <c r="J62" s="46"/>
    </row>
    <row r="63" spans="1:10">
      <c r="A63" s="27" t="s">
        <v>100</v>
      </c>
      <c r="B63" s="28">
        <v>-997.70240899999999</v>
      </c>
      <c r="C63" s="25">
        <f t="shared" si="10"/>
        <v>-393.457762</v>
      </c>
      <c r="D63" s="25"/>
      <c r="E63" s="25"/>
      <c r="F63" s="25">
        <f t="shared" si="8"/>
        <v>-1391.160171</v>
      </c>
      <c r="G63" s="26">
        <f t="shared" si="9"/>
        <v>15.768585138838489</v>
      </c>
      <c r="H63" s="46" t="s">
        <v>101</v>
      </c>
      <c r="I63" s="46"/>
      <c r="J63" s="46"/>
    </row>
    <row r="64" spans="1:10">
      <c r="G64" s="20"/>
    </row>
    <row r="65" spans="1:10">
      <c r="A65" s="32" t="s">
        <v>102</v>
      </c>
      <c r="B65" s="32"/>
      <c r="C65" s="32"/>
      <c r="D65" s="32"/>
      <c r="E65" s="32"/>
      <c r="F65" s="32"/>
      <c r="G65" s="32"/>
      <c r="H65" s="32"/>
      <c r="I65" s="32"/>
      <c r="J65" s="32"/>
    </row>
    <row r="66" spans="1:10" ht="34">
      <c r="A66" s="15" t="s">
        <v>27</v>
      </c>
      <c r="B66" s="41" t="s">
        <v>28</v>
      </c>
      <c r="C66" s="41"/>
      <c r="D66" s="41"/>
      <c r="E66" s="41"/>
      <c r="F66" s="16" t="s">
        <v>29</v>
      </c>
      <c r="G66" s="16" t="s">
        <v>30</v>
      </c>
      <c r="H66" s="42" t="s">
        <v>2</v>
      </c>
      <c r="I66" s="42"/>
      <c r="J66" s="42"/>
    </row>
    <row r="67" spans="1:10">
      <c r="A67" s="23" t="s">
        <v>103</v>
      </c>
      <c r="B67" s="24">
        <f>B20</f>
        <v>-1071.813508</v>
      </c>
      <c r="C67" s="29">
        <f>2*E10</f>
        <v>-2.3430066128606151</v>
      </c>
      <c r="D67" s="24"/>
      <c r="E67" s="24"/>
      <c r="F67" s="25">
        <f t="shared" ref="F67:F74" si="11">SUM(B67:E67)</f>
        <v>-1074.1565146128605</v>
      </c>
      <c r="G67" s="26">
        <f t="shared" ref="G67:G76" si="12">627.5*(F67-$F$69)</f>
        <v>4.2597248368724649</v>
      </c>
      <c r="H67" s="47" t="s">
        <v>104</v>
      </c>
      <c r="I67" s="47"/>
      <c r="J67" s="47"/>
    </row>
    <row r="68" spans="1:10">
      <c r="A68" s="27" t="s">
        <v>105</v>
      </c>
      <c r="B68" s="25">
        <f>B24</f>
        <v>-996.54502200000002</v>
      </c>
      <c r="C68" s="25">
        <f>E10</f>
        <v>-1.1715033064303075</v>
      </c>
      <c r="D68" s="25">
        <f>E9</f>
        <v>-76.445365712544884</v>
      </c>
      <c r="E68" s="25"/>
      <c r="F68" s="25">
        <f t="shared" si="11"/>
        <v>-1074.1618910189752</v>
      </c>
      <c r="G68" s="26">
        <f t="shared" si="12"/>
        <v>0.88602999990314402</v>
      </c>
      <c r="H68" s="46" t="s">
        <v>106</v>
      </c>
      <c r="I68" s="46"/>
      <c r="J68" s="46"/>
    </row>
    <row r="69" spans="1:10">
      <c r="A69" s="27" t="s">
        <v>107</v>
      </c>
      <c r="B69" s="25">
        <f>B26</f>
        <v>-996.54643399999998</v>
      </c>
      <c r="C69" s="25">
        <f>E10</f>
        <v>-1.1715033064303075</v>
      </c>
      <c r="D69" s="25">
        <f>E9</f>
        <v>-76.445365712544884</v>
      </c>
      <c r="E69" s="25"/>
      <c r="F69" s="25">
        <f t="shared" si="11"/>
        <v>-1074.1633030189751</v>
      </c>
      <c r="G69" s="26">
        <f t="shared" si="12"/>
        <v>0</v>
      </c>
      <c r="H69" s="46" t="s">
        <v>87</v>
      </c>
      <c r="I69" s="46"/>
      <c r="J69" s="46"/>
    </row>
    <row r="70" spans="1:10">
      <c r="A70" s="27" t="s">
        <v>108</v>
      </c>
      <c r="B70" s="28">
        <v>-997.70840199999998</v>
      </c>
      <c r="C70" s="25">
        <f>$E$9</f>
        <v>-76.445365712544884</v>
      </c>
      <c r="D70" s="25"/>
      <c r="E70" s="28"/>
      <c r="F70" s="25">
        <f t="shared" si="11"/>
        <v>-1074.1537677125448</v>
      </c>
      <c r="G70" s="26">
        <f t="shared" si="12"/>
        <v>5.98340478500063</v>
      </c>
      <c r="H70" s="46" t="s">
        <v>89</v>
      </c>
      <c r="I70" s="46"/>
      <c r="J70" s="46"/>
    </row>
    <row r="71" spans="1:10">
      <c r="A71" s="27" t="s">
        <v>109</v>
      </c>
      <c r="B71" s="28">
        <v>-997.67436799999996</v>
      </c>
      <c r="C71" s="25">
        <f t="shared" ref="C71:C76" si="13">$E$9</f>
        <v>-76.445365712544884</v>
      </c>
      <c r="D71" s="25"/>
      <c r="E71" s="28"/>
      <c r="F71" s="25">
        <f t="shared" si="11"/>
        <v>-1074.1197337125448</v>
      </c>
      <c r="G71" s="26">
        <f t="shared" si="12"/>
        <v>27.339739785012966</v>
      </c>
      <c r="H71" s="46" t="s">
        <v>91</v>
      </c>
      <c r="I71" s="46"/>
      <c r="J71" s="46"/>
    </row>
    <row r="72" spans="1:10">
      <c r="A72" s="27" t="s">
        <v>110</v>
      </c>
      <c r="B72" s="28">
        <v>-997.676018</v>
      </c>
      <c r="C72" s="25">
        <f t="shared" si="13"/>
        <v>-76.445365712544884</v>
      </c>
      <c r="D72" s="25"/>
      <c r="E72" s="28"/>
      <c r="F72" s="25">
        <f t="shared" si="11"/>
        <v>-1074.1213837125449</v>
      </c>
      <c r="G72" s="26">
        <f t="shared" si="12"/>
        <v>26.304364784916174</v>
      </c>
      <c r="H72" s="46" t="s">
        <v>93</v>
      </c>
      <c r="I72" s="46"/>
      <c r="J72" s="46"/>
    </row>
    <row r="73" spans="1:10">
      <c r="A73" s="27" t="s">
        <v>111</v>
      </c>
      <c r="B73" s="28">
        <v>-997.67341499999998</v>
      </c>
      <c r="C73" s="25">
        <f t="shared" si="13"/>
        <v>-76.445365712544884</v>
      </c>
      <c r="D73" s="25"/>
      <c r="E73" s="28"/>
      <c r="F73" s="25">
        <f t="shared" si="11"/>
        <v>-1074.1187807125448</v>
      </c>
      <c r="G73" s="26">
        <f t="shared" si="12"/>
        <v>27.937747285001251</v>
      </c>
      <c r="H73" s="46" t="s">
        <v>95</v>
      </c>
      <c r="I73" s="46"/>
      <c r="J73" s="46"/>
    </row>
    <row r="74" spans="1:10">
      <c r="A74" s="27" t="s">
        <v>112</v>
      </c>
      <c r="B74" s="28">
        <v>-997.69085900000005</v>
      </c>
      <c r="C74" s="25">
        <f t="shared" si="13"/>
        <v>-76.445365712544884</v>
      </c>
      <c r="D74" s="25"/>
      <c r="E74" s="28"/>
      <c r="F74" s="25">
        <f t="shared" si="11"/>
        <v>-1074.1362247125448</v>
      </c>
      <c r="G74" s="26">
        <f t="shared" si="12"/>
        <v>16.991637284958188</v>
      </c>
      <c r="H74" s="46" t="s">
        <v>97</v>
      </c>
      <c r="I74" s="46"/>
      <c r="J74" s="46"/>
    </row>
    <row r="75" spans="1:10">
      <c r="A75" s="27" t="s">
        <v>113</v>
      </c>
      <c r="B75" s="28">
        <v>-997.68137300000001</v>
      </c>
      <c r="C75" s="25">
        <f t="shared" si="13"/>
        <v>-76.445365712544884</v>
      </c>
      <c r="D75" s="25"/>
      <c r="E75" s="28"/>
      <c r="F75" s="25">
        <f t="shared" ref="F75:F76" si="14">SUM(B75:E75)</f>
        <v>-1074.1267387125449</v>
      </c>
      <c r="G75" s="26">
        <f t="shared" si="12"/>
        <v>22.944102284910741</v>
      </c>
      <c r="H75" s="46" t="s">
        <v>99</v>
      </c>
      <c r="I75" s="46"/>
      <c r="J75" s="46"/>
    </row>
    <row r="76" spans="1:10">
      <c r="A76" s="27" t="s">
        <v>114</v>
      </c>
      <c r="B76" s="28">
        <v>-997.69272699999999</v>
      </c>
      <c r="C76" s="25">
        <f t="shared" si="13"/>
        <v>-76.445365712544884</v>
      </c>
      <c r="D76" s="25"/>
      <c r="E76" s="28"/>
      <c r="F76" s="25">
        <f t="shared" si="14"/>
        <v>-1074.1380927125449</v>
      </c>
      <c r="G76" s="26">
        <f t="shared" si="12"/>
        <v>15.819467284921416</v>
      </c>
      <c r="H76" s="46" t="s">
        <v>101</v>
      </c>
      <c r="I76" s="46"/>
      <c r="J76" s="46"/>
    </row>
    <row r="81" spans="2:6">
      <c r="B81" s="21"/>
      <c r="F81" s="21"/>
    </row>
    <row r="82" spans="2:6">
      <c r="C82" s="21"/>
      <c r="D82" s="21"/>
      <c r="F82" s="21"/>
    </row>
  </sheetData>
  <mergeCells count="80">
    <mergeCell ref="H73:J73"/>
    <mergeCell ref="H74:J74"/>
    <mergeCell ref="H75:J75"/>
    <mergeCell ref="H76:J76"/>
    <mergeCell ref="H67:J67"/>
    <mergeCell ref="H68:J68"/>
    <mergeCell ref="H69:J69"/>
    <mergeCell ref="H70:J70"/>
    <mergeCell ref="H71:J71"/>
    <mergeCell ref="H72:J72"/>
    <mergeCell ref="B66:E66"/>
    <mergeCell ref="H66:J66"/>
    <mergeCell ref="H54:J54"/>
    <mergeCell ref="H55:J55"/>
    <mergeCell ref="H56:J56"/>
    <mergeCell ref="H57:J57"/>
    <mergeCell ref="H58:J58"/>
    <mergeCell ref="H59:J59"/>
    <mergeCell ref="H60:J60"/>
    <mergeCell ref="H61:J61"/>
    <mergeCell ref="H62:J62"/>
    <mergeCell ref="H63:J63"/>
    <mergeCell ref="A65:J65"/>
    <mergeCell ref="B53:E53"/>
    <mergeCell ref="H53:J53"/>
    <mergeCell ref="H41:J41"/>
    <mergeCell ref="H42:J42"/>
    <mergeCell ref="H43:J43"/>
    <mergeCell ref="A45:J45"/>
    <mergeCell ref="B46:E46"/>
    <mergeCell ref="H46:J46"/>
    <mergeCell ref="H47:J47"/>
    <mergeCell ref="H48:J48"/>
    <mergeCell ref="H49:J49"/>
    <mergeCell ref="H50:J50"/>
    <mergeCell ref="A52:J52"/>
    <mergeCell ref="H40:J40"/>
    <mergeCell ref="H29:J29"/>
    <mergeCell ref="H30:J30"/>
    <mergeCell ref="H31:J31"/>
    <mergeCell ref="H32:J32"/>
    <mergeCell ref="A33:J33"/>
    <mergeCell ref="B34:E34"/>
    <mergeCell ref="H34:J34"/>
    <mergeCell ref="H35:J35"/>
    <mergeCell ref="H36:J36"/>
    <mergeCell ref="H37:J37"/>
    <mergeCell ref="H38:J38"/>
    <mergeCell ref="H39:J39"/>
    <mergeCell ref="H28:J28"/>
    <mergeCell ref="A18:J18"/>
    <mergeCell ref="B19:E19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F16:J16"/>
    <mergeCell ref="A5:B5"/>
    <mergeCell ref="D5:J5"/>
    <mergeCell ref="A7:J7"/>
    <mergeCell ref="F8:J8"/>
    <mergeCell ref="F9:J9"/>
    <mergeCell ref="F10:J10"/>
    <mergeCell ref="F11:J11"/>
    <mergeCell ref="F12:J12"/>
    <mergeCell ref="F13:J13"/>
    <mergeCell ref="F14:J14"/>
    <mergeCell ref="F15:J15"/>
    <mergeCell ref="A4:B4"/>
    <mergeCell ref="D4:J4"/>
    <mergeCell ref="A1:J1"/>
    <mergeCell ref="A2:B2"/>
    <mergeCell ref="D2:J2"/>
    <mergeCell ref="A3:B3"/>
    <mergeCell ref="D3:J3"/>
  </mergeCells>
  <pageMargins left="0.7" right="0.7" top="0.75" bottom="0.75" header="0.3" footer="0.3"/>
  <pageSetup paperSize="9" orientation="portrait" horizontalDpi="0" verticalDpi="0"/>
  <ignoredErrors>
    <ignoredError sqref="E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Computational 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Shrin Pal</dc:creator>
  <cp:lastModifiedBy>Shrin Pal</cp:lastModifiedBy>
  <dcterms:created xsi:type="dcterms:W3CDTF">2022-12-21T03:44:55Z</dcterms:created>
  <dcterms:modified xsi:type="dcterms:W3CDTF">2022-12-21T05:45:21Z</dcterms:modified>
</cp:coreProperties>
</file>