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ifeinberg/Documents/Postdoc_MIT/datasets/"/>
    </mc:Choice>
  </mc:AlternateContent>
  <xr:revisionPtr revIDLastSave="0" documentId="13_ncr:1_{5C26D7A6-916C-CC4E-8BBC-3FDEE02190DC}" xr6:coauthVersionLast="47" xr6:coauthVersionMax="47" xr10:uidLastSave="{00000000-0000-0000-0000-000000000000}"/>
  <bookViews>
    <workbookView xWindow="3380" yWindow="500" windowWidth="25080" windowHeight="17500" xr2:uid="{19CEC2AC-AC82-A54F-AABF-888D1D98082B}"/>
  </bookViews>
  <sheets>
    <sheet name="data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5" i="1" l="1"/>
  <c r="S153" i="1"/>
  <c r="S138" i="1"/>
  <c r="S139" i="1"/>
  <c r="S140" i="1"/>
  <c r="S141" i="1"/>
  <c r="S142" i="1"/>
  <c r="S143" i="1"/>
  <c r="S144" i="1"/>
  <c r="S150" i="1"/>
  <c r="S151" i="1"/>
  <c r="S137" i="1"/>
  <c r="S132" i="1"/>
  <c r="S133" i="1"/>
  <c r="S125" i="1"/>
  <c r="S127" i="1"/>
  <c r="S124" i="1"/>
  <c r="S113" i="1"/>
  <c r="S112" i="1"/>
  <c r="S110" i="1"/>
  <c r="S105" i="1"/>
  <c r="S94" i="1"/>
  <c r="S84" i="1"/>
  <c r="S85" i="1"/>
  <c r="S86" i="1"/>
  <c r="S68" i="1"/>
  <c r="S62" i="1"/>
  <c r="S63" i="1"/>
  <c r="S65" i="1"/>
  <c r="S66" i="1"/>
  <c r="S61" i="1"/>
  <c r="S57" i="1"/>
  <c r="S58" i="1"/>
  <c r="S59" i="1"/>
  <c r="S56" i="1"/>
  <c r="S53" i="1"/>
  <c r="S31" i="1"/>
  <c r="S37" i="1"/>
  <c r="S38" i="1"/>
  <c r="S39" i="1"/>
  <c r="S30" i="1"/>
  <c r="S23" i="1"/>
  <c r="S24" i="1"/>
  <c r="S25" i="1"/>
  <c r="S26" i="1"/>
  <c r="S22" i="1"/>
  <c r="S18" i="1"/>
  <c r="S17" i="1"/>
  <c r="S11" i="1"/>
  <c r="S10" i="1"/>
  <c r="S9" i="1"/>
  <c r="S7" i="1"/>
  <c r="S6" i="1"/>
  <c r="S5" i="1"/>
  <c r="S2" i="1"/>
  <c r="I39" i="1"/>
  <c r="I38" i="1"/>
  <c r="I36" i="1"/>
  <c r="S36" i="1" s="1"/>
  <c r="C36" i="1"/>
  <c r="I35" i="1"/>
  <c r="S35" i="1" s="1"/>
  <c r="I34" i="1"/>
  <c r="S34" i="1" s="1"/>
  <c r="I32" i="1"/>
  <c r="S32" i="1" s="1"/>
  <c r="I33" i="1"/>
  <c r="S33" i="1" s="1"/>
  <c r="I31" i="1"/>
  <c r="I37" i="1"/>
  <c r="T155" i="1"/>
  <c r="P94" i="1"/>
  <c r="P149" i="1"/>
  <c r="P130" i="1"/>
  <c r="S130" i="1" s="1"/>
  <c r="P145" i="1"/>
  <c r="P131" i="1"/>
  <c r="P126" i="1"/>
  <c r="P125" i="1"/>
  <c r="P114" i="1"/>
  <c r="S114" i="1" s="1"/>
  <c r="P115" i="1"/>
  <c r="P81" i="1"/>
  <c r="S81" i="1" s="1"/>
  <c r="P80" i="1"/>
  <c r="S80" i="1" s="1"/>
  <c r="P78" i="1"/>
  <c r="P77" i="1"/>
  <c r="P76" i="1"/>
  <c r="S76" i="1" s="1"/>
  <c r="P20" i="1" l="1"/>
  <c r="S20" i="1" s="1"/>
  <c r="D47" i="1"/>
  <c r="C47" i="1"/>
  <c r="D56" i="1"/>
  <c r="C56" i="1"/>
  <c r="C76" i="1"/>
  <c r="C75" i="1"/>
  <c r="C74" i="1"/>
  <c r="D74" i="1"/>
  <c r="D75" i="1"/>
  <c r="D76" i="1"/>
  <c r="I73" i="1"/>
  <c r="N71" i="1"/>
  <c r="D155" i="1"/>
  <c r="C155" i="1"/>
  <c r="P99" i="1"/>
  <c r="P100" i="1"/>
  <c r="P101" i="1"/>
  <c r="P98" i="1"/>
  <c r="P28" i="1"/>
  <c r="P21" i="1"/>
  <c r="D70" i="1"/>
  <c r="C70" i="1"/>
  <c r="D69" i="1"/>
  <c r="C69" i="1"/>
  <c r="O68" i="1"/>
  <c r="R68" i="1" s="1"/>
  <c r="O67" i="1"/>
  <c r="C68" i="1"/>
  <c r="D68" i="1"/>
  <c r="D67" i="1"/>
  <c r="C67" i="1"/>
  <c r="O66" i="1"/>
  <c r="R66" i="1" s="1"/>
  <c r="O65" i="1"/>
  <c r="R65" i="1" s="1"/>
  <c r="E65" i="1"/>
  <c r="D65" i="1"/>
  <c r="C65" i="1"/>
  <c r="D66" i="1"/>
  <c r="C66" i="1"/>
  <c r="E66" i="1"/>
  <c r="I64" i="1"/>
  <c r="S64" i="1" s="1"/>
  <c r="D64" i="1"/>
  <c r="C64" i="1"/>
  <c r="N63" i="1"/>
  <c r="O63" i="1" s="1"/>
  <c r="R63" i="1" s="1"/>
  <c r="N62" i="1"/>
  <c r="O62" i="1" s="1"/>
  <c r="R62" i="1" s="1"/>
  <c r="N61" i="1"/>
  <c r="O61" i="1" s="1"/>
  <c r="R61" i="1" s="1"/>
  <c r="E49" i="1"/>
  <c r="E50" i="1"/>
  <c r="E51" i="1"/>
  <c r="E52" i="1"/>
  <c r="E53" i="1"/>
  <c r="D53" i="1"/>
  <c r="C53" i="1"/>
  <c r="I21" i="1"/>
  <c r="S21" i="1" s="1"/>
  <c r="L21" i="1"/>
  <c r="N21" i="1"/>
  <c r="D21" i="1"/>
  <c r="C21" i="1"/>
  <c r="I29" i="1"/>
  <c r="H29" i="1"/>
  <c r="O7" i="1"/>
  <c r="R7" i="1" s="1"/>
  <c r="C8" i="1"/>
  <c r="D8" i="1"/>
  <c r="D7" i="1"/>
  <c r="C7" i="1"/>
  <c r="E8" i="1"/>
  <c r="O10" i="1"/>
  <c r="R10" i="1" s="1"/>
  <c r="D10" i="1"/>
  <c r="C10" i="1"/>
  <c r="O9" i="1"/>
  <c r="R9" i="1" s="1"/>
  <c r="D9" i="1"/>
  <c r="C9" i="1"/>
  <c r="O4" i="1"/>
  <c r="O3" i="1"/>
  <c r="H4" i="1"/>
  <c r="H3" i="1"/>
  <c r="K4" i="1"/>
  <c r="K3" i="1"/>
  <c r="N28" i="1"/>
  <c r="N27" i="1"/>
  <c r="L28" i="1"/>
  <c r="L27" i="1"/>
  <c r="I27" i="1"/>
  <c r="I28" i="1"/>
  <c r="D28" i="1"/>
  <c r="C28" i="1"/>
  <c r="D27" i="1"/>
  <c r="C27" i="1"/>
  <c r="N12" i="1"/>
  <c r="L12" i="1"/>
  <c r="I12" i="1"/>
  <c r="S12" i="1" s="1"/>
  <c r="M12" i="1"/>
  <c r="K12" i="1"/>
  <c r="H12" i="1"/>
  <c r="D12" i="1"/>
  <c r="C12" i="1"/>
  <c r="D17" i="1"/>
  <c r="C17" i="1"/>
  <c r="D18" i="1"/>
  <c r="C18" i="1"/>
  <c r="D24" i="1"/>
  <c r="D23" i="1"/>
  <c r="D25" i="1"/>
  <c r="D26" i="1"/>
  <c r="N154" i="1"/>
  <c r="D154" i="1"/>
  <c r="C154" i="1"/>
  <c r="D153" i="1"/>
  <c r="C153" i="1"/>
  <c r="N151" i="1"/>
  <c r="N150" i="1"/>
  <c r="L150" i="1"/>
  <c r="L151" i="1"/>
  <c r="D151" i="1"/>
  <c r="C151" i="1"/>
  <c r="D150" i="1"/>
  <c r="C150" i="1"/>
  <c r="O82" i="1"/>
  <c r="O81" i="1"/>
  <c r="R81" i="1" s="1"/>
  <c r="O80" i="1"/>
  <c r="R80" i="1" s="1"/>
  <c r="N122" i="1"/>
  <c r="I122" i="1"/>
  <c r="H122" i="1"/>
  <c r="N149" i="1"/>
  <c r="I149" i="1"/>
  <c r="S149" i="1" s="1"/>
  <c r="H149" i="1"/>
  <c r="N118" i="1"/>
  <c r="I118" i="1"/>
  <c r="S118" i="1" s="1"/>
  <c r="H118" i="1"/>
  <c r="O85" i="1"/>
  <c r="R85" i="1" s="1"/>
  <c r="O86" i="1"/>
  <c r="R86" i="1" s="1"/>
  <c r="H86" i="1"/>
  <c r="H85" i="1"/>
  <c r="N147" i="1"/>
  <c r="I147" i="1"/>
  <c r="S147" i="1" s="1"/>
  <c r="H147" i="1"/>
  <c r="N136" i="1"/>
  <c r="I136" i="1"/>
  <c r="H136" i="1"/>
  <c r="N146" i="1"/>
  <c r="I146" i="1"/>
  <c r="S146" i="1" s="1"/>
  <c r="H146" i="1"/>
  <c r="N145" i="1"/>
  <c r="I145" i="1"/>
  <c r="S145" i="1" s="1"/>
  <c r="H145" i="1"/>
  <c r="N134" i="1"/>
  <c r="I134" i="1"/>
  <c r="S134" i="1" s="1"/>
  <c r="H134" i="1"/>
  <c r="N131" i="1"/>
  <c r="I131" i="1"/>
  <c r="S131" i="1" s="1"/>
  <c r="H131" i="1"/>
  <c r="N87" i="1"/>
  <c r="I87" i="1"/>
  <c r="S87" i="1" s="1"/>
  <c r="H87" i="1"/>
  <c r="N148" i="1"/>
  <c r="I148" i="1"/>
  <c r="S148" i="1" s="1"/>
  <c r="H148" i="1"/>
  <c r="N95" i="1"/>
  <c r="I95" i="1"/>
  <c r="S95" i="1" s="1"/>
  <c r="H95" i="1"/>
  <c r="N128" i="1"/>
  <c r="I128" i="1"/>
  <c r="H128" i="1"/>
  <c r="N126" i="1"/>
  <c r="I126" i="1"/>
  <c r="S126" i="1" s="1"/>
  <c r="H126" i="1"/>
  <c r="N121" i="1"/>
  <c r="I121" i="1"/>
  <c r="H121" i="1"/>
  <c r="N115" i="1"/>
  <c r="I115" i="1"/>
  <c r="S115" i="1" s="1"/>
  <c r="H115" i="1"/>
  <c r="O22" i="1"/>
  <c r="R22" i="1" s="1"/>
  <c r="D22" i="1"/>
  <c r="C22" i="1"/>
  <c r="O84" i="1"/>
  <c r="R84" i="1" s="1"/>
  <c r="H84" i="1"/>
  <c r="H102" i="1"/>
  <c r="O102" i="1"/>
  <c r="O104" i="1"/>
  <c r="O103" i="1"/>
  <c r="E104" i="1"/>
  <c r="E103" i="1"/>
  <c r="E113" i="1"/>
  <c r="E112" i="1"/>
  <c r="I109" i="1"/>
  <c r="O109" i="1" s="1"/>
  <c r="H109" i="1"/>
  <c r="O111" i="1"/>
  <c r="O106" i="1"/>
  <c r="D106" i="1"/>
  <c r="C106" i="1"/>
  <c r="O91" i="1"/>
  <c r="O90" i="1"/>
  <c r="M89" i="1"/>
  <c r="N89" i="1"/>
  <c r="O89" i="1" s="1"/>
  <c r="M88" i="1"/>
  <c r="N88" i="1"/>
  <c r="O88" i="1" s="1"/>
  <c r="D91" i="1"/>
  <c r="C91" i="1"/>
  <c r="D90" i="1"/>
  <c r="C90" i="1"/>
  <c r="I97" i="1"/>
  <c r="S97" i="1" s="1"/>
  <c r="I96" i="1"/>
  <c r="S96" i="1" s="1"/>
  <c r="L97" i="1"/>
  <c r="L96" i="1"/>
  <c r="K97" i="1"/>
  <c r="K96" i="1"/>
  <c r="H97" i="1"/>
  <c r="H96" i="1"/>
  <c r="E96" i="1"/>
  <c r="O93" i="1"/>
  <c r="O92" i="1"/>
  <c r="D93" i="1"/>
  <c r="C93" i="1"/>
  <c r="D92" i="1"/>
  <c r="C92" i="1"/>
  <c r="H89" i="1"/>
  <c r="D89" i="1"/>
  <c r="C89" i="1"/>
  <c r="H88" i="1"/>
  <c r="D88" i="1"/>
  <c r="C88" i="1"/>
  <c r="N83" i="1"/>
  <c r="L83" i="1"/>
  <c r="I83" i="1"/>
  <c r="S83" i="1" s="1"/>
  <c r="N79" i="1"/>
  <c r="M79" i="1"/>
  <c r="N78" i="1"/>
  <c r="M78" i="1"/>
  <c r="N77" i="1"/>
  <c r="M77" i="1"/>
  <c r="L79" i="1"/>
  <c r="I79" i="1"/>
  <c r="L78" i="1"/>
  <c r="I78" i="1"/>
  <c r="S78" i="1" s="1"/>
  <c r="L77" i="1"/>
  <c r="I77" i="1"/>
  <c r="S77" i="1" s="1"/>
  <c r="O20" i="1"/>
  <c r="D20" i="1"/>
  <c r="C20" i="1"/>
  <c r="I60" i="1"/>
  <c r="L60" i="1"/>
  <c r="D60" i="1"/>
  <c r="I52" i="1"/>
  <c r="L52" i="1"/>
  <c r="N52" i="1"/>
  <c r="C52" i="1"/>
  <c r="D52" i="1"/>
  <c r="E59" i="1"/>
  <c r="D59" i="1"/>
  <c r="C59" i="1"/>
  <c r="O57" i="1"/>
  <c r="R57" i="1" s="1"/>
  <c r="O58" i="1"/>
  <c r="R58" i="1" s="1"/>
  <c r="E58" i="1"/>
  <c r="D58" i="1"/>
  <c r="C58" i="1"/>
  <c r="D57" i="1"/>
  <c r="C57" i="1"/>
  <c r="D51" i="1"/>
  <c r="C51" i="1"/>
  <c r="N50" i="1"/>
  <c r="L50" i="1"/>
  <c r="D50" i="1"/>
  <c r="C50" i="1"/>
  <c r="O55" i="1"/>
  <c r="D55" i="1"/>
  <c r="C55" i="1"/>
  <c r="H54" i="1"/>
  <c r="O49" i="1"/>
  <c r="D49" i="1"/>
  <c r="C49" i="1"/>
  <c r="D46" i="1"/>
  <c r="C46" i="1"/>
  <c r="D45" i="1"/>
  <c r="C44" i="1"/>
  <c r="C45" i="1"/>
  <c r="D40" i="1"/>
  <c r="C40" i="1"/>
  <c r="D48" i="1"/>
  <c r="C48" i="1"/>
  <c r="O16" i="1"/>
  <c r="O14" i="1"/>
  <c r="C14" i="1"/>
  <c r="D14" i="1"/>
  <c r="D16" i="1"/>
  <c r="C16" i="1"/>
  <c r="C19" i="1"/>
  <c r="D19" i="1"/>
  <c r="O11" i="1"/>
  <c r="R11" i="1" s="1"/>
  <c r="D11" i="1"/>
  <c r="C11" i="1"/>
  <c r="D15" i="1"/>
  <c r="C15" i="1"/>
  <c r="L2" i="1"/>
  <c r="O2" i="1" s="1"/>
  <c r="R2" i="1" s="1"/>
  <c r="K2" i="1"/>
  <c r="H13" i="1"/>
  <c r="I13" i="1"/>
  <c r="S99" i="1" l="1"/>
  <c r="R99" i="1"/>
  <c r="S28" i="1"/>
  <c r="S98" i="1"/>
  <c r="R98" i="1"/>
  <c r="S101" i="1"/>
  <c r="R101" i="1"/>
  <c r="S100" i="1"/>
  <c r="R100" i="1"/>
  <c r="R20" i="1"/>
  <c r="O13" i="1"/>
  <c r="R13" i="1" s="1"/>
  <c r="S13" i="1"/>
  <c r="O21" i="1"/>
  <c r="R21" i="1" s="1"/>
  <c r="O28" i="1"/>
  <c r="R28" i="1" s="1"/>
  <c r="O27" i="1"/>
  <c r="O12" i="1"/>
  <c r="R12" i="1" s="1"/>
  <c r="O150" i="1"/>
  <c r="R150" i="1" s="1"/>
  <c r="O151" i="1"/>
  <c r="R151" i="1" s="1"/>
  <c r="O77" i="1"/>
  <c r="R77" i="1" s="1"/>
  <c r="O78" i="1"/>
  <c r="R78" i="1" s="1"/>
  <c r="O79" i="1"/>
  <c r="O83" i="1"/>
  <c r="R83" i="1" s="1"/>
  <c r="O52" i="1"/>
  <c r="O60" i="1"/>
  <c r="O50" i="1"/>
</calcChain>
</file>

<file path=xl/sharedStrings.xml><?xml version="1.0" encoding="utf-8"?>
<sst xmlns="http://schemas.openxmlformats.org/spreadsheetml/2006/main" count="1228" uniqueCount="389">
  <si>
    <t>Location</t>
  </si>
  <si>
    <t>Land Cover</t>
  </si>
  <si>
    <t>Study Year</t>
  </si>
  <si>
    <t>Latitude (N)</t>
  </si>
  <si>
    <t>Litterfall Annual Mean Concentration (ng g-1)</t>
  </si>
  <si>
    <t>Throughfall Annual Mean Concentration (ng L-1)</t>
  </si>
  <si>
    <t>Flag</t>
  </si>
  <si>
    <t>Comment</t>
  </si>
  <si>
    <t>Reference Litterfall</t>
  </si>
  <si>
    <t>Reference Throughfall</t>
  </si>
  <si>
    <t>Reference Wet Deposition</t>
  </si>
  <si>
    <t>Reference Previous Compilation</t>
  </si>
  <si>
    <t>Longitude (E)</t>
  </si>
  <si>
    <t>Mt. Leigong, Guizhou, China</t>
  </si>
  <si>
    <t>2008-2009</t>
  </si>
  <si>
    <t>Deciduous Forest</t>
  </si>
  <si>
    <t>Litterfall is average of three tree species</t>
  </si>
  <si>
    <t>Wright et al. 2016, https://doi.org/10.5194/acp-16-13399-2016</t>
  </si>
  <si>
    <t>Mt. Gongga Area, Hailuogou National Forest Park, China</t>
  </si>
  <si>
    <t>Altitude (m)</t>
  </si>
  <si>
    <t>2005-2007</t>
  </si>
  <si>
    <t>Mixed Forest</t>
  </si>
  <si>
    <t>Fu et al. 2010a, https://doi.org/10.1016/j.envpol.2010.01.032</t>
  </si>
  <si>
    <t>Fu et al. 2010b, https://doi.org/10.5194/acp-10-2425-2010</t>
  </si>
  <si>
    <t>Coordinates extracted from Google Maps; throughfall and litterfall are averaged over tree species</t>
  </si>
  <si>
    <t>2012-2013</t>
  </si>
  <si>
    <t>Mt. Changbai, China</t>
  </si>
  <si>
    <t>Mt. Damei, China</t>
  </si>
  <si>
    <t>Mt. Ailao, China</t>
  </si>
  <si>
    <t>2012-2014</t>
  </si>
  <si>
    <t>2011-2014</t>
  </si>
  <si>
    <t>Fu et al. 2016, https://doi.org/10.5194/acp-16-11547-2016</t>
  </si>
  <si>
    <t>TieShan Ping, China</t>
  </si>
  <si>
    <t>2009-2011</t>
  </si>
  <si>
    <t>Luo et al. 2015, https://doi.org/10.1016/j.chemosphere.2015.03.081</t>
  </si>
  <si>
    <t>Coniferous Forest</t>
  </si>
  <si>
    <t>Mt. Jinyun, China</t>
  </si>
  <si>
    <t>Elevation not found</t>
  </si>
  <si>
    <t>Ma et al. 2015, https://doi.org/10.1007/s11356-015-5152-9</t>
  </si>
  <si>
    <t>Ma et al. 2016, https://doi.org/10.5194/acp-16-4529-2016</t>
  </si>
  <si>
    <t>Mt Simian, China</t>
  </si>
  <si>
    <t>Broadleaf Forest</t>
  </si>
  <si>
    <t>LuChongGuan, China</t>
  </si>
  <si>
    <t>2005-2006</t>
  </si>
  <si>
    <t>LeiGongShan, China</t>
  </si>
  <si>
    <t>Wang et al. 2009, https://doi.org/10.1016/j.envpol.2008.11.018</t>
  </si>
  <si>
    <t>Da Silva et al. 2009, https://doi.org/10.1590/S0103-50532009000600019</t>
  </si>
  <si>
    <t>Negro River Basin, Brazil</t>
  </si>
  <si>
    <t>Coordinates extracted from Google Maps; Listed year is for literfall</t>
  </si>
  <si>
    <t>Tropical Rainforest</t>
  </si>
  <si>
    <t>Cunha, Brazil</t>
  </si>
  <si>
    <t>Rural forest</t>
  </si>
  <si>
    <t>Fostier et al. 2003, https://doi.org/10.1051/jp4:20020348</t>
  </si>
  <si>
    <t>analysis of Hg occurred for litter during dry period; numbers differ from paper</t>
  </si>
  <si>
    <t>Fostier et al. 2015, https://doi.org/10.1016/j.envpol.2015.08.010</t>
  </si>
  <si>
    <t>Alta Floresta, Brazil</t>
  </si>
  <si>
    <t>Candeias de Jamari, Brazil</t>
  </si>
  <si>
    <t>Rio Branco, Brazil</t>
  </si>
  <si>
    <t>Melendez-Perez, J. J., et al. 2014, https://doi.org/10.1016/j.atmosenv.2014.06.032</t>
  </si>
  <si>
    <t>Ombrophilous Open Forest</t>
  </si>
  <si>
    <t>French Guiana</t>
  </si>
  <si>
    <t>1999-2001</t>
  </si>
  <si>
    <t>Mélières et al. 2003, https://doi.org/10.1016/S0048-9697(03)00142-6</t>
  </si>
  <si>
    <t>Average of foliar concentrations in two sites from French Guiana</t>
  </si>
  <si>
    <t>Michelazzo et al., 2010, https://doi.org/10.1029/2009GL042220</t>
  </si>
  <si>
    <t>2000-2001</t>
  </si>
  <si>
    <t>Tapajós valley, Pará, Brazil</t>
  </si>
  <si>
    <t>Roulet et al. 1998, https://doi.org/10.1016/S0048-9697(98)00265-4</t>
  </si>
  <si>
    <t>see comment</t>
  </si>
  <si>
    <t>Roulet et al. 1999, https://doi.org/10.1023/A:1005073432015</t>
  </si>
  <si>
    <t>1992-1995</t>
  </si>
  <si>
    <t>Region</t>
  </si>
  <si>
    <t>South America</t>
  </si>
  <si>
    <t>Ilha Grande, Brazil</t>
  </si>
  <si>
    <t>Silva-Filho et al. 2006, https://doi.org/10.1016/j.chemosphere.2006.04.053</t>
  </si>
  <si>
    <t>Coordinates extracted from Google Maps; somewhat urban influenced, but off the coast on a separate island</t>
  </si>
  <si>
    <t>Serra de Mantiqueira, Brazil</t>
  </si>
  <si>
    <t xml:space="preserve">Coordinates extracted from Google Maps; </t>
  </si>
  <si>
    <t>Teixeira et al. 2017, https://doi.org/10.1016/j.chemosphere.2016.10.081</t>
  </si>
  <si>
    <t>Reserva Ducke, Manaus, Brazil</t>
  </si>
  <si>
    <t>Reserva da Campina, Manaus, Brazil</t>
  </si>
  <si>
    <t>Peleja, PhD Thesis, 2007, https://bdtd.inpa.gov.br/handle/tede/1496</t>
  </si>
  <si>
    <t>Serra do Navio, Amapá State, Brazil</t>
  </si>
  <si>
    <t>open wet deposition is greater than throughfall flux? Uptake by vegetation?</t>
  </si>
  <si>
    <t>Fostier et al., 2000, https://doi.org/10.1016/S0048-9697(00)00564-7</t>
  </si>
  <si>
    <t>Martin Jiskra compilation</t>
  </si>
  <si>
    <t>1996-1997</t>
  </si>
  <si>
    <t>Coordinates extracted from Google Maps; Throughfall is extrapolated from five months of data (March–August 1997)</t>
  </si>
  <si>
    <t>Europe</t>
  </si>
  <si>
    <t>1987-1989</t>
  </si>
  <si>
    <t>Coniferous forest</t>
  </si>
  <si>
    <t>Iverfeldt, 1991, https://doi.org/10.1007/BF00342299</t>
  </si>
  <si>
    <t>2004-2005</t>
  </si>
  <si>
    <t>Larssen et al. 2008, https://doi.org/10.1016/j.scitotenv.2008.03.013</t>
  </si>
  <si>
    <t>Svartberget, Sweden</t>
  </si>
  <si>
    <t>1994-1997</t>
  </si>
  <si>
    <t>Lee et al. 2000, https://doi.org/10.1016/s0048-9697(00)00538-6</t>
  </si>
  <si>
    <t>1991-1994</t>
  </si>
  <si>
    <t>Munthe et al. 1995, https://doi.org/10.1007/978-94-011-0153-0_40</t>
  </si>
  <si>
    <t>Coordinates taken from Iverfeldt, 1999</t>
  </si>
  <si>
    <t>1995-1997</t>
  </si>
  <si>
    <t>Schwesig and Matzner, 2000, https://doi.org/10.1016/s0048-9697(00)00565-9</t>
  </si>
  <si>
    <t>Steinkreuz, Germany</t>
  </si>
  <si>
    <t>1998-1999</t>
  </si>
  <si>
    <t>Lehstenbach, Germany</t>
  </si>
  <si>
    <t>Munthe et al. 1998</t>
  </si>
  <si>
    <t>Open wet deposition is bulk deposition measurement; fluxes extracted from Figure 2 of Schwesig and Matzner, 2000</t>
  </si>
  <si>
    <t>Overlapping dataset with Schwesig and Matzner (2000): Schwesig and Matzner (2001) study is from September 1998- September 1999, Schwesig and Matzner (2000) is from April 1998 to April 1999</t>
  </si>
  <si>
    <t>Schwesig and Matzner, 2001, https://doi.org/10.1023/A:1010600600099</t>
  </si>
  <si>
    <t>Gårdsjön, Sweden</t>
  </si>
  <si>
    <t>Hultberg et al. 1995, https://doi.org/10.1007/BF01189691</t>
  </si>
  <si>
    <t>Overlapping dataset with Munthe et al. 1995, but involves different sampling site</t>
  </si>
  <si>
    <t xml:space="preserve">Book not found online; values taken from Wright et al. 2016 compilation; </t>
  </si>
  <si>
    <t>Uraani, Finland</t>
  </si>
  <si>
    <t>Porvari and Verta 2003, https://doi.org/10.1016/S0269-7491(02)00404-9</t>
  </si>
  <si>
    <t>1994-1995</t>
  </si>
  <si>
    <t>Open wet deposition is bulk deposition measurement; throughfall and litterfall are cited as 3.1 and 7.3 times bulk deposition, from unpublished data.</t>
  </si>
  <si>
    <t>Yangsuri, Yangpyeong-gun, Gyeonggi-do, South Korea</t>
  </si>
  <si>
    <t>Asia</t>
  </si>
  <si>
    <t>Han et al. 2016, https://doi.org/10.5194/acp-16-7653-2016</t>
  </si>
  <si>
    <t>2008-2010</t>
  </si>
  <si>
    <t>North America</t>
  </si>
  <si>
    <t>Blackwell and Driscoll, 2015b, https://doi.org/10.1021/es505928w</t>
  </si>
  <si>
    <t>Mercury Deposition Network</t>
  </si>
  <si>
    <t>Bushey et al., 2008, https://doi.org/10.1016/j.atmosenv.2008.05.043</t>
  </si>
  <si>
    <t>Choi et al., 2008, https://doi.org/10.1016/j.atmosenv.2007.11.036</t>
  </si>
  <si>
    <t>Huntington Forest, NY, USA</t>
  </si>
  <si>
    <t>Sunday Lake, NY, USA</t>
  </si>
  <si>
    <t>Whiteface Mountain, NY, USA</t>
  </si>
  <si>
    <t>Demers et al. 2007, https://doi.org/10.1890/06-1697.1</t>
  </si>
  <si>
    <t>Alpine measurements; Wet deposition can be estimated from Underhill, VT and Huntington Forest, NY sites, but in Wright et al. 2016 it was estimated from cloudwater; High cloudwater fluxes relevant at this site</t>
  </si>
  <si>
    <t>Spruce/Fir measurements; Wet deposition can be estimated from Underhill, VT and Huntington Forest, NY sites, but in Wright et al. 2016 it was estimated from cloudwater; High cloudwater fluxes relevant at this site</t>
  </si>
  <si>
    <t xml:space="preserve">Hardwood measurements; Wet deposition can be estimated from Underhill, VT and Huntington Forest, NY sites, but in Wright et al. 2016 it was estimated from cloudwater; </t>
  </si>
  <si>
    <t>Marcell Experimental Forest, MN, USA</t>
  </si>
  <si>
    <t>Grigal et al. 2000, https://doi.org/10.1023/A:1006322705566</t>
  </si>
  <si>
    <t>Noland Creek, TN, USA</t>
  </si>
  <si>
    <t>Fisher and Wolfe, 2012, https://doi.org/10.1016/j.atmosenv.2011.10.017</t>
  </si>
  <si>
    <t>Noland Divide and Clingmans Dome, TN, USA</t>
  </si>
  <si>
    <t>Coordinates extracted from Google Maps; open precipitation concentration from MDN site TN-12 but no flux available</t>
  </si>
  <si>
    <t>Experimental Lakes Area, Ontario, Canada</t>
  </si>
  <si>
    <t>Coordinates extracted from Google Maps for Lake 658; old growth (jack pine, black spruce)</t>
  </si>
  <si>
    <t>Mixed Forest/Wetland</t>
  </si>
  <si>
    <t>Coordinates extracted from Google Maps for Lake 658; wetland (black spruce, alder)</t>
  </si>
  <si>
    <t>Coordinates extracted from Google Maps for Lake 658; deciduous (red maple, birch)</t>
  </si>
  <si>
    <t>Coordinates extracted from Google Maps for Lake 658; re-growth (young jack pine)</t>
  </si>
  <si>
    <t>Cadillac Brook, ME, USA</t>
  </si>
  <si>
    <t>Hadlock Brook, ME, USA</t>
  </si>
  <si>
    <t>Johnson 2002, http://digitalcommons.library.umaine.edu/etd/393; Johnson et al. 2007, https://doi.org/10.1007/s10661-006-9331-5; Nelson et al. 2007, https://doi.org/10.1007/s10661-006-9332-4</t>
  </si>
  <si>
    <t>Vermont, USA</t>
  </si>
  <si>
    <t>Coordinates are selected from midpoints of the 15 available sites in Vermont; Average taken over 15 sites</t>
  </si>
  <si>
    <t>Juillerat et al. 2012, https://doi.org/10.1002/etc.1896</t>
  </si>
  <si>
    <t>2001-2003</t>
  </si>
  <si>
    <t>Kalicin et al., 2008</t>
  </si>
  <si>
    <t>Demers et al. 2007, https://doi.org/10.1890/06-1697.1; Kalicin et al., 2008</t>
  </si>
  <si>
    <t>Longitude corrected by 1 degree using Google Maps; Litter concentration is average of final and initial litter; Wet deposition from Huntington Forest NY site from MDN; Throughfall concentration taken from Kalicin et al., 2008</t>
  </si>
  <si>
    <t>Longitude corrected by 1 degree using Google Maps;</t>
  </si>
  <si>
    <t>Longitude corrected by 1 degree using Google Maps; Wright et al. 2016 incorrectly list net-throughfall</t>
  </si>
  <si>
    <t>Walker Branch, TN, USA</t>
  </si>
  <si>
    <t>Lindberg 1996, https://doi.org/10.1007/978-94-009-1780-4_18</t>
  </si>
  <si>
    <t>1991-1995</t>
  </si>
  <si>
    <t>2007-2009</t>
  </si>
  <si>
    <t>Thompson Research Center, Cedar River, WA, USA</t>
  </si>
  <si>
    <t>Obrist et al. 2012, https://doi.org/10.1002/jpln.201000415</t>
  </si>
  <si>
    <t>Coordinates extracted from Google Maps; fir</t>
  </si>
  <si>
    <t>Coordinates extracted from Google Maps; alder</t>
  </si>
  <si>
    <t>Underhill, VT, USA</t>
  </si>
  <si>
    <t>Rea et al. 1996, https://doi.org/10.1016/1352-2310(96)00087-8</t>
  </si>
  <si>
    <t>Pellston, MI, USA</t>
  </si>
  <si>
    <t>Rea et al. 2002, https://doi.org/10.1023/A:1012919731598;</t>
  </si>
  <si>
    <t>Rea et al. 2001, https://doi.org/10.1016/S1352-2310(01)00133-9</t>
  </si>
  <si>
    <t>Rea et al. 1996, https://doi.org/10.1016/1352-2310(96)00087-8; Rea et al. 2002, https://doi.org/10.1023/A:1012919731598</t>
  </si>
  <si>
    <t>Litterfall is average of 1994 and 1995</t>
  </si>
  <si>
    <t>Richardson and Friedland 2015, https://doi.org/10.5194/bg-12-6737-2015</t>
  </si>
  <si>
    <t>New Hampshire and Vermont, USA</t>
  </si>
  <si>
    <t>Coordinates are selected from midpoints of the 8 available sites in Vermont and New Hampshire; Average taken over 8 sites</t>
  </si>
  <si>
    <t>Marcell Experimental Forest, MN, USA (MN16)</t>
  </si>
  <si>
    <t>Underhill, VT, USA (VT99)</t>
  </si>
  <si>
    <t>Okefenokee, GA, USA (GA09)</t>
  </si>
  <si>
    <t>Roush Lake, IN, USA (IN20)</t>
  </si>
  <si>
    <t>Fort Harrison, IN, USA (IN26)</t>
  </si>
  <si>
    <t>Indiana Dunes, IN, USA (IN34)</t>
  </si>
  <si>
    <t>Mammoth Cave, KY, USA (KY10)</t>
  </si>
  <si>
    <t>Piney Reservoir, MD, USA (MD08)</t>
  </si>
  <si>
    <t>Beltsville, MD, USA (MD99)</t>
  </si>
  <si>
    <t>Seney, MI, USA (MI48)</t>
  </si>
  <si>
    <t>Blaine, MN, USA (MN98)</t>
  </si>
  <si>
    <t>Biscuit Brook, NY, USA (NY68)</t>
  </si>
  <si>
    <t>Cape Romaine, SC, USA (SC05)</t>
  </si>
  <si>
    <t>Smoky Mountains, TN, USA (TN11)</t>
  </si>
  <si>
    <t>Shenandoah, VA, USA (VA28)</t>
  </si>
  <si>
    <t>Popple River, WI, USA (WI09)</t>
  </si>
  <si>
    <t>Devil's Lake, WI, USA (WI31)</t>
  </si>
  <si>
    <t>Trout Lake, WI, USA (WI36)</t>
  </si>
  <si>
    <t>Lake Geneva, WI, USA (WI99)</t>
  </si>
  <si>
    <t>Canaan Valley, WV, USA (WV99)</t>
  </si>
  <si>
    <t>Clifty Falls, IN, USA (IN21)</t>
  </si>
  <si>
    <t>Risch et al. 2012, https://doi.org/10.1016/j.envpol.2011.06.005</t>
  </si>
  <si>
    <t>Alleghany Portage, PA, USA (PA13)</t>
  </si>
  <si>
    <t>Athens, OH, USA (OH02)</t>
  </si>
  <si>
    <t>urban</t>
  </si>
  <si>
    <t>Urban site close to DC</t>
  </si>
  <si>
    <t>Urban site close to Indianapolis</t>
  </si>
  <si>
    <t>2000-2003</t>
  </si>
  <si>
    <t>Sheehan et al. 2006, https://doi.org/10.1007/s11270-006-3034-y</t>
  </si>
  <si>
    <t>Overlaps in throughfall and wet deposition with Johnson 2000, but measured more litterfall samples. Litterfall comes from 2002-2003; Concentration comes from hardwoods</t>
  </si>
  <si>
    <t>Overlaps in throughfall and wet deposition with Johnson 2000, but measured more litterfall samples. Litterfall comes from 2002-2003; Concentration comes from softwoods</t>
  </si>
  <si>
    <t>1995-1999</t>
  </si>
  <si>
    <t>St. Louis et al. 2001, https://doi.org/10.1021/es001924p</t>
  </si>
  <si>
    <t>2004-2006</t>
  </si>
  <si>
    <t>Selvendiran et al. 2008, https://doi.org/10.1029/2008JG000739</t>
  </si>
  <si>
    <t>MDN</t>
  </si>
  <si>
    <t>Grigal et al. 2000, https://doi.org/10.1023/A:1006322705566; Kolka et al. 1999, https://doi.org/10.1023/A:1005020326683</t>
  </si>
  <si>
    <t>Qianyanzhou, Jiangxi, China</t>
  </si>
  <si>
    <t>2013-2014</t>
  </si>
  <si>
    <t>Zhou et al. 2020, https://doi.org/10.1080/10643389.2019.1661176</t>
  </si>
  <si>
    <t>Risch et al. 2017, https://doi.org/10.1016/j.envpol.2017.05.004</t>
  </si>
  <si>
    <t>Presque Isle, PA, USA (PA30)</t>
  </si>
  <si>
    <t>Leading Ridge, PA, USA (PA42)</t>
  </si>
  <si>
    <t>Bad River, WI, USA (WI95)</t>
  </si>
  <si>
    <t>Mingo, MO, USA (MO46)</t>
  </si>
  <si>
    <t>Huntington Wildlife, NY, USA (NY20)</t>
  </si>
  <si>
    <t xml:space="preserve">St Louis et al. 2019, https://doi.org/10.1021/acs.est.9b01338; Graydon et al. 2008, https://doi.org/10.1021/es801056j </t>
  </si>
  <si>
    <t>2001-2010</t>
  </si>
  <si>
    <t>Blackwell et al. 2014, https://doi.org/10.1007/s10533-014-9961-6</t>
  </si>
  <si>
    <t>2015-2016</t>
  </si>
  <si>
    <t>Risch et al. 2018, https://doi.org/10.3390/atmos9010029</t>
  </si>
  <si>
    <t>SW Agr. Center, IN, USA (IN22)</t>
  </si>
  <si>
    <t>alpine</t>
  </si>
  <si>
    <t xml:space="preserve">Hardwood measurements;  </t>
  </si>
  <si>
    <t>Alpine measurements;  High cloudwater fluxes relevant at this site</t>
  </si>
  <si>
    <t>Spruce/Fir measurements; High cloudwater fluxes relevant at this site</t>
  </si>
  <si>
    <t>Gerson et al. 2017, https://doi.org/10.1002/2016JG003721</t>
  </si>
  <si>
    <t>Hubbard Brook, NH, USA</t>
  </si>
  <si>
    <t>Yang et al. 2019, https://doi.org/10.1007/s10533-019-00605-1</t>
  </si>
  <si>
    <t>Control plot for soil warming / drought experiments;  estimate open wet deposition by multiplying given concentration by mean precip (1500 mm/yr); data extracted from Figure 5</t>
  </si>
  <si>
    <t>Control plot for ice storm experiment;  estimate open wet deposition by multiplying given concentration by mean precip (1500 mm/yr); data extracted from Figure 5</t>
  </si>
  <si>
    <t>Everglades National Park, USA</t>
  </si>
  <si>
    <t>1995-1996</t>
  </si>
  <si>
    <t>1-40</t>
  </si>
  <si>
    <t>Litterfall flux listed as range of 1-40 µg m^-2, however this is based on pers. communication, not on measurements of flux</t>
  </si>
  <si>
    <t>Guentzel et al. 1998, https://doi.org/10.1016/S0048-9697(98)00071-0</t>
  </si>
  <si>
    <t>Norton, MA, USA</t>
  </si>
  <si>
    <t>Benoit et al. 2013, https://doi.org/10.1007/s13157-013-0447-4</t>
  </si>
  <si>
    <t>Samples collected from October 6 – December 2</t>
  </si>
  <si>
    <t>Coventry, CT, USA</t>
  </si>
  <si>
    <t>Micrometeorology</t>
  </si>
  <si>
    <t>Bash and Miller 2009, https://doi.org/10.1016/j.atmosenv.2009.08.008</t>
  </si>
  <si>
    <t>Total dry deposition measured with relaxed eddy accumulation (flux tower measurements) - missed early leaf out period, and smaller than litterfall flux; calculated litter concentration from given dry mass flux and litterfall Hg flux</t>
  </si>
  <si>
    <t>Mt. Dongling, China</t>
  </si>
  <si>
    <t>Chinese Pine; Sampling occurs 110 km southwest of the center of Beijing</t>
  </si>
  <si>
    <t>Larch; Sampling occurs 110 km southwest of the center of Beijing</t>
  </si>
  <si>
    <t>Oak; Sampling occurs 110 km southwest of the center of Beijing</t>
  </si>
  <si>
    <t>Mixed broadleaf forest; Sampling occurs 110 km southwest of the center of Beijing</t>
  </si>
  <si>
    <t>Zhou et al. 2017, https://doi.org/10.1002/2017JG003776</t>
  </si>
  <si>
    <t>2014-2015</t>
  </si>
  <si>
    <t>Close to Chongqing, very high TGM concentrations during sampling (3.51 ng/m^3)</t>
  </si>
  <si>
    <t>Zhou et al. 2018, https://doi.org/10.1029/2018JG004415</t>
  </si>
  <si>
    <t>Close to Chongqing, very high TGM concentrations during sampling (3.51 ng/m^3); decrease in litterfall flux from Wang et al. 2009 partly attributed to acid rain damage to forest</t>
  </si>
  <si>
    <t>2013-2015</t>
  </si>
  <si>
    <t>Samples are from the next year after Ma et al. 2016 ; average taken over the two sampling years</t>
  </si>
  <si>
    <t>Du et al. 2018, https://doi.org/10.3390/ijerph15122618</t>
  </si>
  <si>
    <t>Huilong, Guizhou, China</t>
  </si>
  <si>
    <t>contaminated</t>
  </si>
  <si>
    <t>Chenqi, Guizhou, China</t>
  </si>
  <si>
    <t>2018-2019</t>
  </si>
  <si>
    <t>Xia et al. 2021, https://doi.org/10.1016/j.scitotenv.2020.144892</t>
  </si>
  <si>
    <t>2017-2019</t>
  </si>
  <si>
    <t>Wang et al. 2020, https://doi.org/10.1021/acs.est.0c01667</t>
  </si>
  <si>
    <t>Fluxes for area of glacier retreat between 1990 - 1958, extracted from Figure 4 and averaged</t>
  </si>
  <si>
    <t>Fluxes for area of glacier retreat between 1890 and 1930, extracted from Figure 4 and averaged</t>
  </si>
  <si>
    <t>Sun et al. 2019, https://doi.org/10.1016/j.envpol.2019.113065</t>
  </si>
  <si>
    <t>Average of leeward and windward slope measurements at different altitudes</t>
  </si>
  <si>
    <t>Wang et al. 2019, https://doi.org/10.1029/2018JG004809</t>
  </si>
  <si>
    <t>Wang et al. 2016, https://doi.org/10.1002/2016JG003446</t>
  </si>
  <si>
    <t>Mangrove Swamp</t>
  </si>
  <si>
    <t>Zhanjiang and Daguansha, China</t>
  </si>
  <si>
    <t>Ding et al. https://doi.org/10.1016/j.apgeochem.2010.11.020</t>
  </si>
  <si>
    <t>Luo et al. 2016, https://doi.org/10.1002/2016JG003388</t>
  </si>
  <si>
    <t>Discrepancy from original paper from Zhou et al. (2020) Table 1 for litterfall and throughfall</t>
  </si>
  <si>
    <t>Huitong, Hunan, China</t>
  </si>
  <si>
    <t>Discrepancy from original paper from Zhou et al. (2020) Table 1 for litterfall and throughfall; Close to Wanshan Mercury Mine, formerly the largest mercury mine in China</t>
  </si>
  <si>
    <t>Yu et al. 2020, https://doi.org/10.1021/acs.est.9b06715</t>
  </si>
  <si>
    <t>1996-2011</t>
  </si>
  <si>
    <t>Extracted from Figure 6</t>
  </si>
  <si>
    <t>Bringmark et al. 2013, https://doi.org/10.1007/s11270-013-1502-8</t>
  </si>
  <si>
    <t>Aneboda, Sweden</t>
  </si>
  <si>
    <t>Kindla, Sweden</t>
  </si>
  <si>
    <t>Langtjern, Buskerud, Norway</t>
  </si>
  <si>
    <t>Gammtratten, Sweden</t>
  </si>
  <si>
    <t>Veiteberg Braaten et al. 2018: Atmospheric deposition and lateral transport of mercury in Norwegian drainage basins: A mercury budget for Norway report (NIVA 7310-2018); Bringmark et al. 2013, https://doi.org/10.1007/s11270-013-1502-8</t>
  </si>
  <si>
    <t>Veiteberg Braaten et al. 2018: Atmospheric deposition and lateral transport of mercury in Norwegian drainage basins: A mercury budget for Norway report (NIVA 7310-2018)</t>
  </si>
  <si>
    <t>Coordinates extracted from Google Maps; Where available, used numbers from report instead of extracting from Figure in Bringmark et al. 2013. Calculated wet deposition flux by multiplying by mean precipitation flux at site from Table 1 in report</t>
  </si>
  <si>
    <t>Coordinates extracted from Google Maps; Where available, used numbers from report instead of extracting from Figure in Bringmark et al. 2013. Extracted throughfall from Figure 6 of Bringmark et al., 2013. Total precipitation flux taken from ICP-IM online dataset: https://deims.org/dataset/8c60ec68-b110-4768-bdcb-fb42fd40521d</t>
  </si>
  <si>
    <t>O Carballiño, Galicia, Spain</t>
  </si>
  <si>
    <t>Gómez Armesto et al. 2020, https://doi.org/10.1016/j.jenvman.2020.110858</t>
  </si>
  <si>
    <t>2006-2019</t>
  </si>
  <si>
    <t>Navrátil et al. 2021, https://doi.org/10.1002/hyp.14255</t>
  </si>
  <si>
    <t>Kremnické vrchy Mts., Slovakia (MP1)</t>
  </si>
  <si>
    <t>Kremnické vrchy Mts., Slovakia (MP2)</t>
  </si>
  <si>
    <t>Mačejná et al. 2021, https://doi.org/10.2478/johh-2021-0005</t>
  </si>
  <si>
    <t>Year missing, taken as year of median year of grants listed;</t>
  </si>
  <si>
    <t>Načetín, Czechia</t>
  </si>
  <si>
    <t>Lesní potok, Czechia</t>
  </si>
  <si>
    <t>1994-2012</t>
  </si>
  <si>
    <t>Archived litterfall samples</t>
  </si>
  <si>
    <t>Navrátil et al. 2016, http://doi.org/10.1016/j.apgeochem.2016.10.005</t>
  </si>
  <si>
    <t>Hg(0) concentration (ng m-3)</t>
  </si>
  <si>
    <t>Reference Hg(0)</t>
  </si>
  <si>
    <t>Wang et al. 2016, https://doi.org/10.1002/2016JG003446; Yu et al. 2020, https://doi.org/10.1021/acs.est.9b06715</t>
  </si>
  <si>
    <t>Close to Hg mining region; fluxes in paper are normalized by area in catchment, used instead fluxes in Table 1 to calculate fluxes for forested area; Hg0 concentration listed in SI as 32.2 ng/m^3, but only measured in December</t>
  </si>
  <si>
    <t>Regional background site; fluxes in paper are normalized by area in catchment, used instead fluxes in Table 1 to calculate fluxes for forested area; Hg0 concentration is average of range, 2.13 - 3.05 ng m^-3</t>
  </si>
  <si>
    <t>Underhill (UDH) from 2013-2015 GEOS-Chem Benchmark data</t>
  </si>
  <si>
    <t>Harvard Forest, MA, USA</t>
  </si>
  <si>
    <t>2019-2020</t>
  </si>
  <si>
    <t>Obrist et al. 2021, https://doi.org/10.1073/pnas.2105477118</t>
  </si>
  <si>
    <t>Plešné Lake, Czechia</t>
  </si>
  <si>
    <t>Čertovo Lake, Czechia</t>
  </si>
  <si>
    <t>2003-2015</t>
  </si>
  <si>
    <t>Only control plot (PL-live), not plots where tree dieback occurred; decreasing trend of Hg in litterfall over time</t>
  </si>
  <si>
    <t>decreasing trend of Hg in litterfall over time</t>
  </si>
  <si>
    <t>2003-2017</t>
  </si>
  <si>
    <t>Navrátil et al. 2019, https://doi.org/10.1016/j.scitotenv.2019.05.093</t>
  </si>
  <si>
    <t>Hässleholm, Sweden</t>
  </si>
  <si>
    <t>Tyler 2005, https://doi.org/10.1016/j.foreco.2004.10.065</t>
  </si>
  <si>
    <t>Calculate litterfall using 3.2 t/ha/yr estimated leaf litter production (3.0-3.4 t/ha/yr) from this site reported by Tyler and Olsson 2006, https://doi.org/10.1016/j.chemosphere.2006.02.051</t>
  </si>
  <si>
    <t>Foliar uptake fluxes calculated - comparable to litterfall estimates but at the lower end; Extracted from Figure 9b</t>
  </si>
  <si>
    <t>Wohlgemuth et al. 2020, https://doi.org/10.5194/bg-17-6441-2020</t>
  </si>
  <si>
    <t>Hölstein, Switzerland</t>
  </si>
  <si>
    <t>Hyltemossa, Sweden</t>
  </si>
  <si>
    <t>Norunda, Sweden</t>
  </si>
  <si>
    <t>São Francisco do Itabapoana, Brazil</t>
  </si>
  <si>
    <t>Mangrove Forest</t>
  </si>
  <si>
    <t>Fragoso et al. 2018, https://doi.org/10.1016/j.ecss.2017.12.005</t>
  </si>
  <si>
    <t>Reference dry deposition direct measurement</t>
  </si>
  <si>
    <t>Litterfall Dry Deposition velocity (cm s-1)</t>
  </si>
  <si>
    <t>Hg(0) concentration extracted from Figure 6b using wet deposition fluxes given in Table 1</t>
  </si>
  <si>
    <t>Litterfall flux of Hg is much higher than Wang et al. 2019 study at the same site</t>
  </si>
  <si>
    <t>Hg(0) concentrated from average GEM seasonal concentrations in Section 3.1</t>
  </si>
  <si>
    <t>average of Huntington Forest (HTW) and Underhill (UDH) from AMNET</t>
  </si>
  <si>
    <t>Huntington Forest data from AMNET</t>
  </si>
  <si>
    <t>Underhill data from AMNET</t>
  </si>
  <si>
    <t>Clifty Falls data from AMNET</t>
  </si>
  <si>
    <t>Piney Dam data from AMNET</t>
  </si>
  <si>
    <t>Average of two Beltsville AMNET sites</t>
  </si>
  <si>
    <t>Piney Dam data from AMNET (PA13 not complete for these years)</t>
  </si>
  <si>
    <t>Yorkville Data from AMNET</t>
  </si>
  <si>
    <t>Horicon Marsh Data from AMNET (2011)</t>
  </si>
  <si>
    <t>Piney Dam data from AMNET (WV99 not complete for these years)</t>
  </si>
  <si>
    <t>Average of South Bass Island, Rochester from AMNET</t>
  </si>
  <si>
    <t>Average of 2 Rochester sites and Bronx AMNET sites</t>
  </si>
  <si>
    <t>Athens AMNET sites</t>
  </si>
  <si>
    <t>Horicon Marsh Data from AMNET</t>
  </si>
  <si>
    <t>Stilwell data from AMNET</t>
  </si>
  <si>
    <t>Average of Clifty Falls and Bondville (up to 2017) from AMNET</t>
  </si>
  <si>
    <t>ELA value from St Louis et al. 2019, https://doi.org/10.1021/acs.est.9b01338</t>
  </si>
  <si>
    <t>Burnt Island, Canada data from CAPMON</t>
  </si>
  <si>
    <t>Average of SE0002R (Rorvik), SE0014R (Rao), NO0001R (Birkenes), SE00020R (Hallahus), Vavihill EMEP sites</t>
  </si>
  <si>
    <t>SE0005R (Bredkalen) from EMEP</t>
  </si>
  <si>
    <t>SE0002R (Rorvik) from EMEP</t>
  </si>
  <si>
    <t>average of SE0002R (Rorvik), SE0014R (Rao), NO0001R (Birkenes), SE00020R (Hallahus), Vavihill from EMEP</t>
  </si>
  <si>
    <t>Bredkalen from EMEP</t>
  </si>
  <si>
    <t>Value for Longobucco from GMOS</t>
  </si>
  <si>
    <t>Eddy Covariance flux tower measurements - net deposition is listed</t>
  </si>
  <si>
    <t xml:space="preserve">Obrist et al. 2021, https://doi.org/10.1073/pnas.2105477118; data repository: </t>
  </si>
  <si>
    <t>CZ0003R (Kosetice) for 2015 from EMEP</t>
  </si>
  <si>
    <t>Average of Yorkville (GA40) and Pensacola (FL96) from AMNET</t>
  </si>
  <si>
    <t>Wet Deposition (open field) Annual Mean Concentration (ng L-1)</t>
  </si>
  <si>
    <t>Litterfall Annual Mean Flux (µg m-2 yr-1)</t>
  </si>
  <si>
    <t>Litterfall Annual Standard Deviation (µg m-2 yr-1)</t>
  </si>
  <si>
    <t>Throughfall Annual Mean Flux (µg m-2 yr-1)</t>
  </si>
  <si>
    <t>Dry Deposition Annual Mean Flux (µg m-2 yr-1)</t>
  </si>
  <si>
    <t>Wet Deposition (open field) Annual Mean Flux (µg m-2 yr-1)</t>
  </si>
  <si>
    <t>Average concentration in throughfall listed in Table 3 (48.4 ng/L) differs from value in abstract (13 ng/L); Throughfall flux values of 16 and 19 µg m^-2 yr^-1 at two plots.</t>
  </si>
  <si>
    <t>Correction Factor from STP to Local Conditions</t>
  </si>
  <si>
    <t>Total foliar uptake deposition velocity (cm s-1)</t>
  </si>
  <si>
    <t>GMOS Manaus average</t>
  </si>
  <si>
    <t>Tocantins, Brazil</t>
  </si>
  <si>
    <t>Toapajos Basin, Brazil</t>
  </si>
  <si>
    <t>Using listed weighted mean litterfall flux estimate of 8.15 Mg/ha/yr</t>
  </si>
  <si>
    <t>urban influenced</t>
  </si>
  <si>
    <t>Coordinates extracted from Google Maps;</t>
  </si>
  <si>
    <t>Micrometeorological deposition velocity (cm s-1)</t>
  </si>
  <si>
    <t>Coordinates extracted from Google Maps; Average of two high altitude coniferous sites; open precipitation concentration from MDN site TN-12 but no flux available</t>
  </si>
  <si>
    <t>Throughfall estimated from Choi et al., 2008, https://doi.org/10.1016/j.atmosenv.2007.11.036 concentrations</t>
  </si>
  <si>
    <t>Extremely high atmospheric Hg concentrations (72.5 ng/m3), but only measured once so not reliable as average</t>
  </si>
  <si>
    <t>Listed longitude incorrect, corrected based on Luo et al. 2015</t>
  </si>
  <si>
    <t>Coordinates extracted from Google Maps; not clear if the provided numbers represent an annual litterfall flux. Concentration is average of all sites in Table 1 for Litter- Leaves. Flux is average of all sites for Litter - Total.</t>
  </si>
  <si>
    <t>Average of three tree species</t>
  </si>
  <si>
    <t>Coordinates extracted from Google Maps; no measurement of open wet deposition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</si>
</sst>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 (Body)"/>
    </font>
    <font>
      <sz val="12"/>
      <color rgb="FF000000"/>
      <name val="Calibri (Body)"/>
    </font>
    <font>
      <sz val="12"/>
      <color theme="1"/>
      <name val="Calibri (Body)"/>
    </font>
    <font>
      <sz val="12"/>
      <color rgb="FFFF0000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Fill="1"/>
    <xf numFmtId="0" fontId="0" fillId="0" borderId="0" xfId="0" applyFill="1"/>
    <xf numFmtId="0" fontId="3" fillId="0" borderId="0" xfId="0" applyFont="1" applyFill="1"/>
    <xf numFmtId="49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2" fontId="7" fillId="0" borderId="0" xfId="0" applyNumberFormat="1" applyFont="1" applyFill="1"/>
    <xf numFmtId="0" fontId="7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2247-F2B5-6940-929F-245B03269500}">
  <dimension ref="A1:AB157"/>
  <sheetViews>
    <sheetView tabSelected="1" topLeftCell="N1" workbookViewId="0">
      <pane ySplit="1" topLeftCell="A129" activePane="bottomLeft" state="frozen"/>
      <selection activeCell="D1" sqref="D1"/>
      <selection pane="bottomLeft" activeCell="R2" sqref="R2"/>
    </sheetView>
  </sheetViews>
  <sheetFormatPr baseColWidth="10" defaultRowHeight="16" x14ac:dyDescent="0.2"/>
  <cols>
    <col min="1" max="1" width="41.83203125" customWidth="1"/>
    <col min="2" max="2" width="13.33203125" customWidth="1"/>
    <col min="7" max="7" width="17.83203125" bestFit="1" customWidth="1"/>
    <col min="8" max="8" width="14" customWidth="1"/>
    <col min="9" max="10" width="17.83203125" customWidth="1"/>
    <col min="11" max="11" width="20" customWidth="1"/>
    <col min="12" max="12" width="16.5" customWidth="1"/>
    <col min="13" max="13" width="25.1640625" customWidth="1"/>
    <col min="14" max="14" width="22.1640625" customWidth="1"/>
    <col min="15" max="15" width="16" bestFit="1" customWidth="1"/>
    <col min="16" max="16" width="13.83203125" customWidth="1"/>
    <col min="17" max="17" width="16" style="11" customWidth="1"/>
    <col min="18" max="18" width="17.6640625" customWidth="1"/>
    <col min="19" max="19" width="16" customWidth="1"/>
    <col min="20" max="20" width="19" customWidth="1"/>
    <col min="21" max="21" width="21.83203125" customWidth="1"/>
    <col min="22" max="22" width="19.6640625" customWidth="1"/>
    <col min="26" max="26" width="17.6640625" customWidth="1"/>
    <col min="27" max="27" width="13.5" customWidth="1"/>
  </cols>
  <sheetData>
    <row r="1" spans="1:28" s="2" customFormat="1" ht="51" customHeight="1" x14ac:dyDescent="0.2">
      <c r="A1" s="1" t="s">
        <v>0</v>
      </c>
      <c r="B1" s="1" t="s">
        <v>71</v>
      </c>
      <c r="C1" s="1" t="s">
        <v>3</v>
      </c>
      <c r="D1" s="1" t="s">
        <v>12</v>
      </c>
      <c r="E1" s="1" t="s">
        <v>19</v>
      </c>
      <c r="F1" s="1" t="s">
        <v>2</v>
      </c>
      <c r="G1" s="1" t="s">
        <v>1</v>
      </c>
      <c r="H1" s="1" t="s">
        <v>4</v>
      </c>
      <c r="I1" s="1" t="s">
        <v>367</v>
      </c>
      <c r="J1" s="1" t="s">
        <v>368</v>
      </c>
      <c r="K1" s="1" t="s">
        <v>5</v>
      </c>
      <c r="L1" s="1" t="s">
        <v>369</v>
      </c>
      <c r="M1" s="1" t="s">
        <v>366</v>
      </c>
      <c r="N1" s="1" t="s">
        <v>371</v>
      </c>
      <c r="O1" s="1" t="s">
        <v>370</v>
      </c>
      <c r="P1" s="1" t="s">
        <v>306</v>
      </c>
      <c r="Q1" s="9" t="s">
        <v>373</v>
      </c>
      <c r="R1" s="1" t="s">
        <v>374</v>
      </c>
      <c r="S1" s="1" t="s">
        <v>334</v>
      </c>
      <c r="T1" s="1" t="s">
        <v>381</v>
      </c>
      <c r="U1" s="1" t="s">
        <v>6</v>
      </c>
      <c r="V1" s="1" t="s">
        <v>8</v>
      </c>
      <c r="W1" s="1" t="s">
        <v>9</v>
      </c>
      <c r="X1" s="1" t="s">
        <v>10</v>
      </c>
      <c r="Y1" s="1" t="s">
        <v>307</v>
      </c>
      <c r="Z1" s="1" t="s">
        <v>333</v>
      </c>
      <c r="AA1" s="1" t="s">
        <v>11</v>
      </c>
      <c r="AB1" s="1" t="s">
        <v>7</v>
      </c>
    </row>
    <row r="2" spans="1:28" x14ac:dyDescent="0.2">
      <c r="A2" t="s">
        <v>18</v>
      </c>
      <c r="B2" t="s">
        <v>118</v>
      </c>
      <c r="C2">
        <v>29.62</v>
      </c>
      <c r="D2">
        <v>102.08</v>
      </c>
      <c r="E2">
        <v>3000</v>
      </c>
      <c r="F2" t="s">
        <v>20</v>
      </c>
      <c r="G2" t="s">
        <v>21</v>
      </c>
      <c r="I2">
        <v>35.5</v>
      </c>
      <c r="K2">
        <f>AVERAGE(36.8,43.6)</f>
        <v>40.200000000000003</v>
      </c>
      <c r="L2">
        <f>AVERAGE(57.6,56.5)</f>
        <v>57.05</v>
      </c>
      <c r="M2">
        <v>14.3</v>
      </c>
      <c r="N2">
        <v>26.1</v>
      </c>
      <c r="O2">
        <f>I2+L2-N2</f>
        <v>66.449999999999989</v>
      </c>
      <c r="P2">
        <v>3.98</v>
      </c>
      <c r="Q2" s="10">
        <v>1.3929339599999999</v>
      </c>
      <c r="R2">
        <f>O2*1000/P2*Q2*100/365.2425/24/60/60</f>
        <v>7.3696589573946911E-2</v>
      </c>
      <c r="S2">
        <f>I2*1000/P2*Q2*100/365.2425/24/60/60</f>
        <v>3.9371390968775254E-2</v>
      </c>
      <c r="V2" t="s">
        <v>22</v>
      </c>
      <c r="W2" t="s">
        <v>22</v>
      </c>
      <c r="X2" t="s">
        <v>22</v>
      </c>
      <c r="Y2" t="s">
        <v>22</v>
      </c>
      <c r="AA2" t="s">
        <v>17</v>
      </c>
      <c r="AB2" t="s">
        <v>24</v>
      </c>
    </row>
    <row r="3" spans="1:28" x14ac:dyDescent="0.2">
      <c r="A3" t="s">
        <v>18</v>
      </c>
      <c r="B3" t="s">
        <v>118</v>
      </c>
      <c r="C3">
        <v>29.62</v>
      </c>
      <c r="D3">
        <v>102.08</v>
      </c>
      <c r="E3">
        <v>3000</v>
      </c>
      <c r="F3" t="s">
        <v>266</v>
      </c>
      <c r="G3" t="s">
        <v>41</v>
      </c>
      <c r="H3">
        <f>AVERAGE(38,36,41,37,33)</f>
        <v>37</v>
      </c>
      <c r="I3">
        <v>13.5</v>
      </c>
      <c r="K3">
        <f>AVERAGE(6.9,12.4,11.2,11.1,8.7)</f>
        <v>10.059999999999999</v>
      </c>
      <c r="L3">
        <v>8.6</v>
      </c>
      <c r="M3">
        <v>5.7</v>
      </c>
      <c r="N3">
        <v>9.4</v>
      </c>
      <c r="O3">
        <f>I3+L3-N3</f>
        <v>12.700000000000001</v>
      </c>
      <c r="V3" t="s">
        <v>267</v>
      </c>
      <c r="W3" t="s">
        <v>267</v>
      </c>
      <c r="X3" t="s">
        <v>267</v>
      </c>
      <c r="AB3" t="s">
        <v>268</v>
      </c>
    </row>
    <row r="4" spans="1:28" x14ac:dyDescent="0.2">
      <c r="A4" t="s">
        <v>18</v>
      </c>
      <c r="B4" t="s">
        <v>118</v>
      </c>
      <c r="C4">
        <v>29.62</v>
      </c>
      <c r="D4">
        <v>102.08</v>
      </c>
      <c r="E4">
        <v>3000</v>
      </c>
      <c r="F4" t="s">
        <v>266</v>
      </c>
      <c r="G4" t="s">
        <v>35</v>
      </c>
      <c r="H4">
        <f>AVERAGE(78,97)</f>
        <v>87.5</v>
      </c>
      <c r="I4">
        <v>49</v>
      </c>
      <c r="K4">
        <f>AVERAGE(10.9,35)</f>
        <v>22.95</v>
      </c>
      <c r="L4">
        <v>23.3</v>
      </c>
      <c r="M4">
        <v>5.7</v>
      </c>
      <c r="N4">
        <v>9.4</v>
      </c>
      <c r="O4">
        <f>I4+L4-N4</f>
        <v>62.9</v>
      </c>
      <c r="V4" t="s">
        <v>267</v>
      </c>
      <c r="W4" t="s">
        <v>267</v>
      </c>
      <c r="X4" t="s">
        <v>267</v>
      </c>
      <c r="AB4" t="s">
        <v>269</v>
      </c>
    </row>
    <row r="5" spans="1:28" x14ac:dyDescent="0.2">
      <c r="A5" t="s">
        <v>26</v>
      </c>
      <c r="B5" t="s">
        <v>118</v>
      </c>
      <c r="C5">
        <v>42.402999999999999</v>
      </c>
      <c r="D5">
        <v>128.11199999999999</v>
      </c>
      <c r="E5">
        <v>736</v>
      </c>
      <c r="F5" t="s">
        <v>30</v>
      </c>
      <c r="G5" t="s">
        <v>21</v>
      </c>
      <c r="H5">
        <v>47</v>
      </c>
      <c r="I5">
        <v>22.8</v>
      </c>
      <c r="J5">
        <v>9.1999999999999993</v>
      </c>
      <c r="M5">
        <v>7.4</v>
      </c>
      <c r="N5">
        <v>5.6</v>
      </c>
      <c r="P5">
        <v>1.7</v>
      </c>
      <c r="Q5" s="10">
        <v>1.1237156399999999</v>
      </c>
      <c r="S5">
        <f>I5*1000/P5*Q5*100/365.2425/24/60/60</f>
        <v>4.7758128731824293E-2</v>
      </c>
      <c r="V5" t="s">
        <v>31</v>
      </c>
      <c r="X5" t="s">
        <v>31</v>
      </c>
      <c r="Y5" t="s">
        <v>31</v>
      </c>
      <c r="AB5" t="s">
        <v>335</v>
      </c>
    </row>
    <row r="6" spans="1:28" x14ac:dyDescent="0.2">
      <c r="A6" t="s">
        <v>27</v>
      </c>
      <c r="B6" t="s">
        <v>118</v>
      </c>
      <c r="C6">
        <v>29.632000000000001</v>
      </c>
      <c r="D6">
        <v>121.565</v>
      </c>
      <c r="E6">
        <v>550</v>
      </c>
      <c r="F6" t="s">
        <v>29</v>
      </c>
      <c r="G6" t="s">
        <v>21</v>
      </c>
      <c r="H6">
        <v>42.3</v>
      </c>
      <c r="I6">
        <v>23.1</v>
      </c>
      <c r="J6">
        <v>8.6999999999999993</v>
      </c>
      <c r="M6">
        <v>3.7</v>
      </c>
      <c r="N6">
        <v>6</v>
      </c>
      <c r="P6">
        <v>3.3</v>
      </c>
      <c r="Q6" s="10">
        <v>1.0636699000000001</v>
      </c>
      <c r="S6">
        <f>I6*1000/P6*Q6*100/365.2425/24/60/60</f>
        <v>2.3594450123066386E-2</v>
      </c>
      <c r="V6" t="s">
        <v>31</v>
      </c>
      <c r="X6" t="s">
        <v>31</v>
      </c>
      <c r="Y6" t="s">
        <v>31</v>
      </c>
      <c r="AB6" t="s">
        <v>335</v>
      </c>
    </row>
    <row r="7" spans="1:28" x14ac:dyDescent="0.2">
      <c r="A7" t="s">
        <v>28</v>
      </c>
      <c r="B7" t="s">
        <v>118</v>
      </c>
      <c r="C7">
        <f>24+32/60</f>
        <v>24.533333333333335</v>
      </c>
      <c r="D7">
        <f>101+1/60</f>
        <v>101.01666666666667</v>
      </c>
      <c r="E7">
        <v>2450</v>
      </c>
      <c r="F7" t="s">
        <v>30</v>
      </c>
      <c r="G7" t="s">
        <v>41</v>
      </c>
      <c r="H7">
        <v>58</v>
      </c>
      <c r="I7">
        <v>75</v>
      </c>
      <c r="J7">
        <v>24</v>
      </c>
      <c r="K7">
        <v>22.9</v>
      </c>
      <c r="L7">
        <v>22.9</v>
      </c>
      <c r="M7">
        <v>4.9000000000000004</v>
      </c>
      <c r="N7">
        <v>4.9000000000000004</v>
      </c>
      <c r="O7">
        <f>I7+L7-N7</f>
        <v>93</v>
      </c>
      <c r="P7">
        <v>2.09</v>
      </c>
      <c r="Q7" s="10">
        <v>1.28761942</v>
      </c>
      <c r="R7">
        <f>O7*1000/P7*Q7*100/365.2425/24/60/60</f>
        <v>0.18156374468854136</v>
      </c>
      <c r="S7">
        <f>I7*1000/P7*Q7*100/365.2425/24/60/60</f>
        <v>0.14642237474882372</v>
      </c>
      <c r="V7" t="s">
        <v>273</v>
      </c>
      <c r="W7" t="s">
        <v>273</v>
      </c>
      <c r="X7" t="s">
        <v>273</v>
      </c>
      <c r="Y7" t="s">
        <v>308</v>
      </c>
      <c r="AB7" t="s">
        <v>336</v>
      </c>
    </row>
    <row r="8" spans="1:28" x14ac:dyDescent="0.2">
      <c r="A8" t="s">
        <v>28</v>
      </c>
      <c r="B8" t="s">
        <v>118</v>
      </c>
      <c r="C8">
        <f>24+32/60</f>
        <v>24.533333333333335</v>
      </c>
      <c r="D8">
        <f>101+1/60</f>
        <v>101.01666666666667</v>
      </c>
      <c r="E8">
        <f>AVERAGE(850,2650)</f>
        <v>1750</v>
      </c>
      <c r="F8">
        <v>2017</v>
      </c>
      <c r="G8" t="s">
        <v>21</v>
      </c>
      <c r="H8">
        <v>44</v>
      </c>
      <c r="I8">
        <v>16.39</v>
      </c>
      <c r="N8">
        <v>7</v>
      </c>
      <c r="P8" s="7"/>
      <c r="Q8" s="12"/>
      <c r="V8" t="s">
        <v>272</v>
      </c>
      <c r="X8" t="s">
        <v>272</v>
      </c>
      <c r="AB8" t="s">
        <v>271</v>
      </c>
    </row>
    <row r="9" spans="1:28" x14ac:dyDescent="0.2">
      <c r="A9" t="s">
        <v>36</v>
      </c>
      <c r="B9" t="s">
        <v>118</v>
      </c>
      <c r="C9">
        <f>29+41/60+8/3600</f>
        <v>29.685555555555556</v>
      </c>
      <c r="D9">
        <f>106+17/60+43/3600</f>
        <v>106.29527777777777</v>
      </c>
      <c r="F9" t="s">
        <v>25</v>
      </c>
      <c r="G9" t="s">
        <v>41</v>
      </c>
      <c r="H9">
        <v>104.5</v>
      </c>
      <c r="I9">
        <v>43.5</v>
      </c>
      <c r="K9">
        <v>20.100000000000001</v>
      </c>
      <c r="L9">
        <v>21.8</v>
      </c>
      <c r="M9">
        <v>11.9</v>
      </c>
      <c r="N9">
        <v>15.9</v>
      </c>
      <c r="O9">
        <f t="shared" ref="O9:O14" si="0">I9+L9-N9</f>
        <v>49.4</v>
      </c>
      <c r="P9">
        <v>3.8</v>
      </c>
      <c r="Q9" s="10">
        <v>1.1383987900000001</v>
      </c>
      <c r="R9">
        <f>O9*1000/P9*Q9*100/365.2425/24/60/60</f>
        <v>4.689674804461471E-2</v>
      </c>
      <c r="S9">
        <f>I9*1000/P9*Q9*100/365.2425/24/60/60</f>
        <v>4.1295719431998786E-2</v>
      </c>
      <c r="V9" t="s">
        <v>38</v>
      </c>
      <c r="W9" t="s">
        <v>38</v>
      </c>
      <c r="X9" t="s">
        <v>38</v>
      </c>
      <c r="Y9" t="s">
        <v>38</v>
      </c>
      <c r="AA9" t="s">
        <v>17</v>
      </c>
      <c r="AB9" t="s">
        <v>37</v>
      </c>
    </row>
    <row r="10" spans="1:28" x14ac:dyDescent="0.2">
      <c r="A10" t="s">
        <v>36</v>
      </c>
      <c r="B10" t="s">
        <v>118</v>
      </c>
      <c r="C10">
        <f>29+41/60+8/3600</f>
        <v>29.685555555555556</v>
      </c>
      <c r="D10">
        <f>106+17/60+43/3600</f>
        <v>106.29527777777777</v>
      </c>
      <c r="F10" t="s">
        <v>213</v>
      </c>
      <c r="G10" t="s">
        <v>21</v>
      </c>
      <c r="I10">
        <v>49.8</v>
      </c>
      <c r="K10">
        <v>29.4</v>
      </c>
      <c r="L10">
        <v>28.1</v>
      </c>
      <c r="M10">
        <v>15.6</v>
      </c>
      <c r="N10">
        <v>17.100000000000001</v>
      </c>
      <c r="O10">
        <f t="shared" si="0"/>
        <v>60.800000000000004</v>
      </c>
      <c r="P10">
        <v>3.8</v>
      </c>
      <c r="Q10" s="10">
        <v>1.1383987900000001</v>
      </c>
      <c r="R10">
        <f>O10*1000/P10*Q10*100/365.2425/24/60/60</f>
        <v>5.7719074516448872E-2</v>
      </c>
      <c r="S10">
        <f>I10*1000/P10*Q10*100/365.2425/24/60/60</f>
        <v>4.7276478798012396E-2</v>
      </c>
      <c r="V10" t="s">
        <v>270</v>
      </c>
      <c r="W10" t="s">
        <v>270</v>
      </c>
      <c r="X10" t="s">
        <v>270</v>
      </c>
      <c r="Y10" t="s">
        <v>38</v>
      </c>
    </row>
    <row r="11" spans="1:28" x14ac:dyDescent="0.2">
      <c r="A11" t="s">
        <v>40</v>
      </c>
      <c r="B11" t="s">
        <v>118</v>
      </c>
      <c r="C11">
        <f>28 + 37/60</f>
        <v>28.616666666666667</v>
      </c>
      <c r="D11">
        <f>106+23.5/60</f>
        <v>106.39166666666667</v>
      </c>
      <c r="E11">
        <v>1394</v>
      </c>
      <c r="F11" t="s">
        <v>25</v>
      </c>
      <c r="G11" t="s">
        <v>41</v>
      </c>
      <c r="H11">
        <v>106.7</v>
      </c>
      <c r="I11">
        <v>42.89</v>
      </c>
      <c r="K11">
        <v>24.04</v>
      </c>
      <c r="L11">
        <v>32.17</v>
      </c>
      <c r="M11">
        <v>10.94</v>
      </c>
      <c r="N11">
        <v>15.45</v>
      </c>
      <c r="O11">
        <f t="shared" si="0"/>
        <v>59.61</v>
      </c>
      <c r="P11">
        <v>3.8</v>
      </c>
      <c r="Q11" s="10">
        <v>1.17442629</v>
      </c>
      <c r="R11">
        <f>O11*1000/P11*Q11*100/365.2425/24/60/60</f>
        <v>5.8380288994640546E-2</v>
      </c>
      <c r="S11">
        <f>I11*1000/P11*Q11*100/365.2425/24/60/60</f>
        <v>4.2005210450933292E-2</v>
      </c>
      <c r="V11" t="s">
        <v>39</v>
      </c>
      <c r="W11" t="s">
        <v>39</v>
      </c>
      <c r="X11" t="s">
        <v>39</v>
      </c>
      <c r="Y11" t="s">
        <v>38</v>
      </c>
      <c r="AA11" t="s">
        <v>17</v>
      </c>
    </row>
    <row r="12" spans="1:28" x14ac:dyDescent="0.2">
      <c r="A12" t="s">
        <v>40</v>
      </c>
      <c r="B12" t="s">
        <v>118</v>
      </c>
      <c r="C12">
        <f>28 + 37/60</f>
        <v>28.616666666666667</v>
      </c>
      <c r="D12">
        <f>106+23.5/60</f>
        <v>106.39166666666667</v>
      </c>
      <c r="E12">
        <v>1394</v>
      </c>
      <c r="F12" t="s">
        <v>258</v>
      </c>
      <c r="G12" t="s">
        <v>41</v>
      </c>
      <c r="H12">
        <f>AVERAGE(104.5,106.3)</f>
        <v>105.4</v>
      </c>
      <c r="I12">
        <f>AVERAGE(47.65,49.01)</f>
        <v>48.33</v>
      </c>
      <c r="K12">
        <f>AVERAGE(22.14,20.92)</f>
        <v>21.53</v>
      </c>
      <c r="L12">
        <f>AVERAGE(22.34,24.35)</f>
        <v>23.344999999999999</v>
      </c>
      <c r="M12">
        <f>AVERAGE(10.61,9.77)</f>
        <v>10.19</v>
      </c>
      <c r="N12">
        <f>AVERAGE(16.19,18.89)</f>
        <v>17.54</v>
      </c>
      <c r="O12">
        <f t="shared" si="0"/>
        <v>54.134999999999998</v>
      </c>
      <c r="P12">
        <v>3.8</v>
      </c>
      <c r="Q12" s="10">
        <v>1.17442629</v>
      </c>
      <c r="R12">
        <f>O12*1000/P12*Q12*100/365.2425/24/60/60</f>
        <v>5.3018234268157459E-2</v>
      </c>
      <c r="S12">
        <f>I12*1000/P12*Q12*100/365.2425/24/60/60</f>
        <v>4.7332987201995941E-2</v>
      </c>
      <c r="V12" t="s">
        <v>260</v>
      </c>
      <c r="W12" t="s">
        <v>260</v>
      </c>
      <c r="X12" t="s">
        <v>260</v>
      </c>
      <c r="Y12" t="s">
        <v>38</v>
      </c>
      <c r="AB12" t="s">
        <v>259</v>
      </c>
    </row>
    <row r="13" spans="1:28" x14ac:dyDescent="0.2">
      <c r="A13" t="s">
        <v>13</v>
      </c>
      <c r="B13" t="s">
        <v>118</v>
      </c>
      <c r="C13">
        <v>26.39</v>
      </c>
      <c r="D13">
        <v>108.2</v>
      </c>
      <c r="E13">
        <v>2178</v>
      </c>
      <c r="F13" t="s">
        <v>14</v>
      </c>
      <c r="G13" t="s">
        <v>41</v>
      </c>
      <c r="H13">
        <f>AVERAGE(106,57,110)</f>
        <v>91</v>
      </c>
      <c r="I13">
        <f>AVERAGE(30.4,17.6,70.6)</f>
        <v>39.533333333333331</v>
      </c>
      <c r="K13">
        <v>8.9</v>
      </c>
      <c r="L13">
        <v>10.5</v>
      </c>
      <c r="M13">
        <v>4</v>
      </c>
      <c r="N13">
        <v>6.1</v>
      </c>
      <c r="O13">
        <f t="shared" si="0"/>
        <v>43.93333333333333</v>
      </c>
      <c r="P13">
        <v>2.8</v>
      </c>
      <c r="Q13" s="10">
        <v>1.1809369300000001</v>
      </c>
      <c r="R13">
        <f>O13*1000/P13*Q13*100/365.2425/24/60/60</f>
        <v>5.8717530079010954E-2</v>
      </c>
      <c r="S13">
        <f>I13*1000/P13*Q13*100/365.2425/24/60/60</f>
        <v>5.2836866975498477E-2</v>
      </c>
      <c r="V13" t="s">
        <v>23</v>
      </c>
      <c r="W13" t="s">
        <v>23</v>
      </c>
      <c r="X13" t="s">
        <v>23</v>
      </c>
      <c r="Y13" t="s">
        <v>23</v>
      </c>
      <c r="AA13" t="s">
        <v>17</v>
      </c>
      <c r="AB13" t="s">
        <v>16</v>
      </c>
    </row>
    <row r="14" spans="1:28" x14ac:dyDescent="0.2">
      <c r="A14" t="s">
        <v>44</v>
      </c>
      <c r="B14" t="s">
        <v>118</v>
      </c>
      <c r="C14">
        <f>26+22/60</f>
        <v>26.366666666666667</v>
      </c>
      <c r="D14">
        <f>108+11/60</f>
        <v>108.18333333333334</v>
      </c>
      <c r="E14">
        <v>1680</v>
      </c>
      <c r="F14" t="s">
        <v>43</v>
      </c>
      <c r="G14" t="s">
        <v>21</v>
      </c>
      <c r="I14">
        <v>78.3</v>
      </c>
      <c r="K14">
        <v>36.700000000000003</v>
      </c>
      <c r="L14">
        <v>41.2</v>
      </c>
      <c r="M14">
        <v>12.9</v>
      </c>
      <c r="N14">
        <v>16.8</v>
      </c>
      <c r="O14">
        <f t="shared" si="0"/>
        <v>102.7</v>
      </c>
      <c r="V14" t="s">
        <v>45</v>
      </c>
      <c r="W14" t="s">
        <v>45</v>
      </c>
      <c r="X14" t="s">
        <v>45</v>
      </c>
      <c r="AA14" t="s">
        <v>17</v>
      </c>
    </row>
    <row r="15" spans="1:28" x14ac:dyDescent="0.2">
      <c r="A15" t="s">
        <v>32</v>
      </c>
      <c r="B15" t="s">
        <v>118</v>
      </c>
      <c r="C15">
        <f>29+38/60</f>
        <v>29.633333333333333</v>
      </c>
      <c r="D15">
        <f>106+41/60</f>
        <v>106.68333333333334</v>
      </c>
      <c r="E15">
        <v>450</v>
      </c>
      <c r="F15" t="s">
        <v>33</v>
      </c>
      <c r="G15" t="s">
        <v>35</v>
      </c>
      <c r="I15">
        <v>22.3</v>
      </c>
      <c r="L15">
        <v>67.5</v>
      </c>
      <c r="O15" s="3"/>
      <c r="P15" s="3"/>
      <c r="Q15" s="13"/>
      <c r="R15" s="3"/>
      <c r="S15" s="3"/>
      <c r="T15" s="3"/>
      <c r="V15" t="s">
        <v>34</v>
      </c>
      <c r="W15" t="s">
        <v>34</v>
      </c>
      <c r="X15" t="s">
        <v>34</v>
      </c>
      <c r="AA15" t="s">
        <v>17</v>
      </c>
    </row>
    <row r="16" spans="1:28" x14ac:dyDescent="0.2">
      <c r="A16" t="s">
        <v>32</v>
      </c>
      <c r="B16" t="s">
        <v>118</v>
      </c>
      <c r="C16">
        <f>29+38/60</f>
        <v>29.633333333333333</v>
      </c>
      <c r="D16">
        <f>106+41/60</f>
        <v>106.68333333333334</v>
      </c>
      <c r="E16">
        <v>475</v>
      </c>
      <c r="F16" t="s">
        <v>43</v>
      </c>
      <c r="G16" t="s">
        <v>35</v>
      </c>
      <c r="I16">
        <v>219.9</v>
      </c>
      <c r="K16">
        <v>69.7</v>
      </c>
      <c r="L16">
        <v>71.3</v>
      </c>
      <c r="M16">
        <v>32.299999999999997</v>
      </c>
      <c r="N16">
        <v>29</v>
      </c>
      <c r="O16">
        <f>I16+L16-N16</f>
        <v>262.2</v>
      </c>
      <c r="V16" t="s">
        <v>45</v>
      </c>
      <c r="W16" t="s">
        <v>45</v>
      </c>
      <c r="X16" t="s">
        <v>45</v>
      </c>
      <c r="AA16" t="s">
        <v>17</v>
      </c>
      <c r="AB16" t="s">
        <v>385</v>
      </c>
    </row>
    <row r="17" spans="1:28" x14ac:dyDescent="0.2">
      <c r="A17" t="s">
        <v>32</v>
      </c>
      <c r="B17" t="s">
        <v>118</v>
      </c>
      <c r="C17">
        <f>29+38/60</f>
        <v>29.633333333333333</v>
      </c>
      <c r="D17">
        <f>106+41/60</f>
        <v>106.68333333333334</v>
      </c>
      <c r="E17">
        <v>500</v>
      </c>
      <c r="F17" t="s">
        <v>254</v>
      </c>
      <c r="G17" t="s">
        <v>35</v>
      </c>
      <c r="H17">
        <v>85</v>
      </c>
      <c r="I17">
        <v>40.5</v>
      </c>
      <c r="J17">
        <v>9.56</v>
      </c>
      <c r="P17">
        <v>3.51</v>
      </c>
      <c r="Q17" s="10">
        <v>1.1383987900000001</v>
      </c>
      <c r="S17" s="4">
        <f>I17*1000/P17*Q17*100/365.2425/24/60/60</f>
        <v>4.1624332583977554E-2</v>
      </c>
      <c r="T17" s="4"/>
      <c r="V17" t="s">
        <v>256</v>
      </c>
      <c r="Y17" t="s">
        <v>256</v>
      </c>
      <c r="AB17" t="s">
        <v>257</v>
      </c>
    </row>
    <row r="18" spans="1:28" x14ac:dyDescent="0.2">
      <c r="A18" t="s">
        <v>32</v>
      </c>
      <c r="B18" t="s">
        <v>118</v>
      </c>
      <c r="C18">
        <f>29+38/60</f>
        <v>29.633333333333333</v>
      </c>
      <c r="D18">
        <f>106+41/60</f>
        <v>106.68333333333334</v>
      </c>
      <c r="E18">
        <v>500</v>
      </c>
      <c r="F18" t="s">
        <v>254</v>
      </c>
      <c r="G18" t="s">
        <v>41</v>
      </c>
      <c r="H18">
        <v>89</v>
      </c>
      <c r="I18">
        <v>90.9</v>
      </c>
      <c r="J18">
        <v>16.3</v>
      </c>
      <c r="P18">
        <v>3.51</v>
      </c>
      <c r="Q18" s="10">
        <v>1.1383987900000001</v>
      </c>
      <c r="S18">
        <f>I18*1000/P18*Q18*100/365.2425/24/60/60</f>
        <v>9.342350202181629E-2</v>
      </c>
      <c r="V18" t="s">
        <v>256</v>
      </c>
      <c r="Y18" t="s">
        <v>256</v>
      </c>
      <c r="AB18" t="s">
        <v>255</v>
      </c>
    </row>
    <row r="19" spans="1:28" x14ac:dyDescent="0.2">
      <c r="A19" t="s">
        <v>42</v>
      </c>
      <c r="B19" t="s">
        <v>118</v>
      </c>
      <c r="C19">
        <f>26+38/60</f>
        <v>26.633333333333333</v>
      </c>
      <c r="D19">
        <f>106+43/60</f>
        <v>106.71666666666667</v>
      </c>
      <c r="E19">
        <v>1360</v>
      </c>
      <c r="F19" t="s">
        <v>43</v>
      </c>
      <c r="G19" t="s">
        <v>21</v>
      </c>
      <c r="K19">
        <v>43.6</v>
      </c>
      <c r="L19">
        <v>49</v>
      </c>
      <c r="W19" t="s">
        <v>45</v>
      </c>
      <c r="AA19" t="s">
        <v>17</v>
      </c>
    </row>
    <row r="20" spans="1:28" x14ac:dyDescent="0.2">
      <c r="A20" t="s">
        <v>117</v>
      </c>
      <c r="B20" t="s">
        <v>118</v>
      </c>
      <c r="C20">
        <f>37+32/60</f>
        <v>37.533333333333331</v>
      </c>
      <c r="D20">
        <f>127+18/60</f>
        <v>127.3</v>
      </c>
      <c r="E20">
        <v>60</v>
      </c>
      <c r="F20" t="s">
        <v>120</v>
      </c>
      <c r="G20" t="s">
        <v>15</v>
      </c>
      <c r="H20">
        <v>50.2</v>
      </c>
      <c r="I20">
        <v>4.5999999999999996</v>
      </c>
      <c r="L20">
        <v>6.4</v>
      </c>
      <c r="N20">
        <v>4.3</v>
      </c>
      <c r="O20">
        <f>I20+L20-N20</f>
        <v>6.7</v>
      </c>
      <c r="P20">
        <f>AVERAGE(2.7,2.4,2.3,1.2)</f>
        <v>2.15</v>
      </c>
      <c r="Q20" s="10">
        <v>1.0702891999999999</v>
      </c>
      <c r="R20">
        <f>O20*1000/P20*Q20*100/365.2425/24/60/60</f>
        <v>1.0569207801051696E-2</v>
      </c>
      <c r="S20">
        <f>I20*1000/P20*Q20*100/365.2425/24/60/60</f>
        <v>7.2564710275877329E-3</v>
      </c>
      <c r="V20" t="s">
        <v>119</v>
      </c>
      <c r="W20" t="s">
        <v>119</v>
      </c>
      <c r="X20" t="s">
        <v>119</v>
      </c>
      <c r="Y20" t="s">
        <v>119</v>
      </c>
      <c r="AA20" t="s">
        <v>17</v>
      </c>
      <c r="AB20" t="s">
        <v>337</v>
      </c>
    </row>
    <row r="21" spans="1:28" s="4" customFormat="1" x14ac:dyDescent="0.2">
      <c r="A21" s="4" t="s">
        <v>212</v>
      </c>
      <c r="B21" s="4" t="s">
        <v>118</v>
      </c>
      <c r="C21" s="4">
        <f>26+44/60+48/3600</f>
        <v>26.746666666666666</v>
      </c>
      <c r="D21" s="4">
        <f>115+4/60 +13/3600</f>
        <v>115.07027777777778</v>
      </c>
      <c r="F21" s="4" t="s">
        <v>213</v>
      </c>
      <c r="G21" s="4" t="s">
        <v>35</v>
      </c>
      <c r="H21" s="4">
        <v>42.9</v>
      </c>
      <c r="I21" s="4">
        <f>4.92+3.81+6.03+6.67</f>
        <v>21.43</v>
      </c>
      <c r="L21" s="4">
        <f>14.79+6.67+10.45+2.66</f>
        <v>34.57</v>
      </c>
      <c r="N21" s="4">
        <f>4.38+3.3+5.45+1.29</f>
        <v>14.419999999999998</v>
      </c>
      <c r="O21" s="4">
        <f>I21+L21-N21</f>
        <v>41.58</v>
      </c>
      <c r="P21" s="4">
        <f>AVERAGE(4.24,5.88,4.09,2.67,3.87)</f>
        <v>4.1500000000000004</v>
      </c>
      <c r="Q21" s="10">
        <v>1.1149338099999999</v>
      </c>
      <c r="R21">
        <f>O21*1000/P21*Q21*100/365.2425/24/60/60</f>
        <v>3.5398953612350792E-2</v>
      </c>
      <c r="S21">
        <f>I21*1000/P21*Q21*100/365.2425/24/60/60</f>
        <v>1.8244338045037937E-2</v>
      </c>
      <c r="T21"/>
      <c r="V21" s="4" t="s">
        <v>277</v>
      </c>
      <c r="W21" s="4" t="s">
        <v>277</v>
      </c>
      <c r="X21" s="4" t="s">
        <v>277</v>
      </c>
      <c r="Y21" s="4" t="s">
        <v>277</v>
      </c>
      <c r="AA21" s="4" t="s">
        <v>214</v>
      </c>
      <c r="AB21" s="4" t="s">
        <v>278</v>
      </c>
    </row>
    <row r="22" spans="1:28" s="4" customFormat="1" x14ac:dyDescent="0.2">
      <c r="A22" s="4" t="s">
        <v>279</v>
      </c>
      <c r="B22" s="4" t="s">
        <v>118</v>
      </c>
      <c r="C22" s="4">
        <f>26+50/60</f>
        <v>26.833333333333332</v>
      </c>
      <c r="D22" s="4">
        <f>109+45/60</f>
        <v>109.75</v>
      </c>
      <c r="F22" s="4" t="s">
        <v>213</v>
      </c>
      <c r="G22" s="4" t="s">
        <v>35</v>
      </c>
      <c r="H22" s="4">
        <v>177.9</v>
      </c>
      <c r="I22" s="4">
        <v>36.4</v>
      </c>
      <c r="L22" s="4">
        <v>37.299999999999997</v>
      </c>
      <c r="N22" s="4">
        <v>15.6</v>
      </c>
      <c r="O22" s="4">
        <f>I22+L22-N22</f>
        <v>58.099999999999987</v>
      </c>
      <c r="P22" s="4">
        <v>5.93</v>
      </c>
      <c r="Q22" s="10">
        <v>1.13391737</v>
      </c>
      <c r="R22" s="4">
        <f>O22*1000/P22*Q22*100/365.2425/24/60/60</f>
        <v>3.5205279605831093E-2</v>
      </c>
      <c r="S22">
        <f>I22*1000/P22*Q22*100/365.2425/24/60/60</f>
        <v>2.2056319753050814E-2</v>
      </c>
      <c r="T22"/>
      <c r="V22" s="4" t="s">
        <v>281</v>
      </c>
      <c r="W22" s="4" t="s">
        <v>281</v>
      </c>
      <c r="X22" s="4" t="s">
        <v>281</v>
      </c>
      <c r="Y22" s="4" t="s">
        <v>281</v>
      </c>
      <c r="AA22" s="4" t="s">
        <v>214</v>
      </c>
      <c r="AB22" s="4" t="s">
        <v>280</v>
      </c>
    </row>
    <row r="23" spans="1:28" s="4" customFormat="1" x14ac:dyDescent="0.2">
      <c r="A23" s="4" t="s">
        <v>248</v>
      </c>
      <c r="B23" s="4" t="s">
        <v>118</v>
      </c>
      <c r="C23" s="4">
        <v>40</v>
      </c>
      <c r="D23" s="4">
        <f>115+26/60</f>
        <v>115.43333333333334</v>
      </c>
      <c r="E23" s="4">
        <v>1100</v>
      </c>
      <c r="F23" s="4">
        <v>2015</v>
      </c>
      <c r="G23" s="4" t="s">
        <v>35</v>
      </c>
      <c r="H23" s="4">
        <v>39.799999999999997</v>
      </c>
      <c r="I23" s="4">
        <v>15.8</v>
      </c>
      <c r="J23" s="4">
        <v>3.6</v>
      </c>
      <c r="P23" s="4">
        <v>2.5</v>
      </c>
      <c r="Q23" s="10">
        <v>1.1469965499999999</v>
      </c>
      <c r="S23">
        <f t="shared" ref="S23:S39" si="1">I23*1000/P23*Q23*100/365.2425/24/60/60</f>
        <v>2.2971224204416187E-2</v>
      </c>
      <c r="T23"/>
      <c r="V23" s="4" t="s">
        <v>253</v>
      </c>
      <c r="Y23" s="4" t="s">
        <v>253</v>
      </c>
      <c r="AB23" s="4" t="s">
        <v>249</v>
      </c>
    </row>
    <row r="24" spans="1:28" s="4" customFormat="1" x14ac:dyDescent="0.2">
      <c r="A24" s="4" t="s">
        <v>248</v>
      </c>
      <c r="B24" s="4" t="s">
        <v>118</v>
      </c>
      <c r="C24" s="4">
        <v>40</v>
      </c>
      <c r="D24" s="4">
        <f>115+26/60</f>
        <v>115.43333333333334</v>
      </c>
      <c r="E24" s="4">
        <v>1100</v>
      </c>
      <c r="F24" s="4">
        <v>2015</v>
      </c>
      <c r="G24" s="4" t="s">
        <v>35</v>
      </c>
      <c r="H24" s="4">
        <v>63.3</v>
      </c>
      <c r="I24" s="4">
        <v>19.600000000000001</v>
      </c>
      <c r="J24" s="4">
        <v>3.1</v>
      </c>
      <c r="P24" s="4">
        <v>2.5</v>
      </c>
      <c r="Q24" s="10">
        <v>1.1469965499999999</v>
      </c>
      <c r="S24">
        <f t="shared" si="1"/>
        <v>2.849594901307325E-2</v>
      </c>
      <c r="T24"/>
      <c r="V24" s="4" t="s">
        <v>253</v>
      </c>
      <c r="Y24" s="4" t="s">
        <v>253</v>
      </c>
      <c r="AB24" s="4" t="s">
        <v>250</v>
      </c>
    </row>
    <row r="25" spans="1:28" s="4" customFormat="1" x14ac:dyDescent="0.2">
      <c r="A25" s="4" t="s">
        <v>248</v>
      </c>
      <c r="B25" s="4" t="s">
        <v>118</v>
      </c>
      <c r="C25" s="4">
        <v>40</v>
      </c>
      <c r="D25" s="4">
        <f>115+26/60</f>
        <v>115.43333333333334</v>
      </c>
      <c r="E25" s="4">
        <v>1100</v>
      </c>
      <c r="F25" s="4">
        <v>2015</v>
      </c>
      <c r="G25" s="4" t="s">
        <v>15</v>
      </c>
      <c r="H25" s="4">
        <v>46.5</v>
      </c>
      <c r="I25" s="4">
        <v>14.1</v>
      </c>
      <c r="J25" s="4">
        <v>3.2</v>
      </c>
      <c r="P25" s="4">
        <v>2.5</v>
      </c>
      <c r="Q25" s="10">
        <v>1.1469965499999999</v>
      </c>
      <c r="S25">
        <f t="shared" si="1"/>
        <v>2.0499636790016981E-2</v>
      </c>
      <c r="T25"/>
      <c r="V25" s="4" t="s">
        <v>253</v>
      </c>
      <c r="Y25" s="4" t="s">
        <v>253</v>
      </c>
      <c r="AB25" s="4" t="s">
        <v>251</v>
      </c>
    </row>
    <row r="26" spans="1:28" s="4" customFormat="1" x14ac:dyDescent="0.2">
      <c r="A26" s="4" t="s">
        <v>248</v>
      </c>
      <c r="B26" s="4" t="s">
        <v>118</v>
      </c>
      <c r="C26" s="4">
        <v>40</v>
      </c>
      <c r="D26" s="4">
        <f>115+26/60</f>
        <v>115.43333333333334</v>
      </c>
      <c r="E26" s="4">
        <v>1100</v>
      </c>
      <c r="F26" s="4">
        <v>2015</v>
      </c>
      <c r="G26" s="4" t="s">
        <v>15</v>
      </c>
      <c r="H26" s="4">
        <v>45.3</v>
      </c>
      <c r="I26" s="4">
        <v>12.9</v>
      </c>
      <c r="J26" s="4">
        <v>3</v>
      </c>
      <c r="P26" s="4">
        <v>2.5</v>
      </c>
      <c r="Q26" s="10">
        <v>1.1469965499999999</v>
      </c>
      <c r="S26">
        <f t="shared" si="1"/>
        <v>1.875498685044107E-2</v>
      </c>
      <c r="T26"/>
      <c r="V26" s="4" t="s">
        <v>253</v>
      </c>
      <c r="Y26" s="4" t="s">
        <v>253</v>
      </c>
      <c r="AB26" s="4" t="s">
        <v>252</v>
      </c>
    </row>
    <row r="27" spans="1:28" s="4" customFormat="1" x14ac:dyDescent="0.2">
      <c r="A27" s="4" t="s">
        <v>261</v>
      </c>
      <c r="B27" s="4" t="s">
        <v>118</v>
      </c>
      <c r="C27" s="4">
        <f>25+32/60</f>
        <v>25.533333333333335</v>
      </c>
      <c r="D27" s="4">
        <f>105+31/60</f>
        <v>105.51666666666667</v>
      </c>
      <c r="E27" s="4">
        <v>1500</v>
      </c>
      <c r="F27" s="4" t="s">
        <v>264</v>
      </c>
      <c r="G27" s="4" t="s">
        <v>35</v>
      </c>
      <c r="H27" s="4">
        <v>290</v>
      </c>
      <c r="I27" s="4">
        <f>290*5270/10000</f>
        <v>152.83000000000001</v>
      </c>
      <c r="K27" s="4">
        <v>29.4</v>
      </c>
      <c r="L27" s="4">
        <f>29.4*723.5/1000</f>
        <v>21.270899999999997</v>
      </c>
      <c r="M27" s="4">
        <v>14.5</v>
      </c>
      <c r="N27" s="4">
        <f>14.5*1315.5/1000</f>
        <v>19.074750000000002</v>
      </c>
      <c r="O27" s="4">
        <f>I27+L27-N27</f>
        <v>155.02615000000003</v>
      </c>
      <c r="Q27" s="14"/>
      <c r="R27"/>
      <c r="S27"/>
      <c r="T27"/>
      <c r="U27" s="4" t="s">
        <v>262</v>
      </c>
      <c r="V27" s="4" t="s">
        <v>265</v>
      </c>
      <c r="W27" s="4" t="s">
        <v>265</v>
      </c>
      <c r="X27" s="4" t="s">
        <v>265</v>
      </c>
      <c r="AB27" s="4" t="s">
        <v>309</v>
      </c>
    </row>
    <row r="28" spans="1:28" s="4" customFormat="1" x14ac:dyDescent="0.2">
      <c r="A28" s="4" t="s">
        <v>263</v>
      </c>
      <c r="B28" s="4" t="s">
        <v>118</v>
      </c>
      <c r="C28" s="4">
        <f>26+15/60</f>
        <v>26.25</v>
      </c>
      <c r="D28" s="4">
        <f>105+46/60</f>
        <v>105.76666666666667</v>
      </c>
      <c r="E28" s="4">
        <v>1400</v>
      </c>
      <c r="F28" s="4" t="s">
        <v>264</v>
      </c>
      <c r="G28" s="4" t="s">
        <v>21</v>
      </c>
      <c r="H28" s="4">
        <v>65</v>
      </c>
      <c r="I28" s="4">
        <f>65*4830/10000</f>
        <v>31.395</v>
      </c>
      <c r="K28" s="4">
        <v>23</v>
      </c>
      <c r="L28" s="4">
        <f>23*775.8/1000</f>
        <v>17.843399999999999</v>
      </c>
      <c r="M28" s="4">
        <v>11.1</v>
      </c>
      <c r="N28" s="4">
        <f>11.1*1193.6/1000</f>
        <v>13.248959999999999</v>
      </c>
      <c r="O28" s="4">
        <f>I28+L28-N28</f>
        <v>35.989440000000002</v>
      </c>
      <c r="P28" s="4">
        <f>AVERAGE(2.15,3.05)</f>
        <v>2.5999999999999996</v>
      </c>
      <c r="Q28" s="10">
        <v>1.2764809699999999</v>
      </c>
      <c r="R28" s="4">
        <f>O28*1000/P28*Q28*100/365.2425/24/60/60</f>
        <v>5.5991362587085786E-2</v>
      </c>
      <c r="S28">
        <f t="shared" si="1"/>
        <v>4.8843461538205596E-2</v>
      </c>
      <c r="T28"/>
      <c r="V28" s="4" t="s">
        <v>265</v>
      </c>
      <c r="W28" s="4" t="s">
        <v>265</v>
      </c>
      <c r="X28" s="4" t="s">
        <v>265</v>
      </c>
      <c r="Y28" s="4" t="s">
        <v>265</v>
      </c>
      <c r="AB28" s="4" t="s">
        <v>310</v>
      </c>
    </row>
    <row r="29" spans="1:28" x14ac:dyDescent="0.2">
      <c r="A29" s="4" t="s">
        <v>275</v>
      </c>
      <c r="B29" s="4" t="s">
        <v>118</v>
      </c>
      <c r="C29" s="4">
        <v>21.1</v>
      </c>
      <c r="D29">
        <v>110.3</v>
      </c>
      <c r="F29" s="4">
        <v>2008</v>
      </c>
      <c r="G29" s="4" t="s">
        <v>274</v>
      </c>
      <c r="H29">
        <f>AVERAGE(385,419,860,511,598,614,2130,415)</f>
        <v>741.5</v>
      </c>
      <c r="I29">
        <f>AVERAGE(93.2,569,321,60.5)</f>
        <v>260.92500000000001</v>
      </c>
      <c r="P29" s="4"/>
      <c r="Q29" s="14"/>
      <c r="U29" t="s">
        <v>199</v>
      </c>
      <c r="V29" s="4" t="s">
        <v>276</v>
      </c>
      <c r="AB29" s="4" t="s">
        <v>384</v>
      </c>
    </row>
    <row r="30" spans="1:28" x14ac:dyDescent="0.2">
      <c r="A30" t="s">
        <v>47</v>
      </c>
      <c r="B30" t="s">
        <v>72</v>
      </c>
      <c r="C30">
        <v>-1.3</v>
      </c>
      <c r="D30">
        <v>-62.3</v>
      </c>
      <c r="F30">
        <v>2003</v>
      </c>
      <c r="G30" t="s">
        <v>49</v>
      </c>
      <c r="H30">
        <v>48</v>
      </c>
      <c r="I30">
        <v>43</v>
      </c>
      <c r="J30">
        <v>15</v>
      </c>
      <c r="N30">
        <v>22.9</v>
      </c>
      <c r="P30">
        <v>1.04</v>
      </c>
      <c r="Q30" s="10">
        <v>1.1069077746961899</v>
      </c>
      <c r="S30">
        <f t="shared" si="1"/>
        <v>0.14502788211641124</v>
      </c>
      <c r="V30" t="s">
        <v>46</v>
      </c>
      <c r="X30" t="s">
        <v>46</v>
      </c>
      <c r="Y30" t="s">
        <v>375</v>
      </c>
      <c r="AA30" t="s">
        <v>54</v>
      </c>
      <c r="AB30" t="s">
        <v>48</v>
      </c>
    </row>
    <row r="31" spans="1:28" x14ac:dyDescent="0.2">
      <c r="A31" t="s">
        <v>60</v>
      </c>
      <c r="B31" t="s">
        <v>72</v>
      </c>
      <c r="C31">
        <v>4.18</v>
      </c>
      <c r="D31">
        <v>-52.49</v>
      </c>
      <c r="F31" s="8" t="s">
        <v>70</v>
      </c>
      <c r="G31" t="s">
        <v>49</v>
      </c>
      <c r="H31">
        <v>119</v>
      </c>
      <c r="I31">
        <f>H31*8.15/10</f>
        <v>96.984999999999999</v>
      </c>
      <c r="P31">
        <v>1.04</v>
      </c>
      <c r="Q31" s="10">
        <v>1.1069077746961899</v>
      </c>
      <c r="S31">
        <f t="shared" si="1"/>
        <v>0.32710532900139866</v>
      </c>
      <c r="V31" t="s">
        <v>69</v>
      </c>
      <c r="Y31" t="s">
        <v>375</v>
      </c>
      <c r="AA31" t="s">
        <v>54</v>
      </c>
      <c r="AB31" t="s">
        <v>378</v>
      </c>
    </row>
    <row r="32" spans="1:28" x14ac:dyDescent="0.2">
      <c r="A32" t="s">
        <v>376</v>
      </c>
      <c r="B32" t="s">
        <v>72</v>
      </c>
      <c r="C32">
        <v>-4.21</v>
      </c>
      <c r="D32">
        <v>-50.3</v>
      </c>
      <c r="F32" s="8" t="s">
        <v>70</v>
      </c>
      <c r="G32" t="s">
        <v>49</v>
      </c>
      <c r="H32">
        <v>114</v>
      </c>
      <c r="I32">
        <f t="shared" ref="I32:I36" si="2">H32*8.15/10</f>
        <v>92.91</v>
      </c>
      <c r="P32">
        <v>1.04</v>
      </c>
      <c r="Q32" s="10">
        <v>1.1069077746961899</v>
      </c>
      <c r="S32">
        <f t="shared" si="1"/>
        <v>0.31336140761478526</v>
      </c>
      <c r="V32" t="s">
        <v>69</v>
      </c>
      <c r="Y32" t="s">
        <v>375</v>
      </c>
      <c r="AA32" t="s">
        <v>54</v>
      </c>
      <c r="AB32" t="s">
        <v>378</v>
      </c>
    </row>
    <row r="33" spans="1:28" x14ac:dyDescent="0.2">
      <c r="A33" t="s">
        <v>377</v>
      </c>
      <c r="B33" t="s">
        <v>72</v>
      </c>
      <c r="C33">
        <v>-3.12</v>
      </c>
      <c r="D33">
        <v>-54.63</v>
      </c>
      <c r="F33" s="8" t="s">
        <v>70</v>
      </c>
      <c r="G33" t="s">
        <v>49</v>
      </c>
      <c r="H33">
        <v>82</v>
      </c>
      <c r="I33">
        <f t="shared" si="2"/>
        <v>66.830000000000013</v>
      </c>
      <c r="P33">
        <v>1.04</v>
      </c>
      <c r="Q33" s="10">
        <v>1.1069077746961899</v>
      </c>
      <c r="S33">
        <f t="shared" si="1"/>
        <v>0.22540031074045963</v>
      </c>
      <c r="V33" t="s">
        <v>69</v>
      </c>
      <c r="Y33" t="s">
        <v>375</v>
      </c>
      <c r="AA33" t="s">
        <v>54</v>
      </c>
      <c r="AB33" t="s">
        <v>378</v>
      </c>
    </row>
    <row r="34" spans="1:28" x14ac:dyDescent="0.2">
      <c r="A34" t="s">
        <v>55</v>
      </c>
      <c r="B34" t="s">
        <v>72</v>
      </c>
      <c r="C34">
        <v>-9.8699999999999992</v>
      </c>
      <c r="D34">
        <v>-56.1</v>
      </c>
      <c r="F34">
        <v>2004</v>
      </c>
      <c r="G34" t="s">
        <v>49</v>
      </c>
      <c r="H34">
        <v>60</v>
      </c>
      <c r="I34">
        <f t="shared" si="2"/>
        <v>48.9</v>
      </c>
      <c r="P34">
        <v>1.04</v>
      </c>
      <c r="Q34" s="10">
        <v>1.1069077746961899</v>
      </c>
      <c r="S34">
        <f t="shared" si="1"/>
        <v>0.16492705663936064</v>
      </c>
      <c r="V34" t="s">
        <v>64</v>
      </c>
      <c r="Y34" t="s">
        <v>375</v>
      </c>
      <c r="AA34" t="s">
        <v>54</v>
      </c>
      <c r="AB34" t="s">
        <v>378</v>
      </c>
    </row>
    <row r="35" spans="1:28" x14ac:dyDescent="0.2">
      <c r="A35" t="s">
        <v>55</v>
      </c>
      <c r="B35" t="s">
        <v>72</v>
      </c>
      <c r="C35">
        <v>-9.8699999999999992</v>
      </c>
      <c r="D35">
        <v>-56.1</v>
      </c>
      <c r="F35">
        <v>2005</v>
      </c>
      <c r="G35" t="s">
        <v>49</v>
      </c>
      <c r="H35">
        <v>111</v>
      </c>
      <c r="I35">
        <f t="shared" si="2"/>
        <v>90.465000000000003</v>
      </c>
      <c r="P35">
        <v>1.04</v>
      </c>
      <c r="Q35" s="10">
        <v>1.1069077746961899</v>
      </c>
      <c r="S35">
        <f t="shared" si="1"/>
        <v>0.3051150547828172</v>
      </c>
      <c r="V35" t="s">
        <v>64</v>
      </c>
      <c r="Y35" t="s">
        <v>375</v>
      </c>
      <c r="AA35" t="s">
        <v>54</v>
      </c>
      <c r="AB35" t="s">
        <v>378</v>
      </c>
    </row>
    <row r="36" spans="1:28" x14ac:dyDescent="0.2">
      <c r="A36" t="s">
        <v>57</v>
      </c>
      <c r="B36" t="s">
        <v>72</v>
      </c>
      <c r="C36">
        <f>-10-1/60-43/3600</f>
        <v>-10.028611111111111</v>
      </c>
      <c r="D36">
        <v>-67.680000000000007</v>
      </c>
      <c r="F36">
        <v>2011</v>
      </c>
      <c r="G36" t="s">
        <v>59</v>
      </c>
      <c r="H36">
        <v>40</v>
      </c>
      <c r="I36">
        <f t="shared" si="2"/>
        <v>32.6</v>
      </c>
      <c r="P36">
        <v>1.04</v>
      </c>
      <c r="Q36" s="10">
        <v>1.1069077746961899</v>
      </c>
      <c r="S36">
        <f t="shared" si="1"/>
        <v>0.10995137109290712</v>
      </c>
      <c r="V36" t="s">
        <v>58</v>
      </c>
      <c r="Y36" t="s">
        <v>375</v>
      </c>
      <c r="AA36" t="s">
        <v>54</v>
      </c>
      <c r="AB36" t="s">
        <v>378</v>
      </c>
    </row>
    <row r="37" spans="1:28" x14ac:dyDescent="0.2">
      <c r="A37" t="s">
        <v>55</v>
      </c>
      <c r="B37" t="s">
        <v>72</v>
      </c>
      <c r="C37">
        <v>-9.9499999999999993</v>
      </c>
      <c r="D37">
        <v>-56.33</v>
      </c>
      <c r="F37">
        <v>2013</v>
      </c>
      <c r="G37" t="s">
        <v>49</v>
      </c>
      <c r="H37">
        <v>55</v>
      </c>
      <c r="I37">
        <f>H37*8.15/10</f>
        <v>44.825000000000003</v>
      </c>
      <c r="P37">
        <v>1.04</v>
      </c>
      <c r="Q37" s="10">
        <v>1.1069077746961899</v>
      </c>
      <c r="S37">
        <f t="shared" si="1"/>
        <v>0.15118313525274726</v>
      </c>
      <c r="V37" t="s">
        <v>54</v>
      </c>
      <c r="AA37" t="s">
        <v>54</v>
      </c>
      <c r="AB37" s="8" t="s">
        <v>378</v>
      </c>
    </row>
    <row r="38" spans="1:28" x14ac:dyDescent="0.2">
      <c r="A38" t="s">
        <v>56</v>
      </c>
      <c r="B38" t="s">
        <v>72</v>
      </c>
      <c r="C38">
        <v>-8.73</v>
      </c>
      <c r="D38">
        <v>-63.47</v>
      </c>
      <c r="F38">
        <v>2013</v>
      </c>
      <c r="G38" t="s">
        <v>49</v>
      </c>
      <c r="H38">
        <v>61</v>
      </c>
      <c r="I38">
        <f>H38*8.15/10</f>
        <v>49.715000000000003</v>
      </c>
      <c r="P38">
        <v>1.04</v>
      </c>
      <c r="Q38" s="10">
        <v>1.1069077746961899</v>
      </c>
      <c r="S38">
        <f t="shared" si="1"/>
        <v>0.16767584091668333</v>
      </c>
      <c r="V38" t="s">
        <v>54</v>
      </c>
      <c r="AA38" t="s">
        <v>54</v>
      </c>
      <c r="AB38" s="8" t="s">
        <v>378</v>
      </c>
    </row>
    <row r="39" spans="1:28" x14ac:dyDescent="0.2">
      <c r="A39" t="s">
        <v>56</v>
      </c>
      <c r="B39" t="s">
        <v>72</v>
      </c>
      <c r="C39">
        <v>-8.6300000000000008</v>
      </c>
      <c r="D39">
        <v>-63.35</v>
      </c>
      <c r="F39">
        <v>2014</v>
      </c>
      <c r="G39" t="s">
        <v>49</v>
      </c>
      <c r="H39">
        <v>57</v>
      </c>
      <c r="I39">
        <f>H39*8.15/10</f>
        <v>46.454999999999998</v>
      </c>
      <c r="P39">
        <v>1.04</v>
      </c>
      <c r="Q39" s="10">
        <v>1.1069077746961899</v>
      </c>
      <c r="S39">
        <f t="shared" si="1"/>
        <v>0.15668070380739263</v>
      </c>
      <c r="V39" t="s">
        <v>54</v>
      </c>
      <c r="AA39" t="s">
        <v>54</v>
      </c>
      <c r="AB39" s="8" t="s">
        <v>378</v>
      </c>
    </row>
    <row r="40" spans="1:28" x14ac:dyDescent="0.2">
      <c r="A40" t="s">
        <v>60</v>
      </c>
      <c r="B40" t="s">
        <v>72</v>
      </c>
      <c r="C40">
        <f>AVERAGE(4+5/60,3+43/60+44.5/3600)</f>
        <v>3.9061805555555553</v>
      </c>
      <c r="D40">
        <f>AVERAGE(-52-41/60, -53-2/60-18.4/3600)</f>
        <v>-52.860888888888887</v>
      </c>
      <c r="F40" t="s">
        <v>61</v>
      </c>
      <c r="G40" t="s">
        <v>49</v>
      </c>
      <c r="H40">
        <v>64</v>
      </c>
      <c r="I40">
        <v>45</v>
      </c>
      <c r="J40">
        <v>10</v>
      </c>
      <c r="V40" t="s">
        <v>62</v>
      </c>
      <c r="AA40" t="s">
        <v>17</v>
      </c>
      <c r="AB40" t="s">
        <v>63</v>
      </c>
    </row>
    <row r="41" spans="1:28" x14ac:dyDescent="0.2">
      <c r="A41" t="s">
        <v>66</v>
      </c>
      <c r="B41" t="s">
        <v>72</v>
      </c>
      <c r="C41">
        <v>-3.7</v>
      </c>
      <c r="D41">
        <v>-55.5</v>
      </c>
      <c r="G41" t="s">
        <v>49</v>
      </c>
      <c r="H41">
        <v>73</v>
      </c>
      <c r="I41">
        <v>52</v>
      </c>
      <c r="U41" t="s">
        <v>68</v>
      </c>
      <c r="V41" t="s">
        <v>67</v>
      </c>
      <c r="AA41" t="s">
        <v>17</v>
      </c>
      <c r="AB41" t="s">
        <v>386</v>
      </c>
    </row>
    <row r="42" spans="1:28" x14ac:dyDescent="0.2">
      <c r="A42" t="s">
        <v>73</v>
      </c>
      <c r="B42" t="s">
        <v>72</v>
      </c>
      <c r="C42">
        <v>-23.14</v>
      </c>
      <c r="D42">
        <v>-44.18</v>
      </c>
      <c r="E42">
        <v>280</v>
      </c>
      <c r="F42">
        <v>1997</v>
      </c>
      <c r="G42" t="s">
        <v>49</v>
      </c>
      <c r="H42">
        <v>131</v>
      </c>
      <c r="I42">
        <v>122</v>
      </c>
      <c r="U42" t="s">
        <v>379</v>
      </c>
      <c r="V42" t="s">
        <v>74</v>
      </c>
      <c r="AA42" t="s">
        <v>17</v>
      </c>
      <c r="AB42" t="s">
        <v>75</v>
      </c>
    </row>
    <row r="43" spans="1:28" x14ac:dyDescent="0.2">
      <c r="A43" t="s">
        <v>76</v>
      </c>
      <c r="B43" t="s">
        <v>72</v>
      </c>
      <c r="C43">
        <v>-22.31</v>
      </c>
      <c r="D43">
        <v>-44.59</v>
      </c>
      <c r="E43">
        <v>1400</v>
      </c>
      <c r="F43" t="s">
        <v>33</v>
      </c>
      <c r="G43" t="s">
        <v>49</v>
      </c>
      <c r="H43">
        <v>58</v>
      </c>
      <c r="I43">
        <v>34.6</v>
      </c>
      <c r="J43">
        <v>1.2</v>
      </c>
      <c r="V43" t="s">
        <v>78</v>
      </c>
      <c r="AA43" t="s">
        <v>17</v>
      </c>
      <c r="AB43" t="s">
        <v>380</v>
      </c>
    </row>
    <row r="44" spans="1:28" x14ac:dyDescent="0.2">
      <c r="A44" t="s">
        <v>79</v>
      </c>
      <c r="B44" t="s">
        <v>72</v>
      </c>
      <c r="C44">
        <f>-2-30/60</f>
        <v>-2.5</v>
      </c>
      <c r="D44">
        <v>-60</v>
      </c>
      <c r="F44" t="s">
        <v>43</v>
      </c>
      <c r="G44" t="s">
        <v>49</v>
      </c>
      <c r="K44">
        <v>41</v>
      </c>
      <c r="L44">
        <v>23.6</v>
      </c>
      <c r="M44">
        <v>24</v>
      </c>
      <c r="N44">
        <v>24.4</v>
      </c>
      <c r="W44" t="s">
        <v>81</v>
      </c>
      <c r="X44" t="s">
        <v>81</v>
      </c>
      <c r="AA44" t="s">
        <v>85</v>
      </c>
      <c r="AB44" t="s">
        <v>83</v>
      </c>
    </row>
    <row r="45" spans="1:28" x14ac:dyDescent="0.2">
      <c r="A45" t="s">
        <v>80</v>
      </c>
      <c r="B45" t="s">
        <v>72</v>
      </c>
      <c r="C45">
        <f>-2-56/60</f>
        <v>-2.9333333333333336</v>
      </c>
      <c r="D45">
        <f>-60-58/60</f>
        <v>-60.966666666666669</v>
      </c>
      <c r="F45" t="s">
        <v>43</v>
      </c>
      <c r="G45" t="s">
        <v>49</v>
      </c>
      <c r="K45">
        <v>14</v>
      </c>
      <c r="L45">
        <v>13.7</v>
      </c>
      <c r="M45">
        <v>15</v>
      </c>
      <c r="N45">
        <v>21.7</v>
      </c>
      <c r="W45" t="s">
        <v>81</v>
      </c>
      <c r="X45" t="s">
        <v>81</v>
      </c>
      <c r="AA45" t="s">
        <v>85</v>
      </c>
      <c r="AB45" t="s">
        <v>83</v>
      </c>
    </row>
    <row r="46" spans="1:28" x14ac:dyDescent="0.2">
      <c r="A46" t="s">
        <v>82</v>
      </c>
      <c r="B46" t="s">
        <v>72</v>
      </c>
      <c r="C46">
        <f>55/60+5/3600</f>
        <v>0.91805555555555551</v>
      </c>
      <c r="D46">
        <f>-51-59/60-1.5/3600</f>
        <v>-51.983750000000001</v>
      </c>
      <c r="F46" t="s">
        <v>86</v>
      </c>
      <c r="G46" t="s">
        <v>49</v>
      </c>
      <c r="K46">
        <v>47.9</v>
      </c>
      <c r="L46">
        <v>72</v>
      </c>
      <c r="M46">
        <v>9.1999999999999993</v>
      </c>
      <c r="N46">
        <v>18.2</v>
      </c>
      <c r="W46" t="s">
        <v>84</v>
      </c>
      <c r="X46" t="s">
        <v>84</v>
      </c>
      <c r="AA46" t="s">
        <v>17</v>
      </c>
      <c r="AB46" t="s">
        <v>87</v>
      </c>
    </row>
    <row r="47" spans="1:28" x14ac:dyDescent="0.2">
      <c r="A47" t="s">
        <v>330</v>
      </c>
      <c r="B47" t="s">
        <v>72</v>
      </c>
      <c r="C47">
        <f>-21-36/60</f>
        <v>-21.6</v>
      </c>
      <c r="D47">
        <f>-41-3/60</f>
        <v>-41.05</v>
      </c>
      <c r="F47">
        <v>2006</v>
      </c>
      <c r="G47" t="s">
        <v>331</v>
      </c>
      <c r="H47">
        <v>31</v>
      </c>
      <c r="I47">
        <v>24</v>
      </c>
      <c r="V47" t="s">
        <v>332</v>
      </c>
      <c r="AB47" t="s">
        <v>387</v>
      </c>
    </row>
    <row r="48" spans="1:28" x14ac:dyDescent="0.2">
      <c r="A48" t="s">
        <v>50</v>
      </c>
      <c r="B48" t="s">
        <v>72</v>
      </c>
      <c r="C48">
        <f>AVERAGE(-23-13/60-18/3600,-23-16/60-10/3600)</f>
        <v>-23.245555555555555</v>
      </c>
      <c r="D48">
        <f>-45-2/60-53/3600</f>
        <v>-45.048055555555557</v>
      </c>
      <c r="E48">
        <v>1050</v>
      </c>
      <c r="F48">
        <v>2001</v>
      </c>
      <c r="G48" t="s">
        <v>51</v>
      </c>
      <c r="H48">
        <v>72</v>
      </c>
      <c r="I48">
        <v>60</v>
      </c>
      <c r="J48">
        <v>36</v>
      </c>
      <c r="V48" t="s">
        <v>52</v>
      </c>
      <c r="AA48" t="s">
        <v>17</v>
      </c>
      <c r="AB48" t="s">
        <v>53</v>
      </c>
    </row>
    <row r="49" spans="1:28" x14ac:dyDescent="0.2">
      <c r="A49" t="s">
        <v>109</v>
      </c>
      <c r="B49" t="s">
        <v>88</v>
      </c>
      <c r="C49">
        <f>58+4/60</f>
        <v>58.06666666666667</v>
      </c>
      <c r="D49">
        <f>12+3/60</f>
        <v>12.05</v>
      </c>
      <c r="E49">
        <f>AVERAGE(114,140)</f>
        <v>127</v>
      </c>
      <c r="F49" t="s">
        <v>89</v>
      </c>
      <c r="G49" t="s">
        <v>35</v>
      </c>
      <c r="H49">
        <v>125</v>
      </c>
      <c r="I49">
        <v>25</v>
      </c>
      <c r="K49">
        <v>48.4</v>
      </c>
      <c r="L49">
        <v>17.5</v>
      </c>
      <c r="M49">
        <v>13</v>
      </c>
      <c r="N49">
        <v>12</v>
      </c>
      <c r="O49">
        <f>I49+L49-N49</f>
        <v>30.5</v>
      </c>
      <c r="V49" t="s">
        <v>91</v>
      </c>
      <c r="W49" t="s">
        <v>91</v>
      </c>
      <c r="X49" t="s">
        <v>91</v>
      </c>
      <c r="AA49" t="s">
        <v>17</v>
      </c>
      <c r="AB49" t="s">
        <v>372</v>
      </c>
    </row>
    <row r="50" spans="1:28" x14ac:dyDescent="0.2">
      <c r="A50" t="s">
        <v>109</v>
      </c>
      <c r="B50" t="s">
        <v>88</v>
      </c>
      <c r="C50">
        <f>58+4/60</f>
        <v>58.06666666666667</v>
      </c>
      <c r="D50">
        <f>12+3/60</f>
        <v>12.05</v>
      </c>
      <c r="E50">
        <f>AVERAGE(114,140)</f>
        <v>127</v>
      </c>
      <c r="F50" t="s">
        <v>97</v>
      </c>
      <c r="G50" t="s">
        <v>35</v>
      </c>
      <c r="I50">
        <v>10.4</v>
      </c>
      <c r="K50">
        <v>22.8</v>
      </c>
      <c r="L50">
        <f>AVERAGE(15.4,16.5,16.3)</f>
        <v>16.066666666666666</v>
      </c>
      <c r="M50">
        <v>11.9</v>
      </c>
      <c r="N50">
        <f>AVERAGE(13.5,9.7,10.4)</f>
        <v>11.200000000000001</v>
      </c>
      <c r="O50">
        <f>I50+L50-N50</f>
        <v>15.266666666666667</v>
      </c>
      <c r="V50" t="s">
        <v>98</v>
      </c>
      <c r="W50" t="s">
        <v>98</v>
      </c>
      <c r="X50" t="s">
        <v>98</v>
      </c>
      <c r="AA50" t="s">
        <v>17</v>
      </c>
      <c r="AB50" t="s">
        <v>99</v>
      </c>
    </row>
    <row r="51" spans="1:28" x14ac:dyDescent="0.2">
      <c r="A51" t="s">
        <v>109</v>
      </c>
      <c r="B51" t="s">
        <v>88</v>
      </c>
      <c r="C51">
        <f>58+4/60</f>
        <v>58.06666666666667</v>
      </c>
      <c r="D51">
        <f>12+3/60</f>
        <v>12.05</v>
      </c>
      <c r="E51">
        <f>AVERAGE(114,140)</f>
        <v>127</v>
      </c>
      <c r="F51" t="s">
        <v>100</v>
      </c>
      <c r="G51" t="s">
        <v>35</v>
      </c>
      <c r="I51">
        <v>23</v>
      </c>
      <c r="V51" t="s">
        <v>105</v>
      </c>
      <c r="W51" t="s">
        <v>105</v>
      </c>
      <c r="X51" t="s">
        <v>105</v>
      </c>
      <c r="AA51" t="s">
        <v>17</v>
      </c>
      <c r="AB51" t="s">
        <v>112</v>
      </c>
    </row>
    <row r="52" spans="1:28" x14ac:dyDescent="0.2">
      <c r="A52" t="s">
        <v>109</v>
      </c>
      <c r="B52" t="s">
        <v>88</v>
      </c>
      <c r="C52">
        <f>58+4/60</f>
        <v>58.06666666666667</v>
      </c>
      <c r="D52">
        <f>12+3/60</f>
        <v>12.05</v>
      </c>
      <c r="E52">
        <f>AVERAGE(114,140)</f>
        <v>127</v>
      </c>
      <c r="F52" t="s">
        <v>97</v>
      </c>
      <c r="G52" t="s">
        <v>35</v>
      </c>
      <c r="I52">
        <f>AVERAGE(21,25)</f>
        <v>23</v>
      </c>
      <c r="L52">
        <f>AVERAGE(15.3,16.5,16.3)</f>
        <v>16.033333333333335</v>
      </c>
      <c r="N52">
        <f>AVERAGE(13.5,9.7, 10.4)</f>
        <v>11.200000000000001</v>
      </c>
      <c r="O52">
        <f>I52+L52-N52</f>
        <v>27.833333333333329</v>
      </c>
      <c r="V52" t="s">
        <v>105</v>
      </c>
      <c r="W52" t="s">
        <v>110</v>
      </c>
      <c r="X52" t="s">
        <v>110</v>
      </c>
      <c r="AA52" t="s">
        <v>17</v>
      </c>
      <c r="AB52" t="s">
        <v>111</v>
      </c>
    </row>
    <row r="53" spans="1:28" x14ac:dyDescent="0.2">
      <c r="A53" t="s">
        <v>109</v>
      </c>
      <c r="B53" t="s">
        <v>88</v>
      </c>
      <c r="C53">
        <f>58+4/60</f>
        <v>58.06666666666667</v>
      </c>
      <c r="D53">
        <f>12+3/60</f>
        <v>12.05</v>
      </c>
      <c r="E53">
        <f>AVERAGE(114,140)</f>
        <v>127</v>
      </c>
      <c r="F53" t="s">
        <v>282</v>
      </c>
      <c r="G53" t="s">
        <v>35</v>
      </c>
      <c r="I53">
        <v>38</v>
      </c>
      <c r="L53">
        <v>17</v>
      </c>
      <c r="P53">
        <v>1.6</v>
      </c>
      <c r="Q53" s="10">
        <v>1.0436269199999999</v>
      </c>
      <c r="S53">
        <f t="shared" ref="S53" si="3">I53*1000/P53*Q53*100/365.2425/24/60/60</f>
        <v>7.8544148845553899E-2</v>
      </c>
      <c r="V53" t="s">
        <v>284</v>
      </c>
      <c r="W53" t="s">
        <v>284</v>
      </c>
      <c r="Y53" t="s">
        <v>356</v>
      </c>
      <c r="AB53" t="s">
        <v>283</v>
      </c>
    </row>
    <row r="54" spans="1:28" x14ac:dyDescent="0.2">
      <c r="A54" t="s">
        <v>287</v>
      </c>
      <c r="B54" t="s">
        <v>88</v>
      </c>
      <c r="C54">
        <v>60.14</v>
      </c>
      <c r="D54">
        <v>10.39</v>
      </c>
      <c r="E54">
        <v>500</v>
      </c>
      <c r="F54" t="s">
        <v>92</v>
      </c>
      <c r="G54" t="s">
        <v>90</v>
      </c>
      <c r="H54">
        <f>AVERAGE(28,32.7,50.2)</f>
        <v>36.966666666666669</v>
      </c>
      <c r="I54">
        <v>2.7</v>
      </c>
      <c r="L54">
        <v>6.7</v>
      </c>
      <c r="V54" t="s">
        <v>93</v>
      </c>
      <c r="W54" t="s">
        <v>93</v>
      </c>
      <c r="AA54" t="s">
        <v>17</v>
      </c>
      <c r="AB54" t="s">
        <v>388</v>
      </c>
    </row>
    <row r="55" spans="1:28" x14ac:dyDescent="0.2">
      <c r="A55" t="s">
        <v>94</v>
      </c>
      <c r="B55" t="s">
        <v>88</v>
      </c>
      <c r="C55">
        <f>64+14/60</f>
        <v>64.233333333333334</v>
      </c>
      <c r="D55">
        <f>19+46/60</f>
        <v>19.766666666666666</v>
      </c>
      <c r="F55" t="s">
        <v>95</v>
      </c>
      <c r="G55" t="s">
        <v>90</v>
      </c>
      <c r="I55">
        <v>17</v>
      </c>
      <c r="L55">
        <v>15</v>
      </c>
      <c r="N55">
        <v>7</v>
      </c>
      <c r="O55">
        <f>I55+L55-N55</f>
        <v>25</v>
      </c>
      <c r="V55" t="s">
        <v>96</v>
      </c>
      <c r="W55" t="s">
        <v>96</v>
      </c>
      <c r="X55" t="s">
        <v>96</v>
      </c>
      <c r="AA55" t="s">
        <v>17</v>
      </c>
    </row>
    <row r="56" spans="1:28" x14ac:dyDescent="0.2">
      <c r="A56" t="s">
        <v>94</v>
      </c>
      <c r="B56" t="s">
        <v>88</v>
      </c>
      <c r="C56">
        <f>64+14/60+41.2/3600</f>
        <v>64.244777777777784</v>
      </c>
      <c r="D56">
        <f>19+45/60+55.2/3600</f>
        <v>19.765333333333334</v>
      </c>
      <c r="F56">
        <v>2018</v>
      </c>
      <c r="G56" t="s">
        <v>35</v>
      </c>
      <c r="I56">
        <v>5.8</v>
      </c>
      <c r="P56">
        <v>1.288</v>
      </c>
      <c r="Q56" s="10">
        <v>1.03166738</v>
      </c>
      <c r="S56">
        <f t="shared" ref="S56:S68" si="4">I56*1000/P56*Q56*100/365.2425/24/60/60</f>
        <v>1.4721659892763826E-2</v>
      </c>
      <c r="V56" t="s">
        <v>326</v>
      </c>
      <c r="Y56" t="s">
        <v>357</v>
      </c>
      <c r="AB56" t="s">
        <v>325</v>
      </c>
    </row>
    <row r="57" spans="1:28" x14ac:dyDescent="0.2">
      <c r="A57" t="s">
        <v>102</v>
      </c>
      <c r="B57" t="s">
        <v>88</v>
      </c>
      <c r="C57">
        <f>49+52/60+23/3600</f>
        <v>49.873055555555553</v>
      </c>
      <c r="D57">
        <f>10+27/60+49/3600</f>
        <v>10.46361111111111</v>
      </c>
      <c r="E57">
        <v>500</v>
      </c>
      <c r="F57" t="s">
        <v>103</v>
      </c>
      <c r="G57" t="s">
        <v>15</v>
      </c>
      <c r="H57">
        <v>59</v>
      </c>
      <c r="I57">
        <v>34</v>
      </c>
      <c r="K57">
        <v>28</v>
      </c>
      <c r="L57">
        <v>28.7</v>
      </c>
      <c r="M57">
        <v>19</v>
      </c>
      <c r="N57">
        <v>27.5</v>
      </c>
      <c r="O57">
        <f>I57+L57-N57</f>
        <v>35.200000000000003</v>
      </c>
      <c r="P57">
        <v>1.33</v>
      </c>
      <c r="Q57" s="10">
        <v>1.0799217400000001</v>
      </c>
      <c r="R57" s="4">
        <f>O57*1000/P57*Q57*100/365.2425/24/60/60</f>
        <v>9.0570811162343154E-2</v>
      </c>
      <c r="S57">
        <f t="shared" si="4"/>
        <v>8.7483169872717842E-2</v>
      </c>
      <c r="V57" t="s">
        <v>101</v>
      </c>
      <c r="W57" t="s">
        <v>101</v>
      </c>
      <c r="X57" t="s">
        <v>101</v>
      </c>
      <c r="Y57" t="s">
        <v>358</v>
      </c>
      <c r="AA57" t="s">
        <v>17</v>
      </c>
      <c r="AB57" t="s">
        <v>106</v>
      </c>
    </row>
    <row r="58" spans="1:28" x14ac:dyDescent="0.2">
      <c r="A58" t="s">
        <v>104</v>
      </c>
      <c r="B58" t="s">
        <v>88</v>
      </c>
      <c r="C58">
        <f>50+8/60+35/3600</f>
        <v>50.143055555555556</v>
      </c>
      <c r="D58">
        <f>11+52/60+10/3600</f>
        <v>11.869444444444445</v>
      </c>
      <c r="E58">
        <f>AVERAGE(700, 880)</f>
        <v>790</v>
      </c>
      <c r="F58" t="s">
        <v>103</v>
      </c>
      <c r="G58" t="s">
        <v>90</v>
      </c>
      <c r="H58">
        <v>68</v>
      </c>
      <c r="I58">
        <v>15.7</v>
      </c>
      <c r="K58">
        <v>29</v>
      </c>
      <c r="L58">
        <v>38.4</v>
      </c>
      <c r="M58">
        <v>18</v>
      </c>
      <c r="N58">
        <v>34.9</v>
      </c>
      <c r="O58">
        <f>I58+L58-N58</f>
        <v>19.199999999999996</v>
      </c>
      <c r="P58">
        <v>1.33</v>
      </c>
      <c r="Q58" s="10">
        <v>1.0938906100000001</v>
      </c>
      <c r="R58" s="4">
        <f>O58*1000/P58*Q58*100/365.2425/24/60/60</f>
        <v>5.004128263989862E-2</v>
      </c>
      <c r="S58">
        <f t="shared" si="4"/>
        <v>4.091917382533377E-2</v>
      </c>
      <c r="V58" t="s">
        <v>101</v>
      </c>
      <c r="W58" t="s">
        <v>101</v>
      </c>
      <c r="X58" t="s">
        <v>101</v>
      </c>
      <c r="Y58" t="s">
        <v>358</v>
      </c>
      <c r="AA58" t="s">
        <v>17</v>
      </c>
      <c r="AB58" t="s">
        <v>106</v>
      </c>
    </row>
    <row r="59" spans="1:28" x14ac:dyDescent="0.2">
      <c r="A59" t="s">
        <v>104</v>
      </c>
      <c r="B59" t="s">
        <v>88</v>
      </c>
      <c r="C59">
        <f>50+8/60+35/3600</f>
        <v>50.143055555555556</v>
      </c>
      <c r="D59">
        <f>11+52/60+10/3600</f>
        <v>11.869444444444445</v>
      </c>
      <c r="E59">
        <f>AVERAGE(700, 880)</f>
        <v>790</v>
      </c>
      <c r="F59" t="s">
        <v>103</v>
      </c>
      <c r="G59" t="s">
        <v>90</v>
      </c>
      <c r="H59">
        <v>70</v>
      </c>
      <c r="I59">
        <v>15.1</v>
      </c>
      <c r="K59">
        <v>27</v>
      </c>
      <c r="L59">
        <v>40.1</v>
      </c>
      <c r="P59">
        <v>1.33</v>
      </c>
      <c r="Q59" s="10">
        <v>1.0938906100000001</v>
      </c>
      <c r="S59">
        <f t="shared" si="4"/>
        <v>3.9355383742836945E-2</v>
      </c>
      <c r="V59" t="s">
        <v>108</v>
      </c>
      <c r="W59" t="s">
        <v>108</v>
      </c>
      <c r="Y59" t="s">
        <v>358</v>
      </c>
      <c r="AA59" t="s">
        <v>17</v>
      </c>
      <c r="AB59" t="s">
        <v>107</v>
      </c>
    </row>
    <row r="60" spans="1:28" x14ac:dyDescent="0.2">
      <c r="A60" t="s">
        <v>113</v>
      </c>
      <c r="B60" t="s">
        <v>88</v>
      </c>
      <c r="C60">
        <v>61</v>
      </c>
      <c r="D60">
        <f>24+(45)/60</f>
        <v>24.75</v>
      </c>
      <c r="E60">
        <v>130</v>
      </c>
      <c r="F60" t="s">
        <v>115</v>
      </c>
      <c r="G60" t="s">
        <v>90</v>
      </c>
      <c r="I60">
        <f>N60*7.3</f>
        <v>37.229999999999997</v>
      </c>
      <c r="L60">
        <f>N60*3.1</f>
        <v>15.809999999999999</v>
      </c>
      <c r="N60">
        <v>5.0999999999999996</v>
      </c>
      <c r="O60">
        <f>I60+L60-N60</f>
        <v>47.939999999999991</v>
      </c>
      <c r="V60" t="s">
        <v>114</v>
      </c>
      <c r="W60" t="s">
        <v>114</v>
      </c>
      <c r="X60" t="s">
        <v>114</v>
      </c>
      <c r="AA60" t="s">
        <v>17</v>
      </c>
      <c r="AB60" t="s">
        <v>116</v>
      </c>
    </row>
    <row r="61" spans="1:28" x14ac:dyDescent="0.2">
      <c r="A61" t="s">
        <v>285</v>
      </c>
      <c r="B61" t="s">
        <v>88</v>
      </c>
      <c r="C61">
        <v>57.12</v>
      </c>
      <c r="D61">
        <v>14.55</v>
      </c>
      <c r="F61" t="s">
        <v>282</v>
      </c>
      <c r="G61" t="s">
        <v>35</v>
      </c>
      <c r="H61">
        <v>72.2</v>
      </c>
      <c r="I61">
        <v>19</v>
      </c>
      <c r="K61">
        <v>15.9</v>
      </c>
      <c r="L61">
        <v>8.5</v>
      </c>
      <c r="M61">
        <v>6.6</v>
      </c>
      <c r="N61">
        <f>M61*826/1000</f>
        <v>5.4515999999999991</v>
      </c>
      <c r="O61">
        <f>I61+L61-N61</f>
        <v>22.048400000000001</v>
      </c>
      <c r="P61">
        <v>1.6</v>
      </c>
      <c r="Q61" s="10">
        <v>1.0470559500000001</v>
      </c>
      <c r="R61" s="4">
        <f>O61*1000/P61*Q61*100/365.2425/24/60/60</f>
        <v>4.5722707170792361E-2</v>
      </c>
      <c r="S61">
        <f t="shared" si="4"/>
        <v>3.9401110114341845E-2</v>
      </c>
      <c r="V61" t="s">
        <v>289</v>
      </c>
      <c r="W61" t="s">
        <v>289</v>
      </c>
      <c r="X61" t="s">
        <v>290</v>
      </c>
      <c r="Y61" t="s">
        <v>359</v>
      </c>
      <c r="AB61" t="s">
        <v>291</v>
      </c>
    </row>
    <row r="62" spans="1:28" x14ac:dyDescent="0.2">
      <c r="A62" t="s">
        <v>286</v>
      </c>
      <c r="B62" t="s">
        <v>88</v>
      </c>
      <c r="C62">
        <v>59.77</v>
      </c>
      <c r="D62">
        <v>14.89</v>
      </c>
      <c r="F62" t="s">
        <v>282</v>
      </c>
      <c r="G62" t="s">
        <v>35</v>
      </c>
      <c r="H62">
        <v>50.2</v>
      </c>
      <c r="I62">
        <v>9.9</v>
      </c>
      <c r="K62">
        <v>16.600000000000001</v>
      </c>
      <c r="L62">
        <v>10.1</v>
      </c>
      <c r="M62">
        <v>4.7</v>
      </c>
      <c r="N62">
        <f>M62*914/1000</f>
        <v>4.2957999999999998</v>
      </c>
      <c r="O62">
        <f>I62+L62-N62</f>
        <v>15.7042</v>
      </c>
      <c r="P62">
        <v>1.6</v>
      </c>
      <c r="Q62" s="10">
        <v>1.0466852200000001</v>
      </c>
      <c r="R62" s="4">
        <f t="shared" ref="R62:R68" si="5">O62*1000/P62*Q62*100/365.2425/24/60/60</f>
        <v>3.2554938353845139E-2</v>
      </c>
      <c r="S62">
        <f t="shared" si="4"/>
        <v>2.0522783058230722E-2</v>
      </c>
      <c r="V62" t="s">
        <v>289</v>
      </c>
      <c r="W62" t="s">
        <v>289</v>
      </c>
      <c r="X62" t="s">
        <v>290</v>
      </c>
      <c r="Y62" t="s">
        <v>359</v>
      </c>
      <c r="AB62" t="s">
        <v>291</v>
      </c>
    </row>
    <row r="63" spans="1:28" x14ac:dyDescent="0.2">
      <c r="A63" t="s">
        <v>288</v>
      </c>
      <c r="B63" t="s">
        <v>88</v>
      </c>
      <c r="C63">
        <v>63.87</v>
      </c>
      <c r="D63">
        <v>18.13</v>
      </c>
      <c r="F63" t="s">
        <v>282</v>
      </c>
      <c r="G63" t="s">
        <v>35</v>
      </c>
      <c r="H63">
        <v>56.1</v>
      </c>
      <c r="I63">
        <v>6.8</v>
      </c>
      <c r="L63">
        <v>4.5</v>
      </c>
      <c r="M63">
        <v>2.2000000000000002</v>
      </c>
      <c r="N63">
        <f>M63*640/1000</f>
        <v>1.4079999999999999</v>
      </c>
      <c r="O63">
        <f>I63+L63-N63</f>
        <v>9.8920000000000012</v>
      </c>
      <c r="P63">
        <v>1.71</v>
      </c>
      <c r="Q63" s="10">
        <v>1.0507751700000001</v>
      </c>
      <c r="R63" s="4">
        <f t="shared" si="5"/>
        <v>1.9262060821047523E-2</v>
      </c>
      <c r="S63">
        <f t="shared" si="4"/>
        <v>1.3241206387295101E-2</v>
      </c>
      <c r="V63" t="s">
        <v>289</v>
      </c>
      <c r="W63" t="s">
        <v>284</v>
      </c>
      <c r="X63" t="s">
        <v>290</v>
      </c>
      <c r="Y63" t="s">
        <v>360</v>
      </c>
      <c r="AB63" t="s">
        <v>292</v>
      </c>
    </row>
    <row r="64" spans="1:28" x14ac:dyDescent="0.2">
      <c r="A64" t="s">
        <v>293</v>
      </c>
      <c r="B64" t="s">
        <v>88</v>
      </c>
      <c r="C64">
        <f>42+25/60+15.7/3600</f>
        <v>42.421027777777773</v>
      </c>
      <c r="D64">
        <f>-8-4/60-57.8/3600</f>
        <v>-8.0827222222222215</v>
      </c>
      <c r="E64">
        <v>377</v>
      </c>
      <c r="F64" t="s">
        <v>224</v>
      </c>
      <c r="G64" t="s">
        <v>15</v>
      </c>
      <c r="H64">
        <v>39.299999999999997</v>
      </c>
      <c r="I64">
        <f>AVERAGE(26.3,20.9)</f>
        <v>23.6</v>
      </c>
      <c r="P64">
        <v>1.45</v>
      </c>
      <c r="Q64" s="10">
        <v>1.1241719100000001</v>
      </c>
      <c r="S64">
        <f t="shared" si="4"/>
        <v>5.7980463223968895E-2</v>
      </c>
      <c r="V64" t="s">
        <v>294</v>
      </c>
      <c r="Y64" t="s">
        <v>361</v>
      </c>
    </row>
    <row r="65" spans="1:28" x14ac:dyDescent="0.2">
      <c r="A65" t="s">
        <v>302</v>
      </c>
      <c r="B65" t="s">
        <v>88</v>
      </c>
      <c r="C65">
        <f>49+58/60</f>
        <v>49.966666666666669</v>
      </c>
      <c r="D65">
        <f>14+49/60</f>
        <v>14.816666666666666</v>
      </c>
      <c r="E65">
        <f>AVERAGE(406,505)</f>
        <v>455.5</v>
      </c>
      <c r="F65" t="s">
        <v>295</v>
      </c>
      <c r="G65" t="s">
        <v>15</v>
      </c>
      <c r="H65">
        <v>52</v>
      </c>
      <c r="I65">
        <v>12.9</v>
      </c>
      <c r="K65">
        <v>8.1</v>
      </c>
      <c r="L65">
        <v>3.9</v>
      </c>
      <c r="M65">
        <v>5</v>
      </c>
      <c r="N65">
        <v>2.9</v>
      </c>
      <c r="O65">
        <f>I65+L65-N65</f>
        <v>13.9</v>
      </c>
      <c r="P65">
        <v>1.6</v>
      </c>
      <c r="Q65" s="10">
        <v>1.08592987</v>
      </c>
      <c r="R65" s="4">
        <f t="shared" si="5"/>
        <v>2.9895205803225227E-2</v>
      </c>
      <c r="S65">
        <f t="shared" si="4"/>
        <v>2.774447157277737E-2</v>
      </c>
      <c r="V65" t="s">
        <v>296</v>
      </c>
      <c r="W65" t="s">
        <v>296</v>
      </c>
      <c r="X65" t="s">
        <v>296</v>
      </c>
      <c r="Y65" t="s">
        <v>296</v>
      </c>
      <c r="AB65" t="s">
        <v>77</v>
      </c>
    </row>
    <row r="66" spans="1:28" x14ac:dyDescent="0.2">
      <c r="A66" t="s">
        <v>302</v>
      </c>
      <c r="B66" t="s">
        <v>88</v>
      </c>
      <c r="C66">
        <f>49+58/60</f>
        <v>49.966666666666669</v>
      </c>
      <c r="D66">
        <f>14+49/60</f>
        <v>14.816666666666666</v>
      </c>
      <c r="E66">
        <f>AVERAGE(406,505)</f>
        <v>455.5</v>
      </c>
      <c r="F66" t="s">
        <v>295</v>
      </c>
      <c r="G66" t="s">
        <v>35</v>
      </c>
      <c r="H66">
        <v>63</v>
      </c>
      <c r="I66">
        <v>20.7</v>
      </c>
      <c r="K66">
        <v>10.9</v>
      </c>
      <c r="L66">
        <v>7.6</v>
      </c>
      <c r="M66">
        <v>5</v>
      </c>
      <c r="N66">
        <v>2.9</v>
      </c>
      <c r="O66">
        <f>I66+L66-N66</f>
        <v>25.4</v>
      </c>
      <c r="P66">
        <v>1.6</v>
      </c>
      <c r="Q66" s="10">
        <v>1.08592987</v>
      </c>
      <c r="R66" s="4">
        <f t="shared" si="5"/>
        <v>5.4628649453375602E-2</v>
      </c>
      <c r="S66">
        <f t="shared" si="4"/>
        <v>4.4520198570270661E-2</v>
      </c>
      <c r="V66" t="s">
        <v>296</v>
      </c>
      <c r="W66" t="s">
        <v>296</v>
      </c>
      <c r="X66" t="s">
        <v>296</v>
      </c>
      <c r="Y66" t="s">
        <v>296</v>
      </c>
      <c r="AB66" t="s">
        <v>77</v>
      </c>
    </row>
    <row r="67" spans="1:28" x14ac:dyDescent="0.2">
      <c r="A67" t="s">
        <v>297</v>
      </c>
      <c r="B67" t="s">
        <v>88</v>
      </c>
      <c r="C67">
        <f>48+42/60+59/3600</f>
        <v>48.716388888888893</v>
      </c>
      <c r="D67">
        <f>19+2/60+51/3600</f>
        <v>19.047500000000003</v>
      </c>
      <c r="E67">
        <v>730</v>
      </c>
      <c r="F67">
        <v>2018</v>
      </c>
      <c r="G67" t="s">
        <v>21</v>
      </c>
      <c r="H67">
        <v>170</v>
      </c>
      <c r="I67">
        <v>26.98</v>
      </c>
      <c r="K67">
        <v>150</v>
      </c>
      <c r="L67">
        <v>73.900000000000006</v>
      </c>
      <c r="M67">
        <v>90</v>
      </c>
      <c r="N67">
        <v>51.3</v>
      </c>
      <c r="O67">
        <f>I67+L67-N67</f>
        <v>49.580000000000013</v>
      </c>
      <c r="U67" s="4" t="s">
        <v>262</v>
      </c>
      <c r="V67" t="s">
        <v>299</v>
      </c>
      <c r="W67" t="s">
        <v>299</v>
      </c>
      <c r="X67" t="s">
        <v>299</v>
      </c>
      <c r="AB67" t="s">
        <v>300</v>
      </c>
    </row>
    <row r="68" spans="1:28" x14ac:dyDescent="0.2">
      <c r="A68" t="s">
        <v>298</v>
      </c>
      <c r="B68" t="s">
        <v>88</v>
      </c>
      <c r="C68">
        <f>48+41/60+35/3600</f>
        <v>48.693055555555553</v>
      </c>
      <c r="D68">
        <f>19+3/60+34/3600</f>
        <v>19.059444444444445</v>
      </c>
      <c r="E68">
        <v>740</v>
      </c>
      <c r="F68">
        <v>2018</v>
      </c>
      <c r="G68" t="s">
        <v>21</v>
      </c>
      <c r="H68">
        <v>80</v>
      </c>
      <c r="I68">
        <v>22.94</v>
      </c>
      <c r="K68">
        <v>160</v>
      </c>
      <c r="L68">
        <v>50.7</v>
      </c>
      <c r="M68">
        <v>70</v>
      </c>
      <c r="N68">
        <v>37.200000000000003</v>
      </c>
      <c r="O68">
        <f>I68+L68-N68</f>
        <v>36.44</v>
      </c>
      <c r="P68">
        <v>1.64</v>
      </c>
      <c r="Q68" s="10">
        <v>1.07438729</v>
      </c>
      <c r="R68" s="4">
        <f t="shared" si="5"/>
        <v>7.5648502087397471E-2</v>
      </c>
      <c r="S68">
        <f t="shared" si="4"/>
        <v>4.76228495577634E-2</v>
      </c>
      <c r="V68" t="s">
        <v>299</v>
      </c>
      <c r="W68" t="s">
        <v>299</v>
      </c>
      <c r="X68" t="s">
        <v>299</v>
      </c>
      <c r="Y68" t="s">
        <v>364</v>
      </c>
      <c r="AB68" t="s">
        <v>300</v>
      </c>
    </row>
    <row r="69" spans="1:28" x14ac:dyDescent="0.2">
      <c r="A69" t="s">
        <v>301</v>
      </c>
      <c r="B69" t="s">
        <v>88</v>
      </c>
      <c r="C69">
        <f>50+35/60+26/3600</f>
        <v>50.590555555555561</v>
      </c>
      <c r="D69">
        <f>13+15/60+14/3600</f>
        <v>13.253888888888889</v>
      </c>
      <c r="E69">
        <v>784</v>
      </c>
      <c r="F69" t="s">
        <v>303</v>
      </c>
      <c r="G69" t="s">
        <v>35</v>
      </c>
      <c r="H69">
        <v>63.1</v>
      </c>
      <c r="I69">
        <v>14.5</v>
      </c>
      <c r="V69" t="s">
        <v>305</v>
      </c>
      <c r="AB69" t="s">
        <v>304</v>
      </c>
    </row>
    <row r="70" spans="1:28" x14ac:dyDescent="0.2">
      <c r="A70" t="s">
        <v>301</v>
      </c>
      <c r="B70" t="s">
        <v>88</v>
      </c>
      <c r="C70">
        <f>50+35/60+22/3600</f>
        <v>50.589444444444446</v>
      </c>
      <c r="D70">
        <f>13+16/60+7/3600</f>
        <v>13.268611111111111</v>
      </c>
      <c r="E70">
        <v>823</v>
      </c>
      <c r="F70">
        <v>2004</v>
      </c>
      <c r="G70" t="s">
        <v>15</v>
      </c>
      <c r="H70">
        <v>36.299999999999997</v>
      </c>
      <c r="I70">
        <v>22.5</v>
      </c>
      <c r="V70" t="s">
        <v>305</v>
      </c>
      <c r="AB70" t="s">
        <v>304</v>
      </c>
    </row>
    <row r="71" spans="1:28" x14ac:dyDescent="0.2">
      <c r="A71" t="s">
        <v>315</v>
      </c>
      <c r="B71" t="s">
        <v>88</v>
      </c>
      <c r="C71">
        <v>48.777000000000001</v>
      </c>
      <c r="D71">
        <v>13.867000000000001</v>
      </c>
      <c r="E71">
        <v>1089</v>
      </c>
      <c r="F71" t="s">
        <v>320</v>
      </c>
      <c r="G71" t="s">
        <v>35</v>
      </c>
      <c r="I71">
        <v>43</v>
      </c>
      <c r="M71">
        <v>2.5</v>
      </c>
      <c r="N71">
        <f>AVERAGE(2.6,2.7)</f>
        <v>2.6500000000000004</v>
      </c>
      <c r="V71" t="s">
        <v>321</v>
      </c>
      <c r="X71" t="s">
        <v>321</v>
      </c>
      <c r="AB71" t="s">
        <v>318</v>
      </c>
    </row>
    <row r="72" spans="1:28" x14ac:dyDescent="0.2">
      <c r="A72" t="s">
        <v>316</v>
      </c>
      <c r="B72" t="s">
        <v>88</v>
      </c>
      <c r="C72">
        <v>49.164999999999999</v>
      </c>
      <c r="D72">
        <v>13.198</v>
      </c>
      <c r="E72">
        <v>1028</v>
      </c>
      <c r="F72" t="s">
        <v>317</v>
      </c>
      <c r="G72" t="s">
        <v>35</v>
      </c>
      <c r="I72">
        <v>32</v>
      </c>
      <c r="V72" t="s">
        <v>321</v>
      </c>
      <c r="AB72" t="s">
        <v>319</v>
      </c>
    </row>
    <row r="73" spans="1:28" x14ac:dyDescent="0.2">
      <c r="A73" t="s">
        <v>322</v>
      </c>
      <c r="B73" t="s">
        <v>88</v>
      </c>
      <c r="C73">
        <v>56.16</v>
      </c>
      <c r="D73">
        <v>13.76</v>
      </c>
      <c r="E73">
        <v>130</v>
      </c>
      <c r="F73">
        <v>2003</v>
      </c>
      <c r="G73" t="s">
        <v>15</v>
      </c>
      <c r="H73">
        <v>65</v>
      </c>
      <c r="I73">
        <f>3.2 *1000000/10000/1000*H73</f>
        <v>20.8</v>
      </c>
      <c r="V73" t="s">
        <v>323</v>
      </c>
      <c r="AB73" t="s">
        <v>324</v>
      </c>
    </row>
    <row r="74" spans="1:28" x14ac:dyDescent="0.2">
      <c r="A74" t="s">
        <v>329</v>
      </c>
      <c r="B74" t="s">
        <v>88</v>
      </c>
      <c r="C74">
        <f>60+5/60</f>
        <v>60.083333333333336</v>
      </c>
      <c r="D74">
        <f>17+29/60</f>
        <v>17.483333333333334</v>
      </c>
      <c r="F74">
        <v>2018</v>
      </c>
      <c r="G74" t="s">
        <v>35</v>
      </c>
      <c r="I74">
        <v>9.6999999999999993</v>
      </c>
      <c r="V74" t="s">
        <v>326</v>
      </c>
      <c r="AB74" t="s">
        <v>325</v>
      </c>
    </row>
    <row r="75" spans="1:28" x14ac:dyDescent="0.2">
      <c r="A75" t="s">
        <v>328</v>
      </c>
      <c r="B75" t="s">
        <v>88</v>
      </c>
      <c r="C75">
        <f>56+5/60+52/3600</f>
        <v>56.097777777777779</v>
      </c>
      <c r="D75">
        <f>13+25/60+10/3600</f>
        <v>13.419444444444444</v>
      </c>
      <c r="F75">
        <v>2018</v>
      </c>
      <c r="G75" t="s">
        <v>35</v>
      </c>
      <c r="I75">
        <v>14</v>
      </c>
      <c r="V75" t="s">
        <v>326</v>
      </c>
      <c r="AB75" t="s">
        <v>325</v>
      </c>
    </row>
    <row r="76" spans="1:28" x14ac:dyDescent="0.2">
      <c r="A76" t="s">
        <v>327</v>
      </c>
      <c r="B76" t="s">
        <v>88</v>
      </c>
      <c r="C76">
        <f>47+26/60+19/3600</f>
        <v>47.438611111111108</v>
      </c>
      <c r="D76">
        <f>7+46/60+33/3600</f>
        <v>7.7758333333333329</v>
      </c>
      <c r="F76">
        <v>2018</v>
      </c>
      <c r="G76" t="s">
        <v>21</v>
      </c>
      <c r="I76">
        <v>14.1</v>
      </c>
      <c r="P76">
        <f>AVERAGE(1.6,1.7)</f>
        <v>1.65</v>
      </c>
      <c r="Q76" s="10">
        <v>1.0958203799999999</v>
      </c>
      <c r="S76">
        <f t="shared" ref="S76:S87" si="6">I76*1000/P76*Q76*100/365.2425/24/60/60</f>
        <v>2.9674232312654047E-2</v>
      </c>
      <c r="V76" t="s">
        <v>326</v>
      </c>
      <c r="Y76" t="s">
        <v>326</v>
      </c>
      <c r="AB76" t="s">
        <v>325</v>
      </c>
    </row>
    <row r="77" spans="1:28" x14ac:dyDescent="0.2">
      <c r="A77" t="s">
        <v>128</v>
      </c>
      <c r="B77" t="s">
        <v>121</v>
      </c>
      <c r="C77">
        <v>44.37</v>
      </c>
      <c r="D77">
        <v>-73.900000000000006</v>
      </c>
      <c r="E77">
        <v>650</v>
      </c>
      <c r="F77" t="s">
        <v>33</v>
      </c>
      <c r="G77" t="s">
        <v>15</v>
      </c>
      <c r="I77">
        <f>AVERAGE(6.5,6.1)</f>
        <v>6.3</v>
      </c>
      <c r="L77">
        <f>AVERAGE(5.3, 9)</f>
        <v>7.15</v>
      </c>
      <c r="M77">
        <f>AVERAGE(5.846,4.919,5.774,5.273,5.551,6.119)</f>
        <v>5.5803333333333329</v>
      </c>
      <c r="N77">
        <f>AVERAGE(6.281,5.682, 8.883, 6.29, 8.36, 9.609)</f>
        <v>7.5174999999999992</v>
      </c>
      <c r="O77">
        <f t="shared" ref="O77:O86" si="7">I77+L77-N77</f>
        <v>5.9325000000000001</v>
      </c>
      <c r="P77">
        <f>AVERAGE(1.46,1.288)</f>
        <v>1.3740000000000001</v>
      </c>
      <c r="Q77" s="10">
        <v>1.06008002</v>
      </c>
      <c r="R77" s="4">
        <f t="shared" ref="R77:R78" si="8">O77*1000/P77*Q77*100/365.2425/24/60/60</f>
        <v>1.4504227867417943E-2</v>
      </c>
      <c r="S77">
        <f t="shared" si="6"/>
        <v>1.540271985920489E-2</v>
      </c>
      <c r="V77" t="s">
        <v>122</v>
      </c>
      <c r="W77" t="s">
        <v>122</v>
      </c>
      <c r="X77" t="s">
        <v>123</v>
      </c>
      <c r="Y77" s="4" t="s">
        <v>338</v>
      </c>
      <c r="AA77" t="s">
        <v>17</v>
      </c>
      <c r="AB77" t="s">
        <v>132</v>
      </c>
    </row>
    <row r="78" spans="1:28" x14ac:dyDescent="0.2">
      <c r="A78" t="s">
        <v>128</v>
      </c>
      <c r="B78" t="s">
        <v>121</v>
      </c>
      <c r="C78">
        <v>44.37</v>
      </c>
      <c r="D78">
        <v>-73.900000000000006</v>
      </c>
      <c r="E78">
        <v>1150</v>
      </c>
      <c r="F78" t="s">
        <v>33</v>
      </c>
      <c r="G78" t="s">
        <v>35</v>
      </c>
      <c r="I78">
        <f>AVERAGE(7.1,11.2)</f>
        <v>9.1499999999999986</v>
      </c>
      <c r="L78">
        <f>AVERAGE(9.9, 16.3)</f>
        <v>13.100000000000001</v>
      </c>
      <c r="M78">
        <f>AVERAGE(5.846,4.919,5.774,5.273,5.551,6.119)</f>
        <v>5.5803333333333329</v>
      </c>
      <c r="N78">
        <f>AVERAGE(6.281,5.682, 8.883, 6.29, 8.36, 9.609)</f>
        <v>7.5174999999999992</v>
      </c>
      <c r="O78">
        <f t="shared" si="7"/>
        <v>14.732500000000002</v>
      </c>
      <c r="P78">
        <f>AVERAGE(1.46,1.288)</f>
        <v>1.3740000000000001</v>
      </c>
      <c r="Q78" s="10">
        <v>1.06008002</v>
      </c>
      <c r="R78" s="4">
        <f t="shared" si="8"/>
        <v>3.6019138146942242E-2</v>
      </c>
      <c r="S78">
        <f t="shared" si="6"/>
        <v>2.2370616938369003E-2</v>
      </c>
      <c r="V78" t="s">
        <v>122</v>
      </c>
      <c r="W78" t="s">
        <v>122</v>
      </c>
      <c r="X78" t="s">
        <v>123</v>
      </c>
      <c r="Y78" s="4" t="s">
        <v>338</v>
      </c>
      <c r="AA78" t="s">
        <v>17</v>
      </c>
      <c r="AB78" t="s">
        <v>131</v>
      </c>
    </row>
    <row r="79" spans="1:28" x14ac:dyDescent="0.2">
      <c r="A79" t="s">
        <v>128</v>
      </c>
      <c r="B79" t="s">
        <v>121</v>
      </c>
      <c r="C79">
        <v>44.37</v>
      </c>
      <c r="D79">
        <v>-73.900000000000006</v>
      </c>
      <c r="E79">
        <v>1415</v>
      </c>
      <c r="F79" t="s">
        <v>33</v>
      </c>
      <c r="G79" t="s">
        <v>35</v>
      </c>
      <c r="I79">
        <f>AVERAGE(3.2,4.8)</f>
        <v>4</v>
      </c>
      <c r="L79">
        <f>AVERAGE(6, 10.1)</f>
        <v>8.0500000000000007</v>
      </c>
      <c r="M79">
        <f>AVERAGE(5.846,4.919,5.774,5.273,5.551,6.119)</f>
        <v>5.5803333333333329</v>
      </c>
      <c r="N79">
        <f>AVERAGE(6.281,5.682, 8.883, 6.29, 8.36, 9.609)</f>
        <v>7.5174999999999992</v>
      </c>
      <c r="O79">
        <f t="shared" si="7"/>
        <v>4.5325000000000015</v>
      </c>
      <c r="U79" t="s">
        <v>227</v>
      </c>
      <c r="V79" t="s">
        <v>122</v>
      </c>
      <c r="W79" t="s">
        <v>122</v>
      </c>
      <c r="X79" t="s">
        <v>123</v>
      </c>
      <c r="AA79" t="s">
        <v>17</v>
      </c>
      <c r="AB79" t="s">
        <v>130</v>
      </c>
    </row>
    <row r="80" spans="1:28" s="4" customFormat="1" x14ac:dyDescent="0.2">
      <c r="A80" s="4" t="s">
        <v>128</v>
      </c>
      <c r="B80" s="4" t="s">
        <v>121</v>
      </c>
      <c r="C80" s="4">
        <v>44.37</v>
      </c>
      <c r="D80" s="4">
        <v>-73.900000000000006</v>
      </c>
      <c r="E80" s="4">
        <v>650</v>
      </c>
      <c r="F80" s="4">
        <v>2015</v>
      </c>
      <c r="G80" s="4" t="s">
        <v>15</v>
      </c>
      <c r="I80" s="4">
        <v>7.8</v>
      </c>
      <c r="J80" s="4">
        <v>0.5</v>
      </c>
      <c r="L80" s="4">
        <v>4.5</v>
      </c>
      <c r="N80" s="4">
        <v>4.2</v>
      </c>
      <c r="O80" s="4">
        <f t="shared" si="7"/>
        <v>8.1000000000000014</v>
      </c>
      <c r="P80">
        <f>AVERAGE(1.235,1.299)</f>
        <v>1.2669999999999999</v>
      </c>
      <c r="Q80" s="10">
        <v>1.06008002</v>
      </c>
      <c r="R80" s="4">
        <f t="shared" ref="R80:R81" si="9">O80*1000/P80*Q80*100/365.2425/24/60/60</f>
        <v>2.1475931196180822E-2</v>
      </c>
      <c r="S80">
        <f t="shared" si="6"/>
        <v>2.0680526337063014E-2</v>
      </c>
      <c r="T80"/>
      <c r="V80" s="4" t="s">
        <v>231</v>
      </c>
      <c r="W80" s="4" t="s">
        <v>231</v>
      </c>
      <c r="X80" s="4" t="s">
        <v>231</v>
      </c>
      <c r="Y80" s="4" t="s">
        <v>338</v>
      </c>
      <c r="AB80" s="4" t="s">
        <v>228</v>
      </c>
    </row>
    <row r="81" spans="1:28" s="4" customFormat="1" x14ac:dyDescent="0.2">
      <c r="A81" s="4" t="s">
        <v>128</v>
      </c>
      <c r="B81" s="4" t="s">
        <v>121</v>
      </c>
      <c r="C81" s="4">
        <v>44.37</v>
      </c>
      <c r="D81" s="4">
        <v>-73.900000000000006</v>
      </c>
      <c r="E81" s="4">
        <v>1150</v>
      </c>
      <c r="F81" s="4">
        <v>2015</v>
      </c>
      <c r="G81" s="4" t="s">
        <v>35</v>
      </c>
      <c r="I81" s="4">
        <v>7.7</v>
      </c>
      <c r="J81" s="4">
        <v>1</v>
      </c>
      <c r="L81" s="4">
        <v>11</v>
      </c>
      <c r="N81" s="4">
        <v>4.4000000000000004</v>
      </c>
      <c r="O81" s="4">
        <f t="shared" si="7"/>
        <v>14.299999999999999</v>
      </c>
      <c r="P81">
        <f>AVERAGE(1.235,1.299)</f>
        <v>1.2669999999999999</v>
      </c>
      <c r="Q81" s="10">
        <v>1.06008002</v>
      </c>
      <c r="R81" s="4">
        <f t="shared" si="9"/>
        <v>3.7914298284615532E-2</v>
      </c>
      <c r="S81">
        <f t="shared" si="6"/>
        <v>2.0415391384023745E-2</v>
      </c>
      <c r="T81"/>
      <c r="V81" s="4" t="s">
        <v>231</v>
      </c>
      <c r="W81" s="4" t="s">
        <v>231</v>
      </c>
      <c r="X81" s="4" t="s">
        <v>231</v>
      </c>
      <c r="Y81" s="4" t="s">
        <v>338</v>
      </c>
      <c r="AB81" s="4" t="s">
        <v>230</v>
      </c>
    </row>
    <row r="82" spans="1:28" s="4" customFormat="1" x14ac:dyDescent="0.2">
      <c r="A82" s="4" t="s">
        <v>128</v>
      </c>
      <c r="B82" s="4" t="s">
        <v>121</v>
      </c>
      <c r="C82" s="4">
        <v>44.37</v>
      </c>
      <c r="D82" s="4">
        <v>-73.900000000000006</v>
      </c>
      <c r="E82" s="4">
        <v>1415</v>
      </c>
      <c r="F82" s="4">
        <v>2015</v>
      </c>
      <c r="G82" s="4" t="s">
        <v>35</v>
      </c>
      <c r="I82" s="4">
        <v>5.5</v>
      </c>
      <c r="J82" s="4">
        <v>1.1000000000000001</v>
      </c>
      <c r="L82" s="4">
        <v>10</v>
      </c>
      <c r="N82" s="4">
        <v>13</v>
      </c>
      <c r="O82" s="4">
        <f t="shared" si="7"/>
        <v>2.5</v>
      </c>
      <c r="Q82" s="14"/>
      <c r="S82"/>
      <c r="U82" s="4" t="s">
        <v>227</v>
      </c>
      <c r="V82" s="4" t="s">
        <v>231</v>
      </c>
      <c r="W82" s="4" t="s">
        <v>231</v>
      </c>
      <c r="X82" s="4" t="s">
        <v>231</v>
      </c>
      <c r="AB82" s="4" t="s">
        <v>229</v>
      </c>
    </row>
    <row r="83" spans="1:28" s="4" customFormat="1" x14ac:dyDescent="0.2">
      <c r="A83" s="4" t="s">
        <v>126</v>
      </c>
      <c r="B83" s="4" t="s">
        <v>121</v>
      </c>
      <c r="C83" s="4">
        <v>43.97</v>
      </c>
      <c r="D83" s="4">
        <v>-74.22</v>
      </c>
      <c r="E83" s="4">
        <v>530</v>
      </c>
      <c r="F83" s="4" t="s">
        <v>92</v>
      </c>
      <c r="G83" s="4" t="s">
        <v>15</v>
      </c>
      <c r="I83" s="4">
        <f>AVERAGE(17.9,16.4)</f>
        <v>17.149999999999999</v>
      </c>
      <c r="K83" s="4">
        <v>6.6</v>
      </c>
      <c r="L83" s="4">
        <f>12.2/2</f>
        <v>6.1</v>
      </c>
      <c r="M83" s="4">
        <v>4.9000000000000004</v>
      </c>
      <c r="N83" s="4">
        <f>11.6/2</f>
        <v>5.8</v>
      </c>
      <c r="O83" s="4">
        <f t="shared" si="7"/>
        <v>17.45</v>
      </c>
      <c r="P83" s="4">
        <v>1.4</v>
      </c>
      <c r="Q83" s="10">
        <v>1.06008002</v>
      </c>
      <c r="R83" s="4">
        <f t="shared" ref="R83:R86" si="10">O83*1000/P83*Q83*100/365.2425/24/60/60</f>
        <v>4.1870774621344024E-2</v>
      </c>
      <c r="S83">
        <f t="shared" si="6"/>
        <v>4.1150933223842411E-2</v>
      </c>
      <c r="T83"/>
      <c r="V83" s="4" t="s">
        <v>124</v>
      </c>
      <c r="W83" s="4" t="s">
        <v>125</v>
      </c>
      <c r="X83" s="4" t="s">
        <v>125</v>
      </c>
      <c r="Y83" s="4" t="s">
        <v>124</v>
      </c>
      <c r="AA83" s="4" t="s">
        <v>17</v>
      </c>
    </row>
    <row r="84" spans="1:28" s="4" customFormat="1" x14ac:dyDescent="0.2">
      <c r="A84" s="4" t="s">
        <v>126</v>
      </c>
      <c r="B84" s="4" t="s">
        <v>121</v>
      </c>
      <c r="C84" s="5">
        <v>43.97</v>
      </c>
      <c r="D84" s="5">
        <v>-74.22</v>
      </c>
      <c r="F84" s="4" t="s">
        <v>208</v>
      </c>
      <c r="G84" s="4" t="s">
        <v>15</v>
      </c>
      <c r="H84" s="4">
        <f>(47.6+46.2+45.7)/3</f>
        <v>46.5</v>
      </c>
      <c r="I84" s="4">
        <v>5.97</v>
      </c>
      <c r="L84" s="4">
        <v>7.31</v>
      </c>
      <c r="N84" s="4">
        <v>6.97</v>
      </c>
      <c r="O84" s="4">
        <f t="shared" si="7"/>
        <v>6.31</v>
      </c>
      <c r="P84" s="4">
        <v>1.4</v>
      </c>
      <c r="Q84" s="10">
        <v>1.06008002</v>
      </c>
      <c r="R84" s="4">
        <f t="shared" si="10"/>
        <v>1.5140664060783999E-2</v>
      </c>
      <c r="S84">
        <f t="shared" si="6"/>
        <v>1.4324843810282168E-2</v>
      </c>
      <c r="T84"/>
      <c r="V84" s="4" t="s">
        <v>209</v>
      </c>
      <c r="W84" s="4" t="s">
        <v>125</v>
      </c>
      <c r="X84" s="4" t="s">
        <v>210</v>
      </c>
      <c r="AA84" s="4" t="s">
        <v>17</v>
      </c>
      <c r="AB84" s="4" t="s">
        <v>383</v>
      </c>
    </row>
    <row r="85" spans="1:28" s="4" customFormat="1" x14ac:dyDescent="0.2">
      <c r="A85" s="4" t="s">
        <v>126</v>
      </c>
      <c r="B85" s="4" t="s">
        <v>121</v>
      </c>
      <c r="C85" s="5">
        <v>43.97</v>
      </c>
      <c r="D85" s="5">
        <v>-74.22</v>
      </c>
      <c r="E85" s="4">
        <v>500</v>
      </c>
      <c r="F85" s="4" t="s">
        <v>33</v>
      </c>
      <c r="G85" s="4" t="s">
        <v>35</v>
      </c>
      <c r="H85" s="4">
        <f>AVERAGE(33.6,29.4,24.7)</f>
        <v>29.233333333333334</v>
      </c>
      <c r="I85" s="4">
        <v>8.6999999999999993</v>
      </c>
      <c r="L85" s="4">
        <v>18.2</v>
      </c>
      <c r="N85" s="4">
        <v>6.7</v>
      </c>
      <c r="O85" s="4">
        <f t="shared" si="7"/>
        <v>20.2</v>
      </c>
      <c r="P85" s="4">
        <v>1.288</v>
      </c>
      <c r="Q85" s="10">
        <v>1.06008002</v>
      </c>
      <c r="R85" s="4">
        <f t="shared" si="10"/>
        <v>5.268404430990091E-2</v>
      </c>
      <c r="S85">
        <f t="shared" si="6"/>
        <v>2.2690652747333562E-2</v>
      </c>
      <c r="T85"/>
      <c r="V85" s="4" t="s">
        <v>223</v>
      </c>
      <c r="X85" s="4" t="s">
        <v>223</v>
      </c>
      <c r="Y85" s="4" t="s">
        <v>339</v>
      </c>
    </row>
    <row r="86" spans="1:28" s="4" customFormat="1" x14ac:dyDescent="0.2">
      <c r="A86" s="4" t="s">
        <v>126</v>
      </c>
      <c r="B86" s="4" t="s">
        <v>121</v>
      </c>
      <c r="C86" s="5">
        <v>43.97</v>
      </c>
      <c r="D86" s="5">
        <v>-74.22</v>
      </c>
      <c r="E86" s="4">
        <v>500</v>
      </c>
      <c r="F86" s="4" t="s">
        <v>33</v>
      </c>
      <c r="G86" s="4" t="s">
        <v>15</v>
      </c>
      <c r="H86" s="4">
        <f>AVERAGE(36.5,32,32.1)</f>
        <v>33.533333333333331</v>
      </c>
      <c r="I86" s="4">
        <v>8.9</v>
      </c>
      <c r="L86" s="4">
        <v>6.9</v>
      </c>
      <c r="N86" s="4">
        <v>6.7</v>
      </c>
      <c r="O86" s="4">
        <f t="shared" si="7"/>
        <v>9.1000000000000014</v>
      </c>
      <c r="P86" s="4">
        <v>1.288</v>
      </c>
      <c r="Q86" s="10">
        <v>1.06008002</v>
      </c>
      <c r="R86" s="4">
        <f t="shared" si="10"/>
        <v>2.3733901149509816E-2</v>
      </c>
      <c r="S86">
        <f t="shared" si="6"/>
        <v>2.3212276948421692E-2</v>
      </c>
      <c r="T86"/>
      <c r="V86" s="4" t="s">
        <v>223</v>
      </c>
      <c r="X86" s="4" t="s">
        <v>223</v>
      </c>
      <c r="Y86" s="4" t="s">
        <v>339</v>
      </c>
    </row>
    <row r="87" spans="1:28" s="4" customFormat="1" x14ac:dyDescent="0.2">
      <c r="A87" s="4" t="s">
        <v>220</v>
      </c>
      <c r="B87" s="4" t="s">
        <v>121</v>
      </c>
      <c r="C87" s="5">
        <v>43.97</v>
      </c>
      <c r="D87" s="5">
        <v>-74.22</v>
      </c>
      <c r="E87" s="4">
        <v>500</v>
      </c>
      <c r="F87" s="4" t="s">
        <v>29</v>
      </c>
      <c r="G87" s="4" t="s">
        <v>15</v>
      </c>
      <c r="H87" s="4">
        <f>AVERAGE(48.3,41.9)</f>
        <v>45.099999999999994</v>
      </c>
      <c r="I87" s="4">
        <f>AVERAGE(11.7,10.8)</f>
        <v>11.25</v>
      </c>
      <c r="N87" s="4">
        <f>AVERAGE(6.4,5.6)</f>
        <v>6</v>
      </c>
      <c r="P87" s="4">
        <v>1.276</v>
      </c>
      <c r="Q87" s="10">
        <v>1.06008002</v>
      </c>
      <c r="S87">
        <f t="shared" si="6"/>
        <v>2.961729887839722E-2</v>
      </c>
      <c r="T87"/>
      <c r="V87" s="4" t="s">
        <v>215</v>
      </c>
      <c r="X87" s="4" t="s">
        <v>215</v>
      </c>
      <c r="Y87" s="4" t="s">
        <v>339</v>
      </c>
    </row>
    <row r="88" spans="1:28" s="4" customFormat="1" x14ac:dyDescent="0.2">
      <c r="A88" s="4" t="s">
        <v>127</v>
      </c>
      <c r="B88" s="4" t="s">
        <v>121</v>
      </c>
      <c r="C88" s="4">
        <f>43+51/60+40/3600</f>
        <v>43.861111111111114</v>
      </c>
      <c r="D88" s="4">
        <f>-75-6/60-7/3600</f>
        <v>-75.101944444444442</v>
      </c>
      <c r="F88" s="4" t="s">
        <v>151</v>
      </c>
      <c r="G88" s="4" t="s">
        <v>15</v>
      </c>
      <c r="H88" s="4">
        <f>AVERAGE(56.9, 118.8)</f>
        <v>87.85</v>
      </c>
      <c r="I88" s="4">
        <v>14.9</v>
      </c>
      <c r="J88" s="4">
        <v>0.5</v>
      </c>
      <c r="L88" s="4">
        <v>7.4</v>
      </c>
      <c r="M88" s="4">
        <f>AVERAGE(7.15,5.71,7.335)</f>
        <v>6.7316666666666665</v>
      </c>
      <c r="N88" s="4">
        <f>AVERAGE(6.759,6.091, 9.177)</f>
        <v>7.3423333333333334</v>
      </c>
      <c r="O88" s="4">
        <f t="shared" ref="O88:O93" si="11">I88+L88-N88</f>
        <v>14.957666666666668</v>
      </c>
      <c r="Q88" s="14"/>
      <c r="V88" s="4" t="s">
        <v>129</v>
      </c>
      <c r="W88" s="4" t="s">
        <v>153</v>
      </c>
      <c r="X88" s="4" t="s">
        <v>123</v>
      </c>
      <c r="AA88" s="4" t="s">
        <v>17</v>
      </c>
      <c r="AB88" s="4" t="s">
        <v>154</v>
      </c>
    </row>
    <row r="89" spans="1:28" s="4" customFormat="1" x14ac:dyDescent="0.2">
      <c r="A89" s="4" t="s">
        <v>127</v>
      </c>
      <c r="B89" s="4" t="s">
        <v>121</v>
      </c>
      <c r="C89" s="4">
        <f>43+51/60+40/3600</f>
        <v>43.861111111111114</v>
      </c>
      <c r="D89" s="4">
        <f>-75-6/60-7/3600</f>
        <v>-75.101944444444442</v>
      </c>
      <c r="F89" s="4" t="s">
        <v>151</v>
      </c>
      <c r="G89" s="4" t="s">
        <v>35</v>
      </c>
      <c r="H89" s="4">
        <f>AVERAGE(39, 88.5)</f>
        <v>63.75</v>
      </c>
      <c r="I89" s="4">
        <v>9.6999999999999993</v>
      </c>
      <c r="L89" s="4">
        <v>25.4</v>
      </c>
      <c r="M89" s="4">
        <f>AVERAGE(7.15,5.71,7.335)</f>
        <v>6.7316666666666665</v>
      </c>
      <c r="N89" s="4">
        <f>AVERAGE(6.759,6.091, 9.177)</f>
        <v>7.3423333333333334</v>
      </c>
      <c r="O89" s="4">
        <f t="shared" si="11"/>
        <v>27.757666666666662</v>
      </c>
      <c r="Q89" s="14"/>
      <c r="V89" s="4" t="s">
        <v>129</v>
      </c>
      <c r="W89" s="4" t="s">
        <v>153</v>
      </c>
      <c r="X89" s="4" t="s">
        <v>123</v>
      </c>
      <c r="AA89" s="4" t="s">
        <v>17</v>
      </c>
      <c r="AB89" s="4" t="s">
        <v>154</v>
      </c>
    </row>
    <row r="90" spans="1:28" s="4" customFormat="1" x14ac:dyDescent="0.2">
      <c r="A90" s="4" t="s">
        <v>127</v>
      </c>
      <c r="B90" s="4" t="s">
        <v>121</v>
      </c>
      <c r="C90" s="4">
        <f>43+51/60+40/3600</f>
        <v>43.861111111111114</v>
      </c>
      <c r="D90" s="4">
        <f>-75-6/60-7/3600</f>
        <v>-75.101944444444442</v>
      </c>
      <c r="F90" s="4" t="s">
        <v>65</v>
      </c>
      <c r="G90" s="4" t="s">
        <v>15</v>
      </c>
      <c r="I90" s="4">
        <v>15</v>
      </c>
      <c r="K90" s="4">
        <v>3.3</v>
      </c>
      <c r="L90" s="4">
        <v>5.7</v>
      </c>
      <c r="M90" s="4">
        <v>7.3</v>
      </c>
      <c r="N90" s="4">
        <v>9.4</v>
      </c>
      <c r="O90" s="4">
        <f t="shared" si="11"/>
        <v>11.299999999999999</v>
      </c>
      <c r="Q90" s="14"/>
      <c r="V90" s="4" t="s">
        <v>152</v>
      </c>
      <c r="W90" s="4" t="s">
        <v>152</v>
      </c>
      <c r="X90" s="4" t="s">
        <v>152</v>
      </c>
      <c r="AA90" s="4" t="s">
        <v>17</v>
      </c>
      <c r="AB90" s="4" t="s">
        <v>155</v>
      </c>
    </row>
    <row r="91" spans="1:28" s="4" customFormat="1" x14ac:dyDescent="0.2">
      <c r="A91" s="4" t="s">
        <v>127</v>
      </c>
      <c r="B91" s="4" t="s">
        <v>121</v>
      </c>
      <c r="C91" s="4">
        <f>43+51/60+40/3600</f>
        <v>43.861111111111114</v>
      </c>
      <c r="D91" s="4">
        <f>-75-6/60-7/3600</f>
        <v>-75.101944444444442</v>
      </c>
      <c r="F91" s="4" t="s">
        <v>65</v>
      </c>
      <c r="G91" s="4" t="s">
        <v>35</v>
      </c>
      <c r="I91" s="4">
        <v>5.7</v>
      </c>
      <c r="L91" s="4">
        <v>26.6</v>
      </c>
      <c r="M91" s="4">
        <v>7.3</v>
      </c>
      <c r="N91" s="4">
        <v>9.4</v>
      </c>
      <c r="O91" s="4">
        <f t="shared" si="11"/>
        <v>22.900000000000006</v>
      </c>
      <c r="Q91" s="14"/>
      <c r="V91" s="4" t="s">
        <v>152</v>
      </c>
      <c r="W91" s="4" t="s">
        <v>152</v>
      </c>
      <c r="X91" s="4" t="s">
        <v>152</v>
      </c>
      <c r="AA91" s="4" t="s">
        <v>17</v>
      </c>
      <c r="AB91" s="4" t="s">
        <v>156</v>
      </c>
    </row>
    <row r="92" spans="1:28" s="4" customFormat="1" x14ac:dyDescent="0.2">
      <c r="A92" s="4" t="s">
        <v>133</v>
      </c>
      <c r="B92" s="4" t="s">
        <v>121</v>
      </c>
      <c r="C92" s="4">
        <f>47+32/60</f>
        <v>47.533333333333331</v>
      </c>
      <c r="D92" s="4">
        <f>-93-28/60</f>
        <v>-93.466666666666669</v>
      </c>
      <c r="F92" s="4">
        <v>1995</v>
      </c>
      <c r="G92" s="4" t="s">
        <v>15</v>
      </c>
      <c r="H92" s="4">
        <v>38.299999999999997</v>
      </c>
      <c r="I92" s="4">
        <v>12.5</v>
      </c>
      <c r="J92" s="4">
        <v>0.85</v>
      </c>
      <c r="K92" s="4">
        <v>17.5</v>
      </c>
      <c r="L92" s="4">
        <v>9.75</v>
      </c>
      <c r="M92" s="4">
        <v>9.9</v>
      </c>
      <c r="N92" s="4">
        <v>6.5</v>
      </c>
      <c r="O92" s="4">
        <f t="shared" si="11"/>
        <v>15.75</v>
      </c>
      <c r="Q92" s="14"/>
      <c r="V92" s="4" t="s">
        <v>134</v>
      </c>
      <c r="W92" s="4" t="s">
        <v>211</v>
      </c>
      <c r="X92" s="4" t="s">
        <v>134</v>
      </c>
      <c r="AA92" s="4" t="s">
        <v>17</v>
      </c>
    </row>
    <row r="93" spans="1:28" s="4" customFormat="1" x14ac:dyDescent="0.2">
      <c r="A93" s="4" t="s">
        <v>133</v>
      </c>
      <c r="B93" s="4" t="s">
        <v>121</v>
      </c>
      <c r="C93" s="4">
        <f>47+32/60</f>
        <v>47.533333333333331</v>
      </c>
      <c r="D93" s="4">
        <f>-93-28/60</f>
        <v>-93.466666666666669</v>
      </c>
      <c r="F93" s="4">
        <v>1995</v>
      </c>
      <c r="G93" s="4" t="s">
        <v>35</v>
      </c>
      <c r="H93" s="4">
        <v>29.7</v>
      </c>
      <c r="I93" s="4">
        <v>11.7</v>
      </c>
      <c r="J93" s="4">
        <v>1.36</v>
      </c>
      <c r="K93" s="4">
        <v>33.6</v>
      </c>
      <c r="L93" s="4">
        <v>19.600000000000001</v>
      </c>
      <c r="M93" s="4">
        <v>9.9</v>
      </c>
      <c r="N93" s="4">
        <v>6.5</v>
      </c>
      <c r="O93" s="4">
        <f t="shared" si="11"/>
        <v>24.8</v>
      </c>
      <c r="Q93" s="14"/>
      <c r="V93" s="4" t="s">
        <v>134</v>
      </c>
      <c r="W93" s="4" t="s">
        <v>211</v>
      </c>
      <c r="X93" s="4" t="s">
        <v>134</v>
      </c>
      <c r="AA93" s="4" t="s">
        <v>17</v>
      </c>
    </row>
    <row r="94" spans="1:28" s="4" customFormat="1" x14ac:dyDescent="0.2">
      <c r="A94" s="4" t="s">
        <v>175</v>
      </c>
      <c r="B94" s="4" t="s">
        <v>121</v>
      </c>
      <c r="C94" s="4">
        <v>47.53</v>
      </c>
      <c r="D94" s="4">
        <v>-93.47</v>
      </c>
      <c r="E94" s="4">
        <v>431</v>
      </c>
      <c r="F94" s="4" t="s">
        <v>160</v>
      </c>
      <c r="G94" s="4" t="s">
        <v>15</v>
      </c>
      <c r="I94" s="4">
        <v>3.8</v>
      </c>
      <c r="J94" s="4">
        <v>0.4</v>
      </c>
      <c r="N94" s="4">
        <v>6.7</v>
      </c>
      <c r="P94" s="4">
        <f>AVERAGE(1.47,1.3,1.21)</f>
        <v>1.3266666666666667</v>
      </c>
      <c r="Q94" s="10">
        <v>1.05526502</v>
      </c>
      <c r="S94">
        <f t="shared" ref="S94:S101" si="12">I94*1000/P94*Q94*100/365.2425/24/60/60</f>
        <v>9.5782964051628807E-3</v>
      </c>
      <c r="T94"/>
      <c r="V94" s="4" t="s">
        <v>196</v>
      </c>
      <c r="X94" s="4" t="s">
        <v>196</v>
      </c>
      <c r="Y94" s="4" t="s">
        <v>354</v>
      </c>
      <c r="AA94" s="4" t="s">
        <v>17</v>
      </c>
    </row>
    <row r="95" spans="1:28" s="4" customFormat="1" x14ac:dyDescent="0.2">
      <c r="A95" s="4" t="s">
        <v>175</v>
      </c>
      <c r="B95" s="4" t="s">
        <v>121</v>
      </c>
      <c r="C95" s="4">
        <v>47.53</v>
      </c>
      <c r="D95" s="4">
        <v>-93.47</v>
      </c>
      <c r="E95" s="4">
        <v>431</v>
      </c>
      <c r="F95" s="4" t="s">
        <v>29</v>
      </c>
      <c r="G95" s="4" t="s">
        <v>15</v>
      </c>
      <c r="H95" s="4">
        <f>AVERAGE(26.4,29.1,26.8)</f>
        <v>27.433333333333334</v>
      </c>
      <c r="I95" s="4">
        <f>AVERAGE(3.3,3.7,3.3)</f>
        <v>3.4333333333333336</v>
      </c>
      <c r="N95" s="4">
        <f>AVERAGE(8.1,7.1,6.7)</f>
        <v>7.3</v>
      </c>
      <c r="P95" s="4">
        <v>1.38</v>
      </c>
      <c r="Q95" s="10">
        <v>1.05526502</v>
      </c>
      <c r="S95">
        <f t="shared" si="12"/>
        <v>8.3196178242488147E-3</v>
      </c>
      <c r="T95"/>
      <c r="V95" s="4" t="s">
        <v>215</v>
      </c>
      <c r="X95" s="4" t="s">
        <v>215</v>
      </c>
      <c r="Y95" s="4" t="s">
        <v>354</v>
      </c>
    </row>
    <row r="96" spans="1:28" s="4" customFormat="1" x14ac:dyDescent="0.2">
      <c r="A96" s="4" t="s">
        <v>137</v>
      </c>
      <c r="B96" s="4" t="s">
        <v>121</v>
      </c>
      <c r="C96" s="4">
        <v>35.520000000000003</v>
      </c>
      <c r="D96" s="4">
        <v>-83.46</v>
      </c>
      <c r="E96" s="4">
        <f>AVERAGE(1700, 2024)</f>
        <v>1862</v>
      </c>
      <c r="F96" s="4" t="s">
        <v>14</v>
      </c>
      <c r="G96" s="4" t="s">
        <v>90</v>
      </c>
      <c r="H96" s="4">
        <f>AVERAGE(52.14,55.03,50.86,72.66)</f>
        <v>57.672499999999999</v>
      </c>
      <c r="I96" s="4">
        <f>AVERAGE(10.16,10.52, 13.01,15.28)</f>
        <v>12.2425</v>
      </c>
      <c r="K96" s="4">
        <f>AVERAGE(20.71, 14.87,18.2, 15.8)</f>
        <v>17.395</v>
      </c>
      <c r="L96" s="4">
        <f>AVERAGE(5.61,2.57,4.6,2.26)</f>
        <v>3.76</v>
      </c>
      <c r="M96" s="4">
        <v>6.03</v>
      </c>
      <c r="P96" s="4">
        <v>1.278</v>
      </c>
      <c r="Q96" s="10">
        <v>1.11860344</v>
      </c>
      <c r="S96">
        <f t="shared" si="12"/>
        <v>3.3956299868719043E-2</v>
      </c>
      <c r="T96"/>
      <c r="V96" s="4" t="s">
        <v>136</v>
      </c>
      <c r="W96" s="4" t="s">
        <v>136</v>
      </c>
      <c r="X96" s="4" t="s">
        <v>136</v>
      </c>
      <c r="Y96" s="4" t="s">
        <v>345</v>
      </c>
      <c r="AA96" s="4" t="s">
        <v>17</v>
      </c>
      <c r="AB96" s="4" t="s">
        <v>382</v>
      </c>
    </row>
    <row r="97" spans="1:28" s="4" customFormat="1" x14ac:dyDescent="0.2">
      <c r="A97" s="4" t="s">
        <v>135</v>
      </c>
      <c r="B97" s="4" t="s">
        <v>121</v>
      </c>
      <c r="C97" s="4">
        <v>35.46</v>
      </c>
      <c r="D97" s="4">
        <v>-83.53</v>
      </c>
      <c r="E97" s="4">
        <v>592</v>
      </c>
      <c r="F97" s="4" t="s">
        <v>14</v>
      </c>
      <c r="G97" s="4" t="s">
        <v>15</v>
      </c>
      <c r="H97" s="4">
        <f>AVERAGE(32.03, 42.95)</f>
        <v>37.49</v>
      </c>
      <c r="I97" s="4">
        <f>AVERAGE(10.75,47.86)</f>
        <v>29.305</v>
      </c>
      <c r="K97" s="4">
        <f>AVERAGE(11.76,15.86)</f>
        <v>13.809999999999999</v>
      </c>
      <c r="L97" s="4">
        <f>AVERAGE(1.65,2.49)</f>
        <v>2.0700000000000003</v>
      </c>
      <c r="M97" s="4">
        <v>6.03</v>
      </c>
      <c r="P97" s="4">
        <v>1.278</v>
      </c>
      <c r="Q97" s="10">
        <v>1.11860344</v>
      </c>
      <c r="S97">
        <f t="shared" si="12"/>
        <v>8.1281549328389741E-2</v>
      </c>
      <c r="T97"/>
      <c r="V97" s="4" t="s">
        <v>136</v>
      </c>
      <c r="W97" s="4" t="s">
        <v>136</v>
      </c>
      <c r="X97" s="4" t="s">
        <v>136</v>
      </c>
      <c r="Y97" s="4" t="s">
        <v>345</v>
      </c>
      <c r="AA97" s="4" t="s">
        <v>17</v>
      </c>
      <c r="AB97" s="4" t="s">
        <v>138</v>
      </c>
    </row>
    <row r="98" spans="1:28" s="4" customFormat="1" x14ac:dyDescent="0.2">
      <c r="A98" s="4" t="s">
        <v>139</v>
      </c>
      <c r="B98" s="4" t="s">
        <v>121</v>
      </c>
      <c r="C98" s="4">
        <v>49.72</v>
      </c>
      <c r="D98" s="4">
        <v>-93.76</v>
      </c>
      <c r="F98" s="4" t="s">
        <v>222</v>
      </c>
      <c r="G98" s="4" t="s">
        <v>35</v>
      </c>
      <c r="I98" s="4">
        <v>10.8</v>
      </c>
      <c r="J98" s="4">
        <v>1.9</v>
      </c>
      <c r="L98" s="4">
        <v>12.6</v>
      </c>
      <c r="N98" s="4">
        <v>3.3</v>
      </c>
      <c r="O98" s="4">
        <v>20.2</v>
      </c>
      <c r="P98" s="4">
        <f>AVERAGE(1.47,1.44,1.34,1.22)</f>
        <v>1.3674999999999999</v>
      </c>
      <c r="Q98" s="10">
        <v>1.0424287800000001</v>
      </c>
      <c r="R98" s="4">
        <f t="shared" ref="R98:R101" si="13">O98*1000/P98*Q98*100/365.2425/24/60/60</f>
        <v>4.87950062912006E-2</v>
      </c>
      <c r="S98">
        <f t="shared" si="12"/>
        <v>2.6088419205196358E-2</v>
      </c>
      <c r="T98"/>
      <c r="V98" s="4" t="s">
        <v>221</v>
      </c>
      <c r="W98" s="4" t="s">
        <v>221</v>
      </c>
      <c r="X98" s="4" t="s">
        <v>221</v>
      </c>
      <c r="Y98" s="4" t="s">
        <v>221</v>
      </c>
      <c r="AB98" s="4" t="s">
        <v>140</v>
      </c>
    </row>
    <row r="99" spans="1:28" s="4" customFormat="1" x14ac:dyDescent="0.2">
      <c r="A99" s="4" t="s">
        <v>139</v>
      </c>
      <c r="B99" s="4" t="s">
        <v>121</v>
      </c>
      <c r="C99" s="4">
        <v>49.72</v>
      </c>
      <c r="D99" s="4">
        <v>-93.76</v>
      </c>
      <c r="F99" s="4" t="s">
        <v>222</v>
      </c>
      <c r="G99" s="4" t="s">
        <v>141</v>
      </c>
      <c r="I99" s="4">
        <v>10.3</v>
      </c>
      <c r="J99" s="4">
        <v>3.2</v>
      </c>
      <c r="L99" s="4">
        <v>8.6999999999999993</v>
      </c>
      <c r="N99" s="4">
        <v>3.3</v>
      </c>
      <c r="O99" s="4">
        <v>15.9</v>
      </c>
      <c r="P99" s="4">
        <f t="shared" ref="P99:P101" si="14">AVERAGE(1.47,1.44,1.34,1.22)</f>
        <v>1.3674999999999999</v>
      </c>
      <c r="Q99" s="10">
        <v>1.0424287800000001</v>
      </c>
      <c r="R99" s="4">
        <f t="shared" si="13"/>
        <v>3.8407950496539084E-2</v>
      </c>
      <c r="S99">
        <f t="shared" si="12"/>
        <v>2.4880622019770603E-2</v>
      </c>
      <c r="T99"/>
      <c r="V99" s="4" t="s">
        <v>221</v>
      </c>
      <c r="W99" s="4" t="s">
        <v>221</v>
      </c>
      <c r="X99" s="4" t="s">
        <v>221</v>
      </c>
      <c r="Y99" s="4" t="s">
        <v>221</v>
      </c>
      <c r="AB99" s="4" t="s">
        <v>142</v>
      </c>
    </row>
    <row r="100" spans="1:28" s="4" customFormat="1" x14ac:dyDescent="0.2">
      <c r="A100" s="4" t="s">
        <v>139</v>
      </c>
      <c r="B100" s="4" t="s">
        <v>121</v>
      </c>
      <c r="C100" s="4">
        <v>49.72</v>
      </c>
      <c r="D100" s="4">
        <v>-93.76</v>
      </c>
      <c r="F100" s="4" t="s">
        <v>222</v>
      </c>
      <c r="G100" s="4" t="s">
        <v>15</v>
      </c>
      <c r="I100" s="4">
        <v>7.8</v>
      </c>
      <c r="J100" s="4">
        <v>1.6</v>
      </c>
      <c r="L100" s="4">
        <v>4.9000000000000004</v>
      </c>
      <c r="N100" s="4">
        <v>3.3</v>
      </c>
      <c r="O100" s="4">
        <v>8.9</v>
      </c>
      <c r="P100" s="4">
        <f t="shared" si="14"/>
        <v>1.3674999999999999</v>
      </c>
      <c r="Q100" s="10">
        <v>1.0424287800000001</v>
      </c>
      <c r="R100" s="4">
        <f t="shared" si="13"/>
        <v>2.1498789900578481E-2</v>
      </c>
      <c r="S100">
        <f t="shared" si="12"/>
        <v>1.884163609264182E-2</v>
      </c>
      <c r="T100"/>
      <c r="V100" s="4" t="s">
        <v>221</v>
      </c>
      <c r="W100" s="4" t="s">
        <v>221</v>
      </c>
      <c r="X100" s="4" t="s">
        <v>221</v>
      </c>
      <c r="Y100" s="4" t="s">
        <v>221</v>
      </c>
      <c r="AB100" s="4" t="s">
        <v>143</v>
      </c>
    </row>
    <row r="101" spans="1:28" s="4" customFormat="1" x14ac:dyDescent="0.2">
      <c r="A101" s="4" t="s">
        <v>139</v>
      </c>
      <c r="B101" s="4" t="s">
        <v>121</v>
      </c>
      <c r="C101" s="4">
        <v>49.72</v>
      </c>
      <c r="D101" s="4">
        <v>-93.76</v>
      </c>
      <c r="F101" s="4" t="s">
        <v>222</v>
      </c>
      <c r="G101" s="4" t="s">
        <v>35</v>
      </c>
      <c r="I101" s="4">
        <v>9.6999999999999993</v>
      </c>
      <c r="J101" s="4">
        <v>1.9</v>
      </c>
      <c r="L101" s="4">
        <v>4.7</v>
      </c>
      <c r="N101" s="4">
        <v>3.3</v>
      </c>
      <c r="O101" s="4">
        <v>11.2</v>
      </c>
      <c r="P101" s="4">
        <f t="shared" si="14"/>
        <v>1.3674999999999999</v>
      </c>
      <c r="Q101" s="10">
        <v>1.0424287800000001</v>
      </c>
      <c r="R101" s="4">
        <f t="shared" si="13"/>
        <v>2.7054656953536965E-2</v>
      </c>
      <c r="S101">
        <f t="shared" si="12"/>
        <v>2.3431265397259694E-2</v>
      </c>
      <c r="T101"/>
      <c r="V101" s="4" t="s">
        <v>221</v>
      </c>
      <c r="W101" s="4" t="s">
        <v>221</v>
      </c>
      <c r="X101" s="4" t="s">
        <v>221</v>
      </c>
      <c r="Y101" s="4" t="s">
        <v>221</v>
      </c>
      <c r="AB101" s="4" t="s">
        <v>144</v>
      </c>
    </row>
    <row r="102" spans="1:28" x14ac:dyDescent="0.2">
      <c r="A102" t="s">
        <v>139</v>
      </c>
      <c r="B102" t="s">
        <v>121</v>
      </c>
      <c r="C102">
        <v>49.72</v>
      </c>
      <c r="D102">
        <v>-93.76</v>
      </c>
      <c r="F102" t="s">
        <v>206</v>
      </c>
      <c r="G102" t="s">
        <v>35</v>
      </c>
      <c r="H102">
        <f>AVERAGE(25,33)</f>
        <v>29</v>
      </c>
      <c r="I102">
        <v>11.5</v>
      </c>
      <c r="K102">
        <v>20</v>
      </c>
      <c r="L102">
        <v>8</v>
      </c>
      <c r="M102">
        <v>10</v>
      </c>
      <c r="N102">
        <v>7.1</v>
      </c>
      <c r="O102">
        <f>I102+L102-N102</f>
        <v>12.4</v>
      </c>
      <c r="V102" t="s">
        <v>207</v>
      </c>
      <c r="W102" t="s">
        <v>207</v>
      </c>
      <c r="X102" t="s">
        <v>207</v>
      </c>
      <c r="AA102" t="s">
        <v>17</v>
      </c>
    </row>
    <row r="103" spans="1:28" x14ac:dyDescent="0.2">
      <c r="A103" t="s">
        <v>145</v>
      </c>
      <c r="B103" t="s">
        <v>121</v>
      </c>
      <c r="C103">
        <v>44.34</v>
      </c>
      <c r="D103">
        <v>-68.22</v>
      </c>
      <c r="E103">
        <f>AVERAGE(122,468)</f>
        <v>295</v>
      </c>
      <c r="F103" t="s">
        <v>202</v>
      </c>
      <c r="G103" t="s">
        <v>15</v>
      </c>
      <c r="H103">
        <v>31.6</v>
      </c>
      <c r="I103">
        <v>10</v>
      </c>
      <c r="L103">
        <v>9.4</v>
      </c>
      <c r="N103">
        <v>6.8</v>
      </c>
      <c r="O103">
        <f>I103+L103-N103</f>
        <v>12.599999999999998</v>
      </c>
      <c r="V103" t="s">
        <v>203</v>
      </c>
      <c r="W103" t="s">
        <v>147</v>
      </c>
      <c r="X103" t="s">
        <v>147</v>
      </c>
      <c r="AA103" t="s">
        <v>17</v>
      </c>
      <c r="AB103" t="s">
        <v>204</v>
      </c>
    </row>
    <row r="104" spans="1:28" x14ac:dyDescent="0.2">
      <c r="A104" t="s">
        <v>146</v>
      </c>
      <c r="B104" t="s">
        <v>121</v>
      </c>
      <c r="C104">
        <v>44.33</v>
      </c>
      <c r="D104">
        <v>-68.290000000000006</v>
      </c>
      <c r="E104">
        <f>AVERAGE(137,380)</f>
        <v>258.5</v>
      </c>
      <c r="F104" t="s">
        <v>202</v>
      </c>
      <c r="G104" t="s">
        <v>35</v>
      </c>
      <c r="H104">
        <v>58.8</v>
      </c>
      <c r="I104">
        <v>10.1</v>
      </c>
      <c r="L104">
        <v>10.199999999999999</v>
      </c>
      <c r="N104">
        <v>6.8</v>
      </c>
      <c r="O104">
        <f>I104+L104-N104</f>
        <v>13.499999999999996</v>
      </c>
      <c r="V104" t="s">
        <v>203</v>
      </c>
      <c r="W104" t="s">
        <v>147</v>
      </c>
      <c r="X104" t="s">
        <v>147</v>
      </c>
      <c r="AA104" t="s">
        <v>17</v>
      </c>
      <c r="AB104" t="s">
        <v>205</v>
      </c>
    </row>
    <row r="105" spans="1:28" s="4" customFormat="1" x14ac:dyDescent="0.2">
      <c r="A105" s="4" t="s">
        <v>148</v>
      </c>
      <c r="B105" s="4" t="s">
        <v>121</v>
      </c>
      <c r="C105" s="4">
        <v>44.2</v>
      </c>
      <c r="D105" s="4">
        <v>-72.7</v>
      </c>
      <c r="F105" s="4" t="s">
        <v>14</v>
      </c>
      <c r="G105" s="4" t="s">
        <v>21</v>
      </c>
      <c r="H105" s="4">
        <v>50</v>
      </c>
      <c r="I105" s="4">
        <v>17.899999999999999</v>
      </c>
      <c r="P105" s="4">
        <v>1.407</v>
      </c>
      <c r="Q105" s="10">
        <v>1.06163304</v>
      </c>
      <c r="S105">
        <f t="shared" ref="S105" si="15">I105*1000/P105*Q105*100/365.2425/24/60/60</f>
        <v>4.2799462055866946E-2</v>
      </c>
      <c r="V105" s="4" t="s">
        <v>150</v>
      </c>
      <c r="Y105" s="4" t="s">
        <v>340</v>
      </c>
      <c r="AA105" s="4" t="s">
        <v>17</v>
      </c>
      <c r="AB105" s="4" t="s">
        <v>149</v>
      </c>
    </row>
    <row r="106" spans="1:28" s="4" customFormat="1" x14ac:dyDescent="0.2">
      <c r="A106" s="4" t="s">
        <v>157</v>
      </c>
      <c r="B106" s="4" t="s">
        <v>121</v>
      </c>
      <c r="C106" s="4">
        <f>35+58/60</f>
        <v>35.966666666666669</v>
      </c>
      <c r="D106" s="4">
        <f>-84-17/60</f>
        <v>-84.283333333333331</v>
      </c>
      <c r="E106" s="4">
        <v>315</v>
      </c>
      <c r="F106" s="4" t="s">
        <v>159</v>
      </c>
      <c r="G106" s="4" t="s">
        <v>15</v>
      </c>
      <c r="H106" s="4">
        <v>105</v>
      </c>
      <c r="I106" s="4">
        <v>30</v>
      </c>
      <c r="K106" s="4">
        <v>10.99</v>
      </c>
      <c r="L106" s="4">
        <v>14</v>
      </c>
      <c r="M106" s="4">
        <v>7.79</v>
      </c>
      <c r="N106" s="4">
        <v>10</v>
      </c>
      <c r="O106" s="4">
        <f>I106+L106-N106</f>
        <v>34</v>
      </c>
      <c r="Q106" s="14"/>
      <c r="V106" s="4" t="s">
        <v>158</v>
      </c>
      <c r="W106" s="4" t="s">
        <v>158</v>
      </c>
      <c r="X106" s="4" t="s">
        <v>158</v>
      </c>
      <c r="AA106" s="4" t="s">
        <v>17</v>
      </c>
    </row>
    <row r="107" spans="1:28" s="4" customFormat="1" x14ac:dyDescent="0.2">
      <c r="A107" s="4" t="s">
        <v>161</v>
      </c>
      <c r="B107" s="4" t="s">
        <v>121</v>
      </c>
      <c r="C107" s="4">
        <v>47.36</v>
      </c>
      <c r="D107" s="4">
        <v>-121.61</v>
      </c>
      <c r="E107" s="4">
        <v>220</v>
      </c>
      <c r="F107" s="4">
        <v>2008</v>
      </c>
      <c r="G107" s="4" t="s">
        <v>15</v>
      </c>
      <c r="H107" s="4">
        <v>35</v>
      </c>
      <c r="I107" s="4">
        <v>9</v>
      </c>
      <c r="Q107" s="14"/>
      <c r="V107" s="4" t="s">
        <v>162</v>
      </c>
      <c r="AA107" s="4" t="s">
        <v>17</v>
      </c>
      <c r="AB107" s="4" t="s">
        <v>164</v>
      </c>
    </row>
    <row r="108" spans="1:28" s="4" customFormat="1" x14ac:dyDescent="0.2">
      <c r="A108" s="4" t="s">
        <v>161</v>
      </c>
      <c r="B108" s="4" t="s">
        <v>121</v>
      </c>
      <c r="C108" s="4">
        <v>47.36</v>
      </c>
      <c r="D108" s="4">
        <v>-121.61</v>
      </c>
      <c r="E108" s="4">
        <v>220</v>
      </c>
      <c r="F108" s="4">
        <v>2008</v>
      </c>
      <c r="G108" s="4" t="s">
        <v>35</v>
      </c>
      <c r="H108" s="4">
        <v>70</v>
      </c>
      <c r="I108" s="4">
        <v>8.4</v>
      </c>
      <c r="Q108" s="14"/>
      <c r="V108" s="4" t="s">
        <v>162</v>
      </c>
      <c r="AA108" s="4" t="s">
        <v>17</v>
      </c>
      <c r="AB108" s="4" t="s">
        <v>163</v>
      </c>
    </row>
    <row r="109" spans="1:28" s="4" customFormat="1" x14ac:dyDescent="0.2">
      <c r="A109" s="4" t="s">
        <v>165</v>
      </c>
      <c r="B109" s="4" t="s">
        <v>121</v>
      </c>
      <c r="C109" s="4">
        <v>44.53</v>
      </c>
      <c r="D109" s="4">
        <v>-72.87</v>
      </c>
      <c r="E109" s="4">
        <v>400</v>
      </c>
      <c r="F109" s="4" t="s">
        <v>115</v>
      </c>
      <c r="G109" s="4" t="s">
        <v>15</v>
      </c>
      <c r="H109" s="4">
        <f>AVERAGE(53.2,47.1)</f>
        <v>50.150000000000006</v>
      </c>
      <c r="I109" s="4">
        <f>AVERAGE(15.8,13)</f>
        <v>14.4</v>
      </c>
      <c r="K109" s="4">
        <v>12</v>
      </c>
      <c r="L109" s="4">
        <v>11.7</v>
      </c>
      <c r="M109" s="4">
        <v>6.5</v>
      </c>
      <c r="N109" s="4">
        <v>7.9</v>
      </c>
      <c r="O109" s="4">
        <f>I109+L109-N109</f>
        <v>18.200000000000003</v>
      </c>
      <c r="Q109" s="14"/>
      <c r="V109" s="4" t="s">
        <v>170</v>
      </c>
      <c r="W109" s="4" t="s">
        <v>166</v>
      </c>
      <c r="X109" s="4" t="s">
        <v>166</v>
      </c>
      <c r="AA109" s="4" t="s">
        <v>17</v>
      </c>
      <c r="AB109" s="4" t="s">
        <v>171</v>
      </c>
    </row>
    <row r="110" spans="1:28" s="4" customFormat="1" x14ac:dyDescent="0.2">
      <c r="A110" s="4" t="s">
        <v>176</v>
      </c>
      <c r="B110" s="4" t="s">
        <v>121</v>
      </c>
      <c r="C110" s="4">
        <v>44.53</v>
      </c>
      <c r="D110" s="4">
        <v>-72.87</v>
      </c>
      <c r="E110" s="4">
        <v>399</v>
      </c>
      <c r="F110" s="4" t="s">
        <v>160</v>
      </c>
      <c r="G110" s="4" t="s">
        <v>15</v>
      </c>
      <c r="I110" s="4">
        <v>11.3</v>
      </c>
      <c r="J110" s="4">
        <v>1.8</v>
      </c>
      <c r="N110" s="4">
        <v>7.8</v>
      </c>
      <c r="P110" s="4">
        <v>1.407</v>
      </c>
      <c r="Q110" s="10">
        <v>1.06163304</v>
      </c>
      <c r="S110">
        <f t="shared" ref="S110" si="16">I110*1000/P110*Q110*100/365.2425/24/60/60</f>
        <v>2.7018654817390863E-2</v>
      </c>
      <c r="V110" s="4" t="s">
        <v>196</v>
      </c>
      <c r="X110" s="4" t="s">
        <v>196</v>
      </c>
      <c r="Y110" s="4" t="s">
        <v>340</v>
      </c>
      <c r="AA110" s="4" t="s">
        <v>17</v>
      </c>
    </row>
    <row r="111" spans="1:28" s="4" customFormat="1" x14ac:dyDescent="0.2">
      <c r="A111" s="4" t="s">
        <v>167</v>
      </c>
      <c r="B111" s="4" t="s">
        <v>121</v>
      </c>
      <c r="C111" s="4">
        <v>45.57</v>
      </c>
      <c r="D111" s="4">
        <v>-84.8</v>
      </c>
      <c r="F111" s="4">
        <v>1996</v>
      </c>
      <c r="G111" s="4" t="s">
        <v>15</v>
      </c>
      <c r="H111" s="4">
        <v>32.5</v>
      </c>
      <c r="I111" s="4">
        <v>11.4</v>
      </c>
      <c r="J111" s="4">
        <v>2.8</v>
      </c>
      <c r="L111" s="4">
        <v>10.5</v>
      </c>
      <c r="N111" s="4">
        <v>8.6999999999999993</v>
      </c>
      <c r="O111" s="4">
        <f>I111+L111-N111</f>
        <v>13.2</v>
      </c>
      <c r="Q111" s="14"/>
      <c r="V111" s="4" t="s">
        <v>168</v>
      </c>
      <c r="W111" s="4" t="s">
        <v>169</v>
      </c>
      <c r="X111" s="4" t="s">
        <v>169</v>
      </c>
      <c r="AA111" s="4" t="s">
        <v>17</v>
      </c>
    </row>
    <row r="112" spans="1:28" s="4" customFormat="1" x14ac:dyDescent="0.2">
      <c r="A112" s="4" t="s">
        <v>173</v>
      </c>
      <c r="B112" s="4" t="s">
        <v>121</v>
      </c>
      <c r="C112" s="4">
        <v>44.2</v>
      </c>
      <c r="D112" s="4">
        <v>-72.3</v>
      </c>
      <c r="E112" s="4">
        <f>AVERAGE(601,704,608,582,680,641,610,640)</f>
        <v>633.25</v>
      </c>
      <c r="F112" s="4" t="s">
        <v>29</v>
      </c>
      <c r="G112" s="4" t="s">
        <v>35</v>
      </c>
      <c r="I112" s="4">
        <v>3</v>
      </c>
      <c r="J112" s="4">
        <v>1</v>
      </c>
      <c r="P112" s="4">
        <v>1.244</v>
      </c>
      <c r="Q112" s="10">
        <v>1.06163304</v>
      </c>
      <c r="S112">
        <f t="shared" ref="S112:S115" si="17">I112*1000/P112*Q112*100/365.2425/24/60/60</f>
        <v>8.1129771209207269E-3</v>
      </c>
      <c r="V112" s="4" t="s">
        <v>172</v>
      </c>
      <c r="Y112" s="4" t="s">
        <v>340</v>
      </c>
      <c r="AA112" s="4" t="s">
        <v>17</v>
      </c>
      <c r="AB112" s="4" t="s">
        <v>174</v>
      </c>
    </row>
    <row r="113" spans="1:28" s="4" customFormat="1" x14ac:dyDescent="0.2">
      <c r="A113" s="4" t="s">
        <v>173</v>
      </c>
      <c r="B113" s="4" t="s">
        <v>121</v>
      </c>
      <c r="C113" s="4">
        <v>44.2</v>
      </c>
      <c r="D113" s="4">
        <v>-72.3</v>
      </c>
      <c r="E113" s="4">
        <f>AVERAGE(601,704,608,582,680,641,610,640)</f>
        <v>633.25</v>
      </c>
      <c r="F113" s="4" t="s">
        <v>29</v>
      </c>
      <c r="G113" s="4" t="s">
        <v>15</v>
      </c>
      <c r="I113" s="4">
        <v>24</v>
      </c>
      <c r="J113" s="4">
        <v>5</v>
      </c>
      <c r="P113" s="4">
        <v>1.244</v>
      </c>
      <c r="Q113" s="10">
        <v>1.06163304</v>
      </c>
      <c r="S113">
        <f t="shared" si="17"/>
        <v>6.4903816967365816E-2</v>
      </c>
      <c r="V113" s="4" t="s">
        <v>172</v>
      </c>
      <c r="Y113" s="4" t="s">
        <v>340</v>
      </c>
      <c r="AA113" s="4" t="s">
        <v>17</v>
      </c>
      <c r="AB113" s="4" t="s">
        <v>174</v>
      </c>
    </row>
    <row r="114" spans="1:28" s="4" customFormat="1" x14ac:dyDescent="0.2">
      <c r="A114" s="4" t="s">
        <v>177</v>
      </c>
      <c r="B114" s="4" t="s">
        <v>121</v>
      </c>
      <c r="C114" s="4">
        <v>30.74</v>
      </c>
      <c r="D114" s="4">
        <v>-82.13</v>
      </c>
      <c r="E114" s="4">
        <v>47</v>
      </c>
      <c r="F114" s="4" t="s">
        <v>160</v>
      </c>
      <c r="G114" s="4" t="s">
        <v>21</v>
      </c>
      <c r="I114" s="4">
        <v>5.4</v>
      </c>
      <c r="J114" s="4">
        <v>0.1</v>
      </c>
      <c r="N114" s="4">
        <v>12.9</v>
      </c>
      <c r="P114" s="4">
        <f>AVERAGE(1.278,1.361)</f>
        <v>1.3195000000000001</v>
      </c>
      <c r="Q114" s="10">
        <v>1.07138792</v>
      </c>
      <c r="S114">
        <f t="shared" si="17"/>
        <v>1.389428047257883E-2</v>
      </c>
      <c r="V114" s="4" t="s">
        <v>196</v>
      </c>
      <c r="X114" s="4" t="s">
        <v>196</v>
      </c>
      <c r="Y114" s="4" t="s">
        <v>365</v>
      </c>
      <c r="AA114" s="4" t="s">
        <v>17</v>
      </c>
    </row>
    <row r="115" spans="1:28" s="4" customFormat="1" x14ac:dyDescent="0.2">
      <c r="A115" s="4" t="s">
        <v>177</v>
      </c>
      <c r="B115" s="4" t="s">
        <v>121</v>
      </c>
      <c r="C115" s="4">
        <v>30.74</v>
      </c>
      <c r="D115" s="4">
        <v>-82.13</v>
      </c>
      <c r="E115" s="4">
        <v>47</v>
      </c>
      <c r="F115" s="4" t="s">
        <v>29</v>
      </c>
      <c r="G115" s="4" t="s">
        <v>21</v>
      </c>
      <c r="H115" s="4">
        <f>AVERAGE(27.4,34.3,27.1)</f>
        <v>29.599999999999998</v>
      </c>
      <c r="I115" s="4">
        <f>AVERAGE(5.9,3.6,2.2)</f>
        <v>3.9</v>
      </c>
      <c r="N115" s="4">
        <f>AVERAGE(10.6, 12.4, 17.5)</f>
        <v>13.5</v>
      </c>
      <c r="P115" s="4">
        <f>AVERAGE(1.437,1.374)</f>
        <v>1.4055</v>
      </c>
      <c r="Q115" s="10">
        <v>1.07138792</v>
      </c>
      <c r="S115">
        <f t="shared" si="17"/>
        <v>9.4207494401510345E-3</v>
      </c>
      <c r="V115" s="4" t="s">
        <v>215</v>
      </c>
      <c r="X115" s="4" t="s">
        <v>215</v>
      </c>
      <c r="Y115" s="4" t="s">
        <v>365</v>
      </c>
    </row>
    <row r="116" spans="1:28" s="4" customFormat="1" x14ac:dyDescent="0.2">
      <c r="A116" s="4" t="s">
        <v>178</v>
      </c>
      <c r="B116" s="4" t="s">
        <v>121</v>
      </c>
      <c r="C116" s="4">
        <v>40.840000000000003</v>
      </c>
      <c r="D116" s="4">
        <v>-85.46</v>
      </c>
      <c r="E116" s="4">
        <v>244</v>
      </c>
      <c r="F116" s="4" t="s">
        <v>160</v>
      </c>
      <c r="G116" s="4" t="s">
        <v>15</v>
      </c>
      <c r="I116" s="4">
        <v>13.9</v>
      </c>
      <c r="J116" s="4">
        <v>5.2</v>
      </c>
      <c r="N116" s="4">
        <v>8.3000000000000007</v>
      </c>
      <c r="Q116" s="14"/>
      <c r="V116" s="4" t="s">
        <v>196</v>
      </c>
      <c r="X116" s="4" t="s">
        <v>196</v>
      </c>
      <c r="AA116" s="4" t="s">
        <v>17</v>
      </c>
    </row>
    <row r="117" spans="1:28" s="4" customFormat="1" x14ac:dyDescent="0.2">
      <c r="A117" s="4" t="s">
        <v>195</v>
      </c>
      <c r="B117" s="4" t="s">
        <v>121</v>
      </c>
      <c r="C117" s="4">
        <v>38.76</v>
      </c>
      <c r="D117" s="4">
        <v>-85.42</v>
      </c>
      <c r="E117" s="4">
        <v>256</v>
      </c>
      <c r="F117" s="4" t="s">
        <v>160</v>
      </c>
      <c r="G117" s="4" t="s">
        <v>15</v>
      </c>
      <c r="I117" s="4">
        <v>16</v>
      </c>
      <c r="J117" s="4">
        <v>1.2</v>
      </c>
      <c r="N117" s="4">
        <v>15</v>
      </c>
      <c r="Q117" s="14"/>
      <c r="V117" s="4" t="s">
        <v>196</v>
      </c>
      <c r="X117" s="4" t="s">
        <v>196</v>
      </c>
      <c r="AA117" s="4" t="s">
        <v>17</v>
      </c>
    </row>
    <row r="118" spans="1:28" s="4" customFormat="1" x14ac:dyDescent="0.2">
      <c r="A118" s="4" t="s">
        <v>195</v>
      </c>
      <c r="B118" s="4" t="s">
        <v>121</v>
      </c>
      <c r="C118" s="4">
        <v>38.76</v>
      </c>
      <c r="D118" s="4">
        <v>-85.42</v>
      </c>
      <c r="E118" s="4">
        <v>256</v>
      </c>
      <c r="F118" s="4" t="s">
        <v>224</v>
      </c>
      <c r="G118" s="4" t="s">
        <v>15</v>
      </c>
      <c r="H118" s="4">
        <f>AVERAGE(49.3,50.6)</f>
        <v>49.95</v>
      </c>
      <c r="I118" s="4">
        <f>AVERAGE(14,14.2)</f>
        <v>14.1</v>
      </c>
      <c r="N118" s="4">
        <f>AVERAGE(12.4,10)</f>
        <v>11.2</v>
      </c>
      <c r="P118" s="4">
        <v>1.3779999999999999</v>
      </c>
      <c r="Q118" s="10">
        <v>1.06925399</v>
      </c>
      <c r="S118">
        <f t="shared" ref="S118" si="18">I118*1000/P118*Q118*100/365.2425/24/60/60</f>
        <v>3.4670150378758646E-2</v>
      </c>
      <c r="V118" s="4" t="s">
        <v>225</v>
      </c>
      <c r="X118" s="4" t="s">
        <v>225</v>
      </c>
      <c r="Y118" s="4" t="s">
        <v>341</v>
      </c>
    </row>
    <row r="119" spans="1:28" s="4" customFormat="1" x14ac:dyDescent="0.2">
      <c r="A119" s="4" t="s">
        <v>179</v>
      </c>
      <c r="B119" s="4" t="s">
        <v>121</v>
      </c>
      <c r="C119" s="4">
        <v>39.86</v>
      </c>
      <c r="D119" s="4">
        <v>-86.02</v>
      </c>
      <c r="E119" s="4">
        <v>260</v>
      </c>
      <c r="F119" s="4" t="s">
        <v>160</v>
      </c>
      <c r="G119" s="4" t="s">
        <v>15</v>
      </c>
      <c r="I119" s="4">
        <v>17.399999999999999</v>
      </c>
      <c r="J119" s="4">
        <v>5.5</v>
      </c>
      <c r="N119" s="4">
        <v>13</v>
      </c>
      <c r="Q119" s="14"/>
      <c r="U119" s="4" t="s">
        <v>199</v>
      </c>
      <c r="V119" s="4" t="s">
        <v>196</v>
      </c>
      <c r="X119" s="4" t="s">
        <v>196</v>
      </c>
      <c r="AA119" s="4" t="s">
        <v>17</v>
      </c>
      <c r="AB119" s="4" t="s">
        <v>201</v>
      </c>
    </row>
    <row r="120" spans="1:28" s="4" customFormat="1" x14ac:dyDescent="0.2">
      <c r="A120" s="4" t="s">
        <v>180</v>
      </c>
      <c r="B120" s="4" t="s">
        <v>121</v>
      </c>
      <c r="C120" s="4">
        <v>41.63</v>
      </c>
      <c r="D120" s="4">
        <v>-87.09</v>
      </c>
      <c r="E120" s="4">
        <v>208</v>
      </c>
      <c r="F120" s="4" t="s">
        <v>160</v>
      </c>
      <c r="G120" s="4" t="s">
        <v>15</v>
      </c>
      <c r="I120" s="4">
        <v>18.7</v>
      </c>
      <c r="J120" s="4">
        <v>5.7</v>
      </c>
      <c r="N120" s="4">
        <v>10.9</v>
      </c>
      <c r="Q120" s="14"/>
      <c r="V120" s="4" t="s">
        <v>196</v>
      </c>
      <c r="X120" s="4" t="s">
        <v>196</v>
      </c>
      <c r="AA120" s="4" t="s">
        <v>17</v>
      </c>
    </row>
    <row r="121" spans="1:28" s="4" customFormat="1" x14ac:dyDescent="0.2">
      <c r="A121" s="4" t="s">
        <v>180</v>
      </c>
      <c r="B121" s="4" t="s">
        <v>121</v>
      </c>
      <c r="C121" s="4">
        <v>41.63</v>
      </c>
      <c r="D121" s="4">
        <v>-87.09</v>
      </c>
      <c r="E121" s="4">
        <v>208</v>
      </c>
      <c r="F121" s="4" t="s">
        <v>29</v>
      </c>
      <c r="G121" s="4" t="s">
        <v>15</v>
      </c>
      <c r="H121" s="4">
        <f>AVERAGE(40.7,40.6,35.2)</f>
        <v>38.833333333333336</v>
      </c>
      <c r="I121" s="4">
        <f>AVERAGE(17.2,15.3,17.8)</f>
        <v>16.766666666666666</v>
      </c>
      <c r="N121" s="4">
        <f>AVERAGE(8.8,13.8, 12)</f>
        <v>11.533333333333333</v>
      </c>
      <c r="Q121" s="14"/>
      <c r="V121" s="4" t="s">
        <v>215</v>
      </c>
      <c r="X121" s="4" t="s">
        <v>215</v>
      </c>
    </row>
    <row r="122" spans="1:28" s="4" customFormat="1" x14ac:dyDescent="0.2">
      <c r="A122" s="4" t="s">
        <v>180</v>
      </c>
      <c r="B122" s="4" t="s">
        <v>121</v>
      </c>
      <c r="C122" s="4">
        <v>41.63</v>
      </c>
      <c r="D122" s="4">
        <v>-87.09</v>
      </c>
      <c r="E122" s="4">
        <v>208</v>
      </c>
      <c r="F122" s="4" t="s">
        <v>224</v>
      </c>
      <c r="G122" s="4" t="s">
        <v>15</v>
      </c>
      <c r="H122" s="4">
        <f>AVERAGE(38.7,39.4)</f>
        <v>39.049999999999997</v>
      </c>
      <c r="I122" s="4">
        <f>AVERAGE(16.1,15.1)</f>
        <v>15.600000000000001</v>
      </c>
      <c r="N122" s="4">
        <f>AVERAGE(8.3,7.6)</f>
        <v>7.95</v>
      </c>
      <c r="Q122" s="14"/>
      <c r="V122" s="4" t="s">
        <v>225</v>
      </c>
      <c r="X122" s="4" t="s">
        <v>225</v>
      </c>
    </row>
    <row r="123" spans="1:28" s="4" customFormat="1" x14ac:dyDescent="0.2">
      <c r="A123" s="4" t="s">
        <v>181</v>
      </c>
      <c r="B123" s="4" t="s">
        <v>121</v>
      </c>
      <c r="C123" s="4">
        <v>37.130000000000003</v>
      </c>
      <c r="D123" s="4">
        <v>-86.15</v>
      </c>
      <c r="E123" s="4">
        <v>236</v>
      </c>
      <c r="F123" s="4" t="s">
        <v>160</v>
      </c>
      <c r="G123" s="4" t="s">
        <v>15</v>
      </c>
      <c r="I123" s="4">
        <v>12.6</v>
      </c>
      <c r="J123" s="4">
        <v>0.1</v>
      </c>
      <c r="N123" s="4">
        <v>10.8</v>
      </c>
      <c r="Q123" s="14"/>
      <c r="V123" s="4" t="s">
        <v>196</v>
      </c>
      <c r="X123" s="4" t="s">
        <v>196</v>
      </c>
      <c r="AA123" s="4" t="s">
        <v>17</v>
      </c>
    </row>
    <row r="124" spans="1:28" s="4" customFormat="1" x14ac:dyDescent="0.2">
      <c r="A124" s="4" t="s">
        <v>182</v>
      </c>
      <c r="B124" s="4" t="s">
        <v>121</v>
      </c>
      <c r="C124" s="4">
        <v>39.71</v>
      </c>
      <c r="D124" s="4">
        <v>-79.010000000000005</v>
      </c>
      <c r="E124" s="4">
        <v>769</v>
      </c>
      <c r="F124" s="4" t="s">
        <v>160</v>
      </c>
      <c r="G124" s="4" t="s">
        <v>15</v>
      </c>
      <c r="I124" s="4">
        <v>15.3</v>
      </c>
      <c r="J124" s="4">
        <v>2.1</v>
      </c>
      <c r="N124" s="4">
        <v>8.3000000000000007</v>
      </c>
      <c r="P124" s="4">
        <v>1.2849999999999999</v>
      </c>
      <c r="Q124" s="10">
        <v>1.0840016699999999</v>
      </c>
      <c r="S124">
        <f t="shared" ref="S124:S127" si="19">I124*1000/P124*Q124*100/365.2425/24/60/60</f>
        <v>4.0899990316118795E-2</v>
      </c>
      <c r="V124" s="4" t="s">
        <v>196</v>
      </c>
      <c r="X124" s="4" t="s">
        <v>196</v>
      </c>
      <c r="Y124" s="4" t="s">
        <v>342</v>
      </c>
      <c r="AA124" s="4" t="s">
        <v>17</v>
      </c>
    </row>
    <row r="125" spans="1:28" s="4" customFormat="1" x14ac:dyDescent="0.2">
      <c r="A125" s="4" t="s">
        <v>183</v>
      </c>
      <c r="B125" s="4" t="s">
        <v>121</v>
      </c>
      <c r="C125" s="4">
        <v>39.03</v>
      </c>
      <c r="D125" s="4">
        <v>-76.819999999999993</v>
      </c>
      <c r="E125" s="4">
        <v>46</v>
      </c>
      <c r="F125" s="4" t="s">
        <v>160</v>
      </c>
      <c r="G125" s="4" t="s">
        <v>15</v>
      </c>
      <c r="I125" s="4">
        <v>15.5</v>
      </c>
      <c r="J125" s="4">
        <v>1</v>
      </c>
      <c r="N125" s="4">
        <v>10.3</v>
      </c>
      <c r="P125" s="4">
        <f>AVERAGE(1.301,1.326)</f>
        <v>1.3134999999999999</v>
      </c>
      <c r="Q125" s="10">
        <v>1.0651012900000001</v>
      </c>
      <c r="S125">
        <f t="shared" si="19"/>
        <v>3.982882391033131E-2</v>
      </c>
      <c r="U125" s="4" t="s">
        <v>199</v>
      </c>
      <c r="V125" s="4" t="s">
        <v>196</v>
      </c>
      <c r="X125" s="4" t="s">
        <v>196</v>
      </c>
      <c r="Y125" s="4" t="s">
        <v>343</v>
      </c>
      <c r="AA125" s="4" t="s">
        <v>17</v>
      </c>
      <c r="AB125" s="4" t="s">
        <v>200</v>
      </c>
    </row>
    <row r="126" spans="1:28" s="4" customFormat="1" x14ac:dyDescent="0.2">
      <c r="A126" s="4" t="s">
        <v>183</v>
      </c>
      <c r="B126" s="4" t="s">
        <v>121</v>
      </c>
      <c r="C126" s="4">
        <v>39.03</v>
      </c>
      <c r="D126" s="4">
        <v>-76.819999999999993</v>
      </c>
      <c r="E126" s="4">
        <v>46</v>
      </c>
      <c r="F126" s="4" t="s">
        <v>29</v>
      </c>
      <c r="G126" s="4" t="s">
        <v>21</v>
      </c>
      <c r="H126" s="4">
        <f>AVERAGE(37.9,42.9,35.3)</f>
        <v>38.699999999999996</v>
      </c>
      <c r="I126" s="4">
        <f>AVERAGE(16.3,14.3,11.5)</f>
        <v>14.033333333333333</v>
      </c>
      <c r="N126" s="4">
        <f>AVERAGE(6.8,7.2,8.3)</f>
        <v>7.4333333333333336</v>
      </c>
      <c r="P126" s="4">
        <f>AVERAGE(1.405,1.382)</f>
        <v>1.3935</v>
      </c>
      <c r="Q126" s="10">
        <v>1.0651012900000001</v>
      </c>
      <c r="S126">
        <f t="shared" si="19"/>
        <v>3.3989887684091946E-2</v>
      </c>
      <c r="U126" s="4" t="s">
        <v>199</v>
      </c>
      <c r="V126" s="4" t="s">
        <v>215</v>
      </c>
      <c r="X126" s="4" t="s">
        <v>215</v>
      </c>
      <c r="Y126" s="4" t="s">
        <v>343</v>
      </c>
    </row>
    <row r="127" spans="1:28" s="4" customFormat="1" x14ac:dyDescent="0.2">
      <c r="A127" s="4" t="s">
        <v>184</v>
      </c>
      <c r="B127" s="4" t="s">
        <v>121</v>
      </c>
      <c r="C127" s="4">
        <v>46.29</v>
      </c>
      <c r="D127" s="4">
        <v>-85.95</v>
      </c>
      <c r="E127" s="4">
        <v>216</v>
      </c>
      <c r="F127" s="4" t="s">
        <v>160</v>
      </c>
      <c r="G127" s="4" t="s">
        <v>35</v>
      </c>
      <c r="I127" s="4">
        <v>7.4</v>
      </c>
      <c r="J127" s="4">
        <v>0.4</v>
      </c>
      <c r="N127" s="4">
        <v>5.7</v>
      </c>
      <c r="P127" s="4">
        <v>1.5289999999999999</v>
      </c>
      <c r="Q127" s="10">
        <v>1.03761361</v>
      </c>
      <c r="S127">
        <f t="shared" si="19"/>
        <v>1.5913468348734455E-2</v>
      </c>
      <c r="V127" s="4" t="s">
        <v>196</v>
      </c>
      <c r="X127" s="4" t="s">
        <v>196</v>
      </c>
      <c r="Y127" s="4" t="s">
        <v>355</v>
      </c>
      <c r="AA127" s="4" t="s">
        <v>17</v>
      </c>
    </row>
    <row r="128" spans="1:28" s="4" customFormat="1" x14ac:dyDescent="0.2">
      <c r="A128" s="4" t="s">
        <v>184</v>
      </c>
      <c r="B128" s="4" t="s">
        <v>121</v>
      </c>
      <c r="C128" s="4">
        <v>46.29</v>
      </c>
      <c r="D128" s="4">
        <v>-85.95</v>
      </c>
      <c r="E128" s="4">
        <v>216</v>
      </c>
      <c r="F128" s="4" t="s">
        <v>29</v>
      </c>
      <c r="G128" s="4" t="s">
        <v>21</v>
      </c>
      <c r="H128" s="4">
        <f>AVERAGE(47.5,43.2,36.7)</f>
        <v>42.466666666666669</v>
      </c>
      <c r="I128" s="4">
        <f>AVERAGE(6.1,5.3,5.1)</f>
        <v>5.5</v>
      </c>
      <c r="N128" s="4">
        <f>AVERAGE(6.3,8.4,7.6)</f>
        <v>7.4333333333333327</v>
      </c>
      <c r="Q128" s="14"/>
      <c r="V128" s="4" t="s">
        <v>215</v>
      </c>
      <c r="X128" s="4" t="s">
        <v>215</v>
      </c>
    </row>
    <row r="129" spans="1:27" s="4" customFormat="1" x14ac:dyDescent="0.2">
      <c r="A129" s="4" t="s">
        <v>185</v>
      </c>
      <c r="B129" s="4" t="s">
        <v>121</v>
      </c>
      <c r="C129" s="4">
        <v>45.14</v>
      </c>
      <c r="D129" s="4">
        <v>-93.22</v>
      </c>
      <c r="E129" s="4">
        <v>275</v>
      </c>
      <c r="F129" s="4" t="s">
        <v>160</v>
      </c>
      <c r="G129" s="4" t="s">
        <v>15</v>
      </c>
      <c r="I129" s="4">
        <v>7.8</v>
      </c>
      <c r="J129" s="4">
        <v>0.3</v>
      </c>
      <c r="N129" s="4">
        <v>6.5</v>
      </c>
      <c r="Q129" s="14"/>
      <c r="V129" s="4" t="s">
        <v>196</v>
      </c>
      <c r="X129" s="4" t="s">
        <v>196</v>
      </c>
      <c r="AA129" s="4" t="s">
        <v>17</v>
      </c>
    </row>
    <row r="130" spans="1:27" s="4" customFormat="1" x14ac:dyDescent="0.2">
      <c r="A130" s="4" t="s">
        <v>186</v>
      </c>
      <c r="B130" s="4" t="s">
        <v>121</v>
      </c>
      <c r="C130" s="4">
        <v>41.99</v>
      </c>
      <c r="D130" s="4">
        <v>-74.5</v>
      </c>
      <c r="E130" s="4">
        <v>634</v>
      </c>
      <c r="F130" s="4" t="s">
        <v>160</v>
      </c>
      <c r="G130" s="4" t="s">
        <v>15</v>
      </c>
      <c r="I130" s="4">
        <v>15.3</v>
      </c>
      <c r="J130" s="4">
        <v>1</v>
      </c>
      <c r="N130" s="4">
        <v>9.6</v>
      </c>
      <c r="P130" s="4">
        <f>AVERAGE(1.491,1.412, 1.517)</f>
        <v>1.4733333333333334</v>
      </c>
      <c r="Q130" s="10">
        <v>1.07042057</v>
      </c>
      <c r="S130">
        <f t="shared" ref="S130:S134" si="20">I130*1000/P130*Q130*100/365.2425/24/60/60</f>
        <v>3.5224903594082126E-2</v>
      </c>
      <c r="V130" s="4" t="s">
        <v>196</v>
      </c>
      <c r="X130" s="4" t="s">
        <v>196</v>
      </c>
      <c r="Y130" s="4" t="s">
        <v>349</v>
      </c>
      <c r="AA130" s="4" t="s">
        <v>17</v>
      </c>
    </row>
    <row r="131" spans="1:27" s="4" customFormat="1" x14ac:dyDescent="0.2">
      <c r="A131" s="4" t="s">
        <v>186</v>
      </c>
      <c r="B131" s="4" t="s">
        <v>121</v>
      </c>
      <c r="C131" s="4">
        <v>41.99</v>
      </c>
      <c r="D131" s="4">
        <v>-74.5</v>
      </c>
      <c r="E131" s="4">
        <v>634</v>
      </c>
      <c r="F131" s="4" t="s">
        <v>29</v>
      </c>
      <c r="G131" s="4" t="s">
        <v>15</v>
      </c>
      <c r="H131" s="4">
        <f>AVERAGE(58.5,62.2)</f>
        <v>60.35</v>
      </c>
      <c r="I131" s="4">
        <f>AVERAGE(8.9,9.3)</f>
        <v>9.1000000000000014</v>
      </c>
      <c r="N131" s="4">
        <f>AVERAGE(8.5,8.5)</f>
        <v>8.5</v>
      </c>
      <c r="P131" s="4">
        <f>AVERAGE(1.781,1.549)</f>
        <v>1.665</v>
      </c>
      <c r="Q131" s="10">
        <v>1.07042057</v>
      </c>
      <c r="S131">
        <f t="shared" si="20"/>
        <v>1.8539010544677638E-2</v>
      </c>
      <c r="V131" s="4" t="s">
        <v>215</v>
      </c>
      <c r="X131" s="4" t="s">
        <v>215</v>
      </c>
      <c r="Y131" s="4" t="s">
        <v>349</v>
      </c>
    </row>
    <row r="132" spans="1:27" s="4" customFormat="1" x14ac:dyDescent="0.2">
      <c r="A132" s="4" t="s">
        <v>198</v>
      </c>
      <c r="B132" s="4" t="s">
        <v>121</v>
      </c>
      <c r="C132" s="4">
        <v>39.31</v>
      </c>
      <c r="D132" s="4">
        <v>-82.12</v>
      </c>
      <c r="E132" s="4">
        <v>275</v>
      </c>
      <c r="F132" s="4" t="s">
        <v>160</v>
      </c>
      <c r="G132" s="4" t="s">
        <v>15</v>
      </c>
      <c r="I132" s="4">
        <v>18.8</v>
      </c>
      <c r="J132" s="4">
        <v>2.8</v>
      </c>
      <c r="N132" s="4">
        <v>8.4</v>
      </c>
      <c r="P132" s="4">
        <v>1.3320000000000001</v>
      </c>
      <c r="Q132" s="10">
        <v>1.0682081800000001</v>
      </c>
      <c r="S132">
        <f t="shared" si="20"/>
        <v>4.7776515774242551E-2</v>
      </c>
      <c r="V132" s="4" t="s">
        <v>196</v>
      </c>
      <c r="X132" s="4" t="s">
        <v>196</v>
      </c>
      <c r="Y132" s="4" t="s">
        <v>350</v>
      </c>
      <c r="AA132" s="4" t="s">
        <v>17</v>
      </c>
    </row>
    <row r="133" spans="1:27" s="4" customFormat="1" x14ac:dyDescent="0.2">
      <c r="A133" s="4" t="s">
        <v>197</v>
      </c>
      <c r="B133" s="4" t="s">
        <v>121</v>
      </c>
      <c r="C133" s="4">
        <v>40.46</v>
      </c>
      <c r="D133" s="4">
        <v>-78.56</v>
      </c>
      <c r="E133" s="4">
        <v>739</v>
      </c>
      <c r="F133" s="4" t="s">
        <v>160</v>
      </c>
      <c r="G133" s="4" t="s">
        <v>15</v>
      </c>
      <c r="I133" s="4">
        <v>13.6</v>
      </c>
      <c r="J133" s="4">
        <v>4</v>
      </c>
      <c r="N133" s="4">
        <v>8.4</v>
      </c>
      <c r="P133" s="4">
        <v>1.2849999999999999</v>
      </c>
      <c r="Q133" s="10">
        <v>1.0651012900000001</v>
      </c>
      <c r="S133">
        <f t="shared" si="20"/>
        <v>3.5721660790992565E-2</v>
      </c>
      <c r="V133" s="4" t="s">
        <v>196</v>
      </c>
      <c r="X133" s="4" t="s">
        <v>196</v>
      </c>
      <c r="Y133" s="4" t="s">
        <v>344</v>
      </c>
      <c r="AA133" s="4" t="s">
        <v>17</v>
      </c>
    </row>
    <row r="134" spans="1:27" s="4" customFormat="1" x14ac:dyDescent="0.2">
      <c r="A134" s="4" t="s">
        <v>197</v>
      </c>
      <c r="B134" s="4" t="s">
        <v>121</v>
      </c>
      <c r="C134" s="4">
        <v>40.46</v>
      </c>
      <c r="D134" s="4">
        <v>-78.56</v>
      </c>
      <c r="E134" s="4">
        <v>739</v>
      </c>
      <c r="F134" s="4" t="s">
        <v>29</v>
      </c>
      <c r="G134" s="4" t="s">
        <v>15</v>
      </c>
      <c r="H134" s="4">
        <f>AVERAGE(50.5,45.9,43.8)</f>
        <v>46.733333333333327</v>
      </c>
      <c r="I134" s="4">
        <f>AVERAGE(14.3,12.6,12.9)</f>
        <v>13.266666666666666</v>
      </c>
      <c r="N134" s="4">
        <f>AVERAGE(11.5,9.2,9.2)</f>
        <v>9.9666666666666668</v>
      </c>
      <c r="P134" s="4">
        <v>1.345</v>
      </c>
      <c r="Q134" s="10">
        <v>1.0651012900000001</v>
      </c>
      <c r="S134">
        <f t="shared" si="20"/>
        <v>3.3291655693449461E-2</v>
      </c>
      <c r="V134" s="4" t="s">
        <v>215</v>
      </c>
      <c r="X134" s="4" t="s">
        <v>215</v>
      </c>
      <c r="Y134" s="4" t="s">
        <v>342</v>
      </c>
    </row>
    <row r="135" spans="1:27" s="4" customFormat="1" x14ac:dyDescent="0.2">
      <c r="A135" s="4" t="s">
        <v>187</v>
      </c>
      <c r="B135" s="4" t="s">
        <v>121</v>
      </c>
      <c r="C135" s="4">
        <v>32.94</v>
      </c>
      <c r="D135" s="4">
        <v>-79.66</v>
      </c>
      <c r="E135" s="4">
        <v>3</v>
      </c>
      <c r="F135" s="4" t="s">
        <v>160</v>
      </c>
      <c r="G135" s="4" t="s">
        <v>21</v>
      </c>
      <c r="I135" s="4">
        <v>9.3000000000000007</v>
      </c>
      <c r="J135" s="4">
        <v>0.2</v>
      </c>
      <c r="N135" s="4">
        <v>8.1999999999999993</v>
      </c>
      <c r="Q135" s="14"/>
      <c r="V135" s="4" t="s">
        <v>196</v>
      </c>
      <c r="X135" s="4" t="s">
        <v>196</v>
      </c>
      <c r="AA135" s="4" t="s">
        <v>17</v>
      </c>
    </row>
    <row r="136" spans="1:27" s="4" customFormat="1" x14ac:dyDescent="0.2">
      <c r="A136" s="4" t="s">
        <v>187</v>
      </c>
      <c r="B136" s="4" t="s">
        <v>121</v>
      </c>
      <c r="C136" s="4">
        <v>32.94</v>
      </c>
      <c r="D136" s="4">
        <v>-79.66</v>
      </c>
      <c r="E136" s="4">
        <v>3</v>
      </c>
      <c r="F136" s="4" t="s">
        <v>29</v>
      </c>
      <c r="G136" s="4" t="s">
        <v>15</v>
      </c>
      <c r="H136" s="4">
        <f>AVERAGE(36.9,35.7,46.4)</f>
        <v>39.666666666666664</v>
      </c>
      <c r="I136" s="4">
        <f>AVERAGE(6.2,6.4,16.9)</f>
        <v>9.8333333333333339</v>
      </c>
      <c r="N136" s="4">
        <f>AVERAGE(9.7,9.7,10.2)</f>
        <v>9.8666666666666654</v>
      </c>
      <c r="Q136" s="14"/>
      <c r="V136" s="4" t="s">
        <v>215</v>
      </c>
      <c r="X136" s="4" t="s">
        <v>215</v>
      </c>
    </row>
    <row r="137" spans="1:27" s="4" customFormat="1" x14ac:dyDescent="0.2">
      <c r="A137" s="4" t="s">
        <v>188</v>
      </c>
      <c r="B137" s="4" t="s">
        <v>121</v>
      </c>
      <c r="C137" s="4">
        <v>35.659999999999997</v>
      </c>
      <c r="D137" s="4">
        <v>-83.59</v>
      </c>
      <c r="E137" s="4">
        <v>640</v>
      </c>
      <c r="F137" s="4" t="s">
        <v>160</v>
      </c>
      <c r="G137" s="4" t="s">
        <v>15</v>
      </c>
      <c r="I137" s="4">
        <v>14.9</v>
      </c>
      <c r="J137" s="4">
        <v>4.7</v>
      </c>
      <c r="N137" s="4">
        <v>10.9</v>
      </c>
      <c r="P137" s="4">
        <v>1.278</v>
      </c>
      <c r="Q137" s="10">
        <v>1.11860344</v>
      </c>
      <c r="S137">
        <f t="shared" ref="S137:S155" si="21">I137*1000/P137*Q137*100/365.2425/24/60/60</f>
        <v>4.1327250810203282E-2</v>
      </c>
      <c r="V137" s="4" t="s">
        <v>196</v>
      </c>
      <c r="X137" s="4" t="s">
        <v>196</v>
      </c>
      <c r="Y137" s="4" t="s">
        <v>345</v>
      </c>
      <c r="AA137" s="4" t="s">
        <v>17</v>
      </c>
    </row>
    <row r="138" spans="1:27" s="4" customFormat="1" x14ac:dyDescent="0.2">
      <c r="A138" s="4" t="s">
        <v>189</v>
      </c>
      <c r="B138" s="4" t="s">
        <v>121</v>
      </c>
      <c r="C138" s="4">
        <v>38.520000000000003</v>
      </c>
      <c r="D138" s="4">
        <v>-78.44</v>
      </c>
      <c r="E138" s="4">
        <v>1074</v>
      </c>
      <c r="F138" s="4" t="s">
        <v>160</v>
      </c>
      <c r="G138" s="4" t="s">
        <v>21</v>
      </c>
      <c r="I138" s="4">
        <v>7.8</v>
      </c>
      <c r="J138" s="4">
        <v>0.8</v>
      </c>
      <c r="N138" s="4">
        <v>9.6</v>
      </c>
      <c r="P138" s="4">
        <v>1.2849999999999999</v>
      </c>
      <c r="Q138" s="10">
        <v>1.05505147</v>
      </c>
      <c r="S138">
        <f t="shared" si="21"/>
        <v>2.0294112927910089E-2</v>
      </c>
      <c r="V138" s="4" t="s">
        <v>196</v>
      </c>
      <c r="X138" s="4" t="s">
        <v>196</v>
      </c>
      <c r="Y138" s="4" t="s">
        <v>342</v>
      </c>
      <c r="AA138" s="4" t="s">
        <v>17</v>
      </c>
    </row>
    <row r="139" spans="1:27" s="4" customFormat="1" x14ac:dyDescent="0.2">
      <c r="A139" s="4" t="s">
        <v>190</v>
      </c>
      <c r="B139" s="4" t="s">
        <v>121</v>
      </c>
      <c r="C139" s="4">
        <v>45.8</v>
      </c>
      <c r="D139" s="4">
        <v>-88.4</v>
      </c>
      <c r="E139" s="4">
        <v>421</v>
      </c>
      <c r="F139" s="4" t="s">
        <v>160</v>
      </c>
      <c r="G139" s="4" t="s">
        <v>21</v>
      </c>
      <c r="I139" s="4">
        <v>10</v>
      </c>
      <c r="J139" s="4">
        <v>1.1000000000000001</v>
      </c>
      <c r="N139" s="4">
        <v>7.1</v>
      </c>
      <c r="P139" s="4">
        <v>1.339</v>
      </c>
      <c r="Q139" s="10">
        <v>1.0441205200000001</v>
      </c>
      <c r="S139">
        <f t="shared" si="21"/>
        <v>2.4710128549571306E-2</v>
      </c>
      <c r="V139" s="4" t="s">
        <v>196</v>
      </c>
      <c r="X139" s="4" t="s">
        <v>196</v>
      </c>
      <c r="Y139" s="4" t="s">
        <v>346</v>
      </c>
      <c r="AA139" s="4" t="s">
        <v>17</v>
      </c>
    </row>
    <row r="140" spans="1:27" s="4" customFormat="1" x14ac:dyDescent="0.2">
      <c r="A140" s="4" t="s">
        <v>191</v>
      </c>
      <c r="B140" s="4" t="s">
        <v>121</v>
      </c>
      <c r="C140" s="4">
        <v>43.44</v>
      </c>
      <c r="D140" s="4">
        <v>-89.68</v>
      </c>
      <c r="E140" s="4">
        <v>389</v>
      </c>
      <c r="F140" s="4" t="s">
        <v>160</v>
      </c>
      <c r="G140" s="4" t="s">
        <v>15</v>
      </c>
      <c r="I140" s="4">
        <v>4.5999999999999996</v>
      </c>
      <c r="J140" s="4">
        <v>1</v>
      </c>
      <c r="N140" s="4">
        <v>9.5</v>
      </c>
      <c r="P140" s="4">
        <v>1.339</v>
      </c>
      <c r="Q140" s="10">
        <v>1.0537189899999999</v>
      </c>
      <c r="S140">
        <f t="shared" si="21"/>
        <v>1.1471151415634701E-2</v>
      </c>
      <c r="V140" s="4" t="s">
        <v>196</v>
      </c>
      <c r="X140" s="4" t="s">
        <v>196</v>
      </c>
      <c r="Y140" s="4" t="s">
        <v>346</v>
      </c>
      <c r="AA140" s="4" t="s">
        <v>17</v>
      </c>
    </row>
    <row r="141" spans="1:27" s="4" customFormat="1" x14ac:dyDescent="0.2">
      <c r="A141" s="4" t="s">
        <v>192</v>
      </c>
      <c r="B141" s="4" t="s">
        <v>121</v>
      </c>
      <c r="C141" s="4">
        <v>46.05</v>
      </c>
      <c r="D141" s="4">
        <v>-89.65</v>
      </c>
      <c r="E141" s="4">
        <v>501</v>
      </c>
      <c r="F141" s="4" t="s">
        <v>160</v>
      </c>
      <c r="G141" s="4" t="s">
        <v>35</v>
      </c>
      <c r="I141" s="4">
        <v>7.6</v>
      </c>
      <c r="J141" s="4">
        <v>1.4</v>
      </c>
      <c r="N141" s="4">
        <v>5.7</v>
      </c>
      <c r="P141" s="4">
        <v>1.339</v>
      </c>
      <c r="Q141" s="10">
        <v>1.05794805</v>
      </c>
      <c r="S141">
        <f t="shared" si="21"/>
        <v>1.9028401586096498E-2</v>
      </c>
      <c r="V141" s="4" t="s">
        <v>196</v>
      </c>
      <c r="X141" s="4" t="s">
        <v>196</v>
      </c>
      <c r="Y141" s="4" t="s">
        <v>346</v>
      </c>
      <c r="AA141" s="4" t="s">
        <v>17</v>
      </c>
    </row>
    <row r="142" spans="1:27" s="4" customFormat="1" x14ac:dyDescent="0.2">
      <c r="A142" s="4" t="s">
        <v>193</v>
      </c>
      <c r="B142" s="4" t="s">
        <v>121</v>
      </c>
      <c r="C142" s="4">
        <v>42.58</v>
      </c>
      <c r="D142" s="4">
        <v>-88.5</v>
      </c>
      <c r="E142" s="4">
        <v>288</v>
      </c>
      <c r="F142" s="4" t="s">
        <v>160</v>
      </c>
      <c r="G142" s="4" t="s">
        <v>15</v>
      </c>
      <c r="I142" s="4">
        <v>14.3</v>
      </c>
      <c r="J142" s="4">
        <v>1.3</v>
      </c>
      <c r="N142" s="4">
        <v>10.3</v>
      </c>
      <c r="P142" s="4">
        <v>1.339</v>
      </c>
      <c r="Q142" s="10">
        <v>1.05035787</v>
      </c>
      <c r="S142">
        <f t="shared" si="21"/>
        <v>3.554657035835105E-2</v>
      </c>
      <c r="V142" s="4" t="s">
        <v>196</v>
      </c>
      <c r="X142" s="4" t="s">
        <v>196</v>
      </c>
      <c r="Y142" s="4" t="s">
        <v>346</v>
      </c>
      <c r="AA142" s="4" t="s">
        <v>17</v>
      </c>
    </row>
    <row r="143" spans="1:27" s="4" customFormat="1" x14ac:dyDescent="0.2">
      <c r="A143" s="4" t="s">
        <v>194</v>
      </c>
      <c r="B143" s="4" t="s">
        <v>121</v>
      </c>
      <c r="C143" s="4">
        <v>39.06</v>
      </c>
      <c r="D143" s="4">
        <v>-79.42</v>
      </c>
      <c r="E143" s="4">
        <v>988</v>
      </c>
      <c r="F143" s="4" t="s">
        <v>160</v>
      </c>
      <c r="G143" s="4" t="s">
        <v>21</v>
      </c>
      <c r="I143" s="4">
        <v>9.9</v>
      </c>
      <c r="J143" s="4">
        <v>0.3</v>
      </c>
      <c r="N143" s="4">
        <v>9.6999999999999993</v>
      </c>
      <c r="P143" s="4">
        <v>1.2849999999999999</v>
      </c>
      <c r="Q143" s="10">
        <v>1.0840016699999999</v>
      </c>
      <c r="S143">
        <f t="shared" si="21"/>
        <v>2.6464699616312159E-2</v>
      </c>
      <c r="V143" s="4" t="s">
        <v>196</v>
      </c>
      <c r="X143" s="4" t="s">
        <v>196</v>
      </c>
      <c r="Y143" s="4" t="s">
        <v>347</v>
      </c>
      <c r="AA143" s="4" t="s">
        <v>17</v>
      </c>
    </row>
    <row r="144" spans="1:27" s="4" customFormat="1" x14ac:dyDescent="0.2">
      <c r="A144" s="4" t="s">
        <v>194</v>
      </c>
      <c r="B144" s="4" t="s">
        <v>121</v>
      </c>
      <c r="C144" s="4">
        <v>39.06</v>
      </c>
      <c r="D144" s="4">
        <v>-79.42</v>
      </c>
      <c r="E144" s="4">
        <v>988</v>
      </c>
      <c r="F144" s="4" t="s">
        <v>29</v>
      </c>
      <c r="G144" s="4" t="s">
        <v>15</v>
      </c>
      <c r="H144" s="4">
        <v>38.799999999999997</v>
      </c>
      <c r="I144" s="4">
        <v>8.1999999999999993</v>
      </c>
      <c r="N144" s="4">
        <v>10.6</v>
      </c>
      <c r="P144" s="4">
        <v>1.345</v>
      </c>
      <c r="Q144" s="10">
        <v>1.0840016699999999</v>
      </c>
      <c r="S144">
        <f t="shared" si="21"/>
        <v>2.0942400950552453E-2</v>
      </c>
      <c r="V144" s="4" t="s">
        <v>215</v>
      </c>
      <c r="X144" s="4" t="s">
        <v>215</v>
      </c>
      <c r="Y144" s="4" t="s">
        <v>347</v>
      </c>
    </row>
    <row r="145" spans="1:28" s="4" customFormat="1" x14ac:dyDescent="0.2">
      <c r="A145" s="4" t="s">
        <v>216</v>
      </c>
      <c r="B145" s="4" t="s">
        <v>121</v>
      </c>
      <c r="C145" s="4">
        <v>42.16</v>
      </c>
      <c r="D145" s="4">
        <v>-80.11</v>
      </c>
      <c r="E145" s="4">
        <v>177</v>
      </c>
      <c r="F145" s="4" t="s">
        <v>29</v>
      </c>
      <c r="G145" s="4" t="s">
        <v>15</v>
      </c>
      <c r="H145" s="4">
        <f>AVERAGE(43.2,51.2,42.8)</f>
        <v>45.733333333333327</v>
      </c>
      <c r="I145" s="4">
        <f>AVERAGE(13.7,15,15.1)</f>
        <v>14.6</v>
      </c>
      <c r="N145" s="4">
        <f>AVERAGE(9.2,12.7,9)</f>
        <v>10.299999999999999</v>
      </c>
      <c r="P145" s="4">
        <f>AVERAGE(1.799, 1.43)</f>
        <v>1.6145</v>
      </c>
      <c r="Q145" s="10">
        <v>1.0655818399999999</v>
      </c>
      <c r="S145">
        <f t="shared" si="21"/>
        <v>3.0535607715475865E-2</v>
      </c>
      <c r="V145" s="4" t="s">
        <v>215</v>
      </c>
      <c r="X145" s="4" t="s">
        <v>215</v>
      </c>
      <c r="Y145" s="4" t="s">
        <v>348</v>
      </c>
    </row>
    <row r="146" spans="1:28" s="4" customFormat="1" x14ac:dyDescent="0.2">
      <c r="A146" s="4" t="s">
        <v>217</v>
      </c>
      <c r="B146" s="4" t="s">
        <v>121</v>
      </c>
      <c r="C146" s="4">
        <v>40.659999999999997</v>
      </c>
      <c r="D146" s="4">
        <v>-77.94</v>
      </c>
      <c r="E146" s="4">
        <v>287</v>
      </c>
      <c r="F146" s="4" t="s">
        <v>29</v>
      </c>
      <c r="G146" s="4" t="s">
        <v>21</v>
      </c>
      <c r="H146" s="4">
        <f>AVERAGE(30.1,27.6)</f>
        <v>28.85</v>
      </c>
      <c r="I146" s="4">
        <f>AVERAGE(7.6,7.5)</f>
        <v>7.55</v>
      </c>
      <c r="N146" s="4">
        <f>AVERAGE(8.5,8)</f>
        <v>8.25</v>
      </c>
      <c r="P146" s="4">
        <v>1.365</v>
      </c>
      <c r="Q146" s="10">
        <v>1.0651012900000001</v>
      </c>
      <c r="S146">
        <f t="shared" si="21"/>
        <v>1.8668531705398193E-2</v>
      </c>
      <c r="V146" s="4" t="s">
        <v>215</v>
      </c>
      <c r="X146" s="4" t="s">
        <v>215</v>
      </c>
      <c r="Y146" s="4" t="s">
        <v>342</v>
      </c>
    </row>
    <row r="147" spans="1:28" s="4" customFormat="1" x14ac:dyDescent="0.2">
      <c r="A147" s="4" t="s">
        <v>218</v>
      </c>
      <c r="B147" s="4" t="s">
        <v>121</v>
      </c>
      <c r="C147" s="4">
        <v>46.6</v>
      </c>
      <c r="D147" s="4">
        <v>-90.67</v>
      </c>
      <c r="E147" s="4">
        <v>625</v>
      </c>
      <c r="F147" s="4" t="s">
        <v>29</v>
      </c>
      <c r="G147" s="4" t="s">
        <v>15</v>
      </c>
      <c r="H147" s="4">
        <f>AVERAGE(31.8,32.4,24.3)</f>
        <v>29.5</v>
      </c>
      <c r="I147" s="4">
        <f>AVERAGE(8.3,8.8,6.2)</f>
        <v>7.7666666666666666</v>
      </c>
      <c r="N147" s="4">
        <f>AVERAGE(12.4,6.6,7.6)</f>
        <v>8.8666666666666671</v>
      </c>
      <c r="P147" s="4">
        <v>1.4910000000000001</v>
      </c>
      <c r="Q147" s="10">
        <v>1.05794805</v>
      </c>
      <c r="S147">
        <f t="shared" si="21"/>
        <v>1.7463300050718014E-2</v>
      </c>
      <c r="V147" s="4" t="s">
        <v>215</v>
      </c>
      <c r="X147" s="4" t="s">
        <v>215</v>
      </c>
      <c r="Y147" s="4" t="s">
        <v>351</v>
      </c>
    </row>
    <row r="148" spans="1:28" s="4" customFormat="1" x14ac:dyDescent="0.2">
      <c r="A148" s="4" t="s">
        <v>219</v>
      </c>
      <c r="B148" s="4" t="s">
        <v>121</v>
      </c>
      <c r="C148" s="4">
        <v>36.97</v>
      </c>
      <c r="D148" s="4">
        <v>-90.14</v>
      </c>
      <c r="E148" s="4">
        <v>105</v>
      </c>
      <c r="F148" s="4" t="s">
        <v>29</v>
      </c>
      <c r="G148" s="4" t="s">
        <v>15</v>
      </c>
      <c r="H148" s="4">
        <f>AVERAGE(36.3,49.7,33.4)</f>
        <v>39.800000000000004</v>
      </c>
      <c r="I148" s="4">
        <f>AVERAGE(12.3,17.8,9.7)</f>
        <v>13.266666666666666</v>
      </c>
      <c r="N148" s="4">
        <f>AVERAGE(11,15.8,12.6)</f>
        <v>13.133333333333333</v>
      </c>
      <c r="P148" s="4">
        <v>1.202</v>
      </c>
      <c r="Q148" s="10">
        <v>1.05929155</v>
      </c>
      <c r="S148">
        <f t="shared" si="21"/>
        <v>3.7049112441234426E-2</v>
      </c>
      <c r="V148" s="4" t="s">
        <v>215</v>
      </c>
      <c r="X148" s="4" t="s">
        <v>215</v>
      </c>
      <c r="Y148" s="4" t="s">
        <v>352</v>
      </c>
    </row>
    <row r="149" spans="1:28" s="4" customFormat="1" x14ac:dyDescent="0.2">
      <c r="A149" s="4" t="s">
        <v>226</v>
      </c>
      <c r="B149" s="4" t="s">
        <v>121</v>
      </c>
      <c r="C149" s="4">
        <v>38.74</v>
      </c>
      <c r="D149" s="4">
        <v>-87.49</v>
      </c>
      <c r="E149" s="4">
        <v>134</v>
      </c>
      <c r="F149" s="4" t="s">
        <v>224</v>
      </c>
      <c r="G149" s="4" t="s">
        <v>15</v>
      </c>
      <c r="H149" s="4">
        <f>AVERAGE(47.1,45.4)</f>
        <v>46.25</v>
      </c>
      <c r="I149" s="4">
        <f>AVERAGE(19.7,14.9)</f>
        <v>17.3</v>
      </c>
      <c r="N149" s="4">
        <f>AVERAGE(10.1,9.5)</f>
        <v>9.8000000000000007</v>
      </c>
      <c r="P149" s="4">
        <f>AVERAGE(1.212,1.383)</f>
        <v>1.2974999999999999</v>
      </c>
      <c r="Q149" s="10">
        <v>1.0572046900000001</v>
      </c>
      <c r="S149">
        <f t="shared" si="21"/>
        <v>4.4668643959446204E-2</v>
      </c>
      <c r="V149" s="4" t="s">
        <v>225</v>
      </c>
      <c r="X149" s="4" t="s">
        <v>225</v>
      </c>
      <c r="Y149" s="4" t="s">
        <v>353</v>
      </c>
    </row>
    <row r="150" spans="1:28" s="4" customFormat="1" x14ac:dyDescent="0.2">
      <c r="A150" s="4" t="s">
        <v>232</v>
      </c>
      <c r="B150" s="4" t="s">
        <v>121</v>
      </c>
      <c r="C150" s="4">
        <f>43+56/60+44.2/3600</f>
        <v>43.945611111111106</v>
      </c>
      <c r="D150" s="4">
        <f>-71-42/60-3.9/3600</f>
        <v>-71.70108333333333</v>
      </c>
      <c r="E150" s="4">
        <v>259</v>
      </c>
      <c r="F150" s="4">
        <v>2017</v>
      </c>
      <c r="G150" s="4" t="s">
        <v>15</v>
      </c>
      <c r="I150" s="4">
        <v>11</v>
      </c>
      <c r="K150" s="4">
        <v>4.0999999999999996</v>
      </c>
      <c r="L150" s="4">
        <f>15.7-11</f>
        <v>4.6999999999999993</v>
      </c>
      <c r="M150" s="4">
        <v>2.6</v>
      </c>
      <c r="N150" s="4">
        <f>M150*1500/1000</f>
        <v>3.9</v>
      </c>
      <c r="O150" s="4">
        <f>I150+L150-N150</f>
        <v>11.799999999999999</v>
      </c>
      <c r="P150" s="4">
        <v>1.32</v>
      </c>
      <c r="Q150" s="10">
        <v>1.06163304</v>
      </c>
      <c r="R150" s="4">
        <f t="shared" ref="R150:R151" si="22">O150*1000/P150*Q150*100/365.2425/24/60/60</f>
        <v>3.007374084682311E-2</v>
      </c>
      <c r="S150">
        <f t="shared" si="21"/>
        <v>2.8034843162292728E-2</v>
      </c>
      <c r="T150"/>
      <c r="V150" s="4" t="s">
        <v>233</v>
      </c>
      <c r="W150" s="4" t="s">
        <v>233</v>
      </c>
      <c r="X150" s="4" t="s">
        <v>233</v>
      </c>
      <c r="Y150" s="4" t="s">
        <v>311</v>
      </c>
      <c r="AB150" s="4" t="s">
        <v>234</v>
      </c>
    </row>
    <row r="151" spans="1:28" s="4" customFormat="1" x14ac:dyDescent="0.2">
      <c r="A151" s="4" t="s">
        <v>232</v>
      </c>
      <c r="B151" s="4" t="s">
        <v>121</v>
      </c>
      <c r="C151" s="4">
        <f>43+56/60+12.9/3600</f>
        <v>43.936916666666662</v>
      </c>
      <c r="D151" s="4">
        <f>-71-46/60-23.4/3600</f>
        <v>-71.773166666666668</v>
      </c>
      <c r="E151" s="4">
        <v>510</v>
      </c>
      <c r="F151" s="4">
        <v>2017</v>
      </c>
      <c r="G151" s="4" t="s">
        <v>15</v>
      </c>
      <c r="I151" s="4">
        <v>12</v>
      </c>
      <c r="K151" s="4">
        <v>5.0999999999999996</v>
      </c>
      <c r="L151" s="4">
        <f>16.7-12</f>
        <v>4.6999999999999993</v>
      </c>
      <c r="M151" s="4">
        <v>2.6</v>
      </c>
      <c r="N151" s="4">
        <f>M151*1500/1000</f>
        <v>3.9</v>
      </c>
      <c r="O151" s="4">
        <f>I151+L151-N151</f>
        <v>12.799999999999999</v>
      </c>
      <c r="P151" s="4">
        <v>1.32</v>
      </c>
      <c r="Q151" s="10">
        <v>1.06163304</v>
      </c>
      <c r="R151" s="4">
        <f t="shared" si="22"/>
        <v>3.2622362952486085E-2</v>
      </c>
      <c r="S151">
        <f t="shared" si="21"/>
        <v>3.0583465267955707E-2</v>
      </c>
      <c r="T151"/>
      <c r="V151" s="4" t="s">
        <v>233</v>
      </c>
      <c r="W151" s="4" t="s">
        <v>233</v>
      </c>
      <c r="X151" s="4" t="s">
        <v>233</v>
      </c>
      <c r="Y151" s="4" t="s">
        <v>311</v>
      </c>
      <c r="AB151" s="4" t="s">
        <v>235</v>
      </c>
    </row>
    <row r="152" spans="1:28" x14ac:dyDescent="0.2">
      <c r="A152" t="s">
        <v>236</v>
      </c>
      <c r="B152" t="s">
        <v>121</v>
      </c>
      <c r="C152">
        <v>25.39</v>
      </c>
      <c r="D152">
        <v>-80.680000000000007</v>
      </c>
      <c r="F152" s="4" t="s">
        <v>237</v>
      </c>
      <c r="G152" s="4" t="s">
        <v>41</v>
      </c>
      <c r="H152" s="6" t="s">
        <v>238</v>
      </c>
      <c r="L152">
        <v>26</v>
      </c>
      <c r="N152">
        <v>23.5</v>
      </c>
      <c r="V152" s="4" t="s">
        <v>240</v>
      </c>
      <c r="W152" s="4" t="s">
        <v>240</v>
      </c>
      <c r="X152" s="4" t="s">
        <v>240</v>
      </c>
      <c r="AB152" t="s">
        <v>239</v>
      </c>
    </row>
    <row r="153" spans="1:28" x14ac:dyDescent="0.2">
      <c r="A153" t="s">
        <v>241</v>
      </c>
      <c r="B153" t="s">
        <v>121</v>
      </c>
      <c r="C153">
        <f>41+57/60+49/3600</f>
        <v>41.963611111111113</v>
      </c>
      <c r="D153">
        <f>-71-11/60</f>
        <v>-71.183333333333337</v>
      </c>
      <c r="F153" s="4">
        <v>2010</v>
      </c>
      <c r="G153" s="4" t="s">
        <v>21</v>
      </c>
      <c r="H153">
        <v>33</v>
      </c>
      <c r="I153">
        <v>10</v>
      </c>
      <c r="N153">
        <v>5</v>
      </c>
      <c r="P153">
        <v>1.34</v>
      </c>
      <c r="Q153" s="10">
        <v>1.03521543</v>
      </c>
      <c r="S153">
        <f t="shared" si="21"/>
        <v>2.448109780558683E-2</v>
      </c>
      <c r="V153" s="4" t="s">
        <v>242</v>
      </c>
      <c r="X153" s="4" t="s">
        <v>242</v>
      </c>
      <c r="AB153" t="s">
        <v>243</v>
      </c>
    </row>
    <row r="154" spans="1:28" x14ac:dyDescent="0.2">
      <c r="A154" t="s">
        <v>244</v>
      </c>
      <c r="B154" t="s">
        <v>121</v>
      </c>
      <c r="C154">
        <f>41+47/60+30/3600</f>
        <v>41.791666666666664</v>
      </c>
      <c r="D154">
        <f>-72-22/60-29/3600</f>
        <v>-72.374722222222218</v>
      </c>
      <c r="E154">
        <v>162</v>
      </c>
      <c r="F154" s="4" t="s">
        <v>92</v>
      </c>
      <c r="G154" s="4" t="s">
        <v>15</v>
      </c>
      <c r="H154">
        <v>32.799999999999997</v>
      </c>
      <c r="I154">
        <v>12.4</v>
      </c>
      <c r="N154">
        <f>AVERAGE(7.03,6.57)</f>
        <v>6.8000000000000007</v>
      </c>
      <c r="O154">
        <v>5.6</v>
      </c>
      <c r="U154" t="s">
        <v>245</v>
      </c>
      <c r="V154" s="4" t="s">
        <v>246</v>
      </c>
      <c r="X154" s="4" t="s">
        <v>246</v>
      </c>
      <c r="Z154" s="4" t="s">
        <v>246</v>
      </c>
      <c r="AB154" t="s">
        <v>247</v>
      </c>
    </row>
    <row r="155" spans="1:28" x14ac:dyDescent="0.2">
      <c r="A155" t="s">
        <v>312</v>
      </c>
      <c r="B155" t="s">
        <v>121</v>
      </c>
      <c r="C155">
        <f>42+32/60</f>
        <v>42.533333333333331</v>
      </c>
      <c r="D155">
        <f>-72-11/60</f>
        <v>-72.183333333333337</v>
      </c>
      <c r="E155">
        <v>340</v>
      </c>
      <c r="F155" s="4" t="s">
        <v>313</v>
      </c>
      <c r="G155" s="4" t="s">
        <v>21</v>
      </c>
      <c r="H155">
        <v>20.399999999999999</v>
      </c>
      <c r="I155">
        <v>8.1</v>
      </c>
      <c r="O155">
        <v>25.1</v>
      </c>
      <c r="P155" s="4">
        <v>1.1000000000000001</v>
      </c>
      <c r="Q155" s="10">
        <v>1.04967806</v>
      </c>
      <c r="S155">
        <f t="shared" si="21"/>
        <v>2.4493644166671328E-2</v>
      </c>
      <c r="T155" s="4">
        <f>O155*1000/P155*100/365.2425/24/60/60</f>
        <v>7.2307939683724259E-2</v>
      </c>
      <c r="U155" t="s">
        <v>245</v>
      </c>
      <c r="V155" s="4" t="s">
        <v>314</v>
      </c>
      <c r="Y155" s="4" t="s">
        <v>363</v>
      </c>
      <c r="Z155" s="4" t="s">
        <v>314</v>
      </c>
      <c r="AB155" t="s">
        <v>362</v>
      </c>
    </row>
    <row r="157" spans="1:28" x14ac:dyDescent="0.2">
      <c r="R157" s="4"/>
      <c r="S157" s="4"/>
      <c r="T157" s="4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 Feinberg</dc:creator>
  <cp:lastModifiedBy>Ari Feinberg</cp:lastModifiedBy>
  <dcterms:created xsi:type="dcterms:W3CDTF">2021-06-30T19:55:58Z</dcterms:created>
  <dcterms:modified xsi:type="dcterms:W3CDTF">2022-01-25T18:57:21Z</dcterms:modified>
</cp:coreProperties>
</file>