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i-my.sharepoint.com/personal/dnq572_ku_dk/Documents/papers/2022/Diamine monoacylation/"/>
    </mc:Choice>
  </mc:AlternateContent>
  <xr:revisionPtr revIDLastSave="948" documentId="8_{E2C30E4C-3599-464F-A041-A042264EC4ED}" xr6:coauthVersionLast="47" xr6:coauthVersionMax="47" xr10:uidLastSave="{18407D05-E4D0-461E-AB85-26AA97F4F591}"/>
  <bookViews>
    <workbookView xWindow="-120" yWindow="-120" windowWidth="29040" windowHeight="15840" xr2:uid="{154FDFA1-25BD-464B-A9B1-AFA3B2F1E23A}"/>
  </bookViews>
  <sheets>
    <sheet name="Monoacylation" sheetId="1" r:id="rId1"/>
    <sheet name="3-Step Procedure" sheetId="3" r:id="rId2"/>
    <sheet name="Diacylati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K15" i="1"/>
  <c r="G15" i="1" s="1"/>
  <c r="D15" i="1"/>
  <c r="J15" i="1"/>
  <c r="L15" i="1"/>
  <c r="N15" i="1"/>
  <c r="L19" i="1"/>
  <c r="D23" i="1"/>
  <c r="AF24" i="1"/>
  <c r="AF23" i="1"/>
  <c r="L23" i="1" s="1"/>
  <c r="D19" i="1"/>
  <c r="M23" i="1"/>
  <c r="D17" i="1"/>
  <c r="J17" i="1"/>
  <c r="K17" i="1"/>
  <c r="L17" i="1"/>
  <c r="AB19" i="1"/>
  <c r="T19" i="1"/>
  <c r="N19" i="1" s="1"/>
  <c r="J19" i="1" s="1"/>
  <c r="D18" i="1"/>
  <c r="K18" i="1"/>
  <c r="L18" i="1"/>
  <c r="N18" i="1"/>
  <c r="J18" i="1" s="1"/>
  <c r="D14" i="1"/>
  <c r="AB14" i="1"/>
  <c r="K14" i="1" s="1"/>
  <c r="N14" i="1"/>
  <c r="J14" i="1" s="1"/>
  <c r="L14" i="1"/>
  <c r="D12" i="1"/>
  <c r="K12" i="1"/>
  <c r="L12" i="1"/>
  <c r="N12" i="1"/>
  <c r="J12" i="1" s="1"/>
  <c r="K11" i="1"/>
  <c r="L11" i="1"/>
  <c r="N11" i="1"/>
  <c r="J11" i="1" s="1"/>
  <c r="D11" i="1"/>
  <c r="D9" i="1"/>
  <c r="K4" i="1"/>
  <c r="D4" i="1"/>
  <c r="D7" i="1"/>
  <c r="K9" i="1"/>
  <c r="L9" i="1"/>
  <c r="K7" i="1"/>
  <c r="L7" i="1"/>
  <c r="N9" i="1"/>
  <c r="J9" i="1" s="1"/>
  <c r="L4" i="1"/>
  <c r="N7" i="1"/>
  <c r="J7" i="1" s="1"/>
  <c r="K3" i="1"/>
  <c r="N4" i="1"/>
  <c r="J4" i="1" s="1"/>
  <c r="D3" i="1"/>
  <c r="N3" i="1"/>
  <c r="J3" i="1" s="1"/>
  <c r="AF3" i="1"/>
  <c r="L3" i="1" s="1"/>
  <c r="I15" i="1" l="1"/>
  <c r="H15" i="1" s="1"/>
  <c r="F15" i="1" s="1"/>
  <c r="N23" i="1"/>
  <c r="K19" i="1"/>
  <c r="G17" i="1"/>
  <c r="I17" i="1"/>
  <c r="G18" i="1"/>
  <c r="I18" i="1"/>
  <c r="G7" i="1"/>
  <c r="I9" i="1"/>
  <c r="H9" i="1" s="1"/>
  <c r="G11" i="1"/>
  <c r="G12" i="1"/>
  <c r="G9" i="1"/>
  <c r="G4" i="1"/>
  <c r="I14" i="1"/>
  <c r="E14" i="1" s="1"/>
  <c r="I12" i="1"/>
  <c r="I11" i="1"/>
  <c r="E11" i="1" s="1"/>
  <c r="I7" i="1"/>
  <c r="I4" i="1"/>
  <c r="H4" i="1" s="1"/>
  <c r="F4" i="1" s="1"/>
  <c r="G3" i="1"/>
  <c r="I3" i="1"/>
  <c r="E9" i="1" l="1"/>
  <c r="E15" i="1"/>
  <c r="G19" i="1"/>
  <c r="I19" i="1"/>
  <c r="AB23" i="1"/>
  <c r="T23" i="1"/>
  <c r="J23" i="1"/>
  <c r="E17" i="1"/>
  <c r="H17" i="1"/>
  <c r="F17" i="1" s="1"/>
  <c r="H18" i="1"/>
  <c r="F18" i="1" s="1"/>
  <c r="E18" i="1"/>
  <c r="H12" i="1"/>
  <c r="F12" i="1" s="1"/>
  <c r="E12" i="1"/>
  <c r="E4" i="1"/>
  <c r="H7" i="1"/>
  <c r="F7" i="1" s="1"/>
  <c r="E7" i="1"/>
  <c r="H14" i="1"/>
  <c r="F14" i="1" s="1"/>
  <c r="H11" i="1"/>
  <c r="F11" i="1" s="1"/>
  <c r="F9" i="1"/>
  <c r="E3" i="1"/>
  <c r="H3" i="1"/>
  <c r="F3" i="1" s="1"/>
  <c r="K23" i="1" l="1"/>
  <c r="G23" i="1" s="1"/>
  <c r="I23" i="1"/>
  <c r="H19" i="1"/>
  <c r="F19" i="1" s="1"/>
  <c r="E19" i="1"/>
  <c r="E23" i="1" l="1"/>
  <c r="H23" i="1"/>
  <c r="F23" i="1" s="1"/>
</calcChain>
</file>

<file path=xl/sharedStrings.xml><?xml version="1.0" encoding="utf-8"?>
<sst xmlns="http://schemas.openxmlformats.org/spreadsheetml/2006/main" count="152" uniqueCount="86">
  <si>
    <t>Methodology</t>
  </si>
  <si>
    <t>Verna-Kaushik Monoacylation (2010)</t>
  </si>
  <si>
    <t>Verna-Kaushik Monoacylation (2012)</t>
  </si>
  <si>
    <t>Atom Efficiency</t>
  </si>
  <si>
    <t>Yield</t>
  </si>
  <si>
    <t>Solvent</t>
  </si>
  <si>
    <t>E Factor (without isolation)</t>
  </si>
  <si>
    <t>Diamine</t>
  </si>
  <si>
    <t>MW (g/mol)</t>
  </si>
  <si>
    <t>mol</t>
  </si>
  <si>
    <t>Additive</t>
  </si>
  <si>
    <t>Density (g/mL)</t>
  </si>
  <si>
    <t>volumen (mL)</t>
  </si>
  <si>
    <t>piperazine</t>
  </si>
  <si>
    <t>THF</t>
  </si>
  <si>
    <t>Product</t>
  </si>
  <si>
    <t>Wang-Meanwell Monoacylation (1999)</t>
  </si>
  <si>
    <t>Acylation agent</t>
  </si>
  <si>
    <t>Benzoyl chloride</t>
  </si>
  <si>
    <t>n-BuLi</t>
  </si>
  <si>
    <t>Sourced from</t>
  </si>
  <si>
    <t>Typical Procedure for Monobenzoylation:  Preparation of N-(Benzoyl)piperazine 3a</t>
  </si>
  <si>
    <t>N-(Benzoyl)piperazine</t>
  </si>
  <si>
    <t>equivalents</t>
  </si>
  <si>
    <t>Mass of product / Mass of reagents</t>
  </si>
  <si>
    <t>Mass Intensity</t>
  </si>
  <si>
    <t>DOI</t>
  </si>
  <si>
    <t>Mass of Reagents +  Solvent Mass</t>
  </si>
  <si>
    <t>Total Process Mass</t>
  </si>
  <si>
    <t>E factor (with Solvent Recovery)</t>
  </si>
  <si>
    <t>Total Process Waste / Mass of Product</t>
  </si>
  <si>
    <t>Total process mass / Mass of Product</t>
  </si>
  <si>
    <t>Total Process Waste</t>
  </si>
  <si>
    <t>Total Process Mass - Mass of Product</t>
  </si>
  <si>
    <t>Mass of Reagents (g)</t>
  </si>
  <si>
    <t>Mass of Product (g)</t>
  </si>
  <si>
    <t>Limiting mol</t>
  </si>
  <si>
    <t>Solvent Mass (g)</t>
  </si>
  <si>
    <t>(Mass of Reagents - Mass of Product) / Mass of Product</t>
  </si>
  <si>
    <t>EtOH</t>
  </si>
  <si>
    <t>DCM</t>
  </si>
  <si>
    <t>Imidazole</t>
  </si>
  <si>
    <t>10.1021/ol101604q</t>
  </si>
  <si>
    <t>10.1021/jo9908501</t>
  </si>
  <si>
    <t>piperazine dihydrochloride</t>
  </si>
  <si>
    <t>CDI</t>
  </si>
  <si>
    <t>Phenyl acetic acid</t>
  </si>
  <si>
    <t>2-phenyl-1-(piperazin-1-yl)ethanone</t>
  </si>
  <si>
    <t>SI: General Procedure 1: monoacylation of symmetrical diamines: Synthesis of Phenyl-piperazin-1-yl-methanone</t>
  </si>
  <si>
    <t>SI: General Procedure A for Monoacylation of symmetrical diamines: Synthesis of Phenyl-piperazine-1-yl-methanone</t>
  </si>
  <si>
    <t>H2O</t>
  </si>
  <si>
    <t>10.1039/C1GC16314K</t>
  </si>
  <si>
    <t>Zhang-Wang Monoacylation (2003)</t>
  </si>
  <si>
    <t>10.1021/ol0300773</t>
  </si>
  <si>
    <t>SI: General Procedure: Preparation of Compounds 8aa and 9aa</t>
  </si>
  <si>
    <t>n-Hexane</t>
  </si>
  <si>
    <t>9-BBN</t>
  </si>
  <si>
    <t>Ethylene diamine</t>
  </si>
  <si>
    <t>N-benzoyl ethylene diamine</t>
  </si>
  <si>
    <t>10.1007/s00706-020-02579-5</t>
  </si>
  <si>
    <t>Agha-Abdel-Samii Monoacylation (2020)</t>
  </si>
  <si>
    <t>General procedure for monoacylation of aliphatic diamines in n-butanol</t>
  </si>
  <si>
    <t>n-BuOH</t>
  </si>
  <si>
    <t>N-Benzoyl benzotriazole</t>
  </si>
  <si>
    <t>10.1016/j.tetlet.2008.07.174</t>
  </si>
  <si>
    <t>Tang-Fang Monoacylation (2008)</t>
  </si>
  <si>
    <t>General procedure for mono-acylation of symmetric diamines</t>
  </si>
  <si>
    <t>N-benzoyl-1,4-butanediamine</t>
  </si>
  <si>
    <t>1,4-butanediamine</t>
  </si>
  <si>
    <t>Methyl benzoate</t>
  </si>
  <si>
    <t>Our procedure</t>
  </si>
  <si>
    <t>Phenyl acetyl cloride</t>
  </si>
  <si>
    <t>N-(2-aminoethyl)-2-phenylacetamide</t>
  </si>
  <si>
    <t>CO2</t>
  </si>
  <si>
    <t>10.1016/j.bmcl.2013.10.017</t>
  </si>
  <si>
    <t>tert-butyl (2-(2-phenylacetamido)ethyl)carbamate</t>
  </si>
  <si>
    <t>N-Boc ethylene diamine</t>
  </si>
  <si>
    <t>N-(2-aminoethyl)-2-phenylacetamide hydrochloride</t>
  </si>
  <si>
    <t>HCl</t>
  </si>
  <si>
    <t>iPrOH</t>
  </si>
  <si>
    <t>10.1021/jo961580e</t>
  </si>
  <si>
    <t>Di-tert-butyl bicarbonate</t>
  </si>
  <si>
    <t>Total Yield</t>
  </si>
  <si>
    <t>Three-step synthesis</t>
  </si>
  <si>
    <t xml:space="preserve">Our procedure, but big scale </t>
  </si>
  <si>
    <t>ethyl acetate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</si>
</sst>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039/C1GC16314K" TargetMode="External"/><Relationship Id="rId2" Type="http://schemas.openxmlformats.org/officeDocument/2006/relationships/hyperlink" Target="https://doi.org/10.1021/jo9908501" TargetMode="External"/><Relationship Id="rId1" Type="http://schemas.openxmlformats.org/officeDocument/2006/relationships/hyperlink" Target="https://doi.org/10.1021/ol101604q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i.org/10.1016/j.bmcl.2013.10.017" TargetMode="External"/><Relationship Id="rId4" Type="http://schemas.openxmlformats.org/officeDocument/2006/relationships/hyperlink" Target="https://doi-org.ep.fjernadgang.kb.dk/10.1016/j.tetlet.2008.07.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590A3-57CB-4A39-B993-806F2C97B3B2}">
  <dimension ref="A1:AI24"/>
  <sheetViews>
    <sheetView tabSelected="1" topLeftCell="A7" workbookViewId="0">
      <selection activeCell="G14" sqref="G14:G15"/>
    </sheetView>
  </sheetViews>
  <sheetFormatPr defaultRowHeight="15" x14ac:dyDescent="0.25"/>
  <cols>
    <col min="1" max="1" width="36.42578125" customWidth="1"/>
    <col min="2" max="2" width="33.5703125" customWidth="1"/>
    <col min="3" max="3" width="37.85546875" customWidth="1"/>
    <col min="4" max="4" width="16.42578125" customWidth="1"/>
    <col min="5" max="5" width="17.85546875" customWidth="1"/>
    <col min="6" max="6" width="25" customWidth="1"/>
    <col min="7" max="7" width="34" customWidth="1"/>
    <col min="8" max="8" width="18.7109375" customWidth="1"/>
    <col min="9" max="9" width="18.42578125" customWidth="1"/>
    <col min="10" max="10" width="18" customWidth="1"/>
    <col min="11" max="11" width="18.7109375" customWidth="1"/>
    <col min="12" max="12" width="14.5703125" customWidth="1"/>
    <col min="13" max="13" width="6.140625" customWidth="1"/>
    <col min="14" max="14" width="12.140625" customWidth="1"/>
    <col min="15" max="15" width="31.140625" customWidth="1"/>
    <col min="16" max="17" width="11" customWidth="1"/>
    <col min="18" max="18" width="24.42578125" customWidth="1"/>
    <col min="19" max="19" width="11.28515625" customWidth="1"/>
    <col min="20" max="21" width="11.5703125" customWidth="1"/>
    <col min="22" max="22" width="15.7109375" customWidth="1"/>
    <col min="23" max="23" width="11.42578125" customWidth="1"/>
    <col min="24" max="25" width="11.5703125" customWidth="1"/>
    <col min="26" max="26" width="9.5703125" customWidth="1"/>
    <col min="27" max="27" width="11.140625" customWidth="1"/>
    <col min="28" max="29" width="13.28515625" customWidth="1"/>
    <col min="30" max="30" width="13" customWidth="1"/>
    <col min="31" max="31" width="13.85546875" customWidth="1"/>
    <col min="32" max="32" width="13.5703125" customWidth="1"/>
    <col min="34" max="34" width="13.85546875" customWidth="1"/>
    <col min="35" max="35" width="12.7109375" customWidth="1"/>
  </cols>
  <sheetData>
    <row r="1" spans="1:35" x14ac:dyDescent="0.25">
      <c r="A1" t="s">
        <v>0</v>
      </c>
      <c r="B1" t="s">
        <v>26</v>
      </c>
      <c r="C1" t="s">
        <v>20</v>
      </c>
      <c r="D1" t="s">
        <v>3</v>
      </c>
      <c r="E1" s="4" t="s">
        <v>25</v>
      </c>
      <c r="F1" t="s">
        <v>6</v>
      </c>
      <c r="G1" t="s">
        <v>29</v>
      </c>
      <c r="H1" t="s">
        <v>32</v>
      </c>
      <c r="I1" t="s">
        <v>28</v>
      </c>
      <c r="J1" s="15" t="s">
        <v>35</v>
      </c>
      <c r="K1" s="15" t="s">
        <v>34</v>
      </c>
      <c r="L1" s="15" t="s">
        <v>37</v>
      </c>
      <c r="M1" s="15" t="s">
        <v>4</v>
      </c>
      <c r="N1" s="15" t="s">
        <v>36</v>
      </c>
      <c r="O1" s="15" t="s">
        <v>15</v>
      </c>
      <c r="P1" s="15" t="s">
        <v>8</v>
      </c>
      <c r="Q1" s="15" t="s">
        <v>23</v>
      </c>
      <c r="R1" s="15" t="s">
        <v>7</v>
      </c>
      <c r="S1" s="15" t="s">
        <v>8</v>
      </c>
      <c r="T1" s="15" t="s">
        <v>9</v>
      </c>
      <c r="U1" s="15" t="s">
        <v>23</v>
      </c>
      <c r="V1" s="15" t="s">
        <v>17</v>
      </c>
      <c r="W1" s="15" t="s">
        <v>8</v>
      </c>
      <c r="X1" s="15" t="s">
        <v>9</v>
      </c>
      <c r="Y1" s="15" t="s">
        <v>23</v>
      </c>
      <c r="Z1" s="15" t="s">
        <v>10</v>
      </c>
      <c r="AA1" s="15" t="s">
        <v>8</v>
      </c>
      <c r="AB1" s="15" t="s">
        <v>9</v>
      </c>
      <c r="AC1" s="15" t="s">
        <v>23</v>
      </c>
      <c r="AD1" s="15" t="s">
        <v>5</v>
      </c>
      <c r="AE1" s="15" t="s">
        <v>11</v>
      </c>
      <c r="AF1" s="15" t="s">
        <v>12</v>
      </c>
      <c r="AG1" s="15"/>
      <c r="AH1" s="15"/>
      <c r="AI1" s="15"/>
    </row>
    <row r="2" spans="1:35" ht="36.75" customHeight="1" x14ac:dyDescent="0.25">
      <c r="D2" s="2" t="s">
        <v>24</v>
      </c>
      <c r="E2" s="2" t="s">
        <v>31</v>
      </c>
      <c r="F2" s="2" t="s">
        <v>30</v>
      </c>
      <c r="G2" s="2" t="s">
        <v>38</v>
      </c>
      <c r="H2" s="2" t="s">
        <v>33</v>
      </c>
      <c r="I2" s="2" t="s">
        <v>27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31.5" customHeight="1" x14ac:dyDescent="0.25">
      <c r="A3" s="1" t="s">
        <v>16</v>
      </c>
      <c r="B3" s="5" t="s">
        <v>43</v>
      </c>
      <c r="C3" s="2" t="s">
        <v>21</v>
      </c>
      <c r="D3" s="1">
        <f>(P3*Q3*100)/(S3*U3+W3*Y3+AA3*AC3)</f>
        <v>53.616702270972254</v>
      </c>
      <c r="E3" s="1">
        <f>I3/J3</f>
        <v>30.261899687590635</v>
      </c>
      <c r="F3" s="1">
        <f>H3/J3</f>
        <v>29.261899687590635</v>
      </c>
      <c r="G3" s="1">
        <f>(K3-J3)/J3</f>
        <v>1.3772920483495212</v>
      </c>
      <c r="H3" s="1">
        <f>I3-J3</f>
        <v>51.438704559999998</v>
      </c>
      <c r="I3" s="1">
        <f>K3+L3</f>
        <v>53.196577599999998</v>
      </c>
      <c r="J3" s="1">
        <f>P3*N3*M3/100</f>
        <v>1.75787304</v>
      </c>
      <c r="K3" s="1">
        <f>S3*T3+W3*X3+AA3*AB3</f>
        <v>4.1789775999999996</v>
      </c>
      <c r="L3" s="1">
        <f>AE3*AF3+AH3*AI3</f>
        <v>49.017600000000002</v>
      </c>
      <c r="M3" s="1">
        <v>84</v>
      </c>
      <c r="N3" s="1">
        <f>X3</f>
        <v>1.0999999999999999E-2</v>
      </c>
      <c r="O3" s="2" t="s">
        <v>22</v>
      </c>
      <c r="P3" s="1">
        <v>190.24600000000001</v>
      </c>
      <c r="Q3" s="1">
        <v>1</v>
      </c>
      <c r="R3" s="1" t="s">
        <v>13</v>
      </c>
      <c r="S3" s="1">
        <v>86.135999999999996</v>
      </c>
      <c r="T3" s="1">
        <v>1.1599999999999999E-2</v>
      </c>
      <c r="U3" s="1">
        <v>1</v>
      </c>
      <c r="V3" s="1" t="s">
        <v>18</v>
      </c>
      <c r="W3" s="1">
        <v>140.57</v>
      </c>
      <c r="X3" s="1">
        <v>1.0999999999999999E-2</v>
      </c>
      <c r="Y3" s="1">
        <v>1</v>
      </c>
      <c r="Z3" s="1" t="s">
        <v>19</v>
      </c>
      <c r="AA3" s="1">
        <v>64.06</v>
      </c>
      <c r="AB3" s="1">
        <v>2.5499999999999998E-2</v>
      </c>
      <c r="AC3" s="1">
        <v>2</v>
      </c>
      <c r="AD3" s="1" t="s">
        <v>14</v>
      </c>
      <c r="AE3" s="1">
        <v>0.88800000000000001</v>
      </c>
      <c r="AF3" s="1">
        <f>50+5.2</f>
        <v>55.2</v>
      </c>
    </row>
    <row r="4" spans="1:35" ht="60" x14ac:dyDescent="0.25">
      <c r="A4" s="1" t="s">
        <v>1</v>
      </c>
      <c r="B4" s="5" t="s">
        <v>42</v>
      </c>
      <c r="C4" s="3" t="s">
        <v>49</v>
      </c>
      <c r="D4" s="1">
        <f>(P4*Q4*100)/(S4*U4+W4*Y4+AA4*AC4)</f>
        <v>43.656632505541815</v>
      </c>
      <c r="E4" s="1">
        <f>I4/J4</f>
        <v>76.256492909180736</v>
      </c>
      <c r="F4" s="1">
        <f>H4/J4</f>
        <v>75.256492909180736</v>
      </c>
      <c r="G4" s="1">
        <f>(K4-J4)/J4</f>
        <v>2.1767698138200013</v>
      </c>
      <c r="H4" s="1">
        <f>I4-J4</f>
        <v>114.53797399999999</v>
      </c>
      <c r="I4" s="1">
        <f>K4+L4</f>
        <v>116.05994199999999</v>
      </c>
      <c r="J4" s="1">
        <f>P4*N4*M4/100</f>
        <v>1.521968</v>
      </c>
      <c r="K4" s="1">
        <f>S4*T4+W4*X4+AA4*AB4</f>
        <v>4.8349419999999999</v>
      </c>
      <c r="L4" s="1">
        <f>AE4*AF4+AE5*AF5+AE6*AF6</f>
        <v>111.22499999999999</v>
      </c>
      <c r="M4" s="1">
        <v>80</v>
      </c>
      <c r="N4" s="1">
        <f>X4</f>
        <v>0.01</v>
      </c>
      <c r="O4" s="2" t="s">
        <v>22</v>
      </c>
      <c r="P4" s="1">
        <v>190.24600000000001</v>
      </c>
      <c r="Q4" s="1">
        <v>1</v>
      </c>
      <c r="R4" s="1" t="s">
        <v>44</v>
      </c>
      <c r="S4" s="1">
        <v>159.054</v>
      </c>
      <c r="T4" s="1">
        <v>1.2999999999999999E-2</v>
      </c>
      <c r="U4" s="1">
        <v>1</v>
      </c>
      <c r="V4" s="1" t="s">
        <v>18</v>
      </c>
      <c r="W4" s="1">
        <v>140.57</v>
      </c>
      <c r="X4" s="1">
        <v>0.01</v>
      </c>
      <c r="Y4" s="1">
        <v>1</v>
      </c>
      <c r="Z4" s="1" t="s">
        <v>41</v>
      </c>
      <c r="AA4" s="1">
        <v>68.076999999999998</v>
      </c>
      <c r="AB4" s="1">
        <v>0.02</v>
      </c>
      <c r="AC4" s="1">
        <v>2</v>
      </c>
      <c r="AD4" s="1" t="s">
        <v>40</v>
      </c>
      <c r="AE4" s="1">
        <v>1.33</v>
      </c>
      <c r="AF4" s="1">
        <v>50</v>
      </c>
    </row>
    <row r="5" spans="1:35" x14ac:dyDescent="0.25">
      <c r="A5" s="1"/>
      <c r="B5" s="5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39</v>
      </c>
      <c r="AE5" s="1">
        <v>0.78900000000000003</v>
      </c>
      <c r="AF5" s="1">
        <v>25</v>
      </c>
      <c r="AG5" s="1"/>
      <c r="AH5" s="1"/>
      <c r="AI5" s="1"/>
    </row>
    <row r="6" spans="1:35" x14ac:dyDescent="0.25">
      <c r="A6" s="1"/>
      <c r="B6" s="5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 t="s">
        <v>50</v>
      </c>
      <c r="AE6" s="1">
        <v>1</v>
      </c>
      <c r="AF6" s="1">
        <v>25</v>
      </c>
      <c r="AG6" s="1"/>
      <c r="AH6" s="1"/>
      <c r="AI6" s="1"/>
    </row>
    <row r="7" spans="1:35" ht="45" x14ac:dyDescent="0.25">
      <c r="A7" s="1" t="s">
        <v>2</v>
      </c>
      <c r="B7" s="5" t="s">
        <v>51</v>
      </c>
      <c r="C7" s="2" t="s">
        <v>48</v>
      </c>
      <c r="D7" s="1">
        <f>(P7*Q7*100)/(S7*U7+S8*U8+W7*Y7+AA7*AC7)</f>
        <v>48.533007044512289</v>
      </c>
      <c r="E7" s="1">
        <f>I7/J7</f>
        <v>14.469916499057868</v>
      </c>
      <c r="F7" s="1">
        <f>H7/J7</f>
        <v>13.469916499057868</v>
      </c>
      <c r="G7" s="1">
        <f>(K7-J7)/J7</f>
        <v>1.6737488497999278</v>
      </c>
      <c r="H7" s="1">
        <f t="shared" ref="H7" si="0">I7-J7</f>
        <v>22.8377841</v>
      </c>
      <c r="I7" s="1">
        <f t="shared" ref="I7" si="1">K7+L7</f>
        <v>24.533249999999999</v>
      </c>
      <c r="J7" s="1">
        <f>P7*N7*M7/100</f>
        <v>1.6954659000000001</v>
      </c>
      <c r="K7" s="1">
        <f>S7*T7+W7*X7+AA7*AB7+S8*T8</f>
        <v>4.5332499999999998</v>
      </c>
      <c r="L7" s="1">
        <f>AE7*AF7</f>
        <v>20</v>
      </c>
      <c r="M7" s="1">
        <v>83</v>
      </c>
      <c r="N7" s="1">
        <f t="shared" ref="N7" si="2">X7</f>
        <v>0.01</v>
      </c>
      <c r="O7" s="2" t="s">
        <v>47</v>
      </c>
      <c r="P7" s="1">
        <v>204.273</v>
      </c>
      <c r="Q7" s="1">
        <v>1</v>
      </c>
      <c r="R7" s="1" t="s">
        <v>44</v>
      </c>
      <c r="S7" s="1">
        <v>159.054</v>
      </c>
      <c r="T7" s="1">
        <v>5.0000000000000001E-3</v>
      </c>
      <c r="U7" s="1">
        <v>0.5</v>
      </c>
      <c r="V7" s="1" t="s">
        <v>46</v>
      </c>
      <c r="W7" s="1">
        <v>136.15</v>
      </c>
      <c r="X7" s="1">
        <v>0.01</v>
      </c>
      <c r="Y7" s="1">
        <v>1</v>
      </c>
      <c r="Z7" s="1" t="s">
        <v>45</v>
      </c>
      <c r="AA7" s="1">
        <v>162.15</v>
      </c>
      <c r="AB7" s="1">
        <v>1.2E-2</v>
      </c>
      <c r="AC7" s="1">
        <v>1</v>
      </c>
      <c r="AD7" s="1" t="s">
        <v>50</v>
      </c>
      <c r="AE7" s="1">
        <v>1</v>
      </c>
      <c r="AF7" s="1">
        <v>20</v>
      </c>
    </row>
    <row r="8" spans="1:35" x14ac:dyDescent="0.25">
      <c r="A8" s="1"/>
      <c r="D8" s="1"/>
      <c r="E8" s="1"/>
      <c r="F8" s="1"/>
      <c r="G8" s="1"/>
      <c r="H8" s="1"/>
      <c r="I8" s="1"/>
      <c r="J8" s="1"/>
      <c r="K8" s="1"/>
      <c r="L8" s="1"/>
      <c r="M8" s="1"/>
      <c r="R8" s="1" t="s">
        <v>13</v>
      </c>
      <c r="S8" s="1">
        <v>86.135999999999996</v>
      </c>
      <c r="T8" s="1">
        <v>5.0000000000000001E-3</v>
      </c>
      <c r="U8" s="1">
        <v>0.5</v>
      </c>
    </row>
    <row r="9" spans="1:35" ht="30" x14ac:dyDescent="0.25">
      <c r="A9" s="1" t="s">
        <v>52</v>
      </c>
      <c r="B9" s="1" t="s">
        <v>53</v>
      </c>
      <c r="C9" s="3" t="s">
        <v>54</v>
      </c>
      <c r="D9" s="1">
        <f>(P9*Q9*100)/(S9*U9+W9*Y9+AA9*AC9)</f>
        <v>50.887544625148749</v>
      </c>
      <c r="E9" s="1">
        <f>I9/J9</f>
        <v>52.35901487092012</v>
      </c>
      <c r="F9" s="1">
        <f t="shared" ref="F9" si="3">H9/J9</f>
        <v>51.35901487092012</v>
      </c>
      <c r="G9" s="1">
        <f>(K9-J9)/J9</f>
        <v>1.5677123831301858</v>
      </c>
      <c r="H9" s="1">
        <f>I9-J9</f>
        <v>23.318796480000003</v>
      </c>
      <c r="I9" s="1">
        <f>K9+L9</f>
        <v>23.772831600000004</v>
      </c>
      <c r="J9" s="1">
        <f>P9*N9*M9/100</f>
        <v>0.45403512000000001</v>
      </c>
      <c r="K9" s="1">
        <f>S9*T9+W9*X9+AA9*AB9</f>
        <v>1.1658316</v>
      </c>
      <c r="L9" s="1">
        <f>AE9*AF9+AE10*AF10</f>
        <v>22.607000000000003</v>
      </c>
      <c r="M9" s="1">
        <v>79</v>
      </c>
      <c r="N9" s="1">
        <f>X9</f>
        <v>3.5000000000000001E-3</v>
      </c>
      <c r="O9" s="1" t="s">
        <v>58</v>
      </c>
      <c r="P9" s="1">
        <v>164.208</v>
      </c>
      <c r="Q9" s="1">
        <v>1</v>
      </c>
      <c r="R9" s="1" t="s">
        <v>57</v>
      </c>
      <c r="S9" s="1">
        <v>60.1</v>
      </c>
      <c r="T9" s="1">
        <v>3.7000000000000002E-3</v>
      </c>
      <c r="U9" s="1">
        <v>1</v>
      </c>
      <c r="V9" s="1" t="s">
        <v>18</v>
      </c>
      <c r="W9" s="1">
        <v>140.57</v>
      </c>
      <c r="X9" s="1">
        <v>3.5000000000000001E-3</v>
      </c>
      <c r="Y9" s="1">
        <v>1</v>
      </c>
      <c r="Z9" s="1" t="s">
        <v>56</v>
      </c>
      <c r="AA9" s="1">
        <v>122.018</v>
      </c>
      <c r="AB9" s="1">
        <v>3.7000000000000002E-3</v>
      </c>
      <c r="AC9" s="1">
        <v>1</v>
      </c>
      <c r="AD9" s="1" t="s">
        <v>55</v>
      </c>
      <c r="AE9" s="1">
        <v>0.65500000000000003</v>
      </c>
      <c r="AF9" s="1">
        <v>7.4</v>
      </c>
    </row>
    <row r="10" spans="1:35" x14ac:dyDescent="0.25">
      <c r="A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AD10" s="1" t="s">
        <v>14</v>
      </c>
      <c r="AE10" s="1">
        <v>0.88800000000000001</v>
      </c>
      <c r="AF10" s="1">
        <v>20</v>
      </c>
    </row>
    <row r="11" spans="1:35" ht="30" x14ac:dyDescent="0.25">
      <c r="A11" s="1" t="s">
        <v>60</v>
      </c>
      <c r="B11" s="1" t="s">
        <v>59</v>
      </c>
      <c r="C11" s="6" t="s">
        <v>61</v>
      </c>
      <c r="D11" s="1">
        <f>(P11*Q11*100)/(S11*U11+W11*Y11+AA11*AC11)</f>
        <v>54.857784281104045</v>
      </c>
      <c r="E11" s="1">
        <f>I11/J11</f>
        <v>8.673328948650493</v>
      </c>
      <c r="F11" s="1">
        <f t="shared" ref="F11" si="4">H11/J11</f>
        <v>7.6733289486504939</v>
      </c>
      <c r="G11" s="1">
        <f>(K11-J11)/J11</f>
        <v>1.5073687031082532</v>
      </c>
      <c r="H11" s="1">
        <f t="shared" ref="H11" si="5">I11-J11</f>
        <v>10.080176000000002</v>
      </c>
      <c r="I11" s="1">
        <f t="shared" ref="I11" si="6">K11+L11</f>
        <v>11.393840000000001</v>
      </c>
      <c r="J11" s="1">
        <f t="shared" ref="J11" si="7">P11*N11*M11/100</f>
        <v>1.3136639999999999</v>
      </c>
      <c r="K11" s="1">
        <f>S11*T11+W11*X11+AA11*AB11</f>
        <v>3.2938400000000003</v>
      </c>
      <c r="L11" s="1">
        <f>AE11*AF11</f>
        <v>8.1000000000000014</v>
      </c>
      <c r="M11" s="1">
        <v>80</v>
      </c>
      <c r="N11" s="1">
        <f>X11</f>
        <v>0.01</v>
      </c>
      <c r="O11" s="1" t="s">
        <v>58</v>
      </c>
      <c r="P11" s="1">
        <v>164.208</v>
      </c>
      <c r="Q11" s="1">
        <v>1</v>
      </c>
      <c r="R11" s="1" t="s">
        <v>57</v>
      </c>
      <c r="S11" s="1">
        <v>60.1</v>
      </c>
      <c r="T11" s="1">
        <v>1.4999999999999999E-2</v>
      </c>
      <c r="U11" s="1">
        <v>1</v>
      </c>
      <c r="V11" s="2" t="s">
        <v>63</v>
      </c>
      <c r="W11" s="1">
        <v>239.23400000000001</v>
      </c>
      <c r="X11" s="1">
        <v>0.01</v>
      </c>
      <c r="Y11" s="1">
        <v>1</v>
      </c>
      <c r="AD11" s="1" t="s">
        <v>62</v>
      </c>
      <c r="AE11" s="1">
        <v>0.81</v>
      </c>
      <c r="AF11" s="1">
        <v>10</v>
      </c>
    </row>
    <row r="12" spans="1:35" ht="30" x14ac:dyDescent="0.25">
      <c r="A12" s="1" t="s">
        <v>65</v>
      </c>
      <c r="B12" s="5" t="s">
        <v>64</v>
      </c>
      <c r="C12" s="2" t="s">
        <v>66</v>
      </c>
      <c r="D12" s="1">
        <f>(P12*Q12*100)/(S12*U12+W12*Y12+AA12*AC12)</f>
        <v>85.716451181453408</v>
      </c>
      <c r="E12" s="1">
        <f>I12/J12</f>
        <v>1.761356769973484</v>
      </c>
      <c r="F12" s="1">
        <f t="shared" ref="F12" si="8">H12/J12</f>
        <v>0.76135676997348389</v>
      </c>
      <c r="G12" s="1">
        <f>(K12-J12)/J12</f>
        <v>0.44029283086056309</v>
      </c>
      <c r="H12" s="1">
        <f t="shared" ref="H12" si="9">I12-J12</f>
        <v>2.3713556000000002</v>
      </c>
      <c r="I12" s="1">
        <f t="shared" ref="I12" si="10">K12+L12</f>
        <v>5.4860000000000007</v>
      </c>
      <c r="J12" s="1">
        <f t="shared" ref="J12" si="11">P12*N12*M12/100</f>
        <v>3.1146444000000004</v>
      </c>
      <c r="K12" s="1">
        <f>S12*T12+W12*X12+AA12*AB12</f>
        <v>4.4860000000000007</v>
      </c>
      <c r="L12" s="1">
        <f>AE12*AF12</f>
        <v>1</v>
      </c>
      <c r="M12" s="1">
        <v>81</v>
      </c>
      <c r="N12" s="1">
        <f>X12</f>
        <v>0.02</v>
      </c>
      <c r="O12" s="1" t="s">
        <v>67</v>
      </c>
      <c r="P12" s="1">
        <v>192.262</v>
      </c>
      <c r="Q12" s="1">
        <v>1</v>
      </c>
      <c r="R12" s="1" t="s">
        <v>68</v>
      </c>
      <c r="S12" s="1">
        <v>88.15</v>
      </c>
      <c r="T12" s="1">
        <v>0.02</v>
      </c>
      <c r="U12" s="1">
        <v>1</v>
      </c>
      <c r="V12" s="1" t="s">
        <v>69</v>
      </c>
      <c r="W12" s="1">
        <v>136.15</v>
      </c>
      <c r="X12" s="1">
        <v>0.02</v>
      </c>
      <c r="Y12" s="1">
        <v>1</v>
      </c>
      <c r="AD12" s="1" t="s">
        <v>50</v>
      </c>
      <c r="AE12" s="1">
        <v>1</v>
      </c>
      <c r="AF12" s="1">
        <v>1</v>
      </c>
    </row>
    <row r="13" spans="1:35" x14ac:dyDescent="0.25">
      <c r="M13" s="1"/>
    </row>
    <row r="14" spans="1:35" ht="30" x14ac:dyDescent="0.25">
      <c r="A14" s="8" t="s">
        <v>70</v>
      </c>
      <c r="D14" s="1">
        <f>(P14*Q14*100)/(S14*U14+W14*Y14)</f>
        <v>83.018542756401004</v>
      </c>
      <c r="E14" s="1">
        <f>I14/J14</f>
        <v>78.394787060873966</v>
      </c>
      <c r="F14" s="1">
        <f>H14/J14</f>
        <v>77.394787060873966</v>
      </c>
      <c r="G14" s="1">
        <f>(K14-J14)/J14</f>
        <v>0.86085354037776418</v>
      </c>
      <c r="H14" s="1">
        <f t="shared" ref="H14:H15" si="12">I14-J14</f>
        <v>26.899196750000002</v>
      </c>
      <c r="I14" s="1">
        <f t="shared" ref="I14:I15" si="13">K14+L14</f>
        <v>27.246755</v>
      </c>
      <c r="J14" s="1">
        <f t="shared" ref="J14:J15" si="14">P14*N14*M14/100</f>
        <v>0.34755825000000001</v>
      </c>
      <c r="K14" s="1">
        <f>S14*T14+W14*X14+AA14*AB14</f>
        <v>0.64675500000000008</v>
      </c>
      <c r="L14" s="1">
        <f>AE14*AF14</f>
        <v>26.6</v>
      </c>
      <c r="M14" s="1">
        <v>78</v>
      </c>
      <c r="N14" s="1">
        <f>X14</f>
        <v>2.5000000000000001E-3</v>
      </c>
      <c r="O14" s="2" t="s">
        <v>72</v>
      </c>
      <c r="P14" s="1">
        <v>178.23500000000001</v>
      </c>
      <c r="Q14" s="1">
        <v>1</v>
      </c>
      <c r="R14" s="1" t="s">
        <v>57</v>
      </c>
      <c r="S14" s="1">
        <v>60.1</v>
      </c>
      <c r="T14" s="1">
        <v>2.5000000000000001E-3</v>
      </c>
      <c r="U14" s="1">
        <v>1</v>
      </c>
      <c r="V14" s="2" t="s">
        <v>71</v>
      </c>
      <c r="W14" s="1">
        <v>154.59299999999999</v>
      </c>
      <c r="X14" s="1">
        <v>2.5000000000000001E-3</v>
      </c>
      <c r="Y14" s="1">
        <v>1</v>
      </c>
      <c r="Z14" s="1" t="s">
        <v>73</v>
      </c>
      <c r="AA14" s="1">
        <v>44.009</v>
      </c>
      <c r="AB14" s="1">
        <f>X14</f>
        <v>2.5000000000000001E-3</v>
      </c>
      <c r="AC14" s="1">
        <v>1</v>
      </c>
      <c r="AD14" s="1" t="s">
        <v>40</v>
      </c>
      <c r="AE14" s="1">
        <v>1.33</v>
      </c>
      <c r="AF14" s="1">
        <v>20</v>
      </c>
    </row>
    <row r="15" spans="1:35" ht="30" x14ac:dyDescent="0.25">
      <c r="A15" s="9" t="s">
        <v>84</v>
      </c>
      <c r="B15" s="10"/>
      <c r="C15" s="10"/>
      <c r="D15" s="1">
        <f>(P15*Q15*100)/(S15*U15+W15*Y15)</f>
        <v>83.018542756401004</v>
      </c>
      <c r="E15" s="1">
        <f>I15/J15</f>
        <v>30.365279297307236</v>
      </c>
      <c r="F15" s="1">
        <f>H15/J15</f>
        <v>29.365279297307236</v>
      </c>
      <c r="G15" s="1">
        <f>(K15-J15)/J15</f>
        <v>1.2500880547841018</v>
      </c>
      <c r="H15" s="1">
        <f t="shared" si="12"/>
        <v>94.210570000000004</v>
      </c>
      <c r="I15" s="1">
        <f t="shared" si="13"/>
        <v>97.418800000000005</v>
      </c>
      <c r="J15" s="1">
        <f t="shared" si="14"/>
        <v>3.2082300000000004</v>
      </c>
      <c r="K15" s="1">
        <f>S15*T15+W15*X15+AA15*AB15</f>
        <v>7.2187999999999999</v>
      </c>
      <c r="L15" s="1">
        <f>AE15*AF15</f>
        <v>90.2</v>
      </c>
      <c r="M15" s="11">
        <v>72</v>
      </c>
      <c r="N15" s="1">
        <f>X15</f>
        <v>2.5000000000000001E-2</v>
      </c>
      <c r="O15" s="12" t="s">
        <v>72</v>
      </c>
      <c r="P15" s="11">
        <v>178.23500000000001</v>
      </c>
      <c r="Q15" s="11">
        <v>1</v>
      </c>
      <c r="R15" s="11" t="s">
        <v>57</v>
      </c>
      <c r="S15" s="11">
        <v>60.1</v>
      </c>
      <c r="T15" s="11">
        <v>3.7499999999999999E-2</v>
      </c>
      <c r="U15" s="11">
        <v>1</v>
      </c>
      <c r="V15" s="12" t="s">
        <v>71</v>
      </c>
      <c r="W15" s="11">
        <v>154.59299999999999</v>
      </c>
      <c r="X15" s="11">
        <v>2.5000000000000001E-2</v>
      </c>
      <c r="Y15" s="11">
        <v>1</v>
      </c>
      <c r="Z15" s="11" t="s">
        <v>73</v>
      </c>
      <c r="AA15" s="11">
        <v>44.009</v>
      </c>
      <c r="AB15" s="11">
        <v>2.5000000000000001E-2</v>
      </c>
      <c r="AC15" s="11">
        <v>1</v>
      </c>
      <c r="AD15" s="11" t="s">
        <v>85</v>
      </c>
      <c r="AE15" s="11">
        <v>0.90200000000000002</v>
      </c>
      <c r="AF15" s="11">
        <v>100</v>
      </c>
    </row>
    <row r="16" spans="1:35" x14ac:dyDescent="0.25">
      <c r="A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30" x14ac:dyDescent="0.25">
      <c r="A17" s="14" t="s">
        <v>83</v>
      </c>
      <c r="B17" s="1" t="s">
        <v>80</v>
      </c>
      <c r="D17" s="1">
        <f>(P17*Q17*100)/(S17*U17+W17*Y17)</f>
        <v>57.559754121624294</v>
      </c>
      <c r="E17" s="1">
        <f t="shared" ref="E17" si="15">I17/J17</f>
        <v>129.63199285968403</v>
      </c>
      <c r="F17" s="1">
        <f t="shared" ref="F17" si="16">H17/J17</f>
        <v>128.63199285968403</v>
      </c>
      <c r="G17" s="1">
        <f t="shared" ref="G17" si="17">(K17-J17)/J17</f>
        <v>4.113371240255403</v>
      </c>
      <c r="H17" s="1">
        <f t="shared" ref="H17" si="18">I17-J17</f>
        <v>1030.4516000000001</v>
      </c>
      <c r="I17" s="1">
        <f t="shared" ref="I17" si="19">K17+L17</f>
        <v>1038.46245</v>
      </c>
      <c r="J17" s="1">
        <f t="shared" ref="J17" si="20">P17*N17*M17/100</f>
        <v>8.0108500000000014</v>
      </c>
      <c r="K17" s="1">
        <f t="shared" ref="K17" si="21">S17*T17+W17*X17+AA17*AB17</f>
        <v>40.962450000000004</v>
      </c>
      <c r="L17" s="1">
        <f>AE17*AF17</f>
        <v>997.5</v>
      </c>
      <c r="M17" s="1">
        <v>100</v>
      </c>
      <c r="N17" s="1">
        <v>0.05</v>
      </c>
      <c r="O17" s="1" t="s">
        <v>76</v>
      </c>
      <c r="P17" s="1">
        <v>160.21700000000001</v>
      </c>
      <c r="Q17" s="1">
        <v>1</v>
      </c>
      <c r="R17" s="1" t="s">
        <v>57</v>
      </c>
      <c r="S17" s="1">
        <v>60.1</v>
      </c>
      <c r="T17" s="1">
        <v>0.5</v>
      </c>
      <c r="U17" s="1">
        <v>1</v>
      </c>
      <c r="V17" s="2" t="s">
        <v>81</v>
      </c>
      <c r="W17" s="1">
        <v>218.249</v>
      </c>
      <c r="X17" s="1">
        <v>0.05</v>
      </c>
      <c r="Y17" s="1">
        <v>1</v>
      </c>
      <c r="AD17" s="1" t="s">
        <v>40</v>
      </c>
      <c r="AE17" s="1">
        <v>1.33</v>
      </c>
      <c r="AF17" s="1">
        <v>750</v>
      </c>
    </row>
    <row r="18" spans="1:32" ht="45" x14ac:dyDescent="0.25">
      <c r="A18" s="14"/>
      <c r="B18" s="13" t="s">
        <v>74</v>
      </c>
      <c r="D18" s="1">
        <f>(P18*Q18*100)/(S18*U18+W18*Y18)</f>
        <v>88.419046408945064</v>
      </c>
      <c r="E18" s="1">
        <f t="shared" ref="E18" si="22">I18/J18</f>
        <v>17.572601443268734</v>
      </c>
      <c r="F18" s="1">
        <f t="shared" ref="F18" si="23">H18/J18</f>
        <v>16.572601443268734</v>
      </c>
      <c r="G18" s="1">
        <f t="shared" ref="G18" si="24">(K18-J18)/J18</f>
        <v>0.66320300322232728</v>
      </c>
      <c r="H18" s="1">
        <f t="shared" ref="H18" si="25">I18-J18</f>
        <v>20.781640490000004</v>
      </c>
      <c r="I18" s="1">
        <f t="shared" ref="I18" si="26">K18+L18</f>
        <v>22.035616250000004</v>
      </c>
      <c r="J18" s="1">
        <f t="shared" ref="J18" si="27">P18*N18*M18/100</f>
        <v>1.2539757599999999</v>
      </c>
      <c r="K18" s="1">
        <f t="shared" ref="K18" si="28">S18*T18+W18*X18+AA18*AB18</f>
        <v>2.0856162500000002</v>
      </c>
      <c r="L18" s="1">
        <f>AE18*AF18</f>
        <v>19.950000000000003</v>
      </c>
      <c r="M18" s="1">
        <v>68</v>
      </c>
      <c r="N18" s="1">
        <f>X18</f>
        <v>6.6249999999999998E-3</v>
      </c>
      <c r="O18" s="2" t="s">
        <v>75</v>
      </c>
      <c r="P18" s="1">
        <v>278.35199999999998</v>
      </c>
      <c r="Q18" s="1">
        <v>1</v>
      </c>
      <c r="R18" s="1" t="s">
        <v>76</v>
      </c>
      <c r="S18" s="1">
        <v>160.21700000000001</v>
      </c>
      <c r="T18" s="1">
        <v>6.6249999999999998E-3</v>
      </c>
      <c r="U18" s="1">
        <v>1</v>
      </c>
      <c r="V18" s="2" t="s">
        <v>71</v>
      </c>
      <c r="W18" s="1">
        <v>154.59299999999999</v>
      </c>
      <c r="X18" s="1">
        <v>6.6249999999999998E-3</v>
      </c>
      <c r="Y18" s="1">
        <v>1</v>
      </c>
      <c r="AD18" s="1" t="s">
        <v>40</v>
      </c>
      <c r="AE18" s="1">
        <v>1.33</v>
      </c>
      <c r="AF18" s="1">
        <v>15</v>
      </c>
    </row>
    <row r="19" spans="1:32" ht="45" x14ac:dyDescent="0.25">
      <c r="A19" s="14"/>
      <c r="B19" s="13"/>
      <c r="D19" s="1">
        <f>(P19*Q19*100)/(S19*U19+AA19*AC19)</f>
        <v>68.197643022775665</v>
      </c>
      <c r="E19" s="1">
        <f>I19/J19</f>
        <v>157.03432441149363</v>
      </c>
      <c r="F19" s="1">
        <f>H19/J19</f>
        <v>156.03432441149363</v>
      </c>
      <c r="G19" s="1">
        <f>(K19-J19)/J19</f>
        <v>15.391539575526323</v>
      </c>
      <c r="H19" s="1">
        <f>I19-J19</f>
        <v>105.6406013845</v>
      </c>
      <c r="I19" s="1">
        <f>K19+L19</f>
        <v>106.31763576</v>
      </c>
      <c r="J19" s="1">
        <f>P19*N19*M19/100</f>
        <v>0.67703437550000001</v>
      </c>
      <c r="K19" s="1">
        <f>S19*T19+W19*X19+AA19*AB19</f>
        <v>11.097635759999999</v>
      </c>
      <c r="L19" s="1">
        <f>AE19*AF19+AE20*AF20</f>
        <v>95.22</v>
      </c>
      <c r="M19" s="1">
        <v>70</v>
      </c>
      <c r="N19" s="1">
        <f>T19</f>
        <v>4.5050000000000003E-3</v>
      </c>
      <c r="O19" s="2" t="s">
        <v>77</v>
      </c>
      <c r="P19" s="1">
        <v>214.69300000000001</v>
      </c>
      <c r="Q19" s="1">
        <v>1</v>
      </c>
      <c r="R19" s="2" t="s">
        <v>75</v>
      </c>
      <c r="S19" s="1">
        <v>278.35199999999998</v>
      </c>
      <c r="T19" s="1">
        <f>T18*M18/100</f>
        <v>4.5050000000000003E-3</v>
      </c>
      <c r="U19" s="1">
        <v>1</v>
      </c>
      <c r="Z19" s="1" t="s">
        <v>78</v>
      </c>
      <c r="AA19" s="1">
        <v>36.457999999999998</v>
      </c>
      <c r="AB19" s="1">
        <f>AF19*0.001*6</f>
        <v>0.27</v>
      </c>
      <c r="AC19" s="1">
        <v>1</v>
      </c>
      <c r="AD19" s="1" t="s">
        <v>40</v>
      </c>
      <c r="AE19" s="1">
        <v>1.33</v>
      </c>
      <c r="AF19" s="1">
        <v>45</v>
      </c>
    </row>
    <row r="20" spans="1:32" x14ac:dyDescent="0.25">
      <c r="AD20" s="1" t="s">
        <v>79</v>
      </c>
      <c r="AE20" s="1">
        <v>0.78600000000000003</v>
      </c>
      <c r="AF20" s="1">
        <v>45</v>
      </c>
    </row>
    <row r="22" spans="1:32" ht="30" x14ac:dyDescent="0.25">
      <c r="D22" s="1" t="s">
        <v>3</v>
      </c>
      <c r="E22" s="1" t="s">
        <v>25</v>
      </c>
      <c r="F22" s="1" t="s">
        <v>6</v>
      </c>
      <c r="G22" s="1" t="s">
        <v>29</v>
      </c>
      <c r="H22" s="1" t="s">
        <v>32</v>
      </c>
      <c r="I22" s="1" t="s">
        <v>28</v>
      </c>
      <c r="J22" s="7" t="s">
        <v>35</v>
      </c>
      <c r="K22" s="7" t="s">
        <v>34</v>
      </c>
      <c r="L22" s="7" t="s">
        <v>37</v>
      </c>
      <c r="M22" s="2" t="s">
        <v>82</v>
      </c>
      <c r="N22" s="1" t="s">
        <v>36</v>
      </c>
      <c r="O22" s="1" t="s">
        <v>15</v>
      </c>
      <c r="P22" s="7" t="s">
        <v>8</v>
      </c>
      <c r="Q22" s="1" t="s">
        <v>23</v>
      </c>
      <c r="R22" s="1" t="s">
        <v>7</v>
      </c>
      <c r="S22" s="1" t="s">
        <v>8</v>
      </c>
      <c r="T22" s="1" t="s">
        <v>9</v>
      </c>
      <c r="U22" s="1" t="s">
        <v>23</v>
      </c>
      <c r="V22" s="1" t="s">
        <v>17</v>
      </c>
      <c r="W22" s="1" t="s">
        <v>8</v>
      </c>
      <c r="X22" s="1" t="s">
        <v>9</v>
      </c>
      <c r="Y22" s="1" t="s">
        <v>23</v>
      </c>
      <c r="Z22" s="1" t="s">
        <v>10</v>
      </c>
      <c r="AA22" s="1" t="s">
        <v>8</v>
      </c>
      <c r="AB22" s="1" t="s">
        <v>9</v>
      </c>
      <c r="AC22" s="1" t="s">
        <v>23</v>
      </c>
      <c r="AD22" s="1" t="s">
        <v>5</v>
      </c>
      <c r="AE22" s="1" t="s">
        <v>11</v>
      </c>
      <c r="AF22" s="1" t="s">
        <v>12</v>
      </c>
    </row>
    <row r="23" spans="1:32" ht="60" x14ac:dyDescent="0.25">
      <c r="D23" s="1">
        <f>(P23*Q23*100)/(S23*U23+W23*Y23+AA23*AC23+AA24*AC24)</f>
        <v>45.737750319556888</v>
      </c>
      <c r="E23" s="1">
        <f>I23/J23</f>
        <v>389.39546172275561</v>
      </c>
      <c r="F23" s="1">
        <f>H23/J23</f>
        <v>388.39546172275561</v>
      </c>
      <c r="G23" s="1">
        <f>(K23-J23)/J23</f>
        <v>23.068738367923537</v>
      </c>
      <c r="H23" s="1">
        <f>I23-J23</f>
        <v>262.95707887449998</v>
      </c>
      <c r="I23" s="1">
        <f>K23+L23</f>
        <v>263.63411324999998</v>
      </c>
      <c r="J23" s="1">
        <f>P23*N23*M23/100</f>
        <v>0.67703437550000001</v>
      </c>
      <c r="K23" s="7">
        <f>S23*T23+W23*X23+AA23*AB23+AA24*AB24</f>
        <v>16.295363250000001</v>
      </c>
      <c r="L23" s="7">
        <f>AF23*AE23+AE24*AF24</f>
        <v>247.33875</v>
      </c>
      <c r="M23" s="1">
        <f>M17*M18*M19/10000</f>
        <v>47.6</v>
      </c>
      <c r="N23" s="1">
        <f>N19/(M18*M17/10000)</f>
        <v>6.6249999999999998E-3</v>
      </c>
      <c r="O23" s="2" t="s">
        <v>77</v>
      </c>
      <c r="P23" s="1">
        <v>214.69300000000001</v>
      </c>
      <c r="Q23" s="1">
        <v>1</v>
      </c>
      <c r="R23" s="1" t="s">
        <v>57</v>
      </c>
      <c r="S23" s="1">
        <v>60.1</v>
      </c>
      <c r="T23" s="1">
        <f>N23*10</f>
        <v>6.6250000000000003E-2</v>
      </c>
      <c r="U23" s="1">
        <v>1</v>
      </c>
      <c r="V23" s="2" t="s">
        <v>71</v>
      </c>
      <c r="W23" s="1">
        <v>154.59299999999999</v>
      </c>
      <c r="X23" s="1">
        <v>6.6249999999999998E-3</v>
      </c>
      <c r="Y23" s="1">
        <v>1</v>
      </c>
      <c r="Z23" s="2" t="s">
        <v>81</v>
      </c>
      <c r="AA23" s="1">
        <v>218.249</v>
      </c>
      <c r="AB23" s="1">
        <f>N23</f>
        <v>6.6249999999999998E-3</v>
      </c>
      <c r="AC23" s="1">
        <v>1</v>
      </c>
      <c r="AD23" s="1" t="s">
        <v>40</v>
      </c>
      <c r="AE23" s="1">
        <v>1.33</v>
      </c>
      <c r="AF23" s="1">
        <f>AF19+AF18+AF17*X23/X17</f>
        <v>159.375</v>
      </c>
    </row>
    <row r="24" spans="1:32" x14ac:dyDescent="0.25">
      <c r="Z24" s="1" t="s">
        <v>78</v>
      </c>
      <c r="AA24" s="1">
        <v>36.457999999999998</v>
      </c>
      <c r="AB24" s="1">
        <v>0.27</v>
      </c>
      <c r="AC24" s="1">
        <v>1</v>
      </c>
      <c r="AD24" s="1" t="s">
        <v>79</v>
      </c>
      <c r="AE24" s="1">
        <v>0.78600000000000003</v>
      </c>
      <c r="AF24" s="1">
        <f>AF20</f>
        <v>45</v>
      </c>
    </row>
  </sheetData>
  <mergeCells count="28">
    <mergeCell ref="Z1:Z2"/>
    <mergeCell ref="O1:O2"/>
    <mergeCell ref="J1:J2"/>
    <mergeCell ref="K1:K2"/>
    <mergeCell ref="L1:L2"/>
    <mergeCell ref="M1:M2"/>
    <mergeCell ref="N1:N2"/>
    <mergeCell ref="U1:U2"/>
    <mergeCell ref="V1:V2"/>
    <mergeCell ref="W1:W2"/>
    <mergeCell ref="X1:X2"/>
    <mergeCell ref="Y1:Y2"/>
    <mergeCell ref="B18:B19"/>
    <mergeCell ref="A17:A19"/>
    <mergeCell ref="AH1:AH2"/>
    <mergeCell ref="AI1:AI2"/>
    <mergeCell ref="AB1:AB2"/>
    <mergeCell ref="AC1:AC2"/>
    <mergeCell ref="AD1:AD2"/>
    <mergeCell ref="AE1:AE2"/>
    <mergeCell ref="AF1:AF2"/>
    <mergeCell ref="AG1:AG2"/>
    <mergeCell ref="AA1:AA2"/>
    <mergeCell ref="P1:P2"/>
    <mergeCell ref="Q1:Q2"/>
    <mergeCell ref="R1:R2"/>
    <mergeCell ref="S1:S2"/>
    <mergeCell ref="T1:T2"/>
  </mergeCells>
  <conditionalFormatting sqref="D1:D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F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G1048576 G1:G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4" r:id="rId1" tooltip="DOI URL" display="https://doi.org/10.1021/ol101604q" xr:uid="{9E97793C-F15C-42B8-8868-952A67037B9F}"/>
    <hyperlink ref="B3" r:id="rId2" tooltip="DOI URL" display="https://doi.org/10.1021/jo9908501" xr:uid="{7D25A946-2FEF-46A8-B493-6513390B5B57}"/>
    <hyperlink ref="B7" r:id="rId3" tooltip="Link to landing page via DOI" display="https://doi.org/10.1039/C1GC16314K" xr:uid="{F5C576F9-FC21-4444-9333-34D4C07F26E0}"/>
    <hyperlink ref="B12" r:id="rId4" tooltip="Persistent link using digital object identifier" display="https://doi-org.ep.fjernadgang.kb.dk/10.1016/j.tetlet.2008.07.174" xr:uid="{710BC25F-D318-4102-A5A6-C346282DBDA8}"/>
    <hyperlink ref="B18" r:id="rId5" tooltip="Persistent link using digital object identifier" display="https://doi.org/10.1016/j.bmcl.2013.10.017" xr:uid="{D7B2098B-058D-4372-8C48-79DE5775E678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CCFF-4D0B-4006-956E-56CBEB934EA4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119E-BC3C-48BD-89F5-372BB8A3A68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Monoacylation</vt:lpstr>
      <vt:lpstr>3-Step Procedure</vt:lpstr>
      <vt:lpstr>Diacylation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Jerik Lauridsen</dc:creator>
  <cp:lastModifiedBy>Jiwoong Lee</cp:lastModifiedBy>
  <dcterms:created xsi:type="dcterms:W3CDTF">2022-07-29T08:57:40Z</dcterms:created>
  <dcterms:modified xsi:type="dcterms:W3CDTF">2022-11-09T09:33:39Z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2630e2-1ac5-455e-8217-0156b1936a76_Enabled">
    <vt:lpwstr>true</vt:lpwstr>
  </property>
  <property fmtid="{D5CDD505-2E9C-101B-9397-08002B2CF9AE}" pid="3" name="MSIP_Label_6a2630e2-1ac5-455e-8217-0156b1936a76_SetDate">
    <vt:lpwstr>2022-07-29T08:57:40Z</vt:lpwstr>
  </property>
  <property fmtid="{D5CDD505-2E9C-101B-9397-08002B2CF9AE}" pid="4" name="MSIP_Label_6a2630e2-1ac5-455e-8217-0156b1936a76_Method">
    <vt:lpwstr>Standard</vt:lpwstr>
  </property>
  <property fmtid="{D5CDD505-2E9C-101B-9397-08002B2CF9AE}" pid="5" name="MSIP_Label_6a2630e2-1ac5-455e-8217-0156b1936a76_Name">
    <vt:lpwstr>Notclass</vt:lpwstr>
  </property>
  <property fmtid="{D5CDD505-2E9C-101B-9397-08002B2CF9AE}" pid="6" name="MSIP_Label_6a2630e2-1ac5-455e-8217-0156b1936a76_SiteId">
    <vt:lpwstr>a3927f91-cda1-4696-af89-8c9f1ceffa91</vt:lpwstr>
  </property>
  <property fmtid="{D5CDD505-2E9C-101B-9397-08002B2CF9AE}" pid="7" name="MSIP_Label_6a2630e2-1ac5-455e-8217-0156b1936a76_ActionId">
    <vt:lpwstr>b06b70af-bcc5-493a-9690-a5569c46957e</vt:lpwstr>
  </property>
  <property fmtid="{D5CDD505-2E9C-101B-9397-08002B2CF9AE}" pid="8" name="MSIP_Label_6a2630e2-1ac5-455e-8217-0156b1936a76_ContentBits">
    <vt:lpwstr>0</vt:lpwstr>
  </property>
</Properties>
</file>