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uphasu/Desktop/VisitBremen_2022/Paper_RbSr/First_round_revisions_April8/"/>
    </mc:Choice>
  </mc:AlternateContent>
  <xr:revisionPtr revIDLastSave="0" documentId="13_ncr:1_{B6894FA8-42D5-FE40-9EC8-93C53091267D}" xr6:coauthVersionLast="47" xr6:coauthVersionMax="47" xr10:uidLastSave="{00000000-0000-0000-0000-000000000000}"/>
  <bookViews>
    <workbookView xWindow="0" yWindow="460" windowWidth="29040" windowHeight="15840" activeTab="7" xr2:uid="{3395E70C-E2B0-F643-BDD2-E230A867AB39}"/>
  </bookViews>
  <sheets>
    <sheet name="Main_spreadsheet_Do_Not_Touch" sheetId="1" r:id="rId1"/>
    <sheet name="known_materials" sheetId="8" r:id="rId2"/>
    <sheet name="Hibonites" sheetId="7" r:id="rId3"/>
    <sheet name="Shap_Granite" sheetId="4" r:id="rId4"/>
    <sheet name="BlackBeauty" sheetId="5" r:id="rId5"/>
    <sheet name="NZ_Feldspar" sheetId="9" r:id="rId6"/>
    <sheet name="BlackBeauty_ChemicalComposition" sheetId="10" r:id="rId7"/>
    <sheet name="Instrumental Conditions" sheetId="11" r:id="rId8"/>
  </sheets>
  <definedNames>
    <definedName name="_xlnm._FilterDatabase" localSheetId="4" hidden="1">BlackBeauty!$AH$1:$AH$192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" i="5" l="1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3" i="5"/>
  <c r="AK74" i="5"/>
  <c r="AK75" i="5"/>
  <c r="AK76" i="5"/>
  <c r="AK77" i="5"/>
  <c r="AK78" i="5"/>
  <c r="AK79" i="5"/>
  <c r="AK80" i="5"/>
  <c r="AK81" i="5"/>
  <c r="AK83" i="5"/>
  <c r="AK90" i="5"/>
  <c r="AK92" i="5"/>
  <c r="AK94" i="5"/>
  <c r="AK97" i="5"/>
  <c r="H164" i="5"/>
  <c r="H165" i="5"/>
  <c r="H166" i="5"/>
  <c r="F166" i="5" s="1"/>
  <c r="H167" i="5"/>
  <c r="F167" i="5" s="1"/>
  <c r="H168" i="5"/>
  <c r="F168" i="5" s="1"/>
  <c r="H169" i="5"/>
  <c r="H170" i="5"/>
  <c r="F170" i="5" s="1"/>
  <c r="H171" i="5"/>
  <c r="H172" i="5"/>
  <c r="H173" i="5"/>
  <c r="H174" i="5"/>
  <c r="F174" i="5" s="1"/>
  <c r="H175" i="5"/>
  <c r="F175" i="5" s="1"/>
  <c r="H176" i="5"/>
  <c r="F176" i="5" s="1"/>
  <c r="H177" i="5"/>
  <c r="F177" i="5" s="1"/>
  <c r="H178" i="5"/>
  <c r="H179" i="5"/>
  <c r="F179" i="5" s="1"/>
  <c r="H180" i="5"/>
  <c r="F180" i="5" s="1"/>
  <c r="H181" i="5"/>
  <c r="H182" i="5"/>
  <c r="F182" i="5" s="1"/>
  <c r="H183" i="5"/>
  <c r="H184" i="5"/>
  <c r="H185" i="5"/>
  <c r="F185" i="5" s="1"/>
  <c r="H186" i="5"/>
  <c r="H187" i="5"/>
  <c r="F187" i="5" s="1"/>
  <c r="H188" i="5"/>
  <c r="F188" i="5" s="1"/>
  <c r="H189" i="5"/>
  <c r="H190" i="5"/>
  <c r="H191" i="5"/>
  <c r="H192" i="5"/>
  <c r="F192" i="5" s="1"/>
  <c r="H163" i="5"/>
  <c r="F163" i="5" s="1"/>
  <c r="F162" i="5" s="1"/>
  <c r="H98" i="5"/>
  <c r="AK98" i="5" s="1"/>
  <c r="H72" i="5"/>
  <c r="AK72" i="5" s="1"/>
  <c r="H100" i="5"/>
  <c r="AK100" i="5" s="1"/>
  <c r="H101" i="5"/>
  <c r="AK101" i="5" s="1"/>
  <c r="H102" i="5"/>
  <c r="AK102" i="5" s="1"/>
  <c r="H103" i="5"/>
  <c r="AK103" i="5" s="1"/>
  <c r="H104" i="5"/>
  <c r="AK104" i="5" s="1"/>
  <c r="H105" i="5"/>
  <c r="AK105" i="5" s="1"/>
  <c r="H106" i="5"/>
  <c r="AK106" i="5" s="1"/>
  <c r="H107" i="5"/>
  <c r="AK107" i="5" s="1"/>
  <c r="H108" i="5"/>
  <c r="AK108" i="5" s="1"/>
  <c r="H109" i="5"/>
  <c r="AK109" i="5" s="1"/>
  <c r="H110" i="5"/>
  <c r="AK110" i="5" s="1"/>
  <c r="H111" i="5"/>
  <c r="AK111" i="5" s="1"/>
  <c r="H96" i="5"/>
  <c r="AK96" i="5" s="1"/>
  <c r="H85" i="5"/>
  <c r="AK85" i="5" s="1"/>
  <c r="H86" i="5"/>
  <c r="AK86" i="5" s="1"/>
  <c r="H87" i="5"/>
  <c r="AK87" i="5" s="1"/>
  <c r="H88" i="5"/>
  <c r="AK88" i="5" s="1"/>
  <c r="H89" i="5"/>
  <c r="AK89" i="5" s="1"/>
  <c r="H84" i="5"/>
  <c r="AK84" i="5" s="1"/>
  <c r="H99" i="5"/>
  <c r="AK99" i="5" s="1"/>
  <c r="H95" i="5"/>
  <c r="AK95" i="5" s="1"/>
  <c r="H93" i="5"/>
  <c r="AK93" i="5" s="1"/>
  <c r="H91" i="5"/>
  <c r="AK91" i="5" s="1"/>
  <c r="H82" i="5"/>
  <c r="AK82" i="5" s="1"/>
  <c r="H57" i="5"/>
  <c r="AK57" i="5" s="1"/>
  <c r="H6" i="5"/>
  <c r="AK6" i="5" s="1"/>
  <c r="H7" i="5"/>
  <c r="AK7" i="5" s="1"/>
  <c r="H5" i="5"/>
  <c r="AK5" i="5" s="1"/>
  <c r="I40" i="9"/>
  <c r="P43" i="9"/>
  <c r="J15" i="7"/>
  <c r="J14" i="7"/>
  <c r="H162" i="5" l="1"/>
  <c r="AP20" i="5"/>
  <c r="AP19" i="5"/>
  <c r="AP21" i="5" s="1"/>
  <c r="AP22" i="5" s="1"/>
  <c r="AP13" i="5"/>
  <c r="H40" i="8"/>
  <c r="G40" i="8"/>
  <c r="F40" i="8"/>
  <c r="E40" i="8"/>
  <c r="H33" i="8"/>
  <c r="G33" i="8"/>
  <c r="F33" i="8"/>
  <c r="E33" i="8"/>
  <c r="L40" i="8"/>
  <c r="J40" i="8"/>
  <c r="M40" i="8"/>
  <c r="K40" i="8"/>
  <c r="M33" i="8"/>
  <c r="L33" i="8"/>
  <c r="K33" i="8"/>
  <c r="J33" i="8"/>
  <c r="M26" i="8"/>
  <c r="L26" i="8"/>
  <c r="K26" i="8"/>
  <c r="J26" i="8"/>
  <c r="M14" i="8"/>
  <c r="L14" i="8"/>
  <c r="K14" i="8"/>
  <c r="J14" i="8"/>
  <c r="Q40" i="8"/>
  <c r="O40" i="8"/>
  <c r="Q33" i="8"/>
  <c r="O33" i="8"/>
  <c r="L134" i="10" l="1"/>
  <c r="N134" i="10" s="1"/>
  <c r="L133" i="10"/>
  <c r="N133" i="10" s="1"/>
  <c r="AN114" i="10"/>
  <c r="AM114" i="10"/>
  <c r="AL114" i="10"/>
  <c r="AK114" i="10"/>
  <c r="AJ114" i="10"/>
  <c r="AI114" i="10"/>
  <c r="AH114" i="10"/>
  <c r="AG114" i="10"/>
  <c r="AF114" i="10"/>
  <c r="AE114" i="10"/>
  <c r="AN113" i="10"/>
  <c r="AM113" i="10"/>
  <c r="AL113" i="10"/>
  <c r="AK113" i="10"/>
  <c r="AJ113" i="10"/>
  <c r="AI113" i="10"/>
  <c r="AH113" i="10"/>
  <c r="AG113" i="10"/>
  <c r="AF113" i="10"/>
  <c r="AE113" i="10"/>
  <c r="AN112" i="10"/>
  <c r="AM112" i="10"/>
  <c r="AL112" i="10"/>
  <c r="AK112" i="10"/>
  <c r="AJ112" i="10"/>
  <c r="AI112" i="10"/>
  <c r="AH112" i="10"/>
  <c r="AG112" i="10"/>
  <c r="AF112" i="10"/>
  <c r="AE112" i="10"/>
  <c r="AN111" i="10"/>
  <c r="AM111" i="10"/>
  <c r="AL111" i="10"/>
  <c r="AK111" i="10"/>
  <c r="AJ111" i="10"/>
  <c r="AI111" i="10"/>
  <c r="AH111" i="10"/>
  <c r="AG111" i="10"/>
  <c r="AF111" i="10"/>
  <c r="AE111" i="10"/>
  <c r="AN110" i="10"/>
  <c r="AM110" i="10"/>
  <c r="AL110" i="10"/>
  <c r="AK110" i="10"/>
  <c r="AJ110" i="10"/>
  <c r="AI110" i="10"/>
  <c r="AH110" i="10"/>
  <c r="AG110" i="10"/>
  <c r="AF110" i="10"/>
  <c r="AE110" i="10"/>
  <c r="AN109" i="10"/>
  <c r="AM109" i="10"/>
  <c r="AL109" i="10"/>
  <c r="AK109" i="10"/>
  <c r="AJ109" i="10"/>
  <c r="AI109" i="10"/>
  <c r="AH109" i="10"/>
  <c r="AG109" i="10"/>
  <c r="AF109" i="10"/>
  <c r="AE109" i="10"/>
  <c r="AN108" i="10"/>
  <c r="AM108" i="10"/>
  <c r="AL108" i="10"/>
  <c r="AK108" i="10"/>
  <c r="AJ108" i="10"/>
  <c r="AI108" i="10"/>
  <c r="AH108" i="10"/>
  <c r="AG108" i="10"/>
  <c r="AF108" i="10"/>
  <c r="AE108" i="10"/>
  <c r="AN107" i="10"/>
  <c r="AM107" i="10"/>
  <c r="AL107" i="10"/>
  <c r="AK107" i="10"/>
  <c r="AJ107" i="10"/>
  <c r="AI107" i="10"/>
  <c r="AH107" i="10"/>
  <c r="AG107" i="10"/>
  <c r="AF107" i="10"/>
  <c r="AE107" i="10"/>
  <c r="AN106" i="10"/>
  <c r="AM106" i="10"/>
  <c r="AL106" i="10"/>
  <c r="AK106" i="10"/>
  <c r="AJ106" i="10"/>
  <c r="AI106" i="10"/>
  <c r="AH106" i="10"/>
  <c r="AG106" i="10"/>
  <c r="AF106" i="10"/>
  <c r="AE106" i="10"/>
  <c r="AN105" i="10"/>
  <c r="AM105" i="10"/>
  <c r="AL105" i="10"/>
  <c r="AK105" i="10"/>
  <c r="AJ105" i="10"/>
  <c r="AI105" i="10"/>
  <c r="AH105" i="10"/>
  <c r="AG105" i="10"/>
  <c r="AF105" i="10"/>
  <c r="AE105" i="10"/>
  <c r="AN104" i="10"/>
  <c r="AM104" i="10"/>
  <c r="AL104" i="10"/>
  <c r="AK104" i="10"/>
  <c r="AJ104" i="10"/>
  <c r="AI104" i="10"/>
  <c r="AH104" i="10"/>
  <c r="AG104" i="10"/>
  <c r="AF104" i="10"/>
  <c r="AE104" i="10"/>
  <c r="AN103" i="10"/>
  <c r="AM103" i="10"/>
  <c r="AL103" i="10"/>
  <c r="AK103" i="10"/>
  <c r="AJ103" i="10"/>
  <c r="AI103" i="10"/>
  <c r="AH103" i="10"/>
  <c r="AG103" i="10"/>
  <c r="AF103" i="10"/>
  <c r="AE103" i="10"/>
  <c r="AN102" i="10"/>
  <c r="AM102" i="10"/>
  <c r="AL102" i="10"/>
  <c r="AK102" i="10"/>
  <c r="AJ102" i="10"/>
  <c r="AI102" i="10"/>
  <c r="AH102" i="10"/>
  <c r="AG102" i="10"/>
  <c r="AF102" i="10"/>
  <c r="AE102" i="10"/>
  <c r="AN101" i="10"/>
  <c r="AM101" i="10"/>
  <c r="AL101" i="10"/>
  <c r="AK101" i="10"/>
  <c r="AJ101" i="10"/>
  <c r="AI101" i="10"/>
  <c r="AH101" i="10"/>
  <c r="AG101" i="10"/>
  <c r="AF101" i="10"/>
  <c r="AE101" i="10"/>
  <c r="AN100" i="10"/>
  <c r="AM100" i="10"/>
  <c r="AL100" i="10"/>
  <c r="AK100" i="10"/>
  <c r="AJ100" i="10"/>
  <c r="AI100" i="10"/>
  <c r="AH100" i="10"/>
  <c r="AG100" i="10"/>
  <c r="AF100" i="10"/>
  <c r="AE100" i="10"/>
  <c r="AN99" i="10"/>
  <c r="AM99" i="10"/>
  <c r="AL99" i="10"/>
  <c r="AK99" i="10"/>
  <c r="AJ99" i="10"/>
  <c r="AI99" i="10"/>
  <c r="AH99" i="10"/>
  <c r="AG99" i="10"/>
  <c r="AF99" i="10"/>
  <c r="AE99" i="10"/>
  <c r="AN98" i="10"/>
  <c r="AM98" i="10"/>
  <c r="AL98" i="10"/>
  <c r="AK98" i="10"/>
  <c r="AJ98" i="10"/>
  <c r="AI98" i="10"/>
  <c r="AH98" i="10"/>
  <c r="AG98" i="10"/>
  <c r="AF98" i="10"/>
  <c r="AE98" i="10"/>
  <c r="AN97" i="10"/>
  <c r="AM97" i="10"/>
  <c r="AL97" i="10"/>
  <c r="AK97" i="10"/>
  <c r="AJ97" i="10"/>
  <c r="AI97" i="10"/>
  <c r="AH97" i="10"/>
  <c r="AG97" i="10"/>
  <c r="AF97" i="10"/>
  <c r="AE97" i="10"/>
  <c r="AN96" i="10"/>
  <c r="AM96" i="10"/>
  <c r="AL96" i="10"/>
  <c r="AK96" i="10"/>
  <c r="AJ96" i="10"/>
  <c r="AI96" i="10"/>
  <c r="AH96" i="10"/>
  <c r="AG96" i="10"/>
  <c r="AF96" i="10"/>
  <c r="AE96" i="10"/>
  <c r="AN95" i="10"/>
  <c r="AM95" i="10"/>
  <c r="AL95" i="10"/>
  <c r="AK95" i="10"/>
  <c r="AJ95" i="10"/>
  <c r="AI95" i="10"/>
  <c r="AH95" i="10"/>
  <c r="AG95" i="10"/>
  <c r="AF95" i="10"/>
  <c r="AE95" i="10"/>
  <c r="AN94" i="10"/>
  <c r="AM94" i="10"/>
  <c r="AL94" i="10"/>
  <c r="AK94" i="10"/>
  <c r="AJ94" i="10"/>
  <c r="AI94" i="10"/>
  <c r="AH94" i="10"/>
  <c r="AG94" i="10"/>
  <c r="AF94" i="10"/>
  <c r="AE94" i="10"/>
  <c r="AN93" i="10"/>
  <c r="AM93" i="10"/>
  <c r="AL93" i="10"/>
  <c r="AK93" i="10"/>
  <c r="AJ93" i="10"/>
  <c r="AI93" i="10"/>
  <c r="AH93" i="10"/>
  <c r="AG93" i="10"/>
  <c r="AF93" i="10"/>
  <c r="AE93" i="10"/>
  <c r="AN92" i="10"/>
  <c r="AM92" i="10"/>
  <c r="AL92" i="10"/>
  <c r="AK92" i="10"/>
  <c r="AJ92" i="10"/>
  <c r="AI92" i="10"/>
  <c r="AH92" i="10"/>
  <c r="AG92" i="10"/>
  <c r="AF92" i="10"/>
  <c r="AE92" i="10"/>
  <c r="AN91" i="10"/>
  <c r="AM91" i="10"/>
  <c r="AL91" i="10"/>
  <c r="AK91" i="10"/>
  <c r="AJ91" i="10"/>
  <c r="AI91" i="10"/>
  <c r="AH91" i="10"/>
  <c r="AG91" i="10"/>
  <c r="AF91" i="10"/>
  <c r="AE91" i="10"/>
  <c r="AN90" i="10"/>
  <c r="AM90" i="10"/>
  <c r="AL90" i="10"/>
  <c r="AK90" i="10"/>
  <c r="AJ90" i="10"/>
  <c r="AI90" i="10"/>
  <c r="AH90" i="10"/>
  <c r="AG90" i="10"/>
  <c r="AF90" i="10"/>
  <c r="AE90" i="10"/>
  <c r="AN89" i="10"/>
  <c r="AM89" i="10"/>
  <c r="AL89" i="10"/>
  <c r="AK89" i="10"/>
  <c r="AJ89" i="10"/>
  <c r="AI89" i="10"/>
  <c r="AH89" i="10"/>
  <c r="AG89" i="10"/>
  <c r="AF89" i="10"/>
  <c r="AE89" i="10"/>
  <c r="AN88" i="10"/>
  <c r="AM88" i="10"/>
  <c r="AL88" i="10"/>
  <c r="AK88" i="10"/>
  <c r="AJ88" i="10"/>
  <c r="AI88" i="10"/>
  <c r="AH88" i="10"/>
  <c r="AG88" i="10"/>
  <c r="AF88" i="10"/>
  <c r="AE88" i="10"/>
  <c r="AN87" i="10"/>
  <c r="AM87" i="10"/>
  <c r="AL87" i="10"/>
  <c r="AK87" i="10"/>
  <c r="AJ87" i="10"/>
  <c r="AI87" i="10"/>
  <c r="AH87" i="10"/>
  <c r="AG87" i="10"/>
  <c r="AF87" i="10"/>
  <c r="AE87" i="10"/>
  <c r="AN86" i="10"/>
  <c r="AM86" i="10"/>
  <c r="AL86" i="10"/>
  <c r="AK86" i="10"/>
  <c r="AJ86" i="10"/>
  <c r="AI86" i="10"/>
  <c r="AH86" i="10"/>
  <c r="AG86" i="10"/>
  <c r="AF86" i="10"/>
  <c r="AE86" i="10"/>
  <c r="AN85" i="10"/>
  <c r="AM85" i="10"/>
  <c r="AL85" i="10"/>
  <c r="AK85" i="10"/>
  <c r="AJ85" i="10"/>
  <c r="AI85" i="10"/>
  <c r="AH85" i="10"/>
  <c r="AG85" i="10"/>
  <c r="AF85" i="10"/>
  <c r="AE85" i="10"/>
  <c r="AN84" i="10"/>
  <c r="AM84" i="10"/>
  <c r="AL84" i="10"/>
  <c r="AK84" i="10"/>
  <c r="AJ84" i="10"/>
  <c r="AI84" i="10"/>
  <c r="AH84" i="10"/>
  <c r="AG84" i="10"/>
  <c r="AF84" i="10"/>
  <c r="AE84" i="10"/>
  <c r="AN83" i="10"/>
  <c r="AM83" i="10"/>
  <c r="AL83" i="10"/>
  <c r="AK83" i="10"/>
  <c r="AJ83" i="10"/>
  <c r="AI83" i="10"/>
  <c r="AH83" i="10"/>
  <c r="AG83" i="10"/>
  <c r="AF83" i="10"/>
  <c r="AE83" i="10"/>
  <c r="AN82" i="10"/>
  <c r="AM82" i="10"/>
  <c r="AL82" i="10"/>
  <c r="AK82" i="10"/>
  <c r="AJ82" i="10"/>
  <c r="AI82" i="10"/>
  <c r="AH82" i="10"/>
  <c r="AG82" i="10"/>
  <c r="AF82" i="10"/>
  <c r="AE82" i="10"/>
  <c r="AN81" i="10"/>
  <c r="AM81" i="10"/>
  <c r="AL81" i="10"/>
  <c r="AK81" i="10"/>
  <c r="AJ81" i="10"/>
  <c r="AI81" i="10"/>
  <c r="AH81" i="10"/>
  <c r="AG81" i="10"/>
  <c r="AF81" i="10"/>
  <c r="AE81" i="10"/>
  <c r="AN80" i="10"/>
  <c r="AM80" i="10"/>
  <c r="AL80" i="10"/>
  <c r="AK80" i="10"/>
  <c r="AJ80" i="10"/>
  <c r="AI80" i="10"/>
  <c r="AH80" i="10"/>
  <c r="AG80" i="10"/>
  <c r="AF80" i="10"/>
  <c r="AE80" i="10"/>
  <c r="AN79" i="10"/>
  <c r="AM79" i="10"/>
  <c r="AL79" i="10"/>
  <c r="AK79" i="10"/>
  <c r="AJ79" i="10"/>
  <c r="AI79" i="10"/>
  <c r="AH79" i="10"/>
  <c r="AG79" i="10"/>
  <c r="AF79" i="10"/>
  <c r="AE79" i="10"/>
  <c r="AN78" i="10"/>
  <c r="AM78" i="10"/>
  <c r="AL78" i="10"/>
  <c r="AK78" i="10"/>
  <c r="AJ78" i="10"/>
  <c r="AI78" i="10"/>
  <c r="AH78" i="10"/>
  <c r="AG78" i="10"/>
  <c r="AF78" i="10"/>
  <c r="AE78" i="10"/>
  <c r="AN77" i="10"/>
  <c r="AM77" i="10"/>
  <c r="AL77" i="10"/>
  <c r="AK77" i="10"/>
  <c r="AJ77" i="10"/>
  <c r="AI77" i="10"/>
  <c r="AH77" i="10"/>
  <c r="AG77" i="10"/>
  <c r="AF77" i="10"/>
  <c r="AE77" i="10"/>
  <c r="AN76" i="10"/>
  <c r="AM76" i="10"/>
  <c r="AL76" i="10"/>
  <c r="AK76" i="10"/>
  <c r="AJ76" i="10"/>
  <c r="AI76" i="10"/>
  <c r="AH76" i="10"/>
  <c r="AG76" i="10"/>
  <c r="AF76" i="10"/>
  <c r="AE76" i="10"/>
  <c r="AN75" i="10"/>
  <c r="AM75" i="10"/>
  <c r="AL75" i="10"/>
  <c r="AK75" i="10"/>
  <c r="AJ75" i="10"/>
  <c r="AI75" i="10"/>
  <c r="AH75" i="10"/>
  <c r="AG75" i="10"/>
  <c r="AF75" i="10"/>
  <c r="AE75" i="10"/>
  <c r="AN74" i="10"/>
  <c r="AM74" i="10"/>
  <c r="AL74" i="10"/>
  <c r="AK74" i="10"/>
  <c r="AJ74" i="10"/>
  <c r="AI74" i="10"/>
  <c r="AH74" i="10"/>
  <c r="AG74" i="10"/>
  <c r="AF74" i="10"/>
  <c r="AE74" i="10"/>
  <c r="AN73" i="10"/>
  <c r="AM73" i="10"/>
  <c r="AL73" i="10"/>
  <c r="AK73" i="10"/>
  <c r="AJ73" i="10"/>
  <c r="AI73" i="10"/>
  <c r="AH73" i="10"/>
  <c r="AG73" i="10"/>
  <c r="AF73" i="10"/>
  <c r="AE73" i="10"/>
  <c r="AN72" i="10"/>
  <c r="AM72" i="10"/>
  <c r="AL72" i="10"/>
  <c r="AK72" i="10"/>
  <c r="AJ72" i="10"/>
  <c r="AI72" i="10"/>
  <c r="AH72" i="10"/>
  <c r="AG72" i="10"/>
  <c r="AF72" i="10"/>
  <c r="AE72" i="10"/>
  <c r="AN71" i="10"/>
  <c r="AM71" i="10"/>
  <c r="AL71" i="10"/>
  <c r="AK71" i="10"/>
  <c r="AJ71" i="10"/>
  <c r="AI71" i="10"/>
  <c r="AH71" i="10"/>
  <c r="AG71" i="10"/>
  <c r="AF71" i="10"/>
  <c r="AE71" i="10"/>
  <c r="AN70" i="10"/>
  <c r="AM70" i="10"/>
  <c r="AL70" i="10"/>
  <c r="AK70" i="10"/>
  <c r="AJ70" i="10"/>
  <c r="AI70" i="10"/>
  <c r="AH70" i="10"/>
  <c r="AG70" i="10"/>
  <c r="AF70" i="10"/>
  <c r="AE70" i="10"/>
  <c r="AN69" i="10"/>
  <c r="AM69" i="10"/>
  <c r="AL69" i="10"/>
  <c r="AK69" i="10"/>
  <c r="AJ69" i="10"/>
  <c r="AI69" i="10"/>
  <c r="AH69" i="10"/>
  <c r="AG69" i="10"/>
  <c r="AF69" i="10"/>
  <c r="AE69" i="10"/>
  <c r="AN68" i="10"/>
  <c r="AM68" i="10"/>
  <c r="AL68" i="10"/>
  <c r="AK68" i="10"/>
  <c r="AJ68" i="10"/>
  <c r="AI68" i="10"/>
  <c r="AH68" i="10"/>
  <c r="AG68" i="10"/>
  <c r="AF68" i="10"/>
  <c r="AE68" i="10"/>
  <c r="AN67" i="10"/>
  <c r="AM67" i="10"/>
  <c r="AL67" i="10"/>
  <c r="AK67" i="10"/>
  <c r="AJ67" i="10"/>
  <c r="AI67" i="10"/>
  <c r="AH67" i="10"/>
  <c r="AG67" i="10"/>
  <c r="AF67" i="10"/>
  <c r="AE67" i="10"/>
  <c r="AN66" i="10"/>
  <c r="AM66" i="10"/>
  <c r="AL66" i="10"/>
  <c r="AK66" i="10"/>
  <c r="AJ66" i="10"/>
  <c r="AI66" i="10"/>
  <c r="AH66" i="10"/>
  <c r="AG66" i="10"/>
  <c r="AF66" i="10"/>
  <c r="AE66" i="10"/>
  <c r="AN65" i="10"/>
  <c r="AM65" i="10"/>
  <c r="AL65" i="10"/>
  <c r="AK65" i="10"/>
  <c r="AJ65" i="10"/>
  <c r="AI65" i="10"/>
  <c r="AH65" i="10"/>
  <c r="AG65" i="10"/>
  <c r="AF65" i="10"/>
  <c r="AE65" i="10"/>
  <c r="AN64" i="10"/>
  <c r="AM64" i="10"/>
  <c r="AL64" i="10"/>
  <c r="AK64" i="10"/>
  <c r="AJ64" i="10"/>
  <c r="AI64" i="10"/>
  <c r="AH64" i="10"/>
  <c r="AG64" i="10"/>
  <c r="AF64" i="10"/>
  <c r="AE64" i="10"/>
  <c r="AN63" i="10"/>
  <c r="AM63" i="10"/>
  <c r="AL63" i="10"/>
  <c r="AK63" i="10"/>
  <c r="AJ63" i="10"/>
  <c r="AI63" i="10"/>
  <c r="AH63" i="10"/>
  <c r="AG63" i="10"/>
  <c r="AF63" i="10"/>
  <c r="AE63" i="10"/>
  <c r="AN62" i="10"/>
  <c r="AM62" i="10"/>
  <c r="AL62" i="10"/>
  <c r="AK62" i="10"/>
  <c r="AJ62" i="10"/>
  <c r="AI62" i="10"/>
  <c r="AH62" i="10"/>
  <c r="AG62" i="10"/>
  <c r="AF62" i="10"/>
  <c r="AE62" i="10"/>
  <c r="AN61" i="10"/>
  <c r="AM61" i="10"/>
  <c r="AL61" i="10"/>
  <c r="AK61" i="10"/>
  <c r="AJ61" i="10"/>
  <c r="AI61" i="10"/>
  <c r="AH61" i="10"/>
  <c r="AG61" i="10"/>
  <c r="AF61" i="10"/>
  <c r="AE61" i="10"/>
  <c r="AN60" i="10"/>
  <c r="AM60" i="10"/>
  <c r="AL60" i="10"/>
  <c r="AK60" i="10"/>
  <c r="AJ60" i="10"/>
  <c r="AI60" i="10"/>
  <c r="AH60" i="10"/>
  <c r="AG60" i="10"/>
  <c r="AF60" i="10"/>
  <c r="AE60" i="10"/>
  <c r="AN59" i="10"/>
  <c r="AM59" i="10"/>
  <c r="AL59" i="10"/>
  <c r="AK59" i="10"/>
  <c r="AJ59" i="10"/>
  <c r="AI59" i="10"/>
  <c r="AH59" i="10"/>
  <c r="AG59" i="10"/>
  <c r="AF59" i="10"/>
  <c r="AE59" i="10"/>
  <c r="AN58" i="10"/>
  <c r="AM58" i="10"/>
  <c r="AL58" i="10"/>
  <c r="AK58" i="10"/>
  <c r="AJ58" i="10"/>
  <c r="AI58" i="10"/>
  <c r="AH58" i="10"/>
  <c r="AG58" i="10"/>
  <c r="AF58" i="10"/>
  <c r="AE58" i="10"/>
  <c r="AN57" i="10"/>
  <c r="AM57" i="10"/>
  <c r="AL57" i="10"/>
  <c r="AK57" i="10"/>
  <c r="AJ57" i="10"/>
  <c r="AI57" i="10"/>
  <c r="AH57" i="10"/>
  <c r="AG57" i="10"/>
  <c r="AF57" i="10"/>
  <c r="AE57" i="10"/>
  <c r="AN56" i="10"/>
  <c r="AM56" i="10"/>
  <c r="AL56" i="10"/>
  <c r="AK56" i="10"/>
  <c r="AJ56" i="10"/>
  <c r="AI56" i="10"/>
  <c r="AH56" i="10"/>
  <c r="AG56" i="10"/>
  <c r="AF56" i="10"/>
  <c r="AE56" i="10"/>
  <c r="AN55" i="10"/>
  <c r="AM55" i="10"/>
  <c r="AL55" i="10"/>
  <c r="AK55" i="10"/>
  <c r="AJ55" i="10"/>
  <c r="AI55" i="10"/>
  <c r="AH55" i="10"/>
  <c r="AG55" i="10"/>
  <c r="AF55" i="10"/>
  <c r="AE55" i="10"/>
  <c r="AN54" i="10"/>
  <c r="AM54" i="10"/>
  <c r="AL54" i="10"/>
  <c r="AK54" i="10"/>
  <c r="AJ54" i="10"/>
  <c r="AI54" i="10"/>
  <c r="AH54" i="10"/>
  <c r="AG54" i="10"/>
  <c r="AF54" i="10"/>
  <c r="AE54" i="10"/>
  <c r="AN53" i="10"/>
  <c r="AM53" i="10"/>
  <c r="AL53" i="10"/>
  <c r="AK53" i="10"/>
  <c r="AJ53" i="10"/>
  <c r="AI53" i="10"/>
  <c r="AH53" i="10"/>
  <c r="AG53" i="10"/>
  <c r="AF53" i="10"/>
  <c r="AE53" i="10"/>
  <c r="AN52" i="10"/>
  <c r="AM52" i="10"/>
  <c r="AL52" i="10"/>
  <c r="AK52" i="10"/>
  <c r="AJ52" i="10"/>
  <c r="AI52" i="10"/>
  <c r="AH52" i="10"/>
  <c r="AG52" i="10"/>
  <c r="AF52" i="10"/>
  <c r="AE52" i="10"/>
  <c r="AN51" i="10"/>
  <c r="AM51" i="10"/>
  <c r="AL51" i="10"/>
  <c r="AK51" i="10"/>
  <c r="AJ51" i="10"/>
  <c r="AI51" i="10"/>
  <c r="AH51" i="10"/>
  <c r="AG51" i="10"/>
  <c r="AF51" i="10"/>
  <c r="AE51" i="10"/>
  <c r="AN50" i="10"/>
  <c r="AM50" i="10"/>
  <c r="AL50" i="10"/>
  <c r="AK50" i="10"/>
  <c r="AJ50" i="10"/>
  <c r="AI50" i="10"/>
  <c r="AH50" i="10"/>
  <c r="AG50" i="10"/>
  <c r="AF50" i="10"/>
  <c r="AE50" i="10"/>
  <c r="AN49" i="10"/>
  <c r="AM49" i="10"/>
  <c r="AL49" i="10"/>
  <c r="AK49" i="10"/>
  <c r="AJ49" i="10"/>
  <c r="AI49" i="10"/>
  <c r="AH49" i="10"/>
  <c r="AG49" i="10"/>
  <c r="AF49" i="10"/>
  <c r="AE49" i="10"/>
  <c r="AN48" i="10"/>
  <c r="AM48" i="10"/>
  <c r="AL48" i="10"/>
  <c r="AK48" i="10"/>
  <c r="AJ48" i="10"/>
  <c r="AI48" i="10"/>
  <c r="AH48" i="10"/>
  <c r="AG48" i="10"/>
  <c r="AF48" i="10"/>
  <c r="AE48" i="10"/>
  <c r="AN47" i="10"/>
  <c r="AM47" i="10"/>
  <c r="AL47" i="10"/>
  <c r="AK47" i="10"/>
  <c r="AJ47" i="10"/>
  <c r="AI47" i="10"/>
  <c r="AH47" i="10"/>
  <c r="AG47" i="10"/>
  <c r="AF47" i="10"/>
  <c r="AE47" i="10"/>
  <c r="AN46" i="10"/>
  <c r="AM46" i="10"/>
  <c r="AL46" i="10"/>
  <c r="AK46" i="10"/>
  <c r="AJ46" i="10"/>
  <c r="AI46" i="10"/>
  <c r="AH46" i="10"/>
  <c r="AG46" i="10"/>
  <c r="AF46" i="10"/>
  <c r="AE46" i="10"/>
  <c r="AN45" i="10"/>
  <c r="AM45" i="10"/>
  <c r="AL45" i="10"/>
  <c r="AK45" i="10"/>
  <c r="AJ45" i="10"/>
  <c r="AI45" i="10"/>
  <c r="AH45" i="10"/>
  <c r="AG45" i="10"/>
  <c r="AF45" i="10"/>
  <c r="AE45" i="10"/>
  <c r="AN44" i="10"/>
  <c r="AM44" i="10"/>
  <c r="AL44" i="10"/>
  <c r="AK44" i="10"/>
  <c r="AJ44" i="10"/>
  <c r="AI44" i="10"/>
  <c r="AH44" i="10"/>
  <c r="AG44" i="10"/>
  <c r="AF44" i="10"/>
  <c r="AE44" i="10"/>
  <c r="AN43" i="10"/>
  <c r="AM43" i="10"/>
  <c r="AL43" i="10"/>
  <c r="AK43" i="10"/>
  <c r="AJ43" i="10"/>
  <c r="AI43" i="10"/>
  <c r="AH43" i="10"/>
  <c r="AG43" i="10"/>
  <c r="AF43" i="10"/>
  <c r="AE43" i="10"/>
  <c r="AN42" i="10"/>
  <c r="AM42" i="10"/>
  <c r="AL42" i="10"/>
  <c r="AK42" i="10"/>
  <c r="AJ42" i="10"/>
  <c r="AI42" i="10"/>
  <c r="AH42" i="10"/>
  <c r="AG42" i="10"/>
  <c r="AF42" i="10"/>
  <c r="AE42" i="10"/>
  <c r="AN41" i="10"/>
  <c r="AM41" i="10"/>
  <c r="AL41" i="10"/>
  <c r="AK41" i="10"/>
  <c r="AJ41" i="10"/>
  <c r="AI41" i="10"/>
  <c r="AH41" i="10"/>
  <c r="AG41" i="10"/>
  <c r="AF41" i="10"/>
  <c r="AE41" i="10"/>
  <c r="AN40" i="10"/>
  <c r="AM40" i="10"/>
  <c r="AL40" i="10"/>
  <c r="AK40" i="10"/>
  <c r="AJ40" i="10"/>
  <c r="AI40" i="10"/>
  <c r="AH40" i="10"/>
  <c r="AG40" i="10"/>
  <c r="AF40" i="10"/>
  <c r="AE40" i="10"/>
  <c r="AN39" i="10"/>
  <c r="AM39" i="10"/>
  <c r="AL39" i="10"/>
  <c r="AK39" i="10"/>
  <c r="AJ39" i="10"/>
  <c r="AI39" i="10"/>
  <c r="AH39" i="10"/>
  <c r="AG39" i="10"/>
  <c r="AF39" i="10"/>
  <c r="AE39" i="10"/>
  <c r="AN38" i="10"/>
  <c r="AM38" i="10"/>
  <c r="AL38" i="10"/>
  <c r="AK38" i="10"/>
  <c r="AJ38" i="10"/>
  <c r="AI38" i="10"/>
  <c r="AH38" i="10"/>
  <c r="AG38" i="10"/>
  <c r="AF38" i="10"/>
  <c r="AE38" i="10"/>
  <c r="AN37" i="10"/>
  <c r="AM37" i="10"/>
  <c r="AL37" i="10"/>
  <c r="AK37" i="10"/>
  <c r="AJ37" i="10"/>
  <c r="AI37" i="10"/>
  <c r="AH37" i="10"/>
  <c r="AG37" i="10"/>
  <c r="AF37" i="10"/>
  <c r="AE37" i="10"/>
  <c r="AN36" i="10"/>
  <c r="AM36" i="10"/>
  <c r="AL36" i="10"/>
  <c r="AK36" i="10"/>
  <c r="AJ36" i="10"/>
  <c r="AI36" i="10"/>
  <c r="AH36" i="10"/>
  <c r="AG36" i="10"/>
  <c r="AF36" i="10"/>
  <c r="AE36" i="10"/>
  <c r="AN35" i="10"/>
  <c r="AM35" i="10"/>
  <c r="AL35" i="10"/>
  <c r="AK35" i="10"/>
  <c r="AJ35" i="10"/>
  <c r="AI35" i="10"/>
  <c r="AH35" i="10"/>
  <c r="AG35" i="10"/>
  <c r="AF35" i="10"/>
  <c r="AE35" i="10"/>
  <c r="AN34" i="10"/>
  <c r="AM34" i="10"/>
  <c r="AL34" i="10"/>
  <c r="AK34" i="10"/>
  <c r="AJ34" i="10"/>
  <c r="AI34" i="10"/>
  <c r="AH34" i="10"/>
  <c r="AG34" i="10"/>
  <c r="AF34" i="10"/>
  <c r="AE34" i="10"/>
  <c r="AN33" i="10"/>
  <c r="AM33" i="10"/>
  <c r="AL33" i="10"/>
  <c r="AK33" i="10"/>
  <c r="AJ33" i="10"/>
  <c r="AI33" i="10"/>
  <c r="AH33" i="10"/>
  <c r="AG33" i="10"/>
  <c r="AF33" i="10"/>
  <c r="AE33" i="10"/>
  <c r="AN32" i="10"/>
  <c r="AM32" i="10"/>
  <c r="AL32" i="10"/>
  <c r="AK32" i="10"/>
  <c r="AJ32" i="10"/>
  <c r="AI32" i="10"/>
  <c r="AH32" i="10"/>
  <c r="AG32" i="10"/>
  <c r="AF32" i="10"/>
  <c r="AE32" i="10"/>
  <c r="AN31" i="10"/>
  <c r="AM31" i="10"/>
  <c r="AL31" i="10"/>
  <c r="AK31" i="10"/>
  <c r="AJ31" i="10"/>
  <c r="AI31" i="10"/>
  <c r="AH31" i="10"/>
  <c r="AG31" i="10"/>
  <c r="AF31" i="10"/>
  <c r="AE31" i="10"/>
  <c r="AN30" i="10"/>
  <c r="AM30" i="10"/>
  <c r="AL30" i="10"/>
  <c r="AK30" i="10"/>
  <c r="AJ30" i="10"/>
  <c r="AI30" i="10"/>
  <c r="AH30" i="10"/>
  <c r="AG30" i="10"/>
  <c r="AF30" i="10"/>
  <c r="AE30" i="10"/>
  <c r="AN29" i="10"/>
  <c r="AM29" i="10"/>
  <c r="AL29" i="10"/>
  <c r="AK29" i="10"/>
  <c r="AJ29" i="10"/>
  <c r="AI29" i="10"/>
  <c r="AH29" i="10"/>
  <c r="AG29" i="10"/>
  <c r="AF29" i="10"/>
  <c r="AE29" i="10"/>
  <c r="AN28" i="10"/>
  <c r="AM28" i="10"/>
  <c r="AL28" i="10"/>
  <c r="AK28" i="10"/>
  <c r="AJ28" i="10"/>
  <c r="AI28" i="10"/>
  <c r="AH28" i="10"/>
  <c r="AG28" i="10"/>
  <c r="AF28" i="10"/>
  <c r="AE28" i="10"/>
  <c r="AN27" i="10"/>
  <c r="AM27" i="10"/>
  <c r="AL27" i="10"/>
  <c r="AK27" i="10"/>
  <c r="AJ27" i="10"/>
  <c r="AI27" i="10"/>
  <c r="AH27" i="10"/>
  <c r="AG27" i="10"/>
  <c r="AF27" i="10"/>
  <c r="AE27" i="10"/>
  <c r="AN26" i="10"/>
  <c r="AM26" i="10"/>
  <c r="AL26" i="10"/>
  <c r="AK26" i="10"/>
  <c r="AJ26" i="10"/>
  <c r="AI26" i="10"/>
  <c r="AH26" i="10"/>
  <c r="AG26" i="10"/>
  <c r="AF26" i="10"/>
  <c r="AE26" i="10"/>
  <c r="AN25" i="10"/>
  <c r="AM25" i="10"/>
  <c r="AL25" i="10"/>
  <c r="AK25" i="10"/>
  <c r="AJ25" i="10"/>
  <c r="AI25" i="10"/>
  <c r="AH25" i="10"/>
  <c r="AG25" i="10"/>
  <c r="AF25" i="10"/>
  <c r="AE25" i="10"/>
  <c r="AN24" i="10"/>
  <c r="AM24" i="10"/>
  <c r="AL24" i="10"/>
  <c r="AK24" i="10"/>
  <c r="AJ24" i="10"/>
  <c r="AI24" i="10"/>
  <c r="AH24" i="10"/>
  <c r="AG24" i="10"/>
  <c r="AF24" i="10"/>
  <c r="AE24" i="10"/>
  <c r="AN23" i="10"/>
  <c r="AM23" i="10"/>
  <c r="AL23" i="10"/>
  <c r="AK23" i="10"/>
  <c r="AJ23" i="10"/>
  <c r="AI23" i="10"/>
  <c r="AH23" i="10"/>
  <c r="AG23" i="10"/>
  <c r="AF23" i="10"/>
  <c r="AE23" i="10"/>
  <c r="AN22" i="10"/>
  <c r="AM22" i="10"/>
  <c r="AL22" i="10"/>
  <c r="AK22" i="10"/>
  <c r="AJ22" i="10"/>
  <c r="AI22" i="10"/>
  <c r="AH22" i="10"/>
  <c r="AG22" i="10"/>
  <c r="AF22" i="10"/>
  <c r="AE22" i="10"/>
  <c r="AN21" i="10"/>
  <c r="AM21" i="10"/>
  <c r="AL21" i="10"/>
  <c r="AK21" i="10"/>
  <c r="AJ21" i="10"/>
  <c r="AI21" i="10"/>
  <c r="AH21" i="10"/>
  <c r="AG21" i="10"/>
  <c r="AF21" i="10"/>
  <c r="AE21" i="10"/>
  <c r="AN20" i="10"/>
  <c r="AM20" i="10"/>
  <c r="AL20" i="10"/>
  <c r="AK20" i="10"/>
  <c r="AJ20" i="10"/>
  <c r="AI20" i="10"/>
  <c r="AH20" i="10"/>
  <c r="AG20" i="10"/>
  <c r="AF20" i="10"/>
  <c r="AE20" i="10"/>
  <c r="AN19" i="10"/>
  <c r="AM19" i="10"/>
  <c r="AL19" i="10"/>
  <c r="AK19" i="10"/>
  <c r="AJ19" i="10"/>
  <c r="AI19" i="10"/>
  <c r="AH19" i="10"/>
  <c r="AG19" i="10"/>
  <c r="AF19" i="10"/>
  <c r="AE19" i="10"/>
  <c r="AN18" i="10"/>
  <c r="AM18" i="10"/>
  <c r="AL18" i="10"/>
  <c r="AK18" i="10"/>
  <c r="AJ18" i="10"/>
  <c r="AI18" i="10"/>
  <c r="AH18" i="10"/>
  <c r="AG18" i="10"/>
  <c r="AF18" i="10"/>
  <c r="AE18" i="10"/>
  <c r="AN17" i="10"/>
  <c r="AM17" i="10"/>
  <c r="AL17" i="10"/>
  <c r="AK17" i="10"/>
  <c r="AJ17" i="10"/>
  <c r="AI17" i="10"/>
  <c r="AH17" i="10"/>
  <c r="AG17" i="10"/>
  <c r="AF17" i="10"/>
  <c r="AE17" i="10"/>
  <c r="AN16" i="10"/>
  <c r="AM16" i="10"/>
  <c r="AL16" i="10"/>
  <c r="AK16" i="10"/>
  <c r="AJ16" i="10"/>
  <c r="AI16" i="10"/>
  <c r="AH16" i="10"/>
  <c r="AG16" i="10"/>
  <c r="AF16" i="10"/>
  <c r="AE16" i="10"/>
  <c r="AN15" i="10"/>
  <c r="AM15" i="10"/>
  <c r="AL15" i="10"/>
  <c r="AK15" i="10"/>
  <c r="AJ15" i="10"/>
  <c r="AI15" i="10"/>
  <c r="AH15" i="10"/>
  <c r="AG15" i="10"/>
  <c r="AF15" i="10"/>
  <c r="AE15" i="10"/>
  <c r="AN14" i="10"/>
  <c r="AM14" i="10"/>
  <c r="AL14" i="10"/>
  <c r="AK14" i="10"/>
  <c r="AJ14" i="10"/>
  <c r="AI14" i="10"/>
  <c r="AH14" i="10"/>
  <c r="AG14" i="10"/>
  <c r="AF14" i="10"/>
  <c r="AE14" i="10"/>
  <c r="AN13" i="10"/>
  <c r="AM13" i="10"/>
  <c r="AL13" i="10"/>
  <c r="AK13" i="10"/>
  <c r="AJ13" i="10"/>
  <c r="AI13" i="10"/>
  <c r="AH13" i="10"/>
  <c r="AG13" i="10"/>
  <c r="AF13" i="10"/>
  <c r="AE13" i="10"/>
  <c r="AN12" i="10"/>
  <c r="AM12" i="10"/>
  <c r="AL12" i="10"/>
  <c r="AK12" i="10"/>
  <c r="AJ12" i="10"/>
  <c r="AI12" i="10"/>
  <c r="AH12" i="10"/>
  <c r="AG12" i="10"/>
  <c r="AF12" i="10"/>
  <c r="AE12" i="10"/>
  <c r="AN11" i="10"/>
  <c r="AM11" i="10"/>
  <c r="AL11" i="10"/>
  <c r="AK11" i="10"/>
  <c r="AJ11" i="10"/>
  <c r="AI11" i="10"/>
  <c r="AH11" i="10"/>
  <c r="AG11" i="10"/>
  <c r="AF11" i="10"/>
  <c r="AE11" i="10"/>
  <c r="AN10" i="10"/>
  <c r="AM10" i="10"/>
  <c r="AL10" i="10"/>
  <c r="AK10" i="10"/>
  <c r="AJ10" i="10"/>
  <c r="AI10" i="10"/>
  <c r="AH10" i="10"/>
  <c r="AG10" i="10"/>
  <c r="AF10" i="10"/>
  <c r="AE10" i="10"/>
  <c r="AN9" i="10"/>
  <c r="AM9" i="10"/>
  <c r="AL9" i="10"/>
  <c r="AK9" i="10"/>
  <c r="AJ9" i="10"/>
  <c r="AI9" i="10"/>
  <c r="AH9" i="10"/>
  <c r="AG9" i="10"/>
  <c r="AF9" i="10"/>
  <c r="AE9" i="10"/>
  <c r="AN8" i="10"/>
  <c r="AM8" i="10"/>
  <c r="AL8" i="10"/>
  <c r="AK8" i="10"/>
  <c r="AJ8" i="10"/>
  <c r="AI8" i="10"/>
  <c r="AH8" i="10"/>
  <c r="AG8" i="10"/>
  <c r="AF8" i="10"/>
  <c r="AE8" i="10"/>
  <c r="AN7" i="10"/>
  <c r="AM7" i="10"/>
  <c r="AL7" i="10"/>
  <c r="AK7" i="10"/>
  <c r="AJ7" i="10"/>
  <c r="AI7" i="10"/>
  <c r="AH7" i="10"/>
  <c r="AG7" i="10"/>
  <c r="AF7" i="10"/>
  <c r="AE7" i="10"/>
  <c r="O128" i="5"/>
  <c r="Q128" i="5" s="1"/>
  <c r="O127" i="5"/>
  <c r="Q127" i="5" s="1"/>
  <c r="G147" i="4"/>
  <c r="AR34" i="4"/>
  <c r="AR31" i="4"/>
  <c r="A40" i="4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39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06" i="4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S190" i="8"/>
  <c r="S189" i="8"/>
  <c r="Z39" i="8"/>
  <c r="Z38" i="8"/>
  <c r="Z37" i="8"/>
  <c r="Z36" i="8"/>
  <c r="Z35" i="8"/>
  <c r="Z32" i="8"/>
  <c r="Z31" i="8"/>
  <c r="Z30" i="8"/>
  <c r="Z29" i="8"/>
  <c r="Z28" i="8"/>
  <c r="L36" i="7"/>
  <c r="B7" i="7"/>
  <c r="B8" i="7"/>
  <c r="B9" i="7" s="1"/>
  <c r="B10" i="7" s="1"/>
  <c r="B11" i="7" s="1"/>
  <c r="B6" i="7"/>
  <c r="D19" i="7"/>
  <c r="W6" i="5"/>
  <c r="X6" i="5"/>
  <c r="Y6" i="5"/>
  <c r="Z6" i="5"/>
  <c r="AA6" i="5"/>
  <c r="AB6" i="5"/>
  <c r="AC6" i="5"/>
  <c r="AD6" i="5"/>
  <c r="AE6" i="5"/>
  <c r="AF6" i="5"/>
  <c r="W7" i="5"/>
  <c r="X7" i="5"/>
  <c r="Y7" i="5"/>
  <c r="Z7" i="5"/>
  <c r="AA7" i="5"/>
  <c r="AB7" i="5"/>
  <c r="AC7" i="5"/>
  <c r="AD7" i="5"/>
  <c r="AE7" i="5"/>
  <c r="AF7" i="5"/>
  <c r="W8" i="5"/>
  <c r="X8" i="5"/>
  <c r="Y8" i="5"/>
  <c r="Z8" i="5"/>
  <c r="AA8" i="5"/>
  <c r="AB8" i="5"/>
  <c r="AC8" i="5"/>
  <c r="AD8" i="5"/>
  <c r="AE8" i="5"/>
  <c r="AF8" i="5"/>
  <c r="W9" i="5"/>
  <c r="X9" i="5"/>
  <c r="Y9" i="5"/>
  <c r="Z9" i="5"/>
  <c r="AA9" i="5"/>
  <c r="AB9" i="5"/>
  <c r="AC9" i="5"/>
  <c r="AD9" i="5"/>
  <c r="AE9" i="5"/>
  <c r="AF9" i="5"/>
  <c r="W10" i="5"/>
  <c r="X10" i="5"/>
  <c r="Y10" i="5"/>
  <c r="Z10" i="5"/>
  <c r="AA10" i="5"/>
  <c r="AB10" i="5"/>
  <c r="AC10" i="5"/>
  <c r="AD10" i="5"/>
  <c r="AE10" i="5"/>
  <c r="AF10" i="5"/>
  <c r="W11" i="5"/>
  <c r="X11" i="5"/>
  <c r="Y11" i="5"/>
  <c r="Z11" i="5"/>
  <c r="AA11" i="5"/>
  <c r="AB11" i="5"/>
  <c r="AC11" i="5"/>
  <c r="AD11" i="5"/>
  <c r="AE11" i="5"/>
  <c r="AF11" i="5"/>
  <c r="W12" i="5"/>
  <c r="X12" i="5"/>
  <c r="Y12" i="5"/>
  <c r="Z12" i="5"/>
  <c r="AA12" i="5"/>
  <c r="AB12" i="5"/>
  <c r="AC12" i="5"/>
  <c r="AD12" i="5"/>
  <c r="AE12" i="5"/>
  <c r="AF12" i="5"/>
  <c r="W13" i="5"/>
  <c r="X13" i="5"/>
  <c r="Y13" i="5"/>
  <c r="Z13" i="5"/>
  <c r="AA13" i="5"/>
  <c r="AB13" i="5"/>
  <c r="AC13" i="5"/>
  <c r="AD13" i="5"/>
  <c r="AE13" i="5"/>
  <c r="AF13" i="5"/>
  <c r="W14" i="5"/>
  <c r="X14" i="5"/>
  <c r="Y14" i="5"/>
  <c r="Z14" i="5"/>
  <c r="AA14" i="5"/>
  <c r="AB14" i="5"/>
  <c r="AC14" i="5"/>
  <c r="AD14" i="5"/>
  <c r="AE14" i="5"/>
  <c r="AF14" i="5"/>
  <c r="W15" i="5"/>
  <c r="X15" i="5"/>
  <c r="Y15" i="5"/>
  <c r="Z15" i="5"/>
  <c r="AA15" i="5"/>
  <c r="AB15" i="5"/>
  <c r="AC15" i="5"/>
  <c r="AD15" i="5"/>
  <c r="AE15" i="5"/>
  <c r="AF15" i="5"/>
  <c r="W16" i="5"/>
  <c r="X16" i="5"/>
  <c r="Y16" i="5"/>
  <c r="Z16" i="5"/>
  <c r="AA16" i="5"/>
  <c r="AB16" i="5"/>
  <c r="AC16" i="5"/>
  <c r="AD16" i="5"/>
  <c r="AE16" i="5"/>
  <c r="AF16" i="5"/>
  <c r="W17" i="5"/>
  <c r="X17" i="5"/>
  <c r="Y17" i="5"/>
  <c r="Z17" i="5"/>
  <c r="AA17" i="5"/>
  <c r="AB17" i="5"/>
  <c r="AC17" i="5"/>
  <c r="AD17" i="5"/>
  <c r="AE17" i="5"/>
  <c r="AF17" i="5"/>
  <c r="W18" i="5"/>
  <c r="X18" i="5"/>
  <c r="Y18" i="5"/>
  <c r="Z18" i="5"/>
  <c r="AA18" i="5"/>
  <c r="AB18" i="5"/>
  <c r="AC18" i="5"/>
  <c r="AD18" i="5"/>
  <c r="AE18" i="5"/>
  <c r="AF18" i="5"/>
  <c r="W19" i="5"/>
  <c r="X19" i="5"/>
  <c r="Y19" i="5"/>
  <c r="Z19" i="5"/>
  <c r="AA19" i="5"/>
  <c r="AB19" i="5"/>
  <c r="AC19" i="5"/>
  <c r="AD19" i="5"/>
  <c r="AE19" i="5"/>
  <c r="AF19" i="5"/>
  <c r="W20" i="5"/>
  <c r="X20" i="5"/>
  <c r="Y20" i="5"/>
  <c r="Z20" i="5"/>
  <c r="AA20" i="5"/>
  <c r="AB20" i="5"/>
  <c r="AC20" i="5"/>
  <c r="AD20" i="5"/>
  <c r="AE20" i="5"/>
  <c r="AF20" i="5"/>
  <c r="W21" i="5"/>
  <c r="X21" i="5"/>
  <c r="Y21" i="5"/>
  <c r="Z21" i="5"/>
  <c r="AA21" i="5"/>
  <c r="AB21" i="5"/>
  <c r="AC21" i="5"/>
  <c r="AD21" i="5"/>
  <c r="AE21" i="5"/>
  <c r="AF21" i="5"/>
  <c r="W22" i="5"/>
  <c r="X22" i="5"/>
  <c r="Y22" i="5"/>
  <c r="Z22" i="5"/>
  <c r="AA22" i="5"/>
  <c r="AB22" i="5"/>
  <c r="AC22" i="5"/>
  <c r="AD22" i="5"/>
  <c r="AE22" i="5"/>
  <c r="AF22" i="5"/>
  <c r="W23" i="5"/>
  <c r="X23" i="5"/>
  <c r="Y23" i="5"/>
  <c r="Z23" i="5"/>
  <c r="AA23" i="5"/>
  <c r="AB23" i="5"/>
  <c r="AC23" i="5"/>
  <c r="AD23" i="5"/>
  <c r="AE23" i="5"/>
  <c r="AF23" i="5"/>
  <c r="W24" i="5"/>
  <c r="X24" i="5"/>
  <c r="Y24" i="5"/>
  <c r="Z24" i="5"/>
  <c r="AA24" i="5"/>
  <c r="AB24" i="5"/>
  <c r="AC24" i="5"/>
  <c r="AD24" i="5"/>
  <c r="AE24" i="5"/>
  <c r="AF24" i="5"/>
  <c r="W25" i="5"/>
  <c r="X25" i="5"/>
  <c r="Y25" i="5"/>
  <c r="Z25" i="5"/>
  <c r="AA25" i="5"/>
  <c r="AB25" i="5"/>
  <c r="AC25" i="5"/>
  <c r="AD25" i="5"/>
  <c r="AE25" i="5"/>
  <c r="AF25" i="5"/>
  <c r="W26" i="5"/>
  <c r="X26" i="5"/>
  <c r="Y26" i="5"/>
  <c r="Z26" i="5"/>
  <c r="AA26" i="5"/>
  <c r="AB26" i="5"/>
  <c r="AC26" i="5"/>
  <c r="AD26" i="5"/>
  <c r="AE26" i="5"/>
  <c r="AF26" i="5"/>
  <c r="W27" i="5"/>
  <c r="X27" i="5"/>
  <c r="Y27" i="5"/>
  <c r="Z27" i="5"/>
  <c r="AA27" i="5"/>
  <c r="AB27" i="5"/>
  <c r="AC27" i="5"/>
  <c r="AD27" i="5"/>
  <c r="AE27" i="5"/>
  <c r="AF27" i="5"/>
  <c r="W28" i="5"/>
  <c r="X28" i="5"/>
  <c r="Y28" i="5"/>
  <c r="Z28" i="5"/>
  <c r="AA28" i="5"/>
  <c r="AB28" i="5"/>
  <c r="AC28" i="5"/>
  <c r="AD28" i="5"/>
  <c r="AE28" i="5"/>
  <c r="AF28" i="5"/>
  <c r="W29" i="5"/>
  <c r="X29" i="5"/>
  <c r="Y29" i="5"/>
  <c r="Z29" i="5"/>
  <c r="AA29" i="5"/>
  <c r="AB29" i="5"/>
  <c r="AC29" i="5"/>
  <c r="AD29" i="5"/>
  <c r="AE29" i="5"/>
  <c r="AF29" i="5"/>
  <c r="W30" i="5"/>
  <c r="X30" i="5"/>
  <c r="Y30" i="5"/>
  <c r="Z30" i="5"/>
  <c r="AA30" i="5"/>
  <c r="AB30" i="5"/>
  <c r="AC30" i="5"/>
  <c r="AD30" i="5"/>
  <c r="AE30" i="5"/>
  <c r="AF30" i="5"/>
  <c r="W31" i="5"/>
  <c r="X31" i="5"/>
  <c r="Y31" i="5"/>
  <c r="Z31" i="5"/>
  <c r="AA31" i="5"/>
  <c r="AB31" i="5"/>
  <c r="AC31" i="5"/>
  <c r="AD31" i="5"/>
  <c r="AE31" i="5"/>
  <c r="AF31" i="5"/>
  <c r="W32" i="5"/>
  <c r="X32" i="5"/>
  <c r="Y32" i="5"/>
  <c r="Z32" i="5"/>
  <c r="AA32" i="5"/>
  <c r="AB32" i="5"/>
  <c r="AC32" i="5"/>
  <c r="AD32" i="5"/>
  <c r="AE32" i="5"/>
  <c r="AF32" i="5"/>
  <c r="W33" i="5"/>
  <c r="X33" i="5"/>
  <c r="Y33" i="5"/>
  <c r="Z33" i="5"/>
  <c r="AA33" i="5"/>
  <c r="AB33" i="5"/>
  <c r="AC33" i="5"/>
  <c r="AD33" i="5"/>
  <c r="AE33" i="5"/>
  <c r="AF33" i="5"/>
  <c r="W34" i="5"/>
  <c r="X34" i="5"/>
  <c r="Y34" i="5"/>
  <c r="Z34" i="5"/>
  <c r="AA34" i="5"/>
  <c r="AB34" i="5"/>
  <c r="AC34" i="5"/>
  <c r="AD34" i="5"/>
  <c r="AE34" i="5"/>
  <c r="AF34" i="5"/>
  <c r="W35" i="5"/>
  <c r="X35" i="5"/>
  <c r="Y35" i="5"/>
  <c r="Z35" i="5"/>
  <c r="AA35" i="5"/>
  <c r="AB35" i="5"/>
  <c r="AC35" i="5"/>
  <c r="AD35" i="5"/>
  <c r="AE35" i="5"/>
  <c r="AF35" i="5"/>
  <c r="W36" i="5"/>
  <c r="X36" i="5"/>
  <c r="Y36" i="5"/>
  <c r="Z36" i="5"/>
  <c r="AA36" i="5"/>
  <c r="AB36" i="5"/>
  <c r="AC36" i="5"/>
  <c r="AD36" i="5"/>
  <c r="AE36" i="5"/>
  <c r="AF36" i="5"/>
  <c r="W37" i="5"/>
  <c r="X37" i="5"/>
  <c r="Y37" i="5"/>
  <c r="Z37" i="5"/>
  <c r="AA37" i="5"/>
  <c r="AB37" i="5"/>
  <c r="AC37" i="5"/>
  <c r="AD37" i="5"/>
  <c r="AE37" i="5"/>
  <c r="AF37" i="5"/>
  <c r="W38" i="5"/>
  <c r="X38" i="5"/>
  <c r="Y38" i="5"/>
  <c r="Z38" i="5"/>
  <c r="AA38" i="5"/>
  <c r="AB38" i="5"/>
  <c r="AC38" i="5"/>
  <c r="AD38" i="5"/>
  <c r="AE38" i="5"/>
  <c r="AF38" i="5"/>
  <c r="W39" i="5"/>
  <c r="X39" i="5"/>
  <c r="Y39" i="5"/>
  <c r="Z39" i="5"/>
  <c r="AA39" i="5"/>
  <c r="AB39" i="5"/>
  <c r="AC39" i="5"/>
  <c r="AD39" i="5"/>
  <c r="AE39" i="5"/>
  <c r="AF39" i="5"/>
  <c r="W40" i="5"/>
  <c r="X40" i="5"/>
  <c r="Y40" i="5"/>
  <c r="Z40" i="5"/>
  <c r="AA40" i="5"/>
  <c r="AB40" i="5"/>
  <c r="AC40" i="5"/>
  <c r="AD40" i="5"/>
  <c r="AE40" i="5"/>
  <c r="AF40" i="5"/>
  <c r="W41" i="5"/>
  <c r="X41" i="5"/>
  <c r="Y41" i="5"/>
  <c r="Z41" i="5"/>
  <c r="AA41" i="5"/>
  <c r="AB41" i="5"/>
  <c r="AC41" i="5"/>
  <c r="AD41" i="5"/>
  <c r="AE41" i="5"/>
  <c r="AF41" i="5"/>
  <c r="W42" i="5"/>
  <c r="X42" i="5"/>
  <c r="Y42" i="5"/>
  <c r="Z42" i="5"/>
  <c r="AA42" i="5"/>
  <c r="AB42" i="5"/>
  <c r="AC42" i="5"/>
  <c r="AD42" i="5"/>
  <c r="AE42" i="5"/>
  <c r="AF42" i="5"/>
  <c r="W43" i="5"/>
  <c r="X43" i="5"/>
  <c r="Y43" i="5"/>
  <c r="Z43" i="5"/>
  <c r="AA43" i="5"/>
  <c r="AB43" i="5"/>
  <c r="AC43" i="5"/>
  <c r="AD43" i="5"/>
  <c r="AE43" i="5"/>
  <c r="AF43" i="5"/>
  <c r="W44" i="5"/>
  <c r="X44" i="5"/>
  <c r="Y44" i="5"/>
  <c r="Z44" i="5"/>
  <c r="AA44" i="5"/>
  <c r="AB44" i="5"/>
  <c r="AC44" i="5"/>
  <c r="AD44" i="5"/>
  <c r="AE44" i="5"/>
  <c r="AF44" i="5"/>
  <c r="W45" i="5"/>
  <c r="X45" i="5"/>
  <c r="Y45" i="5"/>
  <c r="Z45" i="5"/>
  <c r="AA45" i="5"/>
  <c r="AB45" i="5"/>
  <c r="AC45" i="5"/>
  <c r="AD45" i="5"/>
  <c r="AE45" i="5"/>
  <c r="AF45" i="5"/>
  <c r="W46" i="5"/>
  <c r="X46" i="5"/>
  <c r="Y46" i="5"/>
  <c r="Z46" i="5"/>
  <c r="AA46" i="5"/>
  <c r="AB46" i="5"/>
  <c r="AC46" i="5"/>
  <c r="AD46" i="5"/>
  <c r="AE46" i="5"/>
  <c r="AF46" i="5"/>
  <c r="W47" i="5"/>
  <c r="X47" i="5"/>
  <c r="Y47" i="5"/>
  <c r="Z47" i="5"/>
  <c r="AA47" i="5"/>
  <c r="AB47" i="5"/>
  <c r="AC47" i="5"/>
  <c r="AD47" i="5"/>
  <c r="AE47" i="5"/>
  <c r="AF47" i="5"/>
  <c r="W48" i="5"/>
  <c r="X48" i="5"/>
  <c r="Y48" i="5"/>
  <c r="Z48" i="5"/>
  <c r="AA48" i="5"/>
  <c r="AB48" i="5"/>
  <c r="AC48" i="5"/>
  <c r="AD48" i="5"/>
  <c r="AE48" i="5"/>
  <c r="AF48" i="5"/>
  <c r="W49" i="5"/>
  <c r="X49" i="5"/>
  <c r="Y49" i="5"/>
  <c r="Z49" i="5"/>
  <c r="AA49" i="5"/>
  <c r="AB49" i="5"/>
  <c r="AC49" i="5"/>
  <c r="AD49" i="5"/>
  <c r="AE49" i="5"/>
  <c r="AF49" i="5"/>
  <c r="W50" i="5"/>
  <c r="X50" i="5"/>
  <c r="Y50" i="5"/>
  <c r="Z50" i="5"/>
  <c r="AA50" i="5"/>
  <c r="AB50" i="5"/>
  <c r="AC50" i="5"/>
  <c r="AD50" i="5"/>
  <c r="AE50" i="5"/>
  <c r="AF50" i="5"/>
  <c r="W51" i="5"/>
  <c r="X51" i="5"/>
  <c r="Y51" i="5"/>
  <c r="Z51" i="5"/>
  <c r="AA51" i="5"/>
  <c r="AB51" i="5"/>
  <c r="AC51" i="5"/>
  <c r="AD51" i="5"/>
  <c r="AE51" i="5"/>
  <c r="AF51" i="5"/>
  <c r="W52" i="5"/>
  <c r="X52" i="5"/>
  <c r="Y52" i="5"/>
  <c r="Z52" i="5"/>
  <c r="AA52" i="5"/>
  <c r="AB52" i="5"/>
  <c r="AC52" i="5"/>
  <c r="AD52" i="5"/>
  <c r="AE52" i="5"/>
  <c r="AF52" i="5"/>
  <c r="W53" i="5"/>
  <c r="X53" i="5"/>
  <c r="Y53" i="5"/>
  <c r="Z53" i="5"/>
  <c r="AA53" i="5"/>
  <c r="AB53" i="5"/>
  <c r="AC53" i="5"/>
  <c r="AD53" i="5"/>
  <c r="AE53" i="5"/>
  <c r="AF53" i="5"/>
  <c r="W54" i="5"/>
  <c r="X54" i="5"/>
  <c r="Y54" i="5"/>
  <c r="Z54" i="5"/>
  <c r="AA54" i="5"/>
  <c r="AB54" i="5"/>
  <c r="AC54" i="5"/>
  <c r="AD54" i="5"/>
  <c r="AE54" i="5"/>
  <c r="AF54" i="5"/>
  <c r="W55" i="5"/>
  <c r="X55" i="5"/>
  <c r="Y55" i="5"/>
  <c r="Z55" i="5"/>
  <c r="AA55" i="5"/>
  <c r="AB55" i="5"/>
  <c r="AC55" i="5"/>
  <c r="AD55" i="5"/>
  <c r="AE55" i="5"/>
  <c r="AF55" i="5"/>
  <c r="W56" i="5"/>
  <c r="X56" i="5"/>
  <c r="Y56" i="5"/>
  <c r="Z56" i="5"/>
  <c r="AA56" i="5"/>
  <c r="AB56" i="5"/>
  <c r="AC56" i="5"/>
  <c r="AD56" i="5"/>
  <c r="AE56" i="5"/>
  <c r="AF56" i="5"/>
  <c r="W57" i="5"/>
  <c r="X57" i="5"/>
  <c r="Y57" i="5"/>
  <c r="Z57" i="5"/>
  <c r="AA57" i="5"/>
  <c r="AB57" i="5"/>
  <c r="AC57" i="5"/>
  <c r="AD57" i="5"/>
  <c r="AE57" i="5"/>
  <c r="AF57" i="5"/>
  <c r="W58" i="5"/>
  <c r="X58" i="5"/>
  <c r="Y58" i="5"/>
  <c r="Z58" i="5"/>
  <c r="AA58" i="5"/>
  <c r="AB58" i="5"/>
  <c r="AC58" i="5"/>
  <c r="AD58" i="5"/>
  <c r="AE58" i="5"/>
  <c r="AF58" i="5"/>
  <c r="W59" i="5"/>
  <c r="X59" i="5"/>
  <c r="Y59" i="5"/>
  <c r="Z59" i="5"/>
  <c r="AA59" i="5"/>
  <c r="AB59" i="5"/>
  <c r="AC59" i="5"/>
  <c r="AD59" i="5"/>
  <c r="AE59" i="5"/>
  <c r="AF59" i="5"/>
  <c r="W60" i="5"/>
  <c r="X60" i="5"/>
  <c r="Y60" i="5"/>
  <c r="Z60" i="5"/>
  <c r="AA60" i="5"/>
  <c r="AB60" i="5"/>
  <c r="AC60" i="5"/>
  <c r="AD60" i="5"/>
  <c r="AE60" i="5"/>
  <c r="AF60" i="5"/>
  <c r="W61" i="5"/>
  <c r="X61" i="5"/>
  <c r="Y61" i="5"/>
  <c r="Z61" i="5"/>
  <c r="AA61" i="5"/>
  <c r="AB61" i="5"/>
  <c r="AC61" i="5"/>
  <c r="AD61" i="5"/>
  <c r="AE61" i="5"/>
  <c r="AF61" i="5"/>
  <c r="W62" i="5"/>
  <c r="X62" i="5"/>
  <c r="Y62" i="5"/>
  <c r="Z62" i="5"/>
  <c r="AA62" i="5"/>
  <c r="AB62" i="5"/>
  <c r="AC62" i="5"/>
  <c r="AD62" i="5"/>
  <c r="AE62" i="5"/>
  <c r="AF62" i="5"/>
  <c r="W63" i="5"/>
  <c r="X63" i="5"/>
  <c r="Y63" i="5"/>
  <c r="Z63" i="5"/>
  <c r="AA63" i="5"/>
  <c r="AB63" i="5"/>
  <c r="AC63" i="5"/>
  <c r="AD63" i="5"/>
  <c r="AE63" i="5"/>
  <c r="AF63" i="5"/>
  <c r="W64" i="5"/>
  <c r="X64" i="5"/>
  <c r="Y64" i="5"/>
  <c r="Z64" i="5"/>
  <c r="AA64" i="5"/>
  <c r="AB64" i="5"/>
  <c r="AC64" i="5"/>
  <c r="AD64" i="5"/>
  <c r="AE64" i="5"/>
  <c r="AF64" i="5"/>
  <c r="W65" i="5"/>
  <c r="X65" i="5"/>
  <c r="Y65" i="5"/>
  <c r="Z65" i="5"/>
  <c r="AA65" i="5"/>
  <c r="AB65" i="5"/>
  <c r="AC65" i="5"/>
  <c r="AD65" i="5"/>
  <c r="AE65" i="5"/>
  <c r="AF65" i="5"/>
  <c r="W66" i="5"/>
  <c r="X66" i="5"/>
  <c r="Y66" i="5"/>
  <c r="Z66" i="5"/>
  <c r="AA66" i="5"/>
  <c r="AB66" i="5"/>
  <c r="AC66" i="5"/>
  <c r="AD66" i="5"/>
  <c r="AE66" i="5"/>
  <c r="AF66" i="5"/>
  <c r="W67" i="5"/>
  <c r="X67" i="5"/>
  <c r="Y67" i="5"/>
  <c r="Z67" i="5"/>
  <c r="AA67" i="5"/>
  <c r="AB67" i="5"/>
  <c r="AC67" i="5"/>
  <c r="AD67" i="5"/>
  <c r="AE67" i="5"/>
  <c r="AF67" i="5"/>
  <c r="W68" i="5"/>
  <c r="X68" i="5"/>
  <c r="Y68" i="5"/>
  <c r="Z68" i="5"/>
  <c r="AA68" i="5"/>
  <c r="AB68" i="5"/>
  <c r="AC68" i="5"/>
  <c r="AD68" i="5"/>
  <c r="AE68" i="5"/>
  <c r="AF68" i="5"/>
  <c r="W69" i="5"/>
  <c r="X69" i="5"/>
  <c r="Y69" i="5"/>
  <c r="Z69" i="5"/>
  <c r="AA69" i="5"/>
  <c r="AB69" i="5"/>
  <c r="AC69" i="5"/>
  <c r="AD69" i="5"/>
  <c r="AE69" i="5"/>
  <c r="AF69" i="5"/>
  <c r="W70" i="5"/>
  <c r="X70" i="5"/>
  <c r="Y70" i="5"/>
  <c r="Z70" i="5"/>
  <c r="AA70" i="5"/>
  <c r="AB70" i="5"/>
  <c r="AC70" i="5"/>
  <c r="AD70" i="5"/>
  <c r="AE70" i="5"/>
  <c r="AF70" i="5"/>
  <c r="W71" i="5"/>
  <c r="X71" i="5"/>
  <c r="Y71" i="5"/>
  <c r="Z71" i="5"/>
  <c r="AA71" i="5"/>
  <c r="AB71" i="5"/>
  <c r="AC71" i="5"/>
  <c r="AD71" i="5"/>
  <c r="AE71" i="5"/>
  <c r="AF71" i="5"/>
  <c r="W72" i="5"/>
  <c r="X72" i="5"/>
  <c r="Y72" i="5"/>
  <c r="Z72" i="5"/>
  <c r="AA72" i="5"/>
  <c r="AB72" i="5"/>
  <c r="AC72" i="5"/>
  <c r="AD72" i="5"/>
  <c r="AE72" i="5"/>
  <c r="AF72" i="5"/>
  <c r="W73" i="5"/>
  <c r="X73" i="5"/>
  <c r="Y73" i="5"/>
  <c r="Z73" i="5"/>
  <c r="AA73" i="5"/>
  <c r="AB73" i="5"/>
  <c r="AC73" i="5"/>
  <c r="AD73" i="5"/>
  <c r="AE73" i="5"/>
  <c r="AF73" i="5"/>
  <c r="W74" i="5"/>
  <c r="X74" i="5"/>
  <c r="Y74" i="5"/>
  <c r="Z74" i="5"/>
  <c r="AA74" i="5"/>
  <c r="AB74" i="5"/>
  <c r="AC74" i="5"/>
  <c r="AD74" i="5"/>
  <c r="AE74" i="5"/>
  <c r="AF74" i="5"/>
  <c r="W75" i="5"/>
  <c r="X75" i="5"/>
  <c r="Y75" i="5"/>
  <c r="Z75" i="5"/>
  <c r="AA75" i="5"/>
  <c r="AB75" i="5"/>
  <c r="AC75" i="5"/>
  <c r="AD75" i="5"/>
  <c r="AE75" i="5"/>
  <c r="AF75" i="5"/>
  <c r="W76" i="5"/>
  <c r="X76" i="5"/>
  <c r="Y76" i="5"/>
  <c r="Z76" i="5"/>
  <c r="AA76" i="5"/>
  <c r="AB76" i="5"/>
  <c r="AC76" i="5"/>
  <c r="AD76" i="5"/>
  <c r="AE76" i="5"/>
  <c r="AF76" i="5"/>
  <c r="W77" i="5"/>
  <c r="X77" i="5"/>
  <c r="Y77" i="5"/>
  <c r="Z77" i="5"/>
  <c r="AA77" i="5"/>
  <c r="AB77" i="5"/>
  <c r="AC77" i="5"/>
  <c r="AD77" i="5"/>
  <c r="AE77" i="5"/>
  <c r="AF77" i="5"/>
  <c r="W78" i="5"/>
  <c r="X78" i="5"/>
  <c r="Y78" i="5"/>
  <c r="Z78" i="5"/>
  <c r="AA78" i="5"/>
  <c r="AB78" i="5"/>
  <c r="AC78" i="5"/>
  <c r="AD78" i="5"/>
  <c r="AE78" i="5"/>
  <c r="AF78" i="5"/>
  <c r="W79" i="5"/>
  <c r="X79" i="5"/>
  <c r="Y79" i="5"/>
  <c r="Z79" i="5"/>
  <c r="AA79" i="5"/>
  <c r="AB79" i="5"/>
  <c r="AC79" i="5"/>
  <c r="AD79" i="5"/>
  <c r="AE79" i="5"/>
  <c r="AF79" i="5"/>
  <c r="W80" i="5"/>
  <c r="X80" i="5"/>
  <c r="Y80" i="5"/>
  <c r="Z80" i="5"/>
  <c r="AA80" i="5"/>
  <c r="AB80" i="5"/>
  <c r="AC80" i="5"/>
  <c r="AD80" i="5"/>
  <c r="AE80" i="5"/>
  <c r="AF80" i="5"/>
  <c r="W81" i="5"/>
  <c r="X81" i="5"/>
  <c r="Y81" i="5"/>
  <c r="Z81" i="5"/>
  <c r="AA81" i="5"/>
  <c r="AB81" i="5"/>
  <c r="AC81" i="5"/>
  <c r="AD81" i="5"/>
  <c r="AE81" i="5"/>
  <c r="AF81" i="5"/>
  <c r="W82" i="5"/>
  <c r="X82" i="5"/>
  <c r="Y82" i="5"/>
  <c r="Z82" i="5"/>
  <c r="AA82" i="5"/>
  <c r="AB82" i="5"/>
  <c r="AC82" i="5"/>
  <c r="AD82" i="5"/>
  <c r="AE82" i="5"/>
  <c r="AF82" i="5"/>
  <c r="W83" i="5"/>
  <c r="X83" i="5"/>
  <c r="Y83" i="5"/>
  <c r="Z83" i="5"/>
  <c r="AA83" i="5"/>
  <c r="AB83" i="5"/>
  <c r="AC83" i="5"/>
  <c r="AD83" i="5"/>
  <c r="AE83" i="5"/>
  <c r="AF83" i="5"/>
  <c r="W84" i="5"/>
  <c r="X84" i="5"/>
  <c r="Y84" i="5"/>
  <c r="Z84" i="5"/>
  <c r="AA84" i="5"/>
  <c r="AB84" i="5"/>
  <c r="AC84" i="5"/>
  <c r="AD84" i="5"/>
  <c r="AE84" i="5"/>
  <c r="AF84" i="5"/>
  <c r="W85" i="5"/>
  <c r="X85" i="5"/>
  <c r="Y85" i="5"/>
  <c r="Z85" i="5"/>
  <c r="AA85" i="5"/>
  <c r="AB85" i="5"/>
  <c r="AC85" i="5"/>
  <c r="AD85" i="5"/>
  <c r="AE85" i="5"/>
  <c r="AF85" i="5"/>
  <c r="W86" i="5"/>
  <c r="X86" i="5"/>
  <c r="Y86" i="5"/>
  <c r="Z86" i="5"/>
  <c r="AA86" i="5"/>
  <c r="AB86" i="5"/>
  <c r="AC86" i="5"/>
  <c r="AD86" i="5"/>
  <c r="AE86" i="5"/>
  <c r="AF86" i="5"/>
  <c r="W87" i="5"/>
  <c r="X87" i="5"/>
  <c r="Y87" i="5"/>
  <c r="Z87" i="5"/>
  <c r="AA87" i="5"/>
  <c r="AB87" i="5"/>
  <c r="AC87" i="5"/>
  <c r="AD87" i="5"/>
  <c r="AE87" i="5"/>
  <c r="AF87" i="5"/>
  <c r="W88" i="5"/>
  <c r="X88" i="5"/>
  <c r="Y88" i="5"/>
  <c r="Z88" i="5"/>
  <c r="AA88" i="5"/>
  <c r="AB88" i="5"/>
  <c r="AC88" i="5"/>
  <c r="AD88" i="5"/>
  <c r="AE88" i="5"/>
  <c r="AF88" i="5"/>
  <c r="W89" i="5"/>
  <c r="X89" i="5"/>
  <c r="Y89" i="5"/>
  <c r="Z89" i="5"/>
  <c r="AA89" i="5"/>
  <c r="AB89" i="5"/>
  <c r="AC89" i="5"/>
  <c r="AD89" i="5"/>
  <c r="AE89" i="5"/>
  <c r="AF89" i="5"/>
  <c r="W90" i="5"/>
  <c r="X90" i="5"/>
  <c r="Y90" i="5"/>
  <c r="Z90" i="5"/>
  <c r="AA90" i="5"/>
  <c r="AB90" i="5"/>
  <c r="AC90" i="5"/>
  <c r="AD90" i="5"/>
  <c r="AE90" i="5"/>
  <c r="AF90" i="5"/>
  <c r="W91" i="5"/>
  <c r="X91" i="5"/>
  <c r="Y91" i="5"/>
  <c r="Z91" i="5"/>
  <c r="AA91" i="5"/>
  <c r="AB91" i="5"/>
  <c r="AC91" i="5"/>
  <c r="AD91" i="5"/>
  <c r="AE91" i="5"/>
  <c r="AF91" i="5"/>
  <c r="W92" i="5"/>
  <c r="X92" i="5"/>
  <c r="Y92" i="5"/>
  <c r="Z92" i="5"/>
  <c r="AA92" i="5"/>
  <c r="AB92" i="5"/>
  <c r="AC92" i="5"/>
  <c r="AD92" i="5"/>
  <c r="AE92" i="5"/>
  <c r="AF92" i="5"/>
  <c r="W93" i="5"/>
  <c r="X93" i="5"/>
  <c r="Y93" i="5"/>
  <c r="Z93" i="5"/>
  <c r="AA93" i="5"/>
  <c r="AB93" i="5"/>
  <c r="AC93" i="5"/>
  <c r="AD93" i="5"/>
  <c r="AE93" i="5"/>
  <c r="AF93" i="5"/>
  <c r="W94" i="5"/>
  <c r="X94" i="5"/>
  <c r="Y94" i="5"/>
  <c r="Z94" i="5"/>
  <c r="AA94" i="5"/>
  <c r="AB94" i="5"/>
  <c r="AC94" i="5"/>
  <c r="AD94" i="5"/>
  <c r="AE94" i="5"/>
  <c r="AF94" i="5"/>
  <c r="W95" i="5"/>
  <c r="X95" i="5"/>
  <c r="Y95" i="5"/>
  <c r="Z95" i="5"/>
  <c r="AA95" i="5"/>
  <c r="AB95" i="5"/>
  <c r="AC95" i="5"/>
  <c r="AD95" i="5"/>
  <c r="AE95" i="5"/>
  <c r="AF95" i="5"/>
  <c r="W96" i="5"/>
  <c r="X96" i="5"/>
  <c r="Y96" i="5"/>
  <c r="Z96" i="5"/>
  <c r="AA96" i="5"/>
  <c r="AB96" i="5"/>
  <c r="AC96" i="5"/>
  <c r="AD96" i="5"/>
  <c r="AE96" i="5"/>
  <c r="AF96" i="5"/>
  <c r="W97" i="5"/>
  <c r="X97" i="5"/>
  <c r="Y97" i="5"/>
  <c r="Z97" i="5"/>
  <c r="AA97" i="5"/>
  <c r="AB97" i="5"/>
  <c r="AC97" i="5"/>
  <c r="AD97" i="5"/>
  <c r="AE97" i="5"/>
  <c r="AF97" i="5"/>
  <c r="W98" i="5"/>
  <c r="X98" i="5"/>
  <c r="Y98" i="5"/>
  <c r="Z98" i="5"/>
  <c r="AA98" i="5"/>
  <c r="AB98" i="5"/>
  <c r="AC98" i="5"/>
  <c r="AD98" i="5"/>
  <c r="AE98" i="5"/>
  <c r="AF98" i="5"/>
  <c r="W99" i="5"/>
  <c r="X99" i="5"/>
  <c r="Y99" i="5"/>
  <c r="Z99" i="5"/>
  <c r="AA99" i="5"/>
  <c r="AB99" i="5"/>
  <c r="AC99" i="5"/>
  <c r="AD99" i="5"/>
  <c r="AE99" i="5"/>
  <c r="AF99" i="5"/>
  <c r="W100" i="5"/>
  <c r="X100" i="5"/>
  <c r="Y100" i="5"/>
  <c r="Z100" i="5"/>
  <c r="AA100" i="5"/>
  <c r="AB100" i="5"/>
  <c r="AC100" i="5"/>
  <c r="AD100" i="5"/>
  <c r="AE100" i="5"/>
  <c r="AF100" i="5"/>
  <c r="W101" i="5"/>
  <c r="X101" i="5"/>
  <c r="Y101" i="5"/>
  <c r="Z101" i="5"/>
  <c r="AA101" i="5"/>
  <c r="AB101" i="5"/>
  <c r="AC101" i="5"/>
  <c r="AD101" i="5"/>
  <c r="AE101" i="5"/>
  <c r="AF101" i="5"/>
  <c r="W102" i="5"/>
  <c r="X102" i="5"/>
  <c r="Y102" i="5"/>
  <c r="Z102" i="5"/>
  <c r="AA102" i="5"/>
  <c r="AB102" i="5"/>
  <c r="AC102" i="5"/>
  <c r="AD102" i="5"/>
  <c r="AE102" i="5"/>
  <c r="AF102" i="5"/>
  <c r="W103" i="5"/>
  <c r="X103" i="5"/>
  <c r="Y103" i="5"/>
  <c r="Z103" i="5"/>
  <c r="AA103" i="5"/>
  <c r="AB103" i="5"/>
  <c r="AC103" i="5"/>
  <c r="AD103" i="5"/>
  <c r="AE103" i="5"/>
  <c r="AF103" i="5"/>
  <c r="W104" i="5"/>
  <c r="X104" i="5"/>
  <c r="Y104" i="5"/>
  <c r="Z104" i="5"/>
  <c r="AA104" i="5"/>
  <c r="AB104" i="5"/>
  <c r="AC104" i="5"/>
  <c r="AD104" i="5"/>
  <c r="AE104" i="5"/>
  <c r="AF104" i="5"/>
  <c r="W105" i="5"/>
  <c r="X105" i="5"/>
  <c r="Y105" i="5"/>
  <c r="Z105" i="5"/>
  <c r="AA105" i="5"/>
  <c r="AB105" i="5"/>
  <c r="AC105" i="5"/>
  <c r="AD105" i="5"/>
  <c r="AE105" i="5"/>
  <c r="AF105" i="5"/>
  <c r="W106" i="5"/>
  <c r="X106" i="5"/>
  <c r="Y106" i="5"/>
  <c r="Z106" i="5"/>
  <c r="AA106" i="5"/>
  <c r="AB106" i="5"/>
  <c r="AC106" i="5"/>
  <c r="AD106" i="5"/>
  <c r="AE106" i="5"/>
  <c r="AF106" i="5"/>
  <c r="W107" i="5"/>
  <c r="X107" i="5"/>
  <c r="Y107" i="5"/>
  <c r="Z107" i="5"/>
  <c r="AA107" i="5"/>
  <c r="AB107" i="5"/>
  <c r="AC107" i="5"/>
  <c r="AD107" i="5"/>
  <c r="AE107" i="5"/>
  <c r="AF107" i="5"/>
  <c r="W108" i="5"/>
  <c r="X108" i="5"/>
  <c r="Y108" i="5"/>
  <c r="Z108" i="5"/>
  <c r="AA108" i="5"/>
  <c r="AB108" i="5"/>
  <c r="AC108" i="5"/>
  <c r="AD108" i="5"/>
  <c r="AE108" i="5"/>
  <c r="AF108" i="5"/>
  <c r="W109" i="5"/>
  <c r="X109" i="5"/>
  <c r="Y109" i="5"/>
  <c r="Z109" i="5"/>
  <c r="AA109" i="5"/>
  <c r="AB109" i="5"/>
  <c r="AC109" i="5"/>
  <c r="AD109" i="5"/>
  <c r="AE109" i="5"/>
  <c r="AF109" i="5"/>
  <c r="W110" i="5"/>
  <c r="X110" i="5"/>
  <c r="Y110" i="5"/>
  <c r="Z110" i="5"/>
  <c r="AA110" i="5"/>
  <c r="AB110" i="5"/>
  <c r="AC110" i="5"/>
  <c r="AD110" i="5"/>
  <c r="AE110" i="5"/>
  <c r="AF110" i="5"/>
  <c r="W111" i="5"/>
  <c r="X111" i="5"/>
  <c r="Y111" i="5"/>
  <c r="Z111" i="5"/>
  <c r="AA111" i="5"/>
  <c r="AB111" i="5"/>
  <c r="AC111" i="5"/>
  <c r="AD111" i="5"/>
  <c r="AE111" i="5"/>
  <c r="AF111" i="5"/>
  <c r="W112" i="5"/>
  <c r="X112" i="5"/>
  <c r="Y112" i="5"/>
  <c r="Z112" i="5"/>
  <c r="AA112" i="5"/>
  <c r="AB112" i="5"/>
  <c r="AC112" i="5"/>
  <c r="AD112" i="5"/>
  <c r="AE112" i="5"/>
  <c r="AF112" i="5"/>
  <c r="AE5" i="5"/>
  <c r="AF5" i="5"/>
  <c r="AD5" i="5"/>
  <c r="AC5" i="5"/>
  <c r="AB5" i="5"/>
  <c r="Z5" i="5"/>
  <c r="AA5" i="5"/>
  <c r="Y5" i="5"/>
  <c r="X5" i="5"/>
  <c r="W5" i="5"/>
  <c r="AJ65" i="4"/>
  <c r="AK65" i="4"/>
  <c r="AL65" i="4"/>
  <c r="AJ66" i="4"/>
  <c r="AK66" i="4"/>
  <c r="AL66" i="4"/>
  <c r="AJ67" i="4"/>
  <c r="AK67" i="4"/>
  <c r="AL67" i="4"/>
  <c r="AJ68" i="4"/>
  <c r="AK68" i="4"/>
  <c r="AL68" i="4"/>
  <c r="AJ69" i="4"/>
  <c r="AK69" i="4"/>
  <c r="AL69" i="4"/>
  <c r="AJ70" i="4"/>
  <c r="AK70" i="4"/>
  <c r="AL70" i="4"/>
  <c r="AJ71" i="4"/>
  <c r="AK71" i="4"/>
  <c r="AL71" i="4"/>
  <c r="AJ72" i="4"/>
  <c r="AK72" i="4"/>
  <c r="AL72" i="4"/>
  <c r="AJ73" i="4"/>
  <c r="AK73" i="4"/>
  <c r="AL73" i="4"/>
  <c r="AJ74" i="4"/>
  <c r="AK74" i="4"/>
  <c r="AL74" i="4"/>
  <c r="AJ75" i="4"/>
  <c r="AK75" i="4"/>
  <c r="AL75" i="4"/>
  <c r="AJ76" i="4"/>
  <c r="AK76" i="4"/>
  <c r="AL76" i="4"/>
  <c r="AJ77" i="4"/>
  <c r="AK77" i="4"/>
  <c r="AL77" i="4"/>
  <c r="AJ40" i="4"/>
  <c r="AK40" i="4"/>
  <c r="AL40" i="4"/>
  <c r="AJ41" i="4"/>
  <c r="AK41" i="4"/>
  <c r="AL41" i="4"/>
  <c r="AJ42" i="4"/>
  <c r="AK42" i="4"/>
  <c r="AL42" i="4"/>
  <c r="AJ43" i="4"/>
  <c r="AK43" i="4"/>
  <c r="AL43" i="4"/>
  <c r="AJ44" i="4"/>
  <c r="AK44" i="4"/>
  <c r="AL44" i="4"/>
  <c r="AJ45" i="4"/>
  <c r="AK45" i="4"/>
  <c r="AL45" i="4"/>
  <c r="AJ46" i="4"/>
  <c r="AK46" i="4"/>
  <c r="AL46" i="4"/>
  <c r="AJ47" i="4"/>
  <c r="AK47" i="4"/>
  <c r="AL47" i="4"/>
  <c r="AJ48" i="4"/>
  <c r="AK48" i="4"/>
  <c r="AL48" i="4"/>
  <c r="AJ49" i="4"/>
  <c r="AK49" i="4"/>
  <c r="AL49" i="4"/>
  <c r="AJ50" i="4"/>
  <c r="AK50" i="4"/>
  <c r="AL50" i="4"/>
  <c r="AJ51" i="4"/>
  <c r="AK51" i="4"/>
  <c r="AL51" i="4"/>
  <c r="AJ52" i="4"/>
  <c r="AK52" i="4"/>
  <c r="AL52" i="4"/>
  <c r="AJ53" i="4"/>
  <c r="AK53" i="4"/>
  <c r="AL53" i="4"/>
  <c r="AJ54" i="4"/>
  <c r="AK54" i="4"/>
  <c r="AL54" i="4"/>
  <c r="AJ55" i="4"/>
  <c r="AK55" i="4"/>
  <c r="AL55" i="4"/>
  <c r="AJ56" i="4"/>
  <c r="AK56" i="4"/>
  <c r="AL56" i="4"/>
  <c r="AJ57" i="4"/>
  <c r="AK57" i="4"/>
  <c r="AL57" i="4"/>
  <c r="AJ58" i="4"/>
  <c r="AK58" i="4"/>
  <c r="AL58" i="4"/>
  <c r="AJ59" i="4"/>
  <c r="AK59" i="4"/>
  <c r="AL59" i="4"/>
  <c r="AJ60" i="4"/>
  <c r="AK60" i="4"/>
  <c r="AL60" i="4"/>
  <c r="AJ61" i="4"/>
  <c r="AK61" i="4"/>
  <c r="AL61" i="4"/>
  <c r="AJ62" i="4"/>
  <c r="AK62" i="4"/>
  <c r="AL62" i="4"/>
  <c r="AJ63" i="4"/>
  <c r="AK63" i="4"/>
  <c r="AL63" i="4"/>
  <c r="AJ64" i="4"/>
  <c r="AK64" i="4"/>
  <c r="AL64" i="4"/>
  <c r="AK39" i="4"/>
  <c r="AL39" i="4"/>
  <c r="AJ39" i="4"/>
  <c r="AJ15" i="4"/>
  <c r="AI65" i="4" s="1"/>
  <c r="AB23" i="4"/>
  <c r="AB66" i="4"/>
  <c r="AD24" i="4"/>
  <c r="AE24" i="4"/>
  <c r="AF24" i="4"/>
  <c r="AD25" i="4"/>
  <c r="AE25" i="4"/>
  <c r="AF25" i="4"/>
  <c r="AD26" i="4"/>
  <c r="AE26" i="4"/>
  <c r="AF26" i="4"/>
  <c r="AD27" i="4"/>
  <c r="AE27" i="4"/>
  <c r="AF27" i="4"/>
  <c r="AD28" i="4"/>
  <c r="AE28" i="4"/>
  <c r="AF28" i="4"/>
  <c r="AD29" i="4"/>
  <c r="AE29" i="4"/>
  <c r="AF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D64" i="4"/>
  <c r="AE64" i="4"/>
  <c r="AF64" i="4"/>
  <c r="AD65" i="4"/>
  <c r="AE65" i="4"/>
  <c r="AF65" i="4"/>
  <c r="AD66" i="4"/>
  <c r="AE66" i="4"/>
  <c r="AF66" i="4"/>
  <c r="AD67" i="4"/>
  <c r="AE67" i="4"/>
  <c r="AF67" i="4"/>
  <c r="AD68" i="4"/>
  <c r="AE68" i="4"/>
  <c r="AF68" i="4"/>
  <c r="AD69" i="4"/>
  <c r="AE69" i="4"/>
  <c r="AF69" i="4"/>
  <c r="AD70" i="4"/>
  <c r="AE70" i="4"/>
  <c r="AF70" i="4"/>
  <c r="AD71" i="4"/>
  <c r="AE71" i="4"/>
  <c r="AF71" i="4"/>
  <c r="AD72" i="4"/>
  <c r="AE72" i="4"/>
  <c r="AF72" i="4"/>
  <c r="AD73" i="4"/>
  <c r="AE73" i="4"/>
  <c r="AF73" i="4"/>
  <c r="AD74" i="4"/>
  <c r="AE74" i="4"/>
  <c r="AF74" i="4"/>
  <c r="AD75" i="4"/>
  <c r="AE75" i="4"/>
  <c r="AF75" i="4"/>
  <c r="AD76" i="4"/>
  <c r="AE76" i="4"/>
  <c r="AF76" i="4"/>
  <c r="AD77" i="4"/>
  <c r="AE77" i="4"/>
  <c r="AF77" i="4"/>
  <c r="AE23" i="4"/>
  <c r="AF23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B34" i="4"/>
  <c r="AC34" i="4"/>
  <c r="AB35" i="4"/>
  <c r="AC35" i="4"/>
  <c r="AB36" i="4"/>
  <c r="AC36" i="4"/>
  <c r="AB37" i="4"/>
  <c r="AC37" i="4"/>
  <c r="AB38" i="4"/>
  <c r="AC38" i="4"/>
  <c r="AB39" i="4"/>
  <c r="AC39" i="4"/>
  <c r="AB40" i="4"/>
  <c r="AC40" i="4"/>
  <c r="AB41" i="4"/>
  <c r="AC41" i="4"/>
  <c r="AB42" i="4"/>
  <c r="AC42" i="4"/>
  <c r="AB43" i="4"/>
  <c r="AC43" i="4"/>
  <c r="AB44" i="4"/>
  <c r="AC44" i="4"/>
  <c r="AB45" i="4"/>
  <c r="AC45" i="4"/>
  <c r="AB46" i="4"/>
  <c r="AC46" i="4"/>
  <c r="AB47" i="4"/>
  <c r="AC47" i="4"/>
  <c r="AB48" i="4"/>
  <c r="AC48" i="4"/>
  <c r="AB49" i="4"/>
  <c r="AC49" i="4"/>
  <c r="AB50" i="4"/>
  <c r="AC50" i="4"/>
  <c r="AB51" i="4"/>
  <c r="AC51" i="4"/>
  <c r="AB52" i="4"/>
  <c r="AC52" i="4"/>
  <c r="AB53" i="4"/>
  <c r="AC53" i="4"/>
  <c r="AB54" i="4"/>
  <c r="AC54" i="4"/>
  <c r="AB55" i="4"/>
  <c r="AC55" i="4"/>
  <c r="AB56" i="4"/>
  <c r="AC56" i="4"/>
  <c r="AB57" i="4"/>
  <c r="AC57" i="4"/>
  <c r="AB58" i="4"/>
  <c r="AC58" i="4"/>
  <c r="AB59" i="4"/>
  <c r="AC59" i="4"/>
  <c r="AB60" i="4"/>
  <c r="AC60" i="4"/>
  <c r="AB61" i="4"/>
  <c r="AC61" i="4"/>
  <c r="AB62" i="4"/>
  <c r="AC62" i="4"/>
  <c r="AB63" i="4"/>
  <c r="AC63" i="4"/>
  <c r="AB64" i="4"/>
  <c r="AC64" i="4"/>
  <c r="AB65" i="4"/>
  <c r="AC65" i="4"/>
  <c r="AC66" i="4"/>
  <c r="AB67" i="4"/>
  <c r="AC67" i="4"/>
  <c r="AB68" i="4"/>
  <c r="AC68" i="4"/>
  <c r="AB69" i="4"/>
  <c r="AC69" i="4"/>
  <c r="AB70" i="4"/>
  <c r="AC70" i="4"/>
  <c r="AB71" i="4"/>
  <c r="AC71" i="4"/>
  <c r="AB72" i="4"/>
  <c r="AC72" i="4"/>
  <c r="AB73" i="4"/>
  <c r="AC73" i="4"/>
  <c r="AB74" i="4"/>
  <c r="AC74" i="4"/>
  <c r="AB75" i="4"/>
  <c r="AC75" i="4"/>
  <c r="AB76" i="4"/>
  <c r="AC76" i="4"/>
  <c r="AB77" i="4"/>
  <c r="AC77" i="4"/>
  <c r="AC23" i="4"/>
  <c r="AD23" i="4"/>
  <c r="E77" i="4"/>
  <c r="E76" i="4"/>
  <c r="E75" i="4"/>
  <c r="E74" i="4"/>
  <c r="E73" i="4"/>
  <c r="E72" i="4"/>
  <c r="E71" i="4"/>
  <c r="E88" i="4"/>
  <c r="E87" i="4"/>
  <c r="E70" i="4"/>
  <c r="E86" i="4"/>
  <c r="E69" i="4"/>
  <c r="E68" i="4"/>
  <c r="E67" i="4"/>
  <c r="E66" i="4"/>
  <c r="E65" i="4"/>
  <c r="E89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W38" i="4"/>
  <c r="U38" i="4"/>
  <c r="E38" i="4"/>
  <c r="W37" i="4"/>
  <c r="U37" i="4"/>
  <c r="E37" i="4"/>
  <c r="W36" i="4"/>
  <c r="U36" i="4"/>
  <c r="E36" i="4"/>
  <c r="W35" i="4"/>
  <c r="U35" i="4"/>
  <c r="E35" i="4"/>
  <c r="W34" i="4"/>
  <c r="U34" i="4"/>
  <c r="E34" i="4"/>
  <c r="W33" i="4"/>
  <c r="U33" i="4"/>
  <c r="E33" i="4"/>
  <c r="W32" i="4"/>
  <c r="U32" i="4"/>
  <c r="E32" i="4"/>
  <c r="W31" i="4"/>
  <c r="U31" i="4"/>
  <c r="E31" i="4"/>
  <c r="W30" i="4"/>
  <c r="U30" i="4"/>
  <c r="E30" i="4"/>
  <c r="W29" i="4"/>
  <c r="U29" i="4"/>
  <c r="E29" i="4"/>
  <c r="W28" i="4"/>
  <c r="U28" i="4"/>
  <c r="E28" i="4"/>
  <c r="W27" i="4"/>
  <c r="U27" i="4"/>
  <c r="E27" i="4"/>
  <c r="W26" i="4"/>
  <c r="U26" i="4"/>
  <c r="E26" i="4"/>
  <c r="W25" i="4"/>
  <c r="U25" i="4"/>
  <c r="E25" i="4"/>
  <c r="W24" i="4"/>
  <c r="U24" i="4"/>
  <c r="E24" i="4"/>
  <c r="W23" i="4"/>
  <c r="U23" i="4"/>
  <c r="E23" i="4"/>
  <c r="W22" i="4"/>
  <c r="E22" i="4"/>
  <c r="W21" i="4"/>
  <c r="E21" i="4"/>
  <c r="W20" i="4"/>
  <c r="E20" i="4"/>
  <c r="W19" i="4"/>
  <c r="E19" i="4"/>
  <c r="W18" i="4"/>
  <c r="E18" i="4"/>
  <c r="W17" i="4"/>
  <c r="E17" i="4"/>
  <c r="W16" i="4"/>
  <c r="E16" i="4"/>
  <c r="W15" i="4"/>
  <c r="E15" i="4"/>
  <c r="W14" i="4"/>
  <c r="E14" i="4"/>
  <c r="W13" i="4"/>
  <c r="E13" i="4"/>
  <c r="W12" i="4"/>
  <c r="E12" i="4"/>
  <c r="W11" i="4"/>
  <c r="E11" i="4"/>
  <c r="W10" i="4"/>
  <c r="E10" i="4"/>
  <c r="W9" i="4"/>
  <c r="E9" i="4"/>
  <c r="W8" i="4"/>
  <c r="E8" i="4"/>
  <c r="W7" i="4"/>
  <c r="E7" i="4"/>
  <c r="W6" i="4"/>
  <c r="E6" i="4"/>
  <c r="W5" i="4"/>
  <c r="E5" i="4"/>
  <c r="W4" i="4"/>
  <c r="E4" i="4"/>
  <c r="AG6" i="5" l="1"/>
  <c r="AH6" i="5" s="1"/>
  <c r="AI6" i="5" s="1"/>
  <c r="AG108" i="5"/>
  <c r="AH108" i="5" s="1"/>
  <c r="AG84" i="5"/>
  <c r="AH84" i="5" s="1"/>
  <c r="AI84" i="5" s="1"/>
  <c r="AG5" i="5"/>
  <c r="AH5" i="5" s="1"/>
  <c r="AG110" i="5"/>
  <c r="AH110" i="5" s="1"/>
  <c r="AI110" i="5" s="1"/>
  <c r="AI108" i="5"/>
  <c r="AI5" i="5"/>
  <c r="AG104" i="5"/>
  <c r="AH104" i="5" s="1"/>
  <c r="AI104" i="5" s="1"/>
  <c r="AG98" i="5"/>
  <c r="AH98" i="5" s="1"/>
  <c r="AI98" i="5" s="1"/>
  <c r="AG86" i="5"/>
  <c r="AH86" i="5" s="1"/>
  <c r="AI86" i="5" s="1"/>
  <c r="AG102" i="5"/>
  <c r="AH102" i="5" s="1"/>
  <c r="AI102" i="5" s="1"/>
  <c r="AG106" i="5"/>
  <c r="AH106" i="5" s="1"/>
  <c r="AI106" i="5" s="1"/>
  <c r="AG100" i="5"/>
  <c r="AH100" i="5" s="1"/>
  <c r="AI100" i="5" s="1"/>
  <c r="AG88" i="5"/>
  <c r="AH88" i="5" s="1"/>
  <c r="AI88" i="5" s="1"/>
  <c r="AG82" i="5"/>
  <c r="AH82" i="5" s="1"/>
  <c r="AI82" i="5" s="1"/>
  <c r="AG7" i="5"/>
  <c r="AH7" i="5" s="1"/>
  <c r="AI7" i="5" s="1"/>
  <c r="AG111" i="5"/>
  <c r="AH111" i="5" s="1"/>
  <c r="AI111" i="5" s="1"/>
  <c r="AG105" i="5"/>
  <c r="AH105" i="5" s="1"/>
  <c r="AI105" i="5" s="1"/>
  <c r="AG99" i="5"/>
  <c r="AH99" i="5" s="1"/>
  <c r="AI99" i="5" s="1"/>
  <c r="AG93" i="5"/>
  <c r="AH93" i="5" s="1"/>
  <c r="AI93" i="5" s="1"/>
  <c r="AG87" i="5"/>
  <c r="AH87" i="5" s="1"/>
  <c r="AI87" i="5" s="1"/>
  <c r="AG107" i="5"/>
  <c r="AH107" i="5" s="1"/>
  <c r="AI107" i="5" s="1"/>
  <c r="AG101" i="5"/>
  <c r="AH101" i="5" s="1"/>
  <c r="AI101" i="5" s="1"/>
  <c r="AG95" i="5"/>
  <c r="AH95" i="5" s="1"/>
  <c r="AI95" i="5" s="1"/>
  <c r="AG89" i="5"/>
  <c r="AH89" i="5" s="1"/>
  <c r="AI89" i="5" s="1"/>
  <c r="Q129" i="5"/>
  <c r="AG96" i="5"/>
  <c r="AH96" i="5" s="1"/>
  <c r="AI96" i="5" s="1"/>
  <c r="AG72" i="5"/>
  <c r="AH72" i="5" s="1"/>
  <c r="AI72" i="5" s="1"/>
  <c r="AG109" i="5"/>
  <c r="AH109" i="5" s="1"/>
  <c r="AI109" i="5" s="1"/>
  <c r="AG103" i="5"/>
  <c r="AH103" i="5" s="1"/>
  <c r="AI103" i="5" s="1"/>
  <c r="AG91" i="5"/>
  <c r="AH91" i="5" s="1"/>
  <c r="AI91" i="5" s="1"/>
  <c r="AG85" i="5"/>
  <c r="AH85" i="5" s="1"/>
  <c r="AI85" i="5" s="1"/>
  <c r="AG57" i="5"/>
  <c r="AH57" i="5" s="1"/>
  <c r="AI57" i="5" s="1"/>
  <c r="N135" i="10"/>
  <c r="AI62" i="4"/>
  <c r="AI71" i="4"/>
  <c r="AH62" i="4"/>
  <c r="AH58" i="4"/>
  <c r="AI56" i="4"/>
  <c r="AH56" i="4"/>
  <c r="AI54" i="4"/>
  <c r="AI48" i="4"/>
  <c r="AI46" i="4"/>
  <c r="AH46" i="4"/>
  <c r="AI72" i="4"/>
  <c r="AH65" i="4"/>
  <c r="AH72" i="4"/>
  <c r="AI58" i="4"/>
  <c r="AI44" i="4"/>
  <c r="AH77" i="4"/>
  <c r="AH44" i="4"/>
  <c r="AI42" i="4"/>
  <c r="AI60" i="4"/>
  <c r="AI40" i="4"/>
  <c r="AH40" i="4"/>
  <c r="AI52" i="4"/>
  <c r="AH73" i="4"/>
  <c r="AH52" i="4"/>
  <c r="AI76" i="4"/>
  <c r="AI64" i="4"/>
  <c r="AI50" i="4"/>
  <c r="AH76" i="4"/>
  <c r="AH64" i="4"/>
  <c r="AH50" i="4"/>
  <c r="AI67" i="4"/>
  <c r="AI63" i="4"/>
  <c r="AI57" i="4"/>
  <c r="AI51" i="4"/>
  <c r="AI45" i="4"/>
  <c r="AI74" i="4"/>
  <c r="AH67" i="4"/>
  <c r="AH63" i="4"/>
  <c r="AH57" i="4"/>
  <c r="AH51" i="4"/>
  <c r="AH45" i="4"/>
  <c r="AH74" i="4"/>
  <c r="AI69" i="4"/>
  <c r="AH69" i="4"/>
  <c r="AI61" i="4"/>
  <c r="AI55" i="4"/>
  <c r="AI49" i="4"/>
  <c r="AI43" i="4"/>
  <c r="AH71" i="4"/>
  <c r="AI66" i="4"/>
  <c r="AH61" i="4"/>
  <c r="AH55" i="4"/>
  <c r="AH49" i="4"/>
  <c r="AH43" i="4"/>
  <c r="AI73" i="4"/>
  <c r="AH66" i="4"/>
  <c r="AI68" i="4"/>
  <c r="AH68" i="4"/>
  <c r="AH54" i="4"/>
  <c r="AH42" i="4"/>
  <c r="AH39" i="4"/>
  <c r="AI59" i="4"/>
  <c r="AI53" i="4"/>
  <c r="AI47" i="4"/>
  <c r="AI41" i="4"/>
  <c r="AH75" i="4"/>
  <c r="AI70" i="4"/>
  <c r="AH60" i="4"/>
  <c r="AH48" i="4"/>
  <c r="AI75" i="4"/>
  <c r="AI39" i="4"/>
  <c r="AH59" i="4"/>
  <c r="AH53" i="4"/>
  <c r="AH47" i="4"/>
  <c r="AH41" i="4"/>
  <c r="AI77" i="4"/>
  <c r="AH70" i="4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4" i="1"/>
  <c r="T191" i="1" l="1"/>
  <c r="T192" i="1"/>
  <c r="T193" i="1"/>
  <c r="T194" i="1"/>
  <c r="T186" i="1"/>
  <c r="T187" i="1"/>
  <c r="T188" i="1"/>
  <c r="T189" i="1"/>
  <c r="T190" i="1"/>
  <c r="T185" i="1"/>
  <c r="R191" i="1"/>
  <c r="R192" i="1"/>
  <c r="R193" i="1"/>
  <c r="R194" i="1"/>
  <c r="R190" i="1"/>
  <c r="R186" i="1"/>
  <c r="R187" i="1"/>
  <c r="R188" i="1"/>
  <c r="R189" i="1"/>
  <c r="R185" i="1"/>
  <c r="R14" i="1"/>
  <c r="R56" i="1"/>
  <c r="T56" i="1"/>
  <c r="R57" i="1"/>
  <c r="T57" i="1"/>
  <c r="R58" i="1"/>
  <c r="T58" i="1"/>
  <c r="T55" i="1"/>
  <c r="R55" i="1"/>
  <c r="R52" i="1"/>
  <c r="T52" i="1"/>
  <c r="R53" i="1"/>
  <c r="T53" i="1"/>
  <c r="R54" i="1"/>
  <c r="T54" i="1"/>
  <c r="T51" i="1"/>
  <c r="R51" i="1"/>
  <c r="R48" i="1"/>
  <c r="T48" i="1"/>
  <c r="R49" i="1"/>
  <c r="T49" i="1"/>
  <c r="R50" i="1"/>
  <c r="T50" i="1"/>
  <c r="T47" i="1"/>
  <c r="R47" i="1"/>
  <c r="R46" i="1"/>
  <c r="T46" i="1"/>
  <c r="R44" i="1"/>
  <c r="T44" i="1"/>
  <c r="R45" i="1"/>
  <c r="T45" i="1"/>
  <c r="T43" i="1"/>
  <c r="R43" i="1"/>
  <c r="T42" i="1"/>
  <c r="T40" i="1"/>
  <c r="T41" i="1"/>
  <c r="T39" i="1"/>
  <c r="T38" i="1"/>
  <c r="T36" i="1"/>
  <c r="T37" i="1"/>
  <c r="T35" i="1"/>
  <c r="T34" i="1"/>
  <c r="T32" i="1"/>
  <c r="T33" i="1"/>
  <c r="T31" i="1"/>
  <c r="T25" i="1"/>
  <c r="T26" i="1"/>
  <c r="T27" i="1"/>
  <c r="T28" i="1"/>
  <c r="T29" i="1"/>
  <c r="T30" i="1"/>
  <c r="T24" i="1"/>
  <c r="T23" i="1"/>
  <c r="T22" i="1"/>
  <c r="T21" i="1"/>
  <c r="T20" i="1"/>
  <c r="T19" i="1"/>
  <c r="T10" i="1"/>
  <c r="T11" i="1"/>
  <c r="T12" i="1"/>
  <c r="T13" i="1"/>
  <c r="T9" i="1"/>
  <c r="T15" i="1"/>
  <c r="T16" i="1"/>
  <c r="T17" i="1"/>
  <c r="T18" i="1"/>
  <c r="T14" i="1"/>
  <c r="R15" i="1"/>
  <c r="R16" i="1"/>
  <c r="R17" i="1"/>
  <c r="R18" i="1"/>
  <c r="T8" i="1"/>
  <c r="T5" i="1"/>
  <c r="T6" i="1"/>
  <c r="T7" i="1"/>
  <c r="T4" i="1"/>
</calcChain>
</file>

<file path=xl/sharedStrings.xml><?xml version="1.0" encoding="utf-8"?>
<sst xmlns="http://schemas.openxmlformats.org/spreadsheetml/2006/main" count="2080" uniqueCount="480">
  <si>
    <t>SRM612_1</t>
  </si>
  <si>
    <t>SRM612_2</t>
  </si>
  <si>
    <t>SRM612_3</t>
  </si>
  <si>
    <t>SRM612_4</t>
  </si>
  <si>
    <t>SRM612_5</t>
  </si>
  <si>
    <t>Index</t>
  </si>
  <si>
    <t>Label</t>
  </si>
  <si>
    <t>87Rb/86Sr</t>
  </si>
  <si>
    <t>±95% CI</t>
  </si>
  <si>
    <t>Normalized SRM 610</t>
  </si>
  <si>
    <t>87Sr/86Sr</t>
  </si>
  <si>
    <t>Normalized FG-H</t>
  </si>
  <si>
    <t>File</t>
  </si>
  <si>
    <t>Durango_1</t>
  </si>
  <si>
    <t>Durango_2</t>
  </si>
  <si>
    <t>Durango_3</t>
  </si>
  <si>
    <t>Durango_4</t>
  </si>
  <si>
    <t>Durango_5</t>
  </si>
  <si>
    <t>Count integral 88Sr</t>
  </si>
  <si>
    <t>Reference 87Rb/86Sr</t>
  </si>
  <si>
    <t>Reference 87Sr/86Sr</t>
  </si>
  <si>
    <t>20220223_NeomaMSMS_SrF_LA_NIST610_612_Durango_Sronly_export_processed</t>
  </si>
  <si>
    <t>20220223_NeomaMSMS_SrF_LA_NIST_610_612_Durango_SrRb_export_processed</t>
  </si>
  <si>
    <t>Megacryst_outerrim_1</t>
  </si>
  <si>
    <t>Megacryst_outerrim_2</t>
  </si>
  <si>
    <t>Megacryst_outerrim_3</t>
  </si>
  <si>
    <t>Megacryst_outerrim_4</t>
  </si>
  <si>
    <t>Megacryst_innrerrim_10</t>
  </si>
  <si>
    <t>Megacryst_innrerrim_11</t>
  </si>
  <si>
    <t>Megacryst_innrerrim_12</t>
  </si>
  <si>
    <t>Megacryst_innrerrim_13</t>
  </si>
  <si>
    <t>Megacryst_outercore_18</t>
  </si>
  <si>
    <t>Megacryst_outercore_19</t>
  </si>
  <si>
    <t>Megacryst_outercore_20</t>
  </si>
  <si>
    <t>Megacryst_outercore_21</t>
  </si>
  <si>
    <t>Megacryst_innercore_26</t>
  </si>
  <si>
    <t>Megacryst_innercore_27</t>
  </si>
  <si>
    <t>Megacryst_innercore_28</t>
  </si>
  <si>
    <t>Megacryst_innercore_29</t>
  </si>
  <si>
    <t>20220223_NeomaMSMS_SrF_LA_Megacryst_Shap_Sr_export_processed</t>
  </si>
  <si>
    <t>Megacryst_outerrim_5</t>
  </si>
  <si>
    <t>Megacryst_outerrim_6</t>
  </si>
  <si>
    <t>Megacryst_outerrim_7</t>
  </si>
  <si>
    <t>Megacryst_outerrim_8</t>
  </si>
  <si>
    <t>Megacryst_innrerrim_14</t>
  </si>
  <si>
    <t>Megacryst_innrerrim_15</t>
  </si>
  <si>
    <t>Megacryst_innrerrim_16</t>
  </si>
  <si>
    <t>Megacryst_innrerrim_17</t>
  </si>
  <si>
    <t>Megacryst_outercore_22</t>
  </si>
  <si>
    <t>Megacryst_outercore_23</t>
  </si>
  <si>
    <t>Megacryst_outercore_24</t>
  </si>
  <si>
    <t>Megacryst_outercore_25</t>
  </si>
  <si>
    <t>Megacryst_innercore_30</t>
  </si>
  <si>
    <t>Megacryst_innercore_31</t>
  </si>
  <si>
    <t>Megacryst_innercore_32</t>
  </si>
  <si>
    <t>Megacryst_innercore_33</t>
  </si>
  <si>
    <t>20220223_NeomaMSMS_SrF_LA_Megacryst_Shap_RbSr_export_processed</t>
  </si>
  <si>
    <t>X(um)</t>
  </si>
  <si>
    <t>Y(um)</t>
  </si>
  <si>
    <t>Z(um)</t>
  </si>
  <si>
    <t>Megacryst_traverse_1</t>
  </si>
  <si>
    <t>Megacryst_traverse_2</t>
  </si>
  <si>
    <t>Megacryst_traverse_3</t>
  </si>
  <si>
    <t>Megacryst_traverse_4</t>
  </si>
  <si>
    <t>Megacryst_traverse_5</t>
  </si>
  <si>
    <t>Megacryst_traverse_6</t>
  </si>
  <si>
    <t>Megacryst_traverse_7</t>
  </si>
  <si>
    <t>Megacryst_traverse_8</t>
  </si>
  <si>
    <t>Megacryst_traverse_10</t>
  </si>
  <si>
    <t>Megacryst_traverse_11</t>
  </si>
  <si>
    <t>Megacryst_traverse_12</t>
  </si>
  <si>
    <t>Megacryst_traverse_13</t>
  </si>
  <si>
    <t>Megacryst_traverse_14</t>
  </si>
  <si>
    <t>Megacryst_traverse_15</t>
  </si>
  <si>
    <t>Megacryst_traverse_16</t>
  </si>
  <si>
    <t>Megacryst_traverse_17</t>
  </si>
  <si>
    <t>Megacryst_traverse_18</t>
  </si>
  <si>
    <t>Megacryst_traverse_19</t>
  </si>
  <si>
    <t>Megacryst_traverse_20</t>
  </si>
  <si>
    <t>Megacryst_traverse_21</t>
  </si>
  <si>
    <t>Megacryst_traverse_22</t>
  </si>
  <si>
    <t>Megacryst_traverse_23</t>
  </si>
  <si>
    <t>Megacryst_traverse_24</t>
  </si>
  <si>
    <t>Megacryst_traverse_25</t>
  </si>
  <si>
    <t>Megacryst_traverse_26</t>
  </si>
  <si>
    <t>Megacryst_traverse_27</t>
  </si>
  <si>
    <t>Megacryst_isochron_1</t>
  </si>
  <si>
    <t>Megacryst_isochron_2</t>
  </si>
  <si>
    <t>Megacryst_isochron_3</t>
  </si>
  <si>
    <t>Megacryst_isochron_4</t>
  </si>
  <si>
    <t>Megacryst_isochron_5</t>
  </si>
  <si>
    <t>Megacryst_isochron_6</t>
  </si>
  <si>
    <t>Megacryst_isochron_7</t>
  </si>
  <si>
    <t>Megacryst_isochron_8</t>
  </si>
  <si>
    <t>Megacryst_isochron_9</t>
  </si>
  <si>
    <t>Megacryst_isochron_10</t>
  </si>
  <si>
    <t>Megacryst_isochron_11</t>
  </si>
  <si>
    <t>Megacryst_isochron_12</t>
  </si>
  <si>
    <t>Megacryst_isochron_13</t>
  </si>
  <si>
    <t>Megacryst_isochron_14</t>
  </si>
  <si>
    <t>Megacryst_isochron_15</t>
  </si>
  <si>
    <t>Megacryst_isochron_16</t>
  </si>
  <si>
    <t>Megacryst_isochron_17</t>
  </si>
  <si>
    <t>BB_1</t>
  </si>
  <si>
    <t>BB_2</t>
  </si>
  <si>
    <t>BB_3</t>
  </si>
  <si>
    <t>BB_4</t>
  </si>
  <si>
    <t>BB_5</t>
  </si>
  <si>
    <t>BB_6</t>
  </si>
  <si>
    <t>BB_7</t>
  </si>
  <si>
    <t>BB_8</t>
  </si>
  <si>
    <t>BB_9</t>
  </si>
  <si>
    <t>BB_10</t>
  </si>
  <si>
    <t>BB_11</t>
  </si>
  <si>
    <t>BB_12</t>
  </si>
  <si>
    <t>BB_13</t>
  </si>
  <si>
    <t>BB_14</t>
  </si>
  <si>
    <t>BB_15</t>
  </si>
  <si>
    <t>BB_16</t>
  </si>
  <si>
    <t>BB_17</t>
  </si>
  <si>
    <t>BB_18</t>
  </si>
  <si>
    <t>BB_19</t>
  </si>
  <si>
    <t>BB_20</t>
  </si>
  <si>
    <t>BB_21</t>
  </si>
  <si>
    <t>BB_22</t>
  </si>
  <si>
    <t>BB_23</t>
  </si>
  <si>
    <t>BB_24</t>
  </si>
  <si>
    <t>BB_25</t>
  </si>
  <si>
    <t>BB_26</t>
  </si>
  <si>
    <t>BB_27</t>
  </si>
  <si>
    <t>BB_28</t>
  </si>
  <si>
    <t>BB_29</t>
  </si>
  <si>
    <t>BB_30</t>
  </si>
  <si>
    <t>BB_31</t>
  </si>
  <si>
    <t>BB_32</t>
  </si>
  <si>
    <t>BB_33</t>
  </si>
  <si>
    <t>BB_34</t>
  </si>
  <si>
    <t>BB_35</t>
  </si>
  <si>
    <t>BB_36</t>
  </si>
  <si>
    <t>BB_37</t>
  </si>
  <si>
    <t>BB_38</t>
  </si>
  <si>
    <t>BB_39</t>
  </si>
  <si>
    <t>BB_40</t>
  </si>
  <si>
    <t>BB_41</t>
  </si>
  <si>
    <t>BB_42</t>
  </si>
  <si>
    <t>BB_43</t>
  </si>
  <si>
    <t>BB_44</t>
  </si>
  <si>
    <t>BB_45</t>
  </si>
  <si>
    <t>BB_46</t>
  </si>
  <si>
    <t>BB_47</t>
  </si>
  <si>
    <t>BB_48</t>
  </si>
  <si>
    <t>BB_49</t>
  </si>
  <si>
    <t>BB_50</t>
  </si>
  <si>
    <t>BB_51</t>
  </si>
  <si>
    <t>BB_52</t>
  </si>
  <si>
    <t>BB_53</t>
  </si>
  <si>
    <t>BB_54</t>
  </si>
  <si>
    <t>BB_55</t>
  </si>
  <si>
    <t>BB_56</t>
  </si>
  <si>
    <t>BB_57</t>
  </si>
  <si>
    <t>BB_58</t>
  </si>
  <si>
    <t>BB_59</t>
  </si>
  <si>
    <t>BB_66</t>
  </si>
  <si>
    <t>BB_67</t>
  </si>
  <si>
    <t>BB_68</t>
  </si>
  <si>
    <t>BB_69</t>
  </si>
  <si>
    <t>BB_70</t>
  </si>
  <si>
    <t>BB_71</t>
  </si>
  <si>
    <t>BB_72</t>
  </si>
  <si>
    <t>BB_73</t>
  </si>
  <si>
    <t>BB_74</t>
  </si>
  <si>
    <t>BB_75</t>
  </si>
  <si>
    <t>BB_76</t>
  </si>
  <si>
    <t>BB_77</t>
  </si>
  <si>
    <t>BB_78</t>
  </si>
  <si>
    <t>BB_79</t>
  </si>
  <si>
    <t>BB_80</t>
  </si>
  <si>
    <t>BB_81</t>
  </si>
  <si>
    <t>BB_82</t>
  </si>
  <si>
    <t>BB_83</t>
  </si>
  <si>
    <t>BB_84</t>
  </si>
  <si>
    <t>BB_85</t>
  </si>
  <si>
    <t>BB_86</t>
  </si>
  <si>
    <t>BB_87</t>
  </si>
  <si>
    <t>BB_88</t>
  </si>
  <si>
    <t>BB_89</t>
  </si>
  <si>
    <t>FeldsparGlassI_1</t>
  </si>
  <si>
    <t>FeldsparGlassI_2</t>
  </si>
  <si>
    <t>FeldsparGlassI_3</t>
  </si>
  <si>
    <t>FeldsparGlassI_4</t>
  </si>
  <si>
    <t>FeldsparGlassI_5</t>
  </si>
  <si>
    <t>FeldsparGlassL2_1</t>
  </si>
  <si>
    <t>FeldsparGlassL2_2</t>
  </si>
  <si>
    <t>FeldsparGlassL2_3</t>
  </si>
  <si>
    <t>FeldsparGlassL2_4</t>
  </si>
  <si>
    <t>FeldsparGlassL2_5</t>
  </si>
  <si>
    <t>20220223_NeomaMSMS_SrF_LA_Chicago_Run1_RbSr_export_processed</t>
  </si>
  <si>
    <t>FeldsparKrichBB_1</t>
  </si>
  <si>
    <t>FeldsparKrichBB_2</t>
  </si>
  <si>
    <t>FeldsparKrichBB_3</t>
  </si>
  <si>
    <t>FeldsparKrichBB_4</t>
  </si>
  <si>
    <t>FeldsparKrichBB_5</t>
  </si>
  <si>
    <t>FeldsparKrichBB_6</t>
  </si>
  <si>
    <t>FeldsparKrichBB_7</t>
  </si>
  <si>
    <t>FeldsparKrichBB_8</t>
  </si>
  <si>
    <t>FeldsparKrichBB_9</t>
  </si>
  <si>
    <t>FeldsparKrichBB_10</t>
  </si>
  <si>
    <t>FeldsparKrichBB_11</t>
  </si>
  <si>
    <t>FeldsparKrichBB_13</t>
  </si>
  <si>
    <t>FeldsparKrichBB_14</t>
  </si>
  <si>
    <t>FeldsparKrichBB_15</t>
  </si>
  <si>
    <t>FeldsparKrichBB_16</t>
  </si>
  <si>
    <t>FeldsparKrichBB_17</t>
  </si>
  <si>
    <t>FeldsparKrichBB_18</t>
  </si>
  <si>
    <t>FeldsparKrichBB_19</t>
  </si>
  <si>
    <t>FeldsparKrichBB_20</t>
  </si>
  <si>
    <t>FeldsparKrichBB_21</t>
  </si>
  <si>
    <t>FeldsparKrichBB_22</t>
  </si>
  <si>
    <t>FeldsparKrichBB_23</t>
  </si>
  <si>
    <t>FeldsparKrichBB_24</t>
  </si>
  <si>
    <t>FeldsparKrichBB_25</t>
  </si>
  <si>
    <t>FeldsparKrichBB_26</t>
  </si>
  <si>
    <t>FeldsparKrichBB_27</t>
  </si>
  <si>
    <t>FeldsparKrichBB_28</t>
  </si>
  <si>
    <t>FeldsparKrichBB_29</t>
  </si>
  <si>
    <t>FeldsparKrichBB_30</t>
  </si>
  <si>
    <t>FeldsparKrichBB_31</t>
  </si>
  <si>
    <t>FeldsparKrichBB_32</t>
  </si>
  <si>
    <t>20220228_NeomaMSMS_SrF_LA_Chicago_Run2_RbSr_export_processed</t>
  </si>
  <si>
    <t>SHiBs_6_1</t>
  </si>
  <si>
    <t>SHiB4_5</t>
  </si>
  <si>
    <t>SHiB4_4</t>
  </si>
  <si>
    <t>SHiB4_3</t>
  </si>
  <si>
    <t>SHiB4_2</t>
  </si>
  <si>
    <t>SHiB5_3</t>
  </si>
  <si>
    <t>ShiB5_2</t>
  </si>
  <si>
    <t>20220228_NeomaMSMS_SrF_LA_Chicago_Run3_Sr_export_processed</t>
  </si>
  <si>
    <t>MCG1_1.8</t>
  </si>
  <si>
    <t>MCG1_1.14A</t>
  </si>
  <si>
    <t>MCG1_1.14B</t>
  </si>
  <si>
    <t>BC24F1.5_1</t>
  </si>
  <si>
    <t>BC24F1.5_3</t>
  </si>
  <si>
    <t>BC24F1.5_4</t>
  </si>
  <si>
    <t>BC24F1.5_5</t>
  </si>
  <si>
    <t>BC24F1.5_6</t>
  </si>
  <si>
    <t>BC24F1.5_7</t>
  </si>
  <si>
    <t>BC24F1.5_8</t>
  </si>
  <si>
    <t>BC24F1.5_9</t>
  </si>
  <si>
    <t>BC24F1.5_10</t>
  </si>
  <si>
    <t>BC24F1.5_11</t>
  </si>
  <si>
    <t>BC24F1.5_12</t>
  </si>
  <si>
    <t>BC24F1.5_13</t>
  </si>
  <si>
    <t>BC24F1.5_14</t>
  </si>
  <si>
    <t>BC24F1.5_15</t>
  </si>
  <si>
    <t>BC24F1.5_16</t>
  </si>
  <si>
    <t>BC24F1.5_17</t>
  </si>
  <si>
    <t>BC24F1.5_18</t>
  </si>
  <si>
    <t>BC24F1.5_19</t>
  </si>
  <si>
    <t>BC24F1.5_20</t>
  </si>
  <si>
    <t>BC24F1.5_21</t>
  </si>
  <si>
    <t>BC24F1.5_22</t>
  </si>
  <si>
    <t>BC24F1.5_23</t>
  </si>
  <si>
    <t>BC24F1.5_24</t>
  </si>
  <si>
    <t>BC24F1.5_25</t>
  </si>
  <si>
    <t>BC24F1.5_26</t>
  </si>
  <si>
    <t>BC24F1.5_27</t>
  </si>
  <si>
    <t>BC24F1.5_28</t>
  </si>
  <si>
    <t>BC24F1.5_29</t>
  </si>
  <si>
    <t>20220228_NeomaMSMS_SrF_LA_Chicago_Run4_Sr_export_processed</t>
  </si>
  <si>
    <t>Woodhead and Hergt (2001)</t>
  </si>
  <si>
    <t>Certificate of analysis</t>
  </si>
  <si>
    <t>Yang et al. (2014)</t>
  </si>
  <si>
    <t>Yang, Y.H., Wu, F.Y., Yang, J.H., Chew, D.M., Xie, L.W., Chu, Z.Y., Zhang, Y.B. and Huang, C. (2014). Sr and Nd isotopic compositions of apatite reference materials used in U–Th–Pb geochronology. Chemical Geology, 385, 35-55.</t>
  </si>
  <si>
    <t>Davidson et al. (2005)</t>
  </si>
  <si>
    <t>Davidson et al. (2001)</t>
  </si>
  <si>
    <t>rho</t>
  </si>
  <si>
    <r>
      <t>Davidson, J., Tepley III, F., Palacz, Z., &amp; Meffan-Main, S. (2001). Magma recharge, contamination and residence times revealed by in situ laser ablation isotopic analysis of feldspar in volcanic rocks. </t>
    </r>
    <r>
      <rPr>
        <i/>
        <sz val="13"/>
        <color theme="1"/>
        <rFont val="Arial"/>
        <family val="2"/>
      </rPr>
      <t>Earth and Planetary Science Letters</t>
    </r>
    <r>
      <rPr>
        <sz val="13"/>
        <color theme="1"/>
        <rFont val="Arial"/>
        <family val="2"/>
      </rPr>
      <t>, </t>
    </r>
    <r>
      <rPr>
        <i/>
        <sz val="13"/>
        <color theme="1"/>
        <rFont val="Arial"/>
        <family val="2"/>
      </rPr>
      <t>184</t>
    </r>
    <r>
      <rPr>
        <sz val="13"/>
        <color theme="1"/>
        <rFont val="Arial"/>
        <family val="2"/>
      </rPr>
      <t>(2), 427-442.</t>
    </r>
  </si>
  <si>
    <r>
      <t>Davidson, J., Charlier, B., Hora, J. M., &amp; Perlroth, R. (2005). Mineral isochrons and isotopic fingerprinting: Pitfalls and promises. </t>
    </r>
    <r>
      <rPr>
        <i/>
        <sz val="13"/>
        <color theme="1"/>
        <rFont val="Arial"/>
        <family val="2"/>
      </rPr>
      <t>Geology</t>
    </r>
    <r>
      <rPr>
        <sz val="13"/>
        <color theme="1"/>
        <rFont val="Arial"/>
        <family val="2"/>
      </rPr>
      <t>, </t>
    </r>
    <r>
      <rPr>
        <i/>
        <sz val="13"/>
        <color theme="1"/>
        <rFont val="Arial"/>
        <family val="2"/>
      </rPr>
      <t>33</t>
    </r>
    <r>
      <rPr>
        <sz val="13"/>
        <color theme="1"/>
        <rFont val="Arial"/>
        <family val="2"/>
      </rPr>
      <t>(1), 29-32.</t>
    </r>
  </si>
  <si>
    <r>
      <t>Woodhead, J. D., &amp; Hergt, J. M. (2001). Strontium, neodymium and lead isotope analyses of NIST glass certified reference materials: SRM 610, 612, 614. </t>
    </r>
    <r>
      <rPr>
        <i/>
        <sz val="13"/>
        <color theme="1"/>
        <rFont val="Arial"/>
        <family val="2"/>
      </rPr>
      <t>Geostandards Newsletter</t>
    </r>
    <r>
      <rPr>
        <sz val="13"/>
        <color theme="1"/>
        <rFont val="Arial"/>
        <family val="2"/>
      </rPr>
      <t>, </t>
    </r>
    <r>
      <rPr>
        <i/>
        <sz val="13"/>
        <color theme="1"/>
        <rFont val="Arial"/>
        <family val="2"/>
      </rPr>
      <t>25</t>
    </r>
    <r>
      <rPr>
        <sz val="13"/>
        <color theme="1"/>
        <rFont val="Arial"/>
        <family val="2"/>
      </rPr>
      <t>(2‐3), 261-266.</t>
    </r>
  </si>
  <si>
    <t>X</t>
  </si>
  <si>
    <r>
      <t>Davidson, J., Tepley III, F., Palacz, Z., &amp; Meffan-Main, S. (2001). Magma recharge, contamination and residence times revealed by in situ laser ablation isotopic analysis of feldspar in volcanic rocks. </t>
    </r>
    <r>
      <rPr>
        <i/>
        <sz val="13"/>
        <color rgb="FF000000"/>
        <rFont val="Arial"/>
        <family val="2"/>
      </rPr>
      <t>Earth and Planetary Science Letters</t>
    </r>
    <r>
      <rPr>
        <sz val="13"/>
        <color rgb="FF000000"/>
        <rFont val="Arial"/>
        <family val="2"/>
      </rPr>
      <t>, </t>
    </r>
    <r>
      <rPr>
        <i/>
        <sz val="13"/>
        <color rgb="FF000000"/>
        <rFont val="Arial"/>
        <family val="2"/>
      </rPr>
      <t>184</t>
    </r>
    <r>
      <rPr>
        <sz val="13"/>
        <color rgb="FF000000"/>
        <rFont val="Arial"/>
        <family val="2"/>
      </rPr>
      <t>(2), 427-442.</t>
    </r>
  </si>
  <si>
    <r>
      <t>Davidson, J., Charlier, B., Hora, J. M., &amp; Perlroth, R. (2005). Mineral isochrons and isotopic fingerprinting: Pitfalls and promises. </t>
    </r>
    <r>
      <rPr>
        <i/>
        <sz val="13"/>
        <color rgb="FF000000"/>
        <rFont val="Arial"/>
        <family val="2"/>
      </rPr>
      <t>Geology</t>
    </r>
    <r>
      <rPr>
        <sz val="13"/>
        <color rgb="FF000000"/>
        <rFont val="Arial"/>
        <family val="2"/>
      </rPr>
      <t>, </t>
    </r>
    <r>
      <rPr>
        <i/>
        <sz val="13"/>
        <color rgb="FF000000"/>
        <rFont val="Arial"/>
        <family val="2"/>
      </rPr>
      <t>33</t>
    </r>
    <r>
      <rPr>
        <sz val="13"/>
        <color rgb="FF000000"/>
        <rFont val="Arial"/>
        <family val="2"/>
      </rPr>
      <t>(1), 29-32.</t>
    </r>
  </si>
  <si>
    <r>
      <t>Woodhead, J. D., &amp; Hergt, J. M. (2001). Strontium, neodymium and lead isotope analyses of NIST glass certified reference materials: SRM 610, 612, 614. </t>
    </r>
    <r>
      <rPr>
        <i/>
        <sz val="13"/>
        <color rgb="FF000000"/>
        <rFont val="Arial"/>
        <family val="2"/>
      </rPr>
      <t>Geostandards Newsletter</t>
    </r>
    <r>
      <rPr>
        <sz val="13"/>
        <color rgb="FF000000"/>
        <rFont val="Arial"/>
        <family val="2"/>
      </rPr>
      <t>, </t>
    </r>
    <r>
      <rPr>
        <i/>
        <sz val="13"/>
        <color rgb="FF000000"/>
        <rFont val="Arial"/>
        <family val="2"/>
      </rPr>
      <t>25</t>
    </r>
    <r>
      <rPr>
        <sz val="13"/>
        <color rgb="FF000000"/>
        <rFont val="Arial"/>
        <family val="2"/>
      </rPr>
      <t>(2‐3), 261-266.</t>
    </r>
  </si>
  <si>
    <t>SRM</t>
  </si>
  <si>
    <t>FGH</t>
  </si>
  <si>
    <r>
      <t xml:space="preserve">Count integral </t>
    </r>
    <r>
      <rPr>
        <vertAlign val="superscript"/>
        <sz val="12"/>
        <color theme="1"/>
        <rFont val="Calibri (Body)"/>
      </rPr>
      <t>88</t>
    </r>
    <r>
      <rPr>
        <sz val="12"/>
        <color theme="1"/>
        <rFont val="Calibri"/>
        <family val="2"/>
        <scheme val="minor"/>
      </rPr>
      <t>Sr</t>
    </r>
  </si>
  <si>
    <r>
      <rPr>
        <vertAlign val="superscript"/>
        <sz val="12"/>
        <color theme="1"/>
        <rFont val="Calibri (Body)"/>
      </rPr>
      <t>87</t>
    </r>
    <r>
      <rPr>
        <sz val="12"/>
        <color theme="1"/>
        <rFont val="Calibri"/>
        <family val="2"/>
        <scheme val="minor"/>
      </rPr>
      <t>Sr/</t>
    </r>
    <r>
      <rPr>
        <vertAlign val="superscript"/>
        <sz val="12"/>
        <color theme="1"/>
        <rFont val="Calibri (Body)"/>
      </rPr>
      <t>86</t>
    </r>
    <r>
      <rPr>
        <sz val="12"/>
        <color theme="1"/>
        <rFont val="Calibri"/>
        <family val="2"/>
        <scheme val="minor"/>
      </rPr>
      <t>Sr</t>
    </r>
  </si>
  <si>
    <t>Average</t>
  </si>
  <si>
    <t>The averages were calculated using the random effect model of IsoplotR.</t>
  </si>
  <si>
    <r>
      <t>87</t>
    </r>
    <r>
      <rPr>
        <sz val="10"/>
        <color theme="1"/>
        <rFont val="Helvetica"/>
        <family val="2"/>
      </rPr>
      <t>Sr/</t>
    </r>
    <r>
      <rPr>
        <sz val="6"/>
        <color theme="1"/>
        <rFont val="Helvetica"/>
        <family val="2"/>
      </rPr>
      <t>86</t>
    </r>
    <r>
      <rPr>
        <sz val="10"/>
        <color theme="1"/>
        <rFont val="Helvetica"/>
        <family val="2"/>
      </rPr>
      <t>Sr of ~0.69879 (0.69876 0.00002 for ALL (Gray, Papanastassiou,</t>
    </r>
  </si>
  <si>
    <r>
      <t xml:space="preserve">351 </t>
    </r>
    <r>
      <rPr>
        <sz val="10"/>
        <color theme="1"/>
        <rFont val="Helvetica"/>
        <family val="2"/>
      </rPr>
      <t>&amp; Wasserburg 1973); 0.69883 0.00002 for ADOR (Wasserburg et al. 1977))</t>
    </r>
  </si>
  <si>
    <t>system birth of 0.69876±0.00002 (ALL) and 0.69883±0.00002 (ADOR).</t>
  </si>
  <si>
    <r>
      <t xml:space="preserve">Gray et al. (1973) and Wasserburg et al. (1977) give estimates for </t>
    </r>
    <r>
      <rPr>
        <vertAlign val="superscript"/>
        <sz val="12"/>
        <color rgb="FF000000"/>
        <rFont val="Calibri (Body)"/>
      </rPr>
      <t>87</t>
    </r>
    <r>
      <rPr>
        <sz val="12"/>
        <color rgb="FF000000"/>
        <rFont val="Calibri"/>
        <family val="2"/>
        <scheme val="minor"/>
      </rPr>
      <t>Sr/</t>
    </r>
    <r>
      <rPr>
        <vertAlign val="superscript"/>
        <sz val="12"/>
        <color rgb="FF000000"/>
        <rFont val="Calibri (Body)"/>
      </rPr>
      <t>86</t>
    </r>
    <r>
      <rPr>
        <sz val="12"/>
        <color rgb="FF000000"/>
        <rFont val="Calibri"/>
        <family val="2"/>
        <scheme val="minor"/>
      </rPr>
      <t>Sr at solar</t>
    </r>
  </si>
  <si>
    <r>
      <rPr>
        <vertAlign val="superscript"/>
        <sz val="12"/>
        <color theme="1"/>
        <rFont val="Calibri (Body)"/>
      </rPr>
      <t>87</t>
    </r>
    <r>
      <rPr>
        <sz val="12"/>
        <color theme="1"/>
        <rFont val="Calibri"/>
        <family val="2"/>
        <scheme val="minor"/>
      </rPr>
      <t>Rb/</t>
    </r>
    <r>
      <rPr>
        <vertAlign val="superscript"/>
        <sz val="12"/>
        <color theme="1"/>
        <rFont val="Calibri (Body)"/>
      </rPr>
      <t>86</t>
    </r>
    <r>
      <rPr>
        <sz val="12"/>
        <color theme="1"/>
        <rFont val="Calibri"/>
        <family val="2"/>
        <scheme val="minor"/>
      </rPr>
      <t>Sr</t>
    </r>
  </si>
  <si>
    <r>
      <rPr>
        <sz val="12"/>
        <color theme="1"/>
        <rFont val="Calibri (Body)"/>
      </rPr>
      <t xml:space="preserve">Reference </t>
    </r>
    <r>
      <rPr>
        <vertAlign val="superscript"/>
        <sz val="12"/>
        <color theme="1"/>
        <rFont val="Calibri (Body)"/>
      </rPr>
      <t>87</t>
    </r>
    <r>
      <rPr>
        <sz val="12"/>
        <color theme="1"/>
        <rFont val="Calibri"/>
        <family val="2"/>
        <scheme val="minor"/>
      </rPr>
      <t>Rb/</t>
    </r>
    <r>
      <rPr>
        <vertAlign val="superscript"/>
        <sz val="12"/>
        <color theme="1"/>
        <rFont val="Calibri (Body)"/>
      </rPr>
      <t>86</t>
    </r>
    <r>
      <rPr>
        <sz val="12"/>
        <color theme="1"/>
        <rFont val="Calibri"/>
        <family val="2"/>
        <scheme val="minor"/>
      </rPr>
      <t>Sr</t>
    </r>
  </si>
  <si>
    <r>
      <rPr>
        <sz val="12"/>
        <color theme="1"/>
        <rFont val="Calibri (Body)"/>
      </rPr>
      <t xml:space="preserve">Reference </t>
    </r>
    <r>
      <rPr>
        <vertAlign val="superscript"/>
        <sz val="12"/>
        <color theme="1"/>
        <rFont val="Calibri (Body)"/>
      </rPr>
      <t>87</t>
    </r>
    <r>
      <rPr>
        <sz val="12"/>
        <color theme="1"/>
        <rFont val="Calibri"/>
        <family val="2"/>
        <scheme val="minor"/>
      </rPr>
      <t>Sr/</t>
    </r>
    <r>
      <rPr>
        <vertAlign val="superscript"/>
        <sz val="12"/>
        <color theme="1"/>
        <rFont val="Calibri (Body)"/>
      </rPr>
      <t>86</t>
    </r>
    <r>
      <rPr>
        <sz val="12"/>
        <color theme="1"/>
        <rFont val="Calibri"/>
        <family val="2"/>
        <scheme val="minor"/>
      </rPr>
      <t>Sr</t>
    </r>
  </si>
  <si>
    <t>Feldspar Glass I_1</t>
  </si>
  <si>
    <t>Feldspar Glass I_2</t>
  </si>
  <si>
    <t>Feldspar Glass I_3</t>
  </si>
  <si>
    <t>Feldspar Glass L2_2</t>
  </si>
  <si>
    <t>Feldspar Glass I_4</t>
  </si>
  <si>
    <t>Feldspar Glass I_5</t>
  </si>
  <si>
    <t>Feldspar Glass L2_1</t>
  </si>
  <si>
    <t>Feldspar Glass L2_3</t>
  </si>
  <si>
    <t>Feldspar Glass L2_4</t>
  </si>
  <si>
    <t>Feldspar Glass L2_5</t>
  </si>
  <si>
    <t>Average SRM 612</t>
  </si>
  <si>
    <t>Average Durango</t>
  </si>
  <si>
    <t>Average Feldspar Glass I</t>
  </si>
  <si>
    <t>Average Feldspar Glass L2</t>
  </si>
  <si>
    <t xml:space="preserve">Distance to the first inner point (um) </t>
  </si>
  <si>
    <t>x (um)</t>
  </si>
  <si>
    <t>y (um)</t>
  </si>
  <si>
    <t>Method 1</t>
  </si>
  <si>
    <t>Method 2</t>
  </si>
  <si>
    <t>Method 1:</t>
  </si>
  <si>
    <t>Using the x and y coordination, and calcualted relative distance using the formula: d = sqrt((x1-x2)^2 + (y1-y2)^2)</t>
  </si>
  <si>
    <t xml:space="preserve">Method 2: </t>
  </si>
  <si>
    <t xml:space="preserve">Directly measure the distance on  the SEM image between different laser spots. </t>
  </si>
  <si>
    <t>±</t>
  </si>
  <si>
    <t>Note</t>
  </si>
  <si>
    <t>Not in megacryst</t>
  </si>
  <si>
    <t>Distance from 1st pt (mm)</t>
  </si>
  <si>
    <t>Outer core =16th point</t>
  </si>
  <si>
    <t>Inner rim=18-19 point</t>
  </si>
  <si>
    <t>outer rim=21-22 point</t>
  </si>
  <si>
    <t>Distance mm</t>
  </si>
  <si>
    <t>Inner core 2=1-2 point</t>
  </si>
  <si>
    <t>K2O/CaO (wt%/wt%)</t>
  </si>
  <si>
    <t>K/Rb</t>
  </si>
  <si>
    <t>Ca/Sr</t>
  </si>
  <si>
    <t>K2O/Rb</t>
  </si>
  <si>
    <t>K2O/87Rb</t>
  </si>
  <si>
    <t>CaO/Sr</t>
  </si>
  <si>
    <t>CaO/86Sr</t>
  </si>
  <si>
    <t>Normalized SRM</t>
  </si>
  <si>
    <t>Model age (Ma)</t>
  </si>
  <si>
    <t>File name</t>
  </si>
  <si>
    <t>Y(mm)</t>
  </si>
  <si>
    <t>X (um)</t>
  </si>
  <si>
    <t>(87Sr/86Sr-87Sr/86Sr0)/(87Rb/86Sr)</t>
  </si>
  <si>
    <t>Slope (only 87Rb/86Sr&gt;1)</t>
  </si>
  <si>
    <t>Normalized FG-H+Shap granite isochron</t>
  </si>
  <si>
    <t>Normalized SRM 610+shap granite isochron</t>
  </si>
  <si>
    <t>EDS analysis of LA pit</t>
  </si>
  <si>
    <t xml:space="preserve">K2O/CaO (wt%/wt%) </t>
  </si>
  <si>
    <t>EDS map before LA</t>
  </si>
  <si>
    <t>cps on 88Sr</t>
  </si>
  <si>
    <t>1-6-1</t>
  </si>
  <si>
    <t>1-4-5</t>
  </si>
  <si>
    <t>1-4-4</t>
  </si>
  <si>
    <t>1-4-3</t>
  </si>
  <si>
    <t>1-4-2</t>
  </si>
  <si>
    <t>1-5-3</t>
  </si>
  <si>
    <t>1-5-2</t>
  </si>
  <si>
    <t>87Rb/86Sr&gt;1</t>
  </si>
  <si>
    <t>Y</t>
  </si>
  <si>
    <t>Grain surface area (um^2)</t>
  </si>
  <si>
    <t>Equivalent diameter (um)</t>
  </si>
  <si>
    <t>T</t>
  </si>
  <si>
    <t>K</t>
  </si>
  <si>
    <t>Delta t</t>
  </si>
  <si>
    <t>s</t>
  </si>
  <si>
    <t>a (um)</t>
  </si>
  <si>
    <t>ESI NWR193 UC laser ablation system with TwoVol2 Cell.</t>
  </si>
  <si>
    <t>Parameter</t>
  </si>
  <si>
    <t>Value</t>
  </si>
  <si>
    <t>Unit</t>
  </si>
  <si>
    <t>Thermo Scientific Neoma MC-ICP-MS with MS/MS Option.</t>
  </si>
  <si>
    <t>Nebulizer Gas Flow</t>
  </si>
  <si>
    <t>Cool Gas Flow</t>
  </si>
  <si>
    <t>Auxilary Gas Flow</t>
  </si>
  <si>
    <t>Torch Horizontal Position</t>
  </si>
  <si>
    <t>Torch Vertical Position</t>
  </si>
  <si>
    <t>Sampling Depth</t>
  </si>
  <si>
    <t>Plasma Power</t>
  </si>
  <si>
    <t>L/min</t>
  </si>
  <si>
    <t>mm</t>
  </si>
  <si>
    <t>W</t>
  </si>
  <si>
    <t>ESI Apex Omega Q desolvating nebulizer system.</t>
  </si>
  <si>
    <t>Argon</t>
  </si>
  <si>
    <t>Nitrogen</t>
  </si>
  <si>
    <t>Spray Chamber</t>
  </si>
  <si>
    <t>Peltier</t>
  </si>
  <si>
    <t>Desolvator</t>
  </si>
  <si>
    <t>Peripump</t>
  </si>
  <si>
    <t>rpm</t>
  </si>
  <si>
    <t>mL/min</t>
  </si>
  <si>
    <t>C</t>
  </si>
  <si>
    <t>Helium</t>
  </si>
  <si>
    <t>Spot Size</t>
  </si>
  <si>
    <t>Fluence</t>
  </si>
  <si>
    <t>Repetition Rate</t>
  </si>
  <si>
    <t>Dwell Time</t>
  </si>
  <si>
    <t>µm</t>
  </si>
  <si>
    <r>
      <t>J/cm</t>
    </r>
    <r>
      <rPr>
        <vertAlign val="superscript"/>
        <sz val="12"/>
        <color theme="1"/>
        <rFont val="Calibri"/>
        <family val="2"/>
        <scheme val="minor"/>
      </rPr>
      <t>2</t>
    </r>
  </si>
  <si>
    <t>Hz</t>
  </si>
  <si>
    <t>MRP</t>
  </si>
  <si>
    <t>Resolving Power</t>
  </si>
  <si>
    <t>Focus</t>
  </si>
  <si>
    <t>X Deflection</t>
  </si>
  <si>
    <t>Y Deflection</t>
  </si>
  <si>
    <t>Shape</t>
  </si>
  <si>
    <t>%</t>
  </si>
  <si>
    <t>Wien Filter Magnetic Field</t>
  </si>
  <si>
    <t>Wien Filter Electric Field</t>
  </si>
  <si>
    <t>Wien Focus 1</t>
  </si>
  <si>
    <t>Wien Focus 1 X Symmetry</t>
  </si>
  <si>
    <t>Wien Focus 1 Y Symmetry</t>
  </si>
  <si>
    <t>Wien Focus 2</t>
  </si>
  <si>
    <t>Wien Focus 3</t>
  </si>
  <si>
    <t>Wien Focus 3 X Symmetry</t>
  </si>
  <si>
    <t>Wien Focus 3 Y Symmetry</t>
  </si>
  <si>
    <t>Slit Angle</t>
  </si>
  <si>
    <t>°</t>
  </si>
  <si>
    <t>°C</t>
  </si>
  <si>
    <t>V</t>
  </si>
  <si>
    <t>CCT Entry</t>
  </si>
  <si>
    <t>CCT Bias</t>
  </si>
  <si>
    <t>CCT RF Amplitude</t>
  </si>
  <si>
    <t>CCT Exit 1</t>
  </si>
  <si>
    <t>CCT Exit 2</t>
  </si>
  <si>
    <r>
      <t>CCT SF</t>
    </r>
    <r>
      <rPr>
        <vertAlign val="subscript"/>
        <sz val="12"/>
        <color theme="1"/>
        <rFont val="Calibri"/>
        <family val="2"/>
        <scheme val="minor"/>
      </rPr>
      <t>6</t>
    </r>
  </si>
  <si>
    <t>µL/min</t>
  </si>
  <si>
    <t>L5</t>
  </si>
  <si>
    <t>L4</t>
  </si>
  <si>
    <t>L3</t>
  </si>
  <si>
    <t>L2</t>
  </si>
  <si>
    <t>L1</t>
  </si>
  <si>
    <t>H1</t>
  </si>
  <si>
    <t>H2</t>
  </si>
  <si>
    <t>H3</t>
  </si>
  <si>
    <t>H4</t>
  </si>
  <si>
    <t>H5</t>
  </si>
  <si>
    <t>Rb</t>
  </si>
  <si>
    <t>SrF</t>
  </si>
  <si>
    <r>
      <rPr>
        <vertAlign val="superscript"/>
        <sz val="12"/>
        <color theme="1"/>
        <rFont val="Calibri"/>
        <family val="2"/>
        <scheme val="minor"/>
      </rPr>
      <t>85</t>
    </r>
    <r>
      <rPr>
        <sz val="12"/>
        <color theme="1"/>
        <rFont val="Calibri"/>
        <family val="2"/>
        <scheme val="minor"/>
      </rPr>
      <t>Rb</t>
    </r>
  </si>
  <si>
    <r>
      <rPr>
        <vertAlign val="superscript"/>
        <sz val="12"/>
        <color theme="1"/>
        <rFont val="Calibri"/>
        <family val="2"/>
        <scheme val="minor"/>
      </rPr>
      <t>86</t>
    </r>
    <r>
      <rPr>
        <sz val="12"/>
        <color theme="1"/>
        <rFont val="Calibri"/>
        <family val="2"/>
        <scheme val="minor"/>
      </rPr>
      <t>Sr</t>
    </r>
  </si>
  <si>
    <r>
      <rPr>
        <vertAlign val="superscript"/>
        <sz val="12"/>
        <color theme="1"/>
        <rFont val="Calibri"/>
        <family val="2"/>
        <scheme val="minor"/>
      </rPr>
      <t>87</t>
    </r>
    <r>
      <rPr>
        <sz val="12"/>
        <color theme="1"/>
        <rFont val="Calibri"/>
        <family val="2"/>
        <scheme val="minor"/>
      </rPr>
      <t>Rb</t>
    </r>
  </si>
  <si>
    <r>
      <rPr>
        <vertAlign val="superscript"/>
        <sz val="12"/>
        <color theme="1"/>
        <rFont val="Calibri"/>
        <family val="2"/>
        <scheme val="minor"/>
      </rPr>
      <t>88</t>
    </r>
    <r>
      <rPr>
        <sz val="12"/>
        <color theme="1"/>
        <rFont val="Calibri"/>
        <family val="2"/>
        <scheme val="minor"/>
      </rPr>
      <t>Sr</t>
    </r>
  </si>
  <si>
    <r>
      <rPr>
        <vertAlign val="superscript"/>
        <sz val="12"/>
        <color theme="1"/>
        <rFont val="Calibri"/>
        <family val="2"/>
        <scheme val="minor"/>
      </rPr>
      <t>89</t>
    </r>
    <r>
      <rPr>
        <sz val="12"/>
        <color theme="1"/>
        <rFont val="Calibri"/>
        <family val="2"/>
        <scheme val="minor"/>
      </rPr>
      <t>Y</t>
    </r>
  </si>
  <si>
    <r>
      <rPr>
        <vertAlign val="superscript"/>
        <sz val="12"/>
        <color theme="1"/>
        <rFont val="Calibri"/>
        <family val="2"/>
        <scheme val="minor"/>
      </rPr>
      <t>90</t>
    </r>
    <r>
      <rPr>
        <sz val="12"/>
        <color theme="1"/>
        <rFont val="Calibri"/>
        <family val="2"/>
        <scheme val="minor"/>
      </rPr>
      <t>Zr</t>
    </r>
  </si>
  <si>
    <r>
      <rPr>
        <vertAlign val="superscript"/>
        <sz val="12"/>
        <color theme="1"/>
        <rFont val="Calibri"/>
        <family val="2"/>
        <scheme val="minor"/>
      </rPr>
      <t>88</t>
    </r>
    <r>
      <rPr>
        <sz val="12"/>
        <color theme="1"/>
        <rFont val="Calibri"/>
        <family val="2"/>
        <scheme val="minor"/>
      </rPr>
      <t>SrF</t>
    </r>
  </si>
  <si>
    <r>
      <rPr>
        <vertAlign val="superscript"/>
        <sz val="12"/>
        <color theme="1"/>
        <rFont val="Calibri"/>
        <family val="2"/>
        <scheme val="minor"/>
      </rPr>
      <t>87</t>
    </r>
    <r>
      <rPr>
        <sz val="12"/>
        <color theme="1"/>
        <rFont val="Calibri"/>
        <family val="2"/>
        <scheme val="minor"/>
      </rPr>
      <t>SrF</t>
    </r>
  </si>
  <si>
    <r>
      <rPr>
        <vertAlign val="superscript"/>
        <sz val="12"/>
        <color theme="1"/>
        <rFont val="Calibri"/>
        <family val="2"/>
        <scheme val="minor"/>
      </rPr>
      <t>86</t>
    </r>
    <r>
      <rPr>
        <sz val="12"/>
        <color theme="1"/>
        <rFont val="Calibri"/>
        <family val="2"/>
        <scheme val="minor"/>
      </rPr>
      <t>SrF</t>
    </r>
  </si>
  <si>
    <r>
      <rPr>
        <vertAlign val="superscript"/>
        <sz val="12"/>
        <color theme="1"/>
        <rFont val="Calibri"/>
        <family val="2"/>
        <scheme val="minor"/>
      </rPr>
      <t>85</t>
    </r>
    <r>
      <rPr>
        <sz val="12"/>
        <color theme="1"/>
        <rFont val="Calibri"/>
        <family val="2"/>
        <scheme val="minor"/>
      </rPr>
      <t>RbF</t>
    </r>
  </si>
  <si>
    <r>
      <rPr>
        <vertAlign val="superscript"/>
        <sz val="12"/>
        <color theme="1"/>
        <rFont val="Calibri"/>
        <family val="2"/>
        <scheme val="minor"/>
      </rPr>
      <t>84</t>
    </r>
    <r>
      <rPr>
        <sz val="12"/>
        <color theme="1"/>
        <rFont val="Calibri"/>
        <family val="2"/>
        <scheme val="minor"/>
      </rPr>
      <t>SrF</t>
    </r>
  </si>
  <si>
    <r>
      <rPr>
        <vertAlign val="superscript"/>
        <sz val="12"/>
        <color theme="1"/>
        <rFont val="Calibri"/>
        <family val="2"/>
        <scheme val="minor"/>
      </rPr>
      <t>83</t>
    </r>
    <r>
      <rPr>
        <sz val="12"/>
        <color theme="1"/>
        <rFont val="Calibri"/>
        <family val="2"/>
        <scheme val="minor"/>
      </rPr>
      <t>KrF</t>
    </r>
  </si>
  <si>
    <r>
      <t>10</t>
    </r>
    <r>
      <rPr>
        <vertAlign val="superscript"/>
        <sz val="12"/>
        <color theme="1"/>
        <rFont val="Calibri"/>
        <family val="2"/>
        <scheme val="minor"/>
      </rPr>
      <t xml:space="preserve">11 </t>
    </r>
    <r>
      <rPr>
        <sz val="12"/>
        <color theme="1"/>
        <rFont val="Calibri"/>
        <family val="2"/>
        <scheme val="minor"/>
      </rPr>
      <t>Ω</t>
    </r>
  </si>
  <si>
    <t>Amplifer Assignment</t>
  </si>
  <si>
    <t>Table 1. Instrumental conditions</t>
  </si>
  <si>
    <t>Table 2. Cup configuration</t>
  </si>
  <si>
    <t>BC24-F1-5_1</t>
  </si>
  <si>
    <t>BC24-F1-5_2</t>
  </si>
  <si>
    <t>BC24-F1-5_3</t>
  </si>
  <si>
    <t>BC24-F1-5_4</t>
  </si>
  <si>
    <t>BC24-F1-5_5</t>
  </si>
  <si>
    <t>BC24-F1-5_6</t>
  </si>
  <si>
    <t>BC24-F1-5_7</t>
  </si>
  <si>
    <t>BC20-F4-4_1</t>
  </si>
  <si>
    <t>BC20-F4-4_2</t>
  </si>
  <si>
    <t>BC20-F4-4_3</t>
  </si>
  <si>
    <t>BC20-F4-4_4</t>
  </si>
  <si>
    <t>BC20-F4-4_5</t>
  </si>
  <si>
    <t>BC20-F4-4_6</t>
  </si>
  <si>
    <t>BC20-F4-4_7</t>
  </si>
  <si>
    <t>BC20-F4-4_8</t>
  </si>
  <si>
    <t>BC20-F4-4_9</t>
  </si>
  <si>
    <t>BC20-F4-4_10</t>
  </si>
  <si>
    <t>BC20-F4-4_11</t>
  </si>
  <si>
    <t>BC20-F4-4_12</t>
  </si>
  <si>
    <t>BC20-F4-4_13</t>
  </si>
  <si>
    <t>BC20-F4-4_14</t>
  </si>
  <si>
    <t>BC20-F4-4_15</t>
  </si>
  <si>
    <t>BC20-F4-4_16</t>
  </si>
  <si>
    <t>BC20-F4-4_17</t>
  </si>
  <si>
    <t>BC20-F4-4_18</t>
  </si>
  <si>
    <t>BC20-F4-4_19</t>
  </si>
  <si>
    <t>BC20-F4-4_20</t>
  </si>
  <si>
    <t>BC20-F4-4_21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</si>
</sst>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"/>
    <numFmt numFmtId="165" formatCode="0.0E+00"/>
    <numFmt numFmtId="166" formatCode="0E+00"/>
    <numFmt numFmtId="167" formatCode="0.000000"/>
    <numFmt numFmtId="168" formatCode="0.0000"/>
    <numFmt numFmtId="169" formatCode="0.000"/>
    <numFmt numFmtId="170" formatCode="0.0000000E+00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i/>
      <sz val="13"/>
      <color theme="1"/>
      <name val="Arial"/>
      <family val="2"/>
    </font>
    <font>
      <sz val="12"/>
      <color rgb="FF000000"/>
      <name val="Calibri"/>
      <family val="2"/>
      <scheme val="minor"/>
    </font>
    <font>
      <sz val="13"/>
      <color rgb="FF000000"/>
      <name val="Arial"/>
      <family val="2"/>
    </font>
    <font>
      <i/>
      <sz val="13"/>
      <color rgb="FF000000"/>
      <name val="Arial"/>
      <family val="2"/>
    </font>
    <font>
      <vertAlign val="superscript"/>
      <sz val="12"/>
      <color theme="1"/>
      <name val="Calibri (Body)"/>
    </font>
    <font>
      <sz val="10"/>
      <color theme="1"/>
      <name val="Helvetica"/>
      <family val="2"/>
    </font>
    <font>
      <sz val="6"/>
      <color theme="1"/>
      <name val="Helvetica"/>
      <family val="2"/>
    </font>
    <font>
      <sz val="12"/>
      <color theme="1"/>
      <name val="Helvetica"/>
      <family val="2"/>
    </font>
    <font>
      <vertAlign val="superscript"/>
      <sz val="12"/>
      <color rgb="FF000000"/>
      <name val="Calibri (Body)"/>
    </font>
    <font>
      <b/>
      <sz val="12"/>
      <color theme="1"/>
      <name val="Calibri"/>
      <family val="2"/>
      <scheme val="minor"/>
    </font>
    <font>
      <sz val="12"/>
      <color theme="1"/>
      <name val="Calibri (Body)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2" xfId="0" applyFont="1" applyFill="1" applyBorder="1"/>
    <xf numFmtId="0" fontId="0" fillId="0" borderId="0" xfId="0" applyFont="1" applyFill="1"/>
    <xf numFmtId="0" fontId="0" fillId="0" borderId="1" xfId="0" applyFont="1" applyFill="1" applyBorder="1"/>
    <xf numFmtId="0" fontId="1" fillId="0" borderId="0" xfId="0" applyFont="1" applyFill="1"/>
    <xf numFmtId="164" fontId="0" fillId="0" borderId="0" xfId="0" applyNumberFormat="1" applyFont="1" applyFill="1"/>
    <xf numFmtId="0" fontId="2" fillId="0" borderId="0" xfId="0" applyFont="1" applyFill="1"/>
    <xf numFmtId="0" fontId="0" fillId="2" borderId="2" xfId="0" applyFont="1" applyFill="1" applyBorder="1"/>
    <xf numFmtId="0" fontId="0" fillId="2" borderId="0" xfId="0" applyFont="1" applyFill="1"/>
    <xf numFmtId="0" fontId="0" fillId="2" borderId="1" xfId="0" applyFont="1" applyFill="1" applyBorder="1"/>
    <xf numFmtId="0" fontId="0" fillId="3" borderId="2" xfId="0" applyFont="1" applyFill="1" applyBorder="1"/>
    <xf numFmtId="0" fontId="0" fillId="3" borderId="0" xfId="0" applyFont="1" applyFill="1"/>
    <xf numFmtId="0" fontId="0" fillId="3" borderId="1" xfId="0" applyFont="1" applyFill="1" applyBorder="1"/>
    <xf numFmtId="166" fontId="0" fillId="0" borderId="2" xfId="0" applyNumberFormat="1" applyFont="1" applyFill="1" applyBorder="1"/>
    <xf numFmtId="166" fontId="0" fillId="0" borderId="0" xfId="0" applyNumberFormat="1" applyFont="1" applyFill="1"/>
    <xf numFmtId="166" fontId="0" fillId="0" borderId="1" xfId="0" applyNumberFormat="1" applyFont="1" applyFill="1" applyBorder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5" fillId="0" borderId="0" xfId="0" applyFont="1"/>
    <xf numFmtId="165" fontId="4" fillId="0" borderId="2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/>
    <xf numFmtId="165" fontId="0" fillId="0" borderId="0" xfId="0" applyNumberFormat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11" fontId="4" fillId="0" borderId="0" xfId="0" applyNumberFormat="1" applyFont="1" applyAlignment="1">
      <alignment horizontal="center"/>
    </xf>
    <xf numFmtId="11" fontId="4" fillId="0" borderId="2" xfId="0" applyNumberFormat="1" applyFont="1" applyBorder="1" applyAlignment="1">
      <alignment horizontal="center"/>
    </xf>
    <xf numFmtId="0" fontId="0" fillId="0" borderId="0" xfId="0" applyFont="1" applyFill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3" xfId="0" applyFont="1" applyFill="1" applyBorder="1"/>
    <xf numFmtId="0" fontId="0" fillId="0" borderId="3" xfId="0" applyBorder="1"/>
    <xf numFmtId="164" fontId="4" fillId="0" borderId="3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0" fillId="0" borderId="2" xfId="0" applyFont="1" applyFill="1" applyBorder="1" applyAlignment="1">
      <alignment horizontal="center"/>
    </xf>
    <xf numFmtId="11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Font="1" applyFill="1"/>
    <xf numFmtId="168" fontId="0" fillId="0" borderId="0" xfId="0" applyNumberFormat="1" applyFont="1" applyFill="1"/>
    <xf numFmtId="2" fontId="0" fillId="0" borderId="0" xfId="0" applyNumberFormat="1" applyFont="1" applyFill="1"/>
    <xf numFmtId="167" fontId="4" fillId="0" borderId="0" xfId="0" applyNumberFormat="1" applyFont="1"/>
    <xf numFmtId="168" fontId="4" fillId="0" borderId="0" xfId="0" applyNumberFormat="1" applyFont="1"/>
    <xf numFmtId="169" fontId="4" fillId="0" borderId="0" xfId="0" applyNumberFormat="1" applyFont="1"/>
    <xf numFmtId="11" fontId="0" fillId="0" borderId="0" xfId="0" applyNumberFormat="1" applyFont="1" applyFill="1" applyBorder="1" applyAlignment="1">
      <alignment horizontal="center"/>
    </xf>
    <xf numFmtId="168" fontId="0" fillId="0" borderId="0" xfId="0" applyNumberFormat="1" applyFont="1" applyFill="1" applyBorder="1"/>
    <xf numFmtId="164" fontId="0" fillId="0" borderId="0" xfId="0" applyNumberFormat="1" applyFont="1" applyFill="1" applyBorder="1"/>
    <xf numFmtId="2" fontId="0" fillId="0" borderId="0" xfId="0" applyNumberFormat="1" applyFont="1" applyFill="1" applyBorder="1"/>
    <xf numFmtId="167" fontId="0" fillId="0" borderId="0" xfId="0" applyNumberFormat="1" applyFont="1" applyFill="1" applyBorder="1"/>
    <xf numFmtId="0" fontId="14" fillId="0" borderId="0" xfId="0" applyFont="1"/>
    <xf numFmtId="0" fontId="14" fillId="0" borderId="0" xfId="0" applyFont="1" applyBorder="1"/>
    <xf numFmtId="11" fontId="14" fillId="0" borderId="0" xfId="0" applyNumberFormat="1" applyFont="1" applyAlignment="1">
      <alignment horizontal="center"/>
    </xf>
    <xf numFmtId="168" fontId="14" fillId="0" borderId="0" xfId="0" applyNumberFormat="1" applyFont="1"/>
    <xf numFmtId="167" fontId="14" fillId="0" borderId="0" xfId="0" applyNumberFormat="1" applyFont="1"/>
    <xf numFmtId="0" fontId="12" fillId="0" borderId="0" xfId="0" applyFont="1"/>
    <xf numFmtId="169" fontId="14" fillId="0" borderId="0" xfId="0" applyNumberFormat="1" applyFont="1"/>
    <xf numFmtId="0" fontId="12" fillId="0" borderId="0" xfId="0" applyFont="1" applyFill="1"/>
    <xf numFmtId="0" fontId="12" fillId="0" borderId="0" xfId="0" applyFont="1" applyFill="1" applyBorder="1"/>
    <xf numFmtId="11" fontId="12" fillId="0" borderId="0" xfId="0" applyNumberFormat="1" applyFont="1" applyFill="1" applyAlignment="1">
      <alignment horizontal="center"/>
    </xf>
    <xf numFmtId="168" fontId="12" fillId="0" borderId="0" xfId="0" applyNumberFormat="1" applyFont="1" applyFill="1"/>
    <xf numFmtId="164" fontId="12" fillId="0" borderId="0" xfId="0" applyNumberFormat="1" applyFont="1" applyFill="1"/>
    <xf numFmtId="2" fontId="12" fillId="0" borderId="0" xfId="0" applyNumberFormat="1" applyFont="1" applyFill="1"/>
    <xf numFmtId="167" fontId="12" fillId="0" borderId="0" xfId="0" applyNumberFormat="1" applyFont="1" applyFill="1"/>
    <xf numFmtId="0" fontId="12" fillId="0" borderId="2" xfId="0" applyFont="1" applyFill="1" applyBorder="1"/>
    <xf numFmtId="11" fontId="12" fillId="0" borderId="2" xfId="0" applyNumberFormat="1" applyFont="1" applyFill="1" applyBorder="1" applyAlignment="1">
      <alignment horizontal="center"/>
    </xf>
    <xf numFmtId="168" fontId="12" fillId="0" borderId="2" xfId="0" applyNumberFormat="1" applyFont="1" applyFill="1" applyBorder="1"/>
    <xf numFmtId="2" fontId="12" fillId="0" borderId="2" xfId="0" applyNumberFormat="1" applyFont="1" applyFill="1" applyBorder="1"/>
    <xf numFmtId="0" fontId="0" fillId="0" borderId="1" xfId="0" applyBorder="1"/>
    <xf numFmtId="1" fontId="0" fillId="0" borderId="0" xfId="0" applyNumberFormat="1"/>
    <xf numFmtId="0" fontId="15" fillId="0" borderId="0" xfId="0" applyFont="1" applyFill="1"/>
    <xf numFmtId="166" fontId="15" fillId="0" borderId="0" xfId="0" applyNumberFormat="1" applyFont="1" applyFill="1"/>
    <xf numFmtId="0" fontId="15" fillId="2" borderId="0" xfId="0" applyFont="1" applyFill="1"/>
    <xf numFmtId="0" fontId="15" fillId="3" borderId="0" xfId="0" applyFont="1" applyFill="1"/>
    <xf numFmtId="0" fontId="15" fillId="0" borderId="2" xfId="0" applyFont="1" applyFill="1" applyBorder="1"/>
    <xf numFmtId="166" fontId="15" fillId="0" borderId="2" xfId="0" applyNumberFormat="1" applyFont="1" applyFill="1" applyBorder="1"/>
    <xf numFmtId="0" fontId="15" fillId="3" borderId="2" xfId="0" applyFont="1" applyFill="1" applyBorder="1"/>
    <xf numFmtId="0" fontId="16" fillId="2" borderId="0" xfId="0" applyFont="1" applyFill="1"/>
    <xf numFmtId="0" fontId="16" fillId="3" borderId="0" xfId="0" applyFont="1" applyFill="1"/>
    <xf numFmtId="0" fontId="16" fillId="2" borderId="2" xfId="0" applyFont="1" applyFill="1" applyBorder="1"/>
    <xf numFmtId="0" fontId="16" fillId="3" borderId="2" xfId="0" applyFont="1" applyFill="1" applyBorder="1"/>
    <xf numFmtId="1" fontId="14" fillId="0" borderId="0" xfId="0" applyNumberFormat="1" applyFont="1"/>
    <xf numFmtId="164" fontId="14" fillId="0" borderId="0" xfId="0" applyNumberFormat="1" applyFont="1"/>
    <xf numFmtId="168" fontId="14" fillId="0" borderId="2" xfId="0" applyNumberFormat="1" applyFont="1" applyBorder="1"/>
    <xf numFmtId="0" fontId="4" fillId="4" borderId="2" xfId="0" applyFont="1" applyFill="1" applyBorder="1"/>
    <xf numFmtId="0" fontId="4" fillId="4" borderId="0" xfId="0" applyFont="1" applyFill="1"/>
    <xf numFmtId="0" fontId="4" fillId="4" borderId="1" xfId="0" applyFont="1" applyFill="1" applyBorder="1"/>
    <xf numFmtId="0" fontId="0" fillId="4" borderId="0" xfId="0" applyFill="1"/>
    <xf numFmtId="1" fontId="4" fillId="0" borderId="0" xfId="0" applyNumberFormat="1" applyFont="1"/>
    <xf numFmtId="0" fontId="0" fillId="0" borderId="2" xfId="0" applyBorder="1"/>
    <xf numFmtId="165" fontId="4" fillId="4" borderId="0" xfId="0" applyNumberFormat="1" applyFont="1" applyFill="1"/>
    <xf numFmtId="168" fontId="4" fillId="4" borderId="0" xfId="0" applyNumberFormat="1" applyFont="1" applyFill="1"/>
    <xf numFmtId="1" fontId="4" fillId="4" borderId="0" xfId="0" applyNumberFormat="1" applyFont="1" applyFill="1"/>
    <xf numFmtId="164" fontId="0" fillId="0" borderId="0" xfId="0" applyNumberFormat="1"/>
    <xf numFmtId="169" fontId="0" fillId="0" borderId="0" xfId="0" applyNumberFormat="1"/>
    <xf numFmtId="1" fontId="0" fillId="4" borderId="0" xfId="0" applyNumberFormat="1" applyFill="1"/>
    <xf numFmtId="11" fontId="0" fillId="0" borderId="0" xfId="0" applyNumberFormat="1"/>
    <xf numFmtId="0" fontId="0" fillId="4" borderId="0" xfId="0" applyFont="1" applyFill="1"/>
    <xf numFmtId="0" fontId="16" fillId="4" borderId="0" xfId="0" applyFont="1" applyFill="1"/>
    <xf numFmtId="170" fontId="0" fillId="4" borderId="0" xfId="0" applyNumberFormat="1" applyFont="1" applyFill="1"/>
    <xf numFmtId="49" fontId="4" fillId="0" borderId="0" xfId="0" applyNumberFormat="1" applyFont="1"/>
    <xf numFmtId="49" fontId="4" fillId="0" borderId="2" xfId="0" applyNumberFormat="1" applyFont="1" applyBorder="1"/>
    <xf numFmtId="1" fontId="0" fillId="2" borderId="0" xfId="0" applyNumberFormat="1" applyFill="1"/>
    <xf numFmtId="1" fontId="4" fillId="2" borderId="0" xfId="0" applyNumberFormat="1" applyFont="1" applyFill="1"/>
    <xf numFmtId="0" fontId="0" fillId="0" borderId="0" xfId="0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7" fillId="0" borderId="1" xfId="0" applyFont="1" applyBorder="1"/>
    <xf numFmtId="0" fontId="0" fillId="0" borderId="4" xfId="0" applyBorder="1"/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6202974628172"/>
          <c:y val="4.2564788624722884E-2"/>
          <c:w val="0.73414063867016621"/>
          <c:h val="0.75464108248604844"/>
        </c:manualLayout>
      </c:layout>
      <c:scatterChart>
        <c:scatterStyle val="lineMarker"/>
        <c:varyColors val="0"/>
        <c:ser>
          <c:idx val="0"/>
          <c:order val="0"/>
          <c:tx>
            <c:v>SRM-610 normalized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known_materials!$I$50:$I$53</c:f>
                <c:numCache>
                  <c:formatCode>General</c:formatCode>
                  <c:ptCount val="4"/>
                  <c:pt idx="0">
                    <c:v>2.4417968492887975E-2</c:v>
                  </c:pt>
                  <c:pt idx="1">
                    <c:v>1.3183765313945142E-4</c:v>
                  </c:pt>
                  <c:pt idx="2">
                    <c:v>7.729468627479464E-3</c:v>
                  </c:pt>
                  <c:pt idx="3">
                    <c:v>2.2421028416872322E-3</c:v>
                  </c:pt>
                </c:numCache>
              </c:numRef>
            </c:plus>
            <c:minus>
              <c:numRef>
                <c:f>known_materials!$I$50:$I$53</c:f>
                <c:numCache>
                  <c:formatCode>General</c:formatCode>
                  <c:ptCount val="4"/>
                  <c:pt idx="0">
                    <c:v>2.4417968492887975E-2</c:v>
                  </c:pt>
                  <c:pt idx="1">
                    <c:v>1.3183765313945142E-4</c:v>
                  </c:pt>
                  <c:pt idx="2">
                    <c:v>7.729468627479464E-3</c:v>
                  </c:pt>
                  <c:pt idx="3">
                    <c:v>2.2421028416872322E-3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known_materials!$D$50:$D$53</c:f>
              <c:numCache>
                <c:formatCode>General</c:formatCode>
                <c:ptCount val="4"/>
                <c:pt idx="0" formatCode="0.00000">
                  <c:v>1.1576630990000001</c:v>
                </c:pt>
                <c:pt idx="1">
                  <c:v>0</c:v>
                </c:pt>
                <c:pt idx="2" formatCode="0.00000">
                  <c:v>0.82233897731585592</c:v>
                </c:pt>
                <c:pt idx="3" formatCode="0.00000">
                  <c:v>0.10550218865387959</c:v>
                </c:pt>
              </c:numCache>
            </c:numRef>
          </c:xVal>
          <c:yVal>
            <c:numRef>
              <c:f>known_materials!$H$50:$H$53</c:f>
              <c:numCache>
                <c:formatCode>General</c:formatCode>
                <c:ptCount val="4"/>
                <c:pt idx="0">
                  <c:v>1.1702599953999999</c:v>
                </c:pt>
                <c:pt idx="1">
                  <c:v>4.8966480000000005E-5</c:v>
                </c:pt>
                <c:pt idx="2">
                  <c:v>0.72862023717873403</c:v>
                </c:pt>
                <c:pt idx="3">
                  <c:v>9.9658894851963692E-2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8D-A242-B4EA-5BC889C7EFE4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known_materials!$M$79:$M$80</c:f>
              <c:numCache>
                <c:formatCode>General</c:formatCode>
                <c:ptCount val="2"/>
                <c:pt idx="0">
                  <c:v>0</c:v>
                </c:pt>
                <c:pt idx="1">
                  <c:v>1.4</c:v>
                </c:pt>
              </c:numCache>
            </c:numRef>
          </c:xVal>
          <c:yVal>
            <c:numRef>
              <c:f>known_materials!$N$79:$N$80</c:f>
              <c:numCache>
                <c:formatCode>General</c:formatCode>
                <c:ptCount val="2"/>
                <c:pt idx="0">
                  <c:v>0</c:v>
                </c:pt>
                <c:pt idx="1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8D-A242-B4EA-5BC889C7EFE4}"/>
            </c:ext>
          </c:extLst>
        </c:ser>
        <c:ser>
          <c:idx val="2"/>
          <c:order val="2"/>
          <c:tx>
            <c:v>FG-H normalized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known_materials!$N$52:$N$53</c:f>
                <c:numCache>
                  <c:formatCode>General</c:formatCode>
                  <c:ptCount val="2"/>
                  <c:pt idx="0">
                    <c:v>9.245424438982467E-3</c:v>
                  </c:pt>
                  <c:pt idx="1">
                    <c:v>2.6592691893205368E-3</c:v>
                  </c:pt>
                </c:numCache>
              </c:numRef>
            </c:plus>
            <c:minus>
              <c:numRef>
                <c:f>known_materials!$N$52:$N$53</c:f>
                <c:numCache>
                  <c:formatCode>General</c:formatCode>
                  <c:ptCount val="2"/>
                  <c:pt idx="0">
                    <c:v>9.245424438982467E-3</c:v>
                  </c:pt>
                  <c:pt idx="1">
                    <c:v>2.6592691893205368E-3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known_materials!$D$52:$D$53</c:f>
              <c:numCache>
                <c:formatCode>0.00000</c:formatCode>
                <c:ptCount val="2"/>
                <c:pt idx="0">
                  <c:v>0.82233897731585592</c:v>
                </c:pt>
                <c:pt idx="1">
                  <c:v>0.10550218865387959</c:v>
                </c:pt>
              </c:numCache>
            </c:numRef>
          </c:xVal>
          <c:yVal>
            <c:numRef>
              <c:f>known_materials!$M$52:$M$53</c:f>
              <c:numCache>
                <c:formatCode>General</c:formatCode>
                <c:ptCount val="2"/>
                <c:pt idx="0">
                  <c:v>0.87152217988187242</c:v>
                </c:pt>
                <c:pt idx="1">
                  <c:v>0.11820145962712789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8D-A242-B4EA-5BC889C7E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2384"/>
        <c:axId val="1823880256"/>
      </c:scatterChart>
      <c:valAx>
        <c:axId val="1219062384"/>
        <c:scaling>
          <c:orientation val="minMax"/>
          <c:max val="1.4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800" b="1" baseline="30000"/>
                  <a:t>87</a:t>
                </a:r>
                <a:r>
                  <a:rPr lang="en-US" sz="1800" b="1"/>
                  <a:t>Rb/</a:t>
                </a:r>
                <a:r>
                  <a:rPr lang="en-US" sz="1800" b="1" baseline="30000"/>
                  <a:t>86</a:t>
                </a:r>
                <a:r>
                  <a:rPr lang="en-US" sz="1800" b="1"/>
                  <a:t>Sr reference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0.00000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823880256"/>
        <c:crosses val="autoZero"/>
        <c:crossBetween val="midCat"/>
        <c:majorUnit val="0.25"/>
      </c:valAx>
      <c:valAx>
        <c:axId val="1823880256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800" b="1" baseline="30000"/>
                  <a:t>87</a:t>
                </a:r>
                <a:r>
                  <a:rPr lang="en-US" sz="1800" b="1"/>
                  <a:t>Rb/</a:t>
                </a:r>
                <a:r>
                  <a:rPr lang="en-US" sz="1800" b="1" baseline="30000"/>
                  <a:t>86</a:t>
                </a:r>
                <a:r>
                  <a:rPr lang="en-US" sz="1800" b="1"/>
                  <a:t>Sr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219062384"/>
        <c:crosses val="autoZero"/>
        <c:crossBetween val="midCat"/>
        <c:majorUnit val="0.25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370822397200354"/>
          <c:y val="0.60287108528909616"/>
          <c:w val="0.42881824146981629"/>
          <c:h val="0.16041281247611039"/>
        </c:manualLayout>
      </c:layout>
      <c:overlay val="0"/>
      <c:spPr>
        <a:noFill/>
        <a:ln w="254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known_materials!$K$50:$K$53</c:f>
                <c:numCache>
                  <c:formatCode>General</c:formatCode>
                  <c:ptCount val="4"/>
                  <c:pt idx="0">
                    <c:v>6.9281648103866535E-4</c:v>
                  </c:pt>
                  <c:pt idx="1">
                    <c:v>3.1071804220795385E-4</c:v>
                  </c:pt>
                  <c:pt idx="2">
                    <c:v>4.7188316842241272E-4</c:v>
                  </c:pt>
                  <c:pt idx="3">
                    <c:v>1.5055437206954307E-4</c:v>
                  </c:pt>
                </c:numCache>
              </c:numRef>
            </c:plus>
            <c:minus>
              <c:numRef>
                <c:f>known_materials!$K$50:$K$53</c:f>
                <c:numCache>
                  <c:formatCode>General</c:formatCode>
                  <c:ptCount val="4"/>
                  <c:pt idx="0">
                    <c:v>6.9281648103866535E-4</c:v>
                  </c:pt>
                  <c:pt idx="1">
                    <c:v>3.1071804220795385E-4</c:v>
                  </c:pt>
                  <c:pt idx="2">
                    <c:v>4.7188316842241272E-4</c:v>
                  </c:pt>
                  <c:pt idx="3">
                    <c:v>1.5055437206954307E-4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known_materials!$F$50:$F$53</c:f>
              <c:numCache>
                <c:formatCode>General</c:formatCode>
                <c:ptCount val="4"/>
                <c:pt idx="0">
                  <c:v>0.709063</c:v>
                </c:pt>
                <c:pt idx="1">
                  <c:v>0.70633000000000001</c:v>
                </c:pt>
                <c:pt idx="2">
                  <c:v>0.70413650000000005</c:v>
                </c:pt>
                <c:pt idx="3">
                  <c:v>0.70433450000000009</c:v>
                </c:pt>
              </c:numCache>
            </c:numRef>
          </c:xVal>
          <c:yVal>
            <c:numRef>
              <c:f>known_materials!$J$50:$J$53</c:f>
              <c:numCache>
                <c:formatCode>General</c:formatCode>
                <c:ptCount val="4"/>
                <c:pt idx="0">
                  <c:v>0.71056462799999998</c:v>
                </c:pt>
                <c:pt idx="1">
                  <c:v>0.70583270100000006</c:v>
                </c:pt>
                <c:pt idx="2">
                  <c:v>0.7055581321475074</c:v>
                </c:pt>
                <c:pt idx="3">
                  <c:v>0.70618127005161602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20-664F-B6B3-CFBEF84CBC68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known_materials!$M$75:$M$76</c:f>
              <c:numCache>
                <c:formatCode>General</c:formatCode>
                <c:ptCount val="2"/>
                <c:pt idx="0">
                  <c:v>0.70299999999999996</c:v>
                </c:pt>
                <c:pt idx="1">
                  <c:v>0.71199999999999997</c:v>
                </c:pt>
              </c:numCache>
            </c:numRef>
          </c:xVal>
          <c:yVal>
            <c:numRef>
              <c:f>known_materials!$N$75:$N$76</c:f>
              <c:numCache>
                <c:formatCode>General</c:formatCode>
                <c:ptCount val="2"/>
                <c:pt idx="0">
                  <c:v>0.70299999999999996</c:v>
                </c:pt>
                <c:pt idx="1">
                  <c:v>0.71199999999999997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20-664F-B6B3-CFBEF84CBC6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known_materials!$P$52:$P$53</c:f>
                <c:numCache>
                  <c:formatCode>General</c:formatCode>
                  <c:ptCount val="2"/>
                  <c:pt idx="0">
                    <c:v>4.7092545772650283E-4</c:v>
                  </c:pt>
                  <c:pt idx="1">
                    <c:v>1.5018326583235523E-4</c:v>
                  </c:pt>
                </c:numCache>
              </c:numRef>
            </c:plus>
            <c:minus>
              <c:numRef>
                <c:f>known_materials!$P$52:$P$53</c:f>
                <c:numCache>
                  <c:formatCode>General</c:formatCode>
                  <c:ptCount val="2"/>
                  <c:pt idx="0">
                    <c:v>4.7092545772650283E-4</c:v>
                  </c:pt>
                  <c:pt idx="1">
                    <c:v>1.5018326583235523E-4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known_materials!$F$52:$F$53</c:f>
              <c:numCache>
                <c:formatCode>General</c:formatCode>
                <c:ptCount val="2"/>
                <c:pt idx="0">
                  <c:v>0.70413650000000005</c:v>
                </c:pt>
                <c:pt idx="1">
                  <c:v>0.70433450000000009</c:v>
                </c:pt>
              </c:numCache>
            </c:numRef>
          </c:xVal>
          <c:yVal>
            <c:numRef>
              <c:f>known_materials!$O$52:$O$53</c:f>
              <c:numCache>
                <c:formatCode>General</c:formatCode>
                <c:ptCount val="2"/>
                <c:pt idx="0">
                  <c:v>0.70412616632432068</c:v>
                </c:pt>
                <c:pt idx="1">
                  <c:v>0.70444058148643829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20-664F-B6B3-CFBEF84CB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952064"/>
        <c:axId val="1220517152"/>
      </c:scatterChart>
      <c:valAx>
        <c:axId val="1219952064"/>
        <c:scaling>
          <c:orientation val="minMax"/>
          <c:max val="0.71200000000000008"/>
          <c:min val="0.7030000000000000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800" b="1" i="0" baseline="30000">
                    <a:effectLst/>
                  </a:rPr>
                  <a:t>87</a:t>
                </a:r>
                <a:r>
                  <a:rPr lang="en-US" sz="1800" b="1" i="0" baseline="0">
                    <a:effectLst/>
                  </a:rPr>
                  <a:t>Sr/</a:t>
                </a:r>
                <a:r>
                  <a:rPr lang="en-US" sz="1800" b="1" i="0" baseline="30000">
                    <a:effectLst/>
                  </a:rPr>
                  <a:t>86</a:t>
                </a:r>
                <a:r>
                  <a:rPr lang="en-US" sz="1800" b="1" i="0" baseline="0">
                    <a:effectLst/>
                  </a:rPr>
                  <a:t>Sr reference value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220517152"/>
        <c:crosses val="autoZero"/>
        <c:crossBetween val="midCat"/>
        <c:minorUnit val="5.0000000000000012E-4"/>
      </c:valAx>
      <c:valAx>
        <c:axId val="1220517152"/>
        <c:scaling>
          <c:orientation val="minMax"/>
          <c:max val="0.71200000000000008"/>
          <c:min val="0.7030000000000000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800" b="1" baseline="30000"/>
                  <a:t>87</a:t>
                </a:r>
                <a:r>
                  <a:rPr lang="en-US" sz="1800" b="1"/>
                  <a:t>Sr/</a:t>
                </a:r>
                <a:r>
                  <a:rPr lang="en-US" sz="1800" b="1" baseline="30000"/>
                  <a:t>86</a:t>
                </a:r>
                <a:r>
                  <a:rPr lang="en-US" sz="1800" b="1"/>
                  <a:t>Sr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219952064"/>
        <c:crosses val="autoZero"/>
        <c:crossBetween val="midCat"/>
        <c:majorUnit val="2.0000000000000005E-3"/>
        <c:minorUnit val="5.0000000000000012E-4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B6F1874-464B-604E-966E-ADDA718A50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DC4-5345-983A-F0C68412297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1FE287-958E-D24D-A783-28B60A5EDA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DC4-5345-983A-F0C6841229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F821043-DF05-C946-9679-EBDAC9901D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DC4-5345-983A-F0C68412297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199DC6-5729-8946-886D-6AF6B1F5FB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DC4-5345-983A-F0C68412297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3028F1A-EA64-3F44-A1BD-A7942D7AFF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DC4-5345-983A-F0C68412297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8FC2A57-32D8-C848-8D1D-6811CCB2D8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DC4-5345-983A-F0C68412297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2F7FB67-7408-4047-8034-C08E930661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DC4-5345-983A-F0C68412297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Hibonites!$H$5:$H$11</c:f>
                <c:numCache>
                  <c:formatCode>General</c:formatCode>
                  <c:ptCount val="7"/>
                  <c:pt idx="0">
                    <c:v>4.5083500000000004E-3</c:v>
                  </c:pt>
                  <c:pt idx="1">
                    <c:v>3.1535600000000001E-3</c:v>
                  </c:pt>
                  <c:pt idx="2">
                    <c:v>2.7538300000000001E-3</c:v>
                  </c:pt>
                  <c:pt idx="3">
                    <c:v>2.7731399999999999E-3</c:v>
                  </c:pt>
                  <c:pt idx="4">
                    <c:v>2.7111700000000002E-3</c:v>
                  </c:pt>
                  <c:pt idx="5">
                    <c:v>2.3482300000000002E-3</c:v>
                  </c:pt>
                  <c:pt idx="6">
                    <c:v>6.4101799999999997E-3</c:v>
                  </c:pt>
                </c:numCache>
              </c:numRef>
            </c:plus>
            <c:minus>
              <c:numRef>
                <c:f>Hibonites!$H$5:$H$11</c:f>
                <c:numCache>
                  <c:formatCode>General</c:formatCode>
                  <c:ptCount val="7"/>
                  <c:pt idx="0">
                    <c:v>4.5083500000000004E-3</c:v>
                  </c:pt>
                  <c:pt idx="1">
                    <c:v>3.1535600000000001E-3</c:v>
                  </c:pt>
                  <c:pt idx="2">
                    <c:v>2.7538300000000001E-3</c:v>
                  </c:pt>
                  <c:pt idx="3">
                    <c:v>2.7731399999999999E-3</c:v>
                  </c:pt>
                  <c:pt idx="4">
                    <c:v>2.7111700000000002E-3</c:v>
                  </c:pt>
                  <c:pt idx="5">
                    <c:v>2.3482300000000002E-3</c:v>
                  </c:pt>
                  <c:pt idx="6">
                    <c:v>6.4101799999999997E-3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Hibonites!$B$5:$B$11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Hibonites!$G$5:$G$11</c:f>
              <c:numCache>
                <c:formatCode>0.00000</c:formatCode>
                <c:ptCount val="7"/>
                <c:pt idx="0">
                  <c:v>0.69559958</c:v>
                </c:pt>
                <c:pt idx="1">
                  <c:v>0.70455964999999998</c:v>
                </c:pt>
                <c:pt idx="2">
                  <c:v>0.70625574999999996</c:v>
                </c:pt>
                <c:pt idx="3">
                  <c:v>0.69854287000000004</c:v>
                </c:pt>
                <c:pt idx="4">
                  <c:v>0.70091477000000002</c:v>
                </c:pt>
                <c:pt idx="5">
                  <c:v>0.70870316</c:v>
                </c:pt>
                <c:pt idx="6">
                  <c:v>0.69450756999999996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Hibonites!$C$5:$C$11</c15:f>
                <c15:dlblRangeCache>
                  <c:ptCount val="7"/>
                  <c:pt idx="0">
                    <c:v>1-6-1</c:v>
                  </c:pt>
                  <c:pt idx="1">
                    <c:v>1-4-5</c:v>
                  </c:pt>
                  <c:pt idx="2">
                    <c:v>1-4-4</c:v>
                  </c:pt>
                  <c:pt idx="3">
                    <c:v>1-4-3</c:v>
                  </c:pt>
                  <c:pt idx="4">
                    <c:v>1-4-2</c:v>
                  </c:pt>
                  <c:pt idx="5">
                    <c:v>1-5-3</c:v>
                  </c:pt>
                  <c:pt idx="6">
                    <c:v>1-5-2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DC4-5345-983A-F0C684122970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Hibonites!$J$35:$J$36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Hibonites!$K$35:$K$36</c:f>
              <c:numCache>
                <c:formatCode>General</c:formatCode>
                <c:ptCount val="2"/>
                <c:pt idx="0">
                  <c:v>0.69876000000000005</c:v>
                </c:pt>
                <c:pt idx="1">
                  <c:v>0.69876000000000005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C4-5345-983A-F0C684122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777776"/>
        <c:axId val="443031696"/>
      </c:scatterChart>
      <c:valAx>
        <c:axId val="411777776"/>
        <c:scaling>
          <c:orientation val="minMax"/>
          <c:max val="8"/>
        </c:scaling>
        <c:delete val="1"/>
        <c:axPos val="b"/>
        <c:numFmt formatCode="General" sourceLinked="1"/>
        <c:majorTickMark val="none"/>
        <c:minorTickMark val="none"/>
        <c:tickLblPos val="nextTo"/>
        <c:crossAx val="443031696"/>
        <c:crosses val="autoZero"/>
        <c:crossBetween val="midCat"/>
      </c:valAx>
      <c:valAx>
        <c:axId val="443031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800" b="1" baseline="30000"/>
                  <a:t>87</a:t>
                </a:r>
                <a:r>
                  <a:rPr lang="en-US" sz="1800" b="1"/>
                  <a:t>Sr/</a:t>
                </a:r>
                <a:r>
                  <a:rPr lang="en-US" sz="1800" b="1" baseline="30000"/>
                  <a:t>86</a:t>
                </a:r>
                <a:r>
                  <a:rPr lang="en-US" sz="1800" b="1"/>
                  <a:t>Sr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0.000" sourceLinked="0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411777776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9163156930965"/>
          <c:y val="5.2512455141771719E-2"/>
          <c:w val="0.68847419886467676"/>
          <c:h val="0.70605733966058914"/>
        </c:manualLayout>
      </c:layout>
      <c:scatterChart>
        <c:scatterStyle val="lineMarker"/>
        <c:varyColors val="0"/>
        <c:ser>
          <c:idx val="0"/>
          <c:order val="0"/>
          <c:tx>
            <c:v>87Sr/86Sr LA-MC-ICPMS/MS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Shap_Granite!$J$39:$J$62</c:f>
              <c:numCache>
                <c:formatCode>General</c:formatCode>
                <c:ptCount val="24"/>
                <c:pt idx="0">
                  <c:v>0</c:v>
                </c:pt>
                <c:pt idx="1">
                  <c:v>0.45915194543092069</c:v>
                </c:pt>
                <c:pt idx="2">
                  <c:v>1.1805012471336076</c:v>
                </c:pt>
                <c:pt idx="3">
                  <c:v>1.7739081753377195</c:v>
                </c:pt>
                <c:pt idx="4">
                  <c:v>2.5360794504283555</c:v>
                </c:pt>
                <c:pt idx="5">
                  <c:v>3.3187256971171917</c:v>
                </c:pt>
                <c:pt idx="6">
                  <c:v>3.9840583137301069</c:v>
                </c:pt>
                <c:pt idx="7">
                  <c:v>4.7933295897060928</c:v>
                </c:pt>
                <c:pt idx="8">
                  <c:v>5.6076222603048098</c:v>
                </c:pt>
                <c:pt idx="9">
                  <c:v>6.6612929338251599</c:v>
                </c:pt>
                <c:pt idx="10">
                  <c:v>7.6071681667681057</c:v>
                </c:pt>
                <c:pt idx="11">
                  <c:v>8.6222388282220521</c:v>
                </c:pt>
                <c:pt idx="12">
                  <c:v>9.6955001058937622</c:v>
                </c:pt>
                <c:pt idx="13">
                  <c:v>10.621570210011797</c:v>
                </c:pt>
                <c:pt idx="14">
                  <c:v>11.638456787221278</c:v>
                </c:pt>
                <c:pt idx="15">
                  <c:v>12.529191215747966</c:v>
                </c:pt>
                <c:pt idx="16">
                  <c:v>13.216807479536952</c:v>
                </c:pt>
                <c:pt idx="17">
                  <c:v>14.076137094065434</c:v>
                </c:pt>
                <c:pt idx="18">
                  <c:v>14.562561238406412</c:v>
                </c:pt>
                <c:pt idx="19">
                  <c:v>14.859366429634949</c:v>
                </c:pt>
                <c:pt idx="20">
                  <c:v>15.222588103454976</c:v>
                </c:pt>
                <c:pt idx="21">
                  <c:v>15.484029863779583</c:v>
                </c:pt>
                <c:pt idx="22">
                  <c:v>15.732602912049487</c:v>
                </c:pt>
                <c:pt idx="23">
                  <c:v>16.014041975372894</c:v>
                </c:pt>
              </c:numCache>
            </c:numRef>
          </c:xVal>
          <c:yVal>
            <c:numRef>
              <c:f>Shap_Granite!$R$39:$R$62</c:f>
              <c:numCache>
                <c:formatCode>General</c:formatCode>
                <c:ptCount val="24"/>
                <c:pt idx="0">
                  <c:v>0.71630727663476934</c:v>
                </c:pt>
                <c:pt idx="1">
                  <c:v>0.72215977650679397</c:v>
                </c:pt>
                <c:pt idx="2">
                  <c:v>0.71629682420122187</c:v>
                </c:pt>
                <c:pt idx="3">
                  <c:v>0.7144539546320916</c:v>
                </c:pt>
                <c:pt idx="4">
                  <c:v>0.71329039799879923</c:v>
                </c:pt>
                <c:pt idx="5">
                  <c:v>0.71592382434460833</c:v>
                </c:pt>
                <c:pt idx="6">
                  <c:v>0.71763678653314211</c:v>
                </c:pt>
                <c:pt idx="7">
                  <c:v>0.72424069113537071</c:v>
                </c:pt>
                <c:pt idx="8">
                  <c:v>0.71907137125291354</c:v>
                </c:pt>
                <c:pt idx="9">
                  <c:v>0.71548788910853689</c:v>
                </c:pt>
                <c:pt idx="10">
                  <c:v>0.71409640786066675</c:v>
                </c:pt>
                <c:pt idx="11">
                  <c:v>0.71365236285755629</c:v>
                </c:pt>
                <c:pt idx="12">
                  <c:v>0.71641042635231766</c:v>
                </c:pt>
                <c:pt idx="13">
                  <c:v>0.71637591497225217</c:v>
                </c:pt>
                <c:pt idx="14">
                  <c:v>0.71963149980894603</c:v>
                </c:pt>
                <c:pt idx="15">
                  <c:v>0.71539139667515272</c:v>
                </c:pt>
                <c:pt idx="16">
                  <c:v>0.71801355449758775</c:v>
                </c:pt>
                <c:pt idx="17">
                  <c:v>0.70985397674189499</c:v>
                </c:pt>
                <c:pt idx="18">
                  <c:v>0.70830203170017247</c:v>
                </c:pt>
                <c:pt idx="19">
                  <c:v>0.71007180823065874</c:v>
                </c:pt>
                <c:pt idx="20">
                  <c:v>0.71076452056543094</c:v>
                </c:pt>
                <c:pt idx="21">
                  <c:v>0.70982551047904086</c:v>
                </c:pt>
                <c:pt idx="22">
                  <c:v>0.71229925325563104</c:v>
                </c:pt>
                <c:pt idx="23">
                  <c:v>0.71164947423596558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D-9A4D-A611-619B86DCE67B}"/>
            </c:ext>
          </c:extLst>
        </c:ser>
        <c:ser>
          <c:idx val="3"/>
          <c:order val="3"/>
          <c:tx>
            <c:v>87Sr/86Sr micromilling+TIMS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2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Shap_Granite!$AO$4:$AO$7</c:f>
              <c:numCache>
                <c:formatCode>General</c:formatCode>
                <c:ptCount val="4"/>
                <c:pt idx="0">
                  <c:v>0.22957597271546035</c:v>
                </c:pt>
                <c:pt idx="1">
                  <c:v>12.529191215747966</c:v>
                </c:pt>
                <c:pt idx="2">
                  <c:v>14.319349166235924</c:v>
                </c:pt>
                <c:pt idx="3">
                  <c:v>15.353308983617278</c:v>
                </c:pt>
              </c:numCache>
            </c:numRef>
          </c:xVal>
          <c:yVal>
            <c:numRef>
              <c:f>Shap_Granite!$AQ$4:$AQ$7</c:f>
              <c:numCache>
                <c:formatCode>General</c:formatCode>
                <c:ptCount val="4"/>
                <c:pt idx="0">
                  <c:v>0.71481899999999998</c:v>
                </c:pt>
                <c:pt idx="1">
                  <c:v>0.71553500000000003</c:v>
                </c:pt>
                <c:pt idx="2">
                  <c:v>0.70851900000000001</c:v>
                </c:pt>
                <c:pt idx="3">
                  <c:v>0.71086300000000002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3D-9A4D-A611-619B86DCE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21535"/>
        <c:axId val="1022674271"/>
      </c:scatterChart>
      <c:scatterChart>
        <c:scatterStyle val="lineMarker"/>
        <c:varyColors val="0"/>
        <c:ser>
          <c:idx val="1"/>
          <c:order val="1"/>
          <c:tx>
            <c:v>87Rb/86Sr LA-MC-ICPMS/MS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Shap_Granite!$J$39:$J$62</c:f>
              <c:numCache>
                <c:formatCode>General</c:formatCode>
                <c:ptCount val="24"/>
                <c:pt idx="0">
                  <c:v>0</c:v>
                </c:pt>
                <c:pt idx="1">
                  <c:v>0.45915194543092069</c:v>
                </c:pt>
                <c:pt idx="2">
                  <c:v>1.1805012471336076</c:v>
                </c:pt>
                <c:pt idx="3">
                  <c:v>1.7739081753377195</c:v>
                </c:pt>
                <c:pt idx="4">
                  <c:v>2.5360794504283555</c:v>
                </c:pt>
                <c:pt idx="5">
                  <c:v>3.3187256971171917</c:v>
                </c:pt>
                <c:pt idx="6">
                  <c:v>3.9840583137301069</c:v>
                </c:pt>
                <c:pt idx="7">
                  <c:v>4.7933295897060928</c:v>
                </c:pt>
                <c:pt idx="8">
                  <c:v>5.6076222603048098</c:v>
                </c:pt>
                <c:pt idx="9">
                  <c:v>6.6612929338251599</c:v>
                </c:pt>
                <c:pt idx="10">
                  <c:v>7.6071681667681057</c:v>
                </c:pt>
                <c:pt idx="11">
                  <c:v>8.6222388282220521</c:v>
                </c:pt>
                <c:pt idx="12">
                  <c:v>9.6955001058937622</c:v>
                </c:pt>
                <c:pt idx="13">
                  <c:v>10.621570210011797</c:v>
                </c:pt>
                <c:pt idx="14">
                  <c:v>11.638456787221278</c:v>
                </c:pt>
                <c:pt idx="15">
                  <c:v>12.529191215747966</c:v>
                </c:pt>
                <c:pt idx="16">
                  <c:v>13.216807479536952</c:v>
                </c:pt>
                <c:pt idx="17">
                  <c:v>14.076137094065434</c:v>
                </c:pt>
                <c:pt idx="18">
                  <c:v>14.562561238406412</c:v>
                </c:pt>
                <c:pt idx="19">
                  <c:v>14.859366429634949</c:v>
                </c:pt>
                <c:pt idx="20">
                  <c:v>15.222588103454976</c:v>
                </c:pt>
                <c:pt idx="21">
                  <c:v>15.484029863779583</c:v>
                </c:pt>
                <c:pt idx="22">
                  <c:v>15.732602912049487</c:v>
                </c:pt>
                <c:pt idx="23">
                  <c:v>16.014041975372894</c:v>
                </c:pt>
              </c:numCache>
            </c:numRef>
          </c:xVal>
          <c:yVal>
            <c:numRef>
              <c:f>Shap_Granite!$P$39:$P$62</c:f>
              <c:numCache>
                <c:formatCode>General</c:formatCode>
                <c:ptCount val="24"/>
                <c:pt idx="0">
                  <c:v>1.771883434043203</c:v>
                </c:pt>
                <c:pt idx="1">
                  <c:v>3.4753919838976013</c:v>
                </c:pt>
                <c:pt idx="2">
                  <c:v>1.8181306661839156</c:v>
                </c:pt>
                <c:pt idx="3">
                  <c:v>1.6266975369232493</c:v>
                </c:pt>
                <c:pt idx="4">
                  <c:v>1.2821467417107173</c:v>
                </c:pt>
                <c:pt idx="5">
                  <c:v>1.4879709745295118</c:v>
                </c:pt>
                <c:pt idx="6">
                  <c:v>1.954388599930964</c:v>
                </c:pt>
                <c:pt idx="7">
                  <c:v>3.4821426188396525</c:v>
                </c:pt>
                <c:pt idx="8">
                  <c:v>2.124078423081535</c:v>
                </c:pt>
                <c:pt idx="9">
                  <c:v>1.4431510673080907</c:v>
                </c:pt>
                <c:pt idx="10">
                  <c:v>1.310621269109657</c:v>
                </c:pt>
                <c:pt idx="11">
                  <c:v>1.134945930384627</c:v>
                </c:pt>
                <c:pt idx="12">
                  <c:v>1.7191871184743108</c:v>
                </c:pt>
                <c:pt idx="13">
                  <c:v>1.7498447599044571</c:v>
                </c:pt>
                <c:pt idx="14">
                  <c:v>2.3781770437307457</c:v>
                </c:pt>
                <c:pt idx="15">
                  <c:v>1.5385834893966039</c:v>
                </c:pt>
                <c:pt idx="16">
                  <c:v>1.7579059408684106</c:v>
                </c:pt>
                <c:pt idx="17">
                  <c:v>0.21497686767275967</c:v>
                </c:pt>
                <c:pt idx="18">
                  <c:v>5.2234902981102005E-2</c:v>
                </c:pt>
                <c:pt idx="19">
                  <c:v>0.23521420790554931</c:v>
                </c:pt>
                <c:pt idx="20">
                  <c:v>0.28194139491324194</c:v>
                </c:pt>
                <c:pt idx="21">
                  <c:v>0.24807785585877426</c:v>
                </c:pt>
                <c:pt idx="22">
                  <c:v>0.58888448956218842</c:v>
                </c:pt>
                <c:pt idx="23">
                  <c:v>0.42941615422192425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3D-9A4D-A611-619B86DCE67B}"/>
            </c:ext>
          </c:extLst>
        </c:ser>
        <c:ser>
          <c:idx val="2"/>
          <c:order val="2"/>
          <c:tx>
            <c:v>87Rb/86Sr micromilling+TIMS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2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Shap_Granite!$AO$4:$AO$7</c:f>
              <c:numCache>
                <c:formatCode>General</c:formatCode>
                <c:ptCount val="4"/>
                <c:pt idx="0">
                  <c:v>0.22957597271546035</c:v>
                </c:pt>
                <c:pt idx="1">
                  <c:v>12.529191215747966</c:v>
                </c:pt>
                <c:pt idx="2">
                  <c:v>14.319349166235924</c:v>
                </c:pt>
                <c:pt idx="3">
                  <c:v>15.353308983617278</c:v>
                </c:pt>
              </c:numCache>
            </c:numRef>
          </c:xVal>
          <c:yVal>
            <c:numRef>
              <c:f>Shap_Granite!$AP$4:$AP$7</c:f>
              <c:numCache>
                <c:formatCode>General</c:formatCode>
                <c:ptCount val="4"/>
                <c:pt idx="0">
                  <c:v>1.2226535999999999</c:v>
                </c:pt>
                <c:pt idx="1">
                  <c:v>1.456129</c:v>
                </c:pt>
                <c:pt idx="2">
                  <c:v>0.2403064</c:v>
                </c:pt>
                <c:pt idx="3">
                  <c:v>0.64250870000000004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3D-9A4D-A611-619B86DCE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11439"/>
        <c:axId val="260502319"/>
      </c:scatterChart>
      <c:valAx>
        <c:axId val="197221535"/>
        <c:scaling>
          <c:orientation val="minMax"/>
          <c:max val="16.10000000000000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000" b="1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Distance</a:t>
                </a:r>
                <a:r>
                  <a:rPr lang="en-US" sz="2000" b="1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 from inner core (mm)</a:t>
                </a:r>
                <a:endParaRPr lang="en-US" sz="2000" b="1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022674271"/>
        <c:crosses val="autoZero"/>
        <c:crossBetween val="midCat"/>
      </c:valAx>
      <c:valAx>
        <c:axId val="10226742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accent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000" b="1" baseline="30000">
                    <a:solidFill>
                      <a:schemeClr val="accent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87</a:t>
                </a:r>
                <a:r>
                  <a:rPr lang="en-US" sz="2000" b="1">
                    <a:solidFill>
                      <a:schemeClr val="accent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Sr/</a:t>
                </a:r>
                <a:r>
                  <a:rPr lang="en-US" sz="2000" b="1" i="0" u="none" strike="noStrike" baseline="30000">
                    <a:solidFill>
                      <a:schemeClr val="accent1"/>
                    </a:solidFill>
                    <a:effectLst/>
                  </a:rPr>
                  <a:t>86</a:t>
                </a:r>
                <a:r>
                  <a:rPr lang="en-US" sz="2000" b="1" i="0" u="none" strike="noStrike" baseline="0">
                    <a:solidFill>
                      <a:schemeClr val="accent1"/>
                    </a:solidFill>
                    <a:effectLst/>
                  </a:rPr>
                  <a:t>Sr</a:t>
                </a:r>
                <a:r>
                  <a:rPr lang="en-US" sz="2000" b="1" i="0" u="none" strike="noStrike" baseline="0">
                    <a:solidFill>
                      <a:schemeClr val="accent1"/>
                    </a:solidFill>
                  </a:rPr>
                  <a:t> </a:t>
                </a:r>
                <a:endParaRPr lang="en-US" sz="2000" b="1">
                  <a:solidFill>
                    <a:schemeClr val="accent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accent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97221535"/>
        <c:crosses val="autoZero"/>
        <c:crossBetween val="midCat"/>
        <c:majorUnit val="5.000000000000001E-3"/>
      </c:valAx>
      <c:valAx>
        <c:axId val="26050231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accent2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000" b="1" i="0" baseline="30000">
                    <a:solidFill>
                      <a:schemeClr val="accent2"/>
                    </a:solidFill>
                    <a:effectLst/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87</a:t>
                </a:r>
                <a:r>
                  <a:rPr lang="en-US" sz="2000" b="1" i="0" baseline="0">
                    <a:solidFill>
                      <a:schemeClr val="accent2"/>
                    </a:solidFill>
                    <a:effectLst/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Rb/</a:t>
                </a:r>
                <a:r>
                  <a:rPr lang="en-US" sz="2000" b="1" i="0" baseline="30000">
                    <a:solidFill>
                      <a:schemeClr val="accent2"/>
                    </a:solidFill>
                    <a:effectLst/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86</a:t>
                </a:r>
                <a:r>
                  <a:rPr lang="en-US" sz="2000" b="1" i="0" baseline="0">
                    <a:solidFill>
                      <a:schemeClr val="accent2"/>
                    </a:solidFill>
                    <a:effectLst/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Sr </a:t>
                </a:r>
                <a:endParaRPr lang="en-US" sz="2000">
                  <a:solidFill>
                    <a:schemeClr val="accent2"/>
                  </a:solidFill>
                  <a:effectLst/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accent2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2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216411439"/>
        <c:crosses val="max"/>
        <c:crossBetween val="midCat"/>
      </c:valAx>
      <c:valAx>
        <c:axId val="216411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502319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55477481160871"/>
          <c:y val="6.389525908521608E-2"/>
          <c:w val="0.42974108093247521"/>
          <c:h val="0.218467722360845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5357158805054"/>
          <c:y val="3.5510366250090297E-2"/>
          <c:w val="0.78360031555601861"/>
          <c:h val="0.78744058368850678"/>
        </c:manualLayout>
      </c:layout>
      <c:scatterChart>
        <c:scatterStyle val="lineMarker"/>
        <c:varyColors val="0"/>
        <c:ser>
          <c:idx val="1"/>
          <c:order val="0"/>
          <c:tx>
            <c:v>EDS analysis in LA pit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20"/>
            <c:intercept val="0"/>
            <c:dispRSqr val="0"/>
            <c:dispEq val="1"/>
            <c:trendlineLbl>
              <c:layout>
                <c:manualLayout>
                  <c:x val="-0.17315689981096408"/>
                  <c:y val="0.3314621108141299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Helvetica Neue" panose="02000503000000020004" pitchFamily="2" charset="0"/>
                      <a:ea typeface="Helvetica Neue" panose="02000503000000020004" pitchFamily="2" charset="0"/>
                      <a:cs typeface="Helvetica Neue" panose="02000503000000020004" pitchFamily="2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BlackBeauty!$C$5:$C$112</c:f>
              <c:numCache>
                <c:formatCode>General</c:formatCode>
                <c:ptCount val="108"/>
                <c:pt idx="0">
                  <c:v>1.41296928327645</c:v>
                </c:pt>
                <c:pt idx="1">
                  <c:v>0.36126373626373598</c:v>
                </c:pt>
                <c:pt idx="2">
                  <c:v>9.5409836065573703</c:v>
                </c:pt>
                <c:pt idx="3">
                  <c:v>2.93378038558256E-2</c:v>
                </c:pt>
                <c:pt idx="4">
                  <c:v>3.3834586466165398E-2</c:v>
                </c:pt>
                <c:pt idx="5">
                  <c:v>4.4502617801047098E-2</c:v>
                </c:pt>
                <c:pt idx="6">
                  <c:v>1.50645624103299E-2</c:v>
                </c:pt>
                <c:pt idx="7">
                  <c:v>2.18712029161603E-2</c:v>
                </c:pt>
                <c:pt idx="8">
                  <c:v>4.1518386714116201E-2</c:v>
                </c:pt>
                <c:pt idx="9">
                  <c:v>2.17606330365974E-2</c:v>
                </c:pt>
                <c:pt idx="10">
                  <c:v>5.4858934169278901E-2</c:v>
                </c:pt>
                <c:pt idx="11">
                  <c:v>5.8882235528942103E-2</c:v>
                </c:pt>
                <c:pt idx="12">
                  <c:v>3.7439613526569999E-2</c:v>
                </c:pt>
                <c:pt idx="13">
                  <c:v>2.5368248772504001E-2</c:v>
                </c:pt>
                <c:pt idx="14">
                  <c:v>4.20054200542005E-2</c:v>
                </c:pt>
                <c:pt idx="15">
                  <c:v>1.7073170731707301E-2</c:v>
                </c:pt>
                <c:pt idx="16">
                  <c:v>1.0752688172042999E-2</c:v>
                </c:pt>
                <c:pt idx="17">
                  <c:v>0.108571428571428</c:v>
                </c:pt>
                <c:pt idx="18">
                  <c:v>5.2946199829205801E-2</c:v>
                </c:pt>
                <c:pt idx="19">
                  <c:v>3.1974921630094001E-2</c:v>
                </c:pt>
                <c:pt idx="20">
                  <c:v>2.14180206794682E-2</c:v>
                </c:pt>
                <c:pt idx="21">
                  <c:v>2.33644859813084E-2</c:v>
                </c:pt>
                <c:pt idx="22">
                  <c:v>3.4482758620689599E-2</c:v>
                </c:pt>
                <c:pt idx="23">
                  <c:v>3.6334913112164198E-2</c:v>
                </c:pt>
                <c:pt idx="24">
                  <c:v>5.2508751458576398E-2</c:v>
                </c:pt>
                <c:pt idx="25">
                  <c:v>7.3298429319371694E-2</c:v>
                </c:pt>
                <c:pt idx="26">
                  <c:v>0.13980028530670399</c:v>
                </c:pt>
                <c:pt idx="27">
                  <c:v>0.20627062706270599</c:v>
                </c:pt>
                <c:pt idx="28">
                  <c:v>5.6000000000000001E-2</c:v>
                </c:pt>
                <c:pt idx="29">
                  <c:v>4.1152263374485597E-2</c:v>
                </c:pt>
                <c:pt idx="30">
                  <c:v>2.1377672209026099E-2</c:v>
                </c:pt>
                <c:pt idx="31">
                  <c:v>4.3918918918918901E-2</c:v>
                </c:pt>
                <c:pt idx="32">
                  <c:v>3.3457249070631898E-2</c:v>
                </c:pt>
                <c:pt idx="33">
                  <c:v>0.13586097946287501</c:v>
                </c:pt>
                <c:pt idx="34">
                  <c:v>0</c:v>
                </c:pt>
                <c:pt idx="35">
                  <c:v>0.112426035502958</c:v>
                </c:pt>
                <c:pt idx="36">
                  <c:v>5.7647058823529398E-2</c:v>
                </c:pt>
                <c:pt idx="37">
                  <c:v>2.2603126765869202E-3</c:v>
                </c:pt>
                <c:pt idx="38">
                  <c:v>0</c:v>
                </c:pt>
                <c:pt idx="39">
                  <c:v>6.8100358422939003E-2</c:v>
                </c:pt>
                <c:pt idx="41">
                  <c:v>6.6137566137566106E-2</c:v>
                </c:pt>
                <c:pt idx="42">
                  <c:v>6.4344746162927902E-2</c:v>
                </c:pt>
                <c:pt idx="43">
                  <c:v>4.6536796536796501E-2</c:v>
                </c:pt>
                <c:pt idx="44">
                  <c:v>5.6047197640117903E-2</c:v>
                </c:pt>
                <c:pt idx="45">
                  <c:v>2.36861584011843E-2</c:v>
                </c:pt>
                <c:pt idx="46">
                  <c:v>5.98469032707028E-2</c:v>
                </c:pt>
                <c:pt idx="47">
                  <c:v>1.8741633199464501E-2</c:v>
                </c:pt>
                <c:pt idx="48">
                  <c:v>0.16560509554140099</c:v>
                </c:pt>
                <c:pt idx="49">
                  <c:v>4.5685279187817202E-2</c:v>
                </c:pt>
                <c:pt idx="50">
                  <c:v>1.2114107073075401E-2</c:v>
                </c:pt>
                <c:pt idx="51">
                  <c:v>1.38888888888888E-2</c:v>
                </c:pt>
                <c:pt idx="52">
                  <c:v>6.9557362240288995E-2</c:v>
                </c:pt>
                <c:pt idx="53">
                  <c:v>0.13134851138353701</c:v>
                </c:pt>
                <c:pt idx="54">
                  <c:v>0.10125000000000001</c:v>
                </c:pt>
                <c:pt idx="55">
                  <c:v>8.7186261558784603E-2</c:v>
                </c:pt>
                <c:pt idx="56">
                  <c:v>3.2222222222222201E-2</c:v>
                </c:pt>
                <c:pt idx="57">
                  <c:v>6.9591527987897098E-2</c:v>
                </c:pt>
                <c:pt idx="58">
                  <c:v>9.1753774680603903E-2</c:v>
                </c:pt>
                <c:pt idx="59">
                  <c:v>0.23415977961432499</c:v>
                </c:pt>
                <c:pt idx="60">
                  <c:v>0.119760479041916</c:v>
                </c:pt>
                <c:pt idx="61">
                  <c:v>0.16835443037974601</c:v>
                </c:pt>
                <c:pt idx="62">
                  <c:v>0.138009049773755</c:v>
                </c:pt>
                <c:pt idx="63">
                  <c:v>4.6703296703296697E-2</c:v>
                </c:pt>
                <c:pt idx="64">
                  <c:v>8.6206896551724102E-2</c:v>
                </c:pt>
                <c:pt idx="65">
                  <c:v>4.9999999999999899E-2</c:v>
                </c:pt>
                <c:pt idx="66">
                  <c:v>2.37113402061855E-2</c:v>
                </c:pt>
                <c:pt idx="67">
                  <c:v>3.4744842562432099E-2</c:v>
                </c:pt>
                <c:pt idx="68">
                  <c:v>9.4736842105263105E-2</c:v>
                </c:pt>
                <c:pt idx="69">
                  <c:v>3.2873806998939499E-2</c:v>
                </c:pt>
                <c:pt idx="70">
                  <c:v>2.16417910447761E-2</c:v>
                </c:pt>
                <c:pt idx="71">
                  <c:v>3.4180543382997301E-2</c:v>
                </c:pt>
                <c:pt idx="72">
                  <c:v>9.6510764662212298E-3</c:v>
                </c:pt>
                <c:pt idx="73">
                  <c:v>4.4701986754966803E-2</c:v>
                </c:pt>
                <c:pt idx="74">
                  <c:v>1.1310084825636099E-2</c:v>
                </c:pt>
                <c:pt idx="75">
                  <c:v>3.2402234636871502E-2</c:v>
                </c:pt>
                <c:pt idx="76">
                  <c:v>2.6785714285714201E-2</c:v>
                </c:pt>
                <c:pt idx="77">
                  <c:v>1.5602536997885801</c:v>
                </c:pt>
                <c:pt idx="78">
                  <c:v>1.27795527156549E-2</c:v>
                </c:pt>
                <c:pt idx="79">
                  <c:v>1.7270742358078599</c:v>
                </c:pt>
                <c:pt idx="80">
                  <c:v>2.6643356643356602</c:v>
                </c:pt>
                <c:pt idx="81">
                  <c:v>6.8630952380952301</c:v>
                </c:pt>
                <c:pt idx="82">
                  <c:v>4.93893129770992</c:v>
                </c:pt>
                <c:pt idx="83">
                  <c:v>5.6956521739130404</c:v>
                </c:pt>
                <c:pt idx="84">
                  <c:v>2.2819148936170199</c:v>
                </c:pt>
                <c:pt idx="85">
                  <c:v>5.7840616966580903E-2</c:v>
                </c:pt>
                <c:pt idx="86">
                  <c:v>10.893442622950801</c:v>
                </c:pt>
                <c:pt idx="87">
                  <c:v>0.1396933560477</c:v>
                </c:pt>
                <c:pt idx="88">
                  <c:v>0.68613138686131303</c:v>
                </c:pt>
                <c:pt idx="89">
                  <c:v>7.4889867841409594E-2</c:v>
                </c:pt>
                <c:pt idx="90">
                  <c:v>2.7519083969465599</c:v>
                </c:pt>
                <c:pt idx="91">
                  <c:v>0.20486815415821499</c:v>
                </c:pt>
                <c:pt idx="92">
                  <c:v>5.5932203389830501E-2</c:v>
                </c:pt>
                <c:pt idx="93">
                  <c:v>1.0570071258907301</c:v>
                </c:pt>
                <c:pt idx="94">
                  <c:v>0.32442748091603002</c:v>
                </c:pt>
                <c:pt idx="95">
                  <c:v>0.31772575250836099</c:v>
                </c:pt>
                <c:pt idx="96">
                  <c:v>2.06</c:v>
                </c:pt>
                <c:pt idx="97">
                  <c:v>0.83042789223454805</c:v>
                </c:pt>
                <c:pt idx="98">
                  <c:v>1.4509345794392501</c:v>
                </c:pt>
                <c:pt idx="99">
                  <c:v>0.74850299401197595</c:v>
                </c:pt>
                <c:pt idx="100">
                  <c:v>9.625</c:v>
                </c:pt>
                <c:pt idx="101">
                  <c:v>1.49638205499276</c:v>
                </c:pt>
                <c:pt idx="102">
                  <c:v>15.043956043955999</c:v>
                </c:pt>
                <c:pt idx="103">
                  <c:v>16.0888888888888</c:v>
                </c:pt>
                <c:pt idx="104">
                  <c:v>11.9310344827586</c:v>
                </c:pt>
                <c:pt idx="105">
                  <c:v>6.3096446700507602</c:v>
                </c:pt>
                <c:pt idx="106">
                  <c:v>1.1256410256410201</c:v>
                </c:pt>
                <c:pt idx="107">
                  <c:v>0.12827586206896499</c:v>
                </c:pt>
              </c:numCache>
            </c:numRef>
          </c:xVal>
          <c:yVal>
            <c:numRef>
              <c:f>BlackBeauty!$AB$5:$AB$112</c:f>
              <c:numCache>
                <c:formatCode>General</c:formatCode>
                <c:ptCount val="108"/>
                <c:pt idx="0">
                  <c:v>3.6346272132231405</c:v>
                </c:pt>
                <c:pt idx="1">
                  <c:v>6.1027275661157026</c:v>
                </c:pt>
                <c:pt idx="2">
                  <c:v>7.5892889768595051</c:v>
                </c:pt>
                <c:pt idx="3">
                  <c:v>5.3772673553719015E-2</c:v>
                </c:pt>
                <c:pt idx="4">
                  <c:v>5.0298850413223142E-2</c:v>
                </c:pt>
                <c:pt idx="5">
                  <c:v>6.1861336363636367E-2</c:v>
                </c:pt>
                <c:pt idx="6">
                  <c:v>5.648351074380166E-2</c:v>
                </c:pt>
                <c:pt idx="7">
                  <c:v>6.2020653719008272E-2</c:v>
                </c:pt>
                <c:pt idx="8">
                  <c:v>7.0336728925619846E-2</c:v>
                </c:pt>
                <c:pt idx="9">
                  <c:v>5.7669764462809921E-2</c:v>
                </c:pt>
                <c:pt idx="10">
                  <c:v>6.1653235537190085E-2</c:v>
                </c:pt>
                <c:pt idx="11">
                  <c:v>4.5642895867768596E-2</c:v>
                </c:pt>
                <c:pt idx="12">
                  <c:v>0.10205190578512396</c:v>
                </c:pt>
                <c:pt idx="13">
                  <c:v>7.5270496694214872E-2</c:v>
                </c:pt>
                <c:pt idx="14">
                  <c:v>4.8138909917355373E-2</c:v>
                </c:pt>
                <c:pt idx="15">
                  <c:v>3.9644142148760331E-2</c:v>
                </c:pt>
                <c:pt idx="16">
                  <c:v>4.9265238016528927E-2</c:v>
                </c:pt>
                <c:pt idx="17">
                  <c:v>3.3342309090909093E-2</c:v>
                </c:pt>
                <c:pt idx="18">
                  <c:v>3.4008584297520662E-2</c:v>
                </c:pt>
                <c:pt idx="19">
                  <c:v>5.5609859504132239E-3</c:v>
                </c:pt>
                <c:pt idx="20">
                  <c:v>7.427161157024794E-3</c:v>
                </c:pt>
                <c:pt idx="21">
                  <c:v>1.1667169421487603E-2</c:v>
                </c:pt>
                <c:pt idx="22">
                  <c:v>1.0865468595041321E-2</c:v>
                </c:pt>
                <c:pt idx="23">
                  <c:v>1.5351760330578511E-2</c:v>
                </c:pt>
                <c:pt idx="24">
                  <c:v>2.5127771074380165E-2</c:v>
                </c:pt>
                <c:pt idx="25">
                  <c:v>4.4424150413223146E-2</c:v>
                </c:pt>
                <c:pt idx="26">
                  <c:v>8.2275020661157022E-2</c:v>
                </c:pt>
                <c:pt idx="27">
                  <c:v>0.14853628016528925</c:v>
                </c:pt>
                <c:pt idx="28">
                  <c:v>0.11696348429752067</c:v>
                </c:pt>
                <c:pt idx="29">
                  <c:v>0.12845920413223139</c:v>
                </c:pt>
                <c:pt idx="30">
                  <c:v>0.11690025454545455</c:v>
                </c:pt>
                <c:pt idx="31">
                  <c:v>0.10787380165289258</c:v>
                </c:pt>
                <c:pt idx="32">
                  <c:v>0.11055042479338842</c:v>
                </c:pt>
                <c:pt idx="33">
                  <c:v>8.6819286776859503E-2</c:v>
                </c:pt>
                <c:pt idx="34">
                  <c:v>4.5077563636363636E-2</c:v>
                </c:pt>
                <c:pt idx="35">
                  <c:v>6.3145126446280994E-2</c:v>
                </c:pt>
                <c:pt idx="36">
                  <c:v>1.9850471900826446E-2</c:v>
                </c:pt>
                <c:pt idx="37">
                  <c:v>1.3550322314049587E-3</c:v>
                </c:pt>
                <c:pt idx="38">
                  <c:v>3.7592719008264462E-3</c:v>
                </c:pt>
                <c:pt idx="39">
                  <c:v>5.7924340495867768E-2</c:v>
                </c:pt>
                <c:pt idx="40">
                  <c:v>1.0657105785123968E-2</c:v>
                </c:pt>
                <c:pt idx="41">
                  <c:v>0.3074367049586777</c:v>
                </c:pt>
                <c:pt idx="42">
                  <c:v>1.7202123966942151E-2</c:v>
                </c:pt>
                <c:pt idx="43">
                  <c:v>2.0493277685950415E-2</c:v>
                </c:pt>
                <c:pt idx="44">
                  <c:v>1.0365764462809918E-2</c:v>
                </c:pt>
                <c:pt idx="45">
                  <c:v>1.7806971074380167E-2</c:v>
                </c:pt>
                <c:pt idx="46">
                  <c:v>0.26070146115702481</c:v>
                </c:pt>
                <c:pt idx="47">
                  <c:v>1.872624297520661E-2</c:v>
                </c:pt>
                <c:pt idx="48">
                  <c:v>0.1040039041322314</c:v>
                </c:pt>
                <c:pt idx="49">
                  <c:v>6.5145482644628105E-2</c:v>
                </c:pt>
                <c:pt idx="50">
                  <c:v>5.0365702479338841E-3</c:v>
                </c:pt>
                <c:pt idx="51">
                  <c:v>5.7817480991735538E-2</c:v>
                </c:pt>
                <c:pt idx="52">
                  <c:v>1.320736205785124</c:v>
                </c:pt>
                <c:pt idx="53">
                  <c:v>0.13256182479338843</c:v>
                </c:pt>
                <c:pt idx="54">
                  <c:v>0.1728288132231405</c:v>
                </c:pt>
                <c:pt idx="55">
                  <c:v>0.18118312148760332</c:v>
                </c:pt>
                <c:pt idx="56">
                  <c:v>0.26625873719008264</c:v>
                </c:pt>
                <c:pt idx="57">
                  <c:v>0.32738692561983473</c:v>
                </c:pt>
                <c:pt idx="58">
                  <c:v>0.23657504049586775</c:v>
                </c:pt>
                <c:pt idx="59">
                  <c:v>0.20040000000000002</c:v>
                </c:pt>
                <c:pt idx="60">
                  <c:v>0.18928854876033058</c:v>
                </c:pt>
                <c:pt idx="61">
                  <c:v>0.22231116446280991</c:v>
                </c:pt>
                <c:pt idx="62">
                  <c:v>0.18161485867768595</c:v>
                </c:pt>
                <c:pt idx="63">
                  <c:v>0.4085574090909091</c:v>
                </c:pt>
                <c:pt idx="64">
                  <c:v>0.47985475537190081</c:v>
                </c:pt>
                <c:pt idx="65">
                  <c:v>0.63415203471074377</c:v>
                </c:pt>
                <c:pt idx="66">
                  <c:v>0.2832273561983471</c:v>
                </c:pt>
                <c:pt idx="67">
                  <c:v>1.1452318396694214</c:v>
                </c:pt>
                <c:pt idx="68">
                  <c:v>4.599931157024794E-2</c:v>
                </c:pt>
                <c:pt idx="69">
                  <c:v>0.69157371487603314</c:v>
                </c:pt>
                <c:pt idx="70">
                  <c:v>5.1413055371900829E-2</c:v>
                </c:pt>
                <c:pt idx="71">
                  <c:v>3.7995635537190084E-2</c:v>
                </c:pt>
                <c:pt idx="72">
                  <c:v>3.9139550413223138E-2</c:v>
                </c:pt>
                <c:pt idx="73">
                  <c:v>4.5524780991735542E-2</c:v>
                </c:pt>
                <c:pt idx="74">
                  <c:v>3.8497471074380167E-2</c:v>
                </c:pt>
                <c:pt idx="75">
                  <c:v>0.11946241157024792</c:v>
                </c:pt>
                <c:pt idx="76">
                  <c:v>3.8326020661157027E-2</c:v>
                </c:pt>
                <c:pt idx="77">
                  <c:v>4.2242485520661157</c:v>
                </c:pt>
                <c:pt idx="78">
                  <c:v>0.58598920909090912</c:v>
                </c:pt>
                <c:pt idx="79">
                  <c:v>1.9776803578512396</c:v>
                </c:pt>
                <c:pt idx="80">
                  <c:v>6.1234805528925627</c:v>
                </c:pt>
                <c:pt idx="81">
                  <c:v>7.2890817347107442</c:v>
                </c:pt>
                <c:pt idx="82">
                  <c:v>6.6273775330578513</c:v>
                </c:pt>
                <c:pt idx="83">
                  <c:v>6.1455114000000002</c:v>
                </c:pt>
                <c:pt idx="84">
                  <c:v>3.8399374157024795</c:v>
                </c:pt>
                <c:pt idx="85">
                  <c:v>0.16820918347107439</c:v>
                </c:pt>
                <c:pt idx="86">
                  <c:v>6.2881005611570249</c:v>
                </c:pt>
                <c:pt idx="87">
                  <c:v>0.26174980330578512</c:v>
                </c:pt>
                <c:pt idx="88">
                  <c:v>1.9102038644628099</c:v>
                </c:pt>
                <c:pt idx="89">
                  <c:v>0.23417935454545455</c:v>
                </c:pt>
                <c:pt idx="90">
                  <c:v>2.2359806123966943</c:v>
                </c:pt>
                <c:pt idx="91">
                  <c:v>1.1768630719008266</c:v>
                </c:pt>
                <c:pt idx="92">
                  <c:v>0.42710430991735532</c:v>
                </c:pt>
                <c:pt idx="93">
                  <c:v>1.8513354198347107</c:v>
                </c:pt>
                <c:pt idx="94">
                  <c:v>2.1906251090909095</c:v>
                </c:pt>
                <c:pt idx="95">
                  <c:v>1.1752308446280992</c:v>
                </c:pt>
                <c:pt idx="96">
                  <c:v>1.308207496694215</c:v>
                </c:pt>
                <c:pt idx="97">
                  <c:v>2.0699593851239668</c:v>
                </c:pt>
                <c:pt idx="98">
                  <c:v>4.560175470247934</c:v>
                </c:pt>
                <c:pt idx="99">
                  <c:v>2.0317427157024794</c:v>
                </c:pt>
                <c:pt idx="100">
                  <c:v>6.529603785950413</c:v>
                </c:pt>
                <c:pt idx="101">
                  <c:v>3.0803942404958677</c:v>
                </c:pt>
                <c:pt idx="102">
                  <c:v>20.665947446280992</c:v>
                </c:pt>
                <c:pt idx="103">
                  <c:v>30.948964851239669</c:v>
                </c:pt>
                <c:pt idx="104">
                  <c:v>20.025492429752067</c:v>
                </c:pt>
                <c:pt idx="105">
                  <c:v>8.3070619421487599</c:v>
                </c:pt>
                <c:pt idx="106">
                  <c:v>1.6993559504132232</c:v>
                </c:pt>
                <c:pt idx="107">
                  <c:v>0.36847836859504129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6C-D14C-B68F-C53147B5EA4E}"/>
            </c:ext>
          </c:extLst>
        </c:ser>
        <c:ser>
          <c:idx val="0"/>
          <c:order val="1"/>
          <c:tx>
            <c:v>EDS map before LA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accent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forward val="15"/>
            <c:intercept val="0"/>
            <c:dispRSqr val="0"/>
            <c:dispEq val="1"/>
            <c:trendlineLbl>
              <c:layout>
                <c:manualLayout>
                  <c:x val="-0.29792060491493383"/>
                  <c:y val="0.205315321823304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/>
                      </a:solidFill>
                      <a:latin typeface="Helvetica Neue" panose="02000503000000020004" pitchFamily="2" charset="0"/>
                      <a:ea typeface="Helvetica Neue" panose="02000503000000020004" pitchFamily="2" charset="0"/>
                      <a:cs typeface="Helvetica Neue" panose="02000503000000020004" pitchFamily="2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BlackBeauty!$D$5:$D$112</c:f>
              <c:numCache>
                <c:formatCode>General</c:formatCode>
                <c:ptCount val="108"/>
                <c:pt idx="0">
                  <c:v>1.7612216087130399</c:v>
                </c:pt>
                <c:pt idx="1">
                  <c:v>3.6651450183521801</c:v>
                </c:pt>
                <c:pt idx="2">
                  <c:v>1.5428067365401701</c:v>
                </c:pt>
                <c:pt idx="3">
                  <c:v>4.0678994323575302E-2</c:v>
                </c:pt>
                <c:pt idx="4">
                  <c:v>2.7543617241441699E-2</c:v>
                </c:pt>
                <c:pt idx="5">
                  <c:v>5.61624274309993E-2</c:v>
                </c:pt>
                <c:pt idx="6">
                  <c:v>0.10040697588618799</c:v>
                </c:pt>
                <c:pt idx="7">
                  <c:v>1.7143635051800499E-2</c:v>
                </c:pt>
                <c:pt idx="8">
                  <c:v>9.6901004410586994E-2</c:v>
                </c:pt>
                <c:pt idx="9">
                  <c:v>5.6898174413934702E-2</c:v>
                </c:pt>
                <c:pt idx="10">
                  <c:v>4.7723337630902002E-2</c:v>
                </c:pt>
                <c:pt idx="11">
                  <c:v>7.0804058687796601E-2</c:v>
                </c:pt>
                <c:pt idx="12">
                  <c:v>9.1124344816147104E-2</c:v>
                </c:pt>
                <c:pt idx="13">
                  <c:v>5.5193670791176597E-2</c:v>
                </c:pt>
                <c:pt idx="14">
                  <c:v>3.6915274506455001E-2</c:v>
                </c:pt>
                <c:pt idx="15">
                  <c:v>3.0163831859363999E-2</c:v>
                </c:pt>
                <c:pt idx="16">
                  <c:v>6.5327448942620894E-2</c:v>
                </c:pt>
                <c:pt idx="17">
                  <c:v>0.105843840245412</c:v>
                </c:pt>
                <c:pt idx="18">
                  <c:v>9.6296968894737406E-2</c:v>
                </c:pt>
                <c:pt idx="19">
                  <c:v>5.0738317516861302E-2</c:v>
                </c:pt>
                <c:pt idx="20">
                  <c:v>2.8093133099661501E-2</c:v>
                </c:pt>
                <c:pt idx="21">
                  <c:v>4.4893024527158702E-2</c:v>
                </c:pt>
                <c:pt idx="22">
                  <c:v>8.4552361602323101E-2</c:v>
                </c:pt>
                <c:pt idx="23">
                  <c:v>5.6222507753598501E-2</c:v>
                </c:pt>
                <c:pt idx="24">
                  <c:v>5.9086314984311002E-2</c:v>
                </c:pt>
                <c:pt idx="25">
                  <c:v>8.4064246455743896E-2</c:v>
                </c:pt>
                <c:pt idx="26">
                  <c:v>0.210121404578275</c:v>
                </c:pt>
                <c:pt idx="27">
                  <c:v>1.50256143430528</c:v>
                </c:pt>
                <c:pt idx="28">
                  <c:v>0.1179071191179</c:v>
                </c:pt>
                <c:pt idx="29">
                  <c:v>0.14341001067074999</c:v>
                </c:pt>
                <c:pt idx="30">
                  <c:v>0.24906604242321101</c:v>
                </c:pt>
                <c:pt idx="31">
                  <c:v>0.26586693122257199</c:v>
                </c:pt>
                <c:pt idx="32">
                  <c:v>5.0911231701831601E-2</c:v>
                </c:pt>
                <c:pt idx="33">
                  <c:v>0.14953750518061501</c:v>
                </c:pt>
                <c:pt idx="34">
                  <c:v>2.44796786364096E-2</c:v>
                </c:pt>
                <c:pt idx="35">
                  <c:v>5.15952658391279E-2</c:v>
                </c:pt>
                <c:pt idx="36">
                  <c:v>5.6388585005652997E-2</c:v>
                </c:pt>
                <c:pt idx="37">
                  <c:v>2.8142749037768301E-3</c:v>
                </c:pt>
                <c:pt idx="38">
                  <c:v>8.9855724044429305E-2</c:v>
                </c:pt>
                <c:pt idx="39">
                  <c:v>0.4131247406304</c:v>
                </c:pt>
                <c:pt idx="40">
                  <c:v>7.6168171900070802E-2</c:v>
                </c:pt>
                <c:pt idx="41">
                  <c:v>0.128539077976</c:v>
                </c:pt>
                <c:pt idx="42">
                  <c:v>3.6618262633800698E-2</c:v>
                </c:pt>
                <c:pt idx="43">
                  <c:v>3.7739889205542103E-2</c:v>
                </c:pt>
                <c:pt idx="44">
                  <c:v>2.8638343276328301E-2</c:v>
                </c:pt>
                <c:pt idx="45">
                  <c:v>5.3476007034750798E-2</c:v>
                </c:pt>
                <c:pt idx="46">
                  <c:v>2.7141924838086601E-2</c:v>
                </c:pt>
                <c:pt idx="47">
                  <c:v>3.2287772903582097E-2</c:v>
                </c:pt>
                <c:pt idx="48">
                  <c:v>0.14498803522585699</c:v>
                </c:pt>
                <c:pt idx="49">
                  <c:v>1.6265327154971199E-2</c:v>
                </c:pt>
                <c:pt idx="50">
                  <c:v>1.10433506675565E-2</c:v>
                </c:pt>
                <c:pt idx="51">
                  <c:v>1.81239806855568E-2</c:v>
                </c:pt>
                <c:pt idx="52">
                  <c:v>0.108973629556272</c:v>
                </c:pt>
                <c:pt idx="53">
                  <c:v>0.30565375466367101</c:v>
                </c:pt>
                <c:pt idx="54">
                  <c:v>0.119788004713267</c:v>
                </c:pt>
                <c:pt idx="55">
                  <c:v>0.10145817812144201</c:v>
                </c:pt>
                <c:pt idx="56">
                  <c:v>0.12903530469065899</c:v>
                </c:pt>
                <c:pt idx="57">
                  <c:v>7.0315331714966095E-2</c:v>
                </c:pt>
                <c:pt idx="58">
                  <c:v>0.16207556272179799</c:v>
                </c:pt>
                <c:pt idx="59">
                  <c:v>0.23816829419930499</c:v>
                </c:pt>
                <c:pt idx="60">
                  <c:v>0.10100654786980399</c:v>
                </c:pt>
                <c:pt idx="61">
                  <c:v>0.12698295706832699</c:v>
                </c:pt>
                <c:pt idx="62">
                  <c:v>7.7671980656893805E-2</c:v>
                </c:pt>
                <c:pt idx="63">
                  <c:v>2.1946285516973099E-2</c:v>
                </c:pt>
                <c:pt idx="64">
                  <c:v>5.5117315930546897E-2</c:v>
                </c:pt>
                <c:pt idx="65">
                  <c:v>6.9200702734257893E-2</c:v>
                </c:pt>
                <c:pt idx="66">
                  <c:v>6.6593733072203898E-2</c:v>
                </c:pt>
                <c:pt idx="67">
                  <c:v>2.7117987250723299E-2</c:v>
                </c:pt>
                <c:pt idx="68">
                  <c:v>5.9909111951687397E-2</c:v>
                </c:pt>
                <c:pt idx="69">
                  <c:v>5.04835689978698E-2</c:v>
                </c:pt>
                <c:pt idx="70">
                  <c:v>3.6967811190157497E-2</c:v>
                </c:pt>
                <c:pt idx="71">
                  <c:v>2.3814426518213E-2</c:v>
                </c:pt>
                <c:pt idx="72">
                  <c:v>8.5320263144710501E-2</c:v>
                </c:pt>
                <c:pt idx="73">
                  <c:v>5.77320869359077E-2</c:v>
                </c:pt>
                <c:pt idx="74">
                  <c:v>3.7630477582546798E-2</c:v>
                </c:pt>
                <c:pt idx="75">
                  <c:v>0.10109501255826001</c:v>
                </c:pt>
                <c:pt idx="76">
                  <c:v>0.103950687741541</c:v>
                </c:pt>
                <c:pt idx="77">
                  <c:v>1.8858952636463699</c:v>
                </c:pt>
                <c:pt idx="78">
                  <c:v>0.59765112693230005</c:v>
                </c:pt>
                <c:pt idx="79">
                  <c:v>0.323446255873796</c:v>
                </c:pt>
                <c:pt idx="80">
                  <c:v>2.47632670882223</c:v>
                </c:pt>
                <c:pt idx="81">
                  <c:v>1.970874465316</c:v>
                </c:pt>
                <c:pt idx="82">
                  <c:v>7.7358072098940998</c:v>
                </c:pt>
                <c:pt idx="83">
                  <c:v>5.3495741010799698</c:v>
                </c:pt>
                <c:pt idx="84">
                  <c:v>0.71725634299497398</c:v>
                </c:pt>
                <c:pt idx="85">
                  <c:v>0.69775900950490899</c:v>
                </c:pt>
                <c:pt idx="86">
                  <c:v>2.0841333066784302</c:v>
                </c:pt>
                <c:pt idx="87">
                  <c:v>6.14892012784596</c:v>
                </c:pt>
                <c:pt idx="88">
                  <c:v>0.51015996133423402</c:v>
                </c:pt>
                <c:pt idx="89">
                  <c:v>0.44778661797167102</c:v>
                </c:pt>
                <c:pt idx="90">
                  <c:v>0.120944543018696</c:v>
                </c:pt>
                <c:pt idx="91">
                  <c:v>2.4827279088104399</c:v>
                </c:pt>
                <c:pt idx="92">
                  <c:v>1.26859678236416</c:v>
                </c:pt>
                <c:pt idx="93">
                  <c:v>0.122516392513202</c:v>
                </c:pt>
                <c:pt idx="94">
                  <c:v>1.5352399285103799</c:v>
                </c:pt>
                <c:pt idx="95">
                  <c:v>0.36209141331744998</c:v>
                </c:pt>
                <c:pt idx="96">
                  <c:v>0.66864010254206896</c:v>
                </c:pt>
                <c:pt idx="97">
                  <c:v>1.28183089560629</c:v>
                </c:pt>
                <c:pt idx="98">
                  <c:v>0.75018604900240304</c:v>
                </c:pt>
                <c:pt idx="99">
                  <c:v>3.7650736517940802</c:v>
                </c:pt>
                <c:pt idx="100">
                  <c:v>4.9041458909377802</c:v>
                </c:pt>
                <c:pt idx="101">
                  <c:v>0.130633642203971</c:v>
                </c:pt>
                <c:pt idx="102">
                  <c:v>10.2550384459313</c:v>
                </c:pt>
                <c:pt idx="103">
                  <c:v>21.089549134833199</c:v>
                </c:pt>
                <c:pt idx="104">
                  <c:v>14.1037173577741</c:v>
                </c:pt>
                <c:pt idx="105">
                  <c:v>0.26437883216684599</c:v>
                </c:pt>
                <c:pt idx="106">
                  <c:v>8.8670946933237099E-2</c:v>
                </c:pt>
                <c:pt idx="107">
                  <c:v>0.26809518007911598</c:v>
                </c:pt>
              </c:numCache>
            </c:numRef>
          </c:xVal>
          <c:yVal>
            <c:numRef>
              <c:f>BlackBeauty!$AB$5:$AB$112</c:f>
              <c:numCache>
                <c:formatCode>General</c:formatCode>
                <c:ptCount val="108"/>
                <c:pt idx="0">
                  <c:v>3.6346272132231405</c:v>
                </c:pt>
                <c:pt idx="1">
                  <c:v>6.1027275661157026</c:v>
                </c:pt>
                <c:pt idx="2">
                  <c:v>7.5892889768595051</c:v>
                </c:pt>
                <c:pt idx="3">
                  <c:v>5.3772673553719015E-2</c:v>
                </c:pt>
                <c:pt idx="4">
                  <c:v>5.0298850413223142E-2</c:v>
                </c:pt>
                <c:pt idx="5">
                  <c:v>6.1861336363636367E-2</c:v>
                </c:pt>
                <c:pt idx="6">
                  <c:v>5.648351074380166E-2</c:v>
                </c:pt>
                <c:pt idx="7">
                  <c:v>6.2020653719008272E-2</c:v>
                </c:pt>
                <c:pt idx="8">
                  <c:v>7.0336728925619846E-2</c:v>
                </c:pt>
                <c:pt idx="9">
                  <c:v>5.7669764462809921E-2</c:v>
                </c:pt>
                <c:pt idx="10">
                  <c:v>6.1653235537190085E-2</c:v>
                </c:pt>
                <c:pt idx="11">
                  <c:v>4.5642895867768596E-2</c:v>
                </c:pt>
                <c:pt idx="12">
                  <c:v>0.10205190578512396</c:v>
                </c:pt>
                <c:pt idx="13">
                  <c:v>7.5270496694214872E-2</c:v>
                </c:pt>
                <c:pt idx="14">
                  <c:v>4.8138909917355373E-2</c:v>
                </c:pt>
                <c:pt idx="15">
                  <c:v>3.9644142148760331E-2</c:v>
                </c:pt>
                <c:pt idx="16">
                  <c:v>4.9265238016528927E-2</c:v>
                </c:pt>
                <c:pt idx="17">
                  <c:v>3.3342309090909093E-2</c:v>
                </c:pt>
                <c:pt idx="18">
                  <c:v>3.4008584297520662E-2</c:v>
                </c:pt>
                <c:pt idx="19">
                  <c:v>5.5609859504132239E-3</c:v>
                </c:pt>
                <c:pt idx="20">
                  <c:v>7.427161157024794E-3</c:v>
                </c:pt>
                <c:pt idx="21">
                  <c:v>1.1667169421487603E-2</c:v>
                </c:pt>
                <c:pt idx="22">
                  <c:v>1.0865468595041321E-2</c:v>
                </c:pt>
                <c:pt idx="23">
                  <c:v>1.5351760330578511E-2</c:v>
                </c:pt>
                <c:pt idx="24">
                  <c:v>2.5127771074380165E-2</c:v>
                </c:pt>
                <c:pt idx="25">
                  <c:v>4.4424150413223146E-2</c:v>
                </c:pt>
                <c:pt idx="26">
                  <c:v>8.2275020661157022E-2</c:v>
                </c:pt>
                <c:pt idx="27">
                  <c:v>0.14853628016528925</c:v>
                </c:pt>
                <c:pt idx="28">
                  <c:v>0.11696348429752067</c:v>
                </c:pt>
                <c:pt idx="29">
                  <c:v>0.12845920413223139</c:v>
                </c:pt>
                <c:pt idx="30">
                  <c:v>0.11690025454545455</c:v>
                </c:pt>
                <c:pt idx="31">
                  <c:v>0.10787380165289258</c:v>
                </c:pt>
                <c:pt idx="32">
                  <c:v>0.11055042479338842</c:v>
                </c:pt>
                <c:pt idx="33">
                  <c:v>8.6819286776859503E-2</c:v>
                </c:pt>
                <c:pt idx="34">
                  <c:v>4.5077563636363636E-2</c:v>
                </c:pt>
                <c:pt idx="35">
                  <c:v>6.3145126446280994E-2</c:v>
                </c:pt>
                <c:pt idx="36">
                  <c:v>1.9850471900826446E-2</c:v>
                </c:pt>
                <c:pt idx="37">
                  <c:v>1.3550322314049587E-3</c:v>
                </c:pt>
                <c:pt idx="38">
                  <c:v>3.7592719008264462E-3</c:v>
                </c:pt>
                <c:pt idx="39">
                  <c:v>5.7924340495867768E-2</c:v>
                </c:pt>
                <c:pt idx="40">
                  <c:v>1.0657105785123968E-2</c:v>
                </c:pt>
                <c:pt idx="41">
                  <c:v>0.3074367049586777</c:v>
                </c:pt>
                <c:pt idx="42">
                  <c:v>1.7202123966942151E-2</c:v>
                </c:pt>
                <c:pt idx="43">
                  <c:v>2.0493277685950415E-2</c:v>
                </c:pt>
                <c:pt idx="44">
                  <c:v>1.0365764462809918E-2</c:v>
                </c:pt>
                <c:pt idx="45">
                  <c:v>1.7806971074380167E-2</c:v>
                </c:pt>
                <c:pt idx="46">
                  <c:v>0.26070146115702481</c:v>
                </c:pt>
                <c:pt idx="47">
                  <c:v>1.872624297520661E-2</c:v>
                </c:pt>
                <c:pt idx="48">
                  <c:v>0.1040039041322314</c:v>
                </c:pt>
                <c:pt idx="49">
                  <c:v>6.5145482644628105E-2</c:v>
                </c:pt>
                <c:pt idx="50">
                  <c:v>5.0365702479338841E-3</c:v>
                </c:pt>
                <c:pt idx="51">
                  <c:v>5.7817480991735538E-2</c:v>
                </c:pt>
                <c:pt idx="52">
                  <c:v>1.320736205785124</c:v>
                </c:pt>
                <c:pt idx="53">
                  <c:v>0.13256182479338843</c:v>
                </c:pt>
                <c:pt idx="54">
                  <c:v>0.1728288132231405</c:v>
                </c:pt>
                <c:pt idx="55">
                  <c:v>0.18118312148760332</c:v>
                </c:pt>
                <c:pt idx="56">
                  <c:v>0.26625873719008264</c:v>
                </c:pt>
                <c:pt idx="57">
                  <c:v>0.32738692561983473</c:v>
                </c:pt>
                <c:pt idx="58">
                  <c:v>0.23657504049586775</c:v>
                </c:pt>
                <c:pt idx="59">
                  <c:v>0.20040000000000002</c:v>
                </c:pt>
                <c:pt idx="60">
                  <c:v>0.18928854876033058</c:v>
                </c:pt>
                <c:pt idx="61">
                  <c:v>0.22231116446280991</c:v>
                </c:pt>
                <c:pt idx="62">
                  <c:v>0.18161485867768595</c:v>
                </c:pt>
                <c:pt idx="63">
                  <c:v>0.4085574090909091</c:v>
                </c:pt>
                <c:pt idx="64">
                  <c:v>0.47985475537190081</c:v>
                </c:pt>
                <c:pt idx="65">
                  <c:v>0.63415203471074377</c:v>
                </c:pt>
                <c:pt idx="66">
                  <c:v>0.2832273561983471</c:v>
                </c:pt>
                <c:pt idx="67">
                  <c:v>1.1452318396694214</c:v>
                </c:pt>
                <c:pt idx="68">
                  <c:v>4.599931157024794E-2</c:v>
                </c:pt>
                <c:pt idx="69">
                  <c:v>0.69157371487603314</c:v>
                </c:pt>
                <c:pt idx="70">
                  <c:v>5.1413055371900829E-2</c:v>
                </c:pt>
                <c:pt idx="71">
                  <c:v>3.7995635537190084E-2</c:v>
                </c:pt>
                <c:pt idx="72">
                  <c:v>3.9139550413223138E-2</c:v>
                </c:pt>
                <c:pt idx="73">
                  <c:v>4.5524780991735542E-2</c:v>
                </c:pt>
                <c:pt idx="74">
                  <c:v>3.8497471074380167E-2</c:v>
                </c:pt>
                <c:pt idx="75">
                  <c:v>0.11946241157024792</c:v>
                </c:pt>
                <c:pt idx="76">
                  <c:v>3.8326020661157027E-2</c:v>
                </c:pt>
                <c:pt idx="77">
                  <c:v>4.2242485520661157</c:v>
                </c:pt>
                <c:pt idx="78">
                  <c:v>0.58598920909090912</c:v>
                </c:pt>
                <c:pt idx="79">
                  <c:v>1.9776803578512396</c:v>
                </c:pt>
                <c:pt idx="80">
                  <c:v>6.1234805528925627</c:v>
                </c:pt>
                <c:pt idx="81">
                  <c:v>7.2890817347107442</c:v>
                </c:pt>
                <c:pt idx="82">
                  <c:v>6.6273775330578513</c:v>
                </c:pt>
                <c:pt idx="83">
                  <c:v>6.1455114000000002</c:v>
                </c:pt>
                <c:pt idx="84">
                  <c:v>3.8399374157024795</c:v>
                </c:pt>
                <c:pt idx="85">
                  <c:v>0.16820918347107439</c:v>
                </c:pt>
                <c:pt idx="86">
                  <c:v>6.2881005611570249</c:v>
                </c:pt>
                <c:pt idx="87">
                  <c:v>0.26174980330578512</c:v>
                </c:pt>
                <c:pt idx="88">
                  <c:v>1.9102038644628099</c:v>
                </c:pt>
                <c:pt idx="89">
                  <c:v>0.23417935454545455</c:v>
                </c:pt>
                <c:pt idx="90">
                  <c:v>2.2359806123966943</c:v>
                </c:pt>
                <c:pt idx="91">
                  <c:v>1.1768630719008266</c:v>
                </c:pt>
                <c:pt idx="92">
                  <c:v>0.42710430991735532</c:v>
                </c:pt>
                <c:pt idx="93">
                  <c:v>1.8513354198347107</c:v>
                </c:pt>
                <c:pt idx="94">
                  <c:v>2.1906251090909095</c:v>
                </c:pt>
                <c:pt idx="95">
                  <c:v>1.1752308446280992</c:v>
                </c:pt>
                <c:pt idx="96">
                  <c:v>1.308207496694215</c:v>
                </c:pt>
                <c:pt idx="97">
                  <c:v>2.0699593851239668</c:v>
                </c:pt>
                <c:pt idx="98">
                  <c:v>4.560175470247934</c:v>
                </c:pt>
                <c:pt idx="99">
                  <c:v>2.0317427157024794</c:v>
                </c:pt>
                <c:pt idx="100">
                  <c:v>6.529603785950413</c:v>
                </c:pt>
                <c:pt idx="101">
                  <c:v>3.0803942404958677</c:v>
                </c:pt>
                <c:pt idx="102">
                  <c:v>20.665947446280992</c:v>
                </c:pt>
                <c:pt idx="103">
                  <c:v>30.948964851239669</c:v>
                </c:pt>
                <c:pt idx="104">
                  <c:v>20.025492429752067</c:v>
                </c:pt>
                <c:pt idx="105">
                  <c:v>8.3070619421487599</c:v>
                </c:pt>
                <c:pt idx="106">
                  <c:v>1.6993559504132232</c:v>
                </c:pt>
                <c:pt idx="107">
                  <c:v>0.36847836859504129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6C-D14C-B68F-C53147B5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831279"/>
        <c:axId val="1018146847"/>
      </c:scatterChart>
      <c:valAx>
        <c:axId val="1017831279"/>
        <c:scaling>
          <c:orientation val="minMax"/>
          <c:max val="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400" b="1">
                    <a:solidFill>
                      <a:schemeClr val="tx1"/>
                    </a:solidFill>
                  </a:rPr>
                  <a:t>K</a:t>
                </a:r>
                <a:r>
                  <a:rPr lang="en-US" sz="2400" b="1" baseline="-25000">
                    <a:solidFill>
                      <a:schemeClr val="tx1"/>
                    </a:solidFill>
                  </a:rPr>
                  <a:t>2</a:t>
                </a:r>
                <a:r>
                  <a:rPr lang="en-US" sz="2400" b="1">
                    <a:solidFill>
                      <a:schemeClr val="tx1"/>
                    </a:solidFill>
                  </a:rPr>
                  <a:t>O/CaO (wt%/wt%)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018146847"/>
        <c:crosses val="autoZero"/>
        <c:crossBetween val="midCat"/>
      </c:valAx>
      <c:valAx>
        <c:axId val="1018146847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400" b="1" baseline="30000"/>
                  <a:t>87</a:t>
                </a:r>
                <a:r>
                  <a:rPr lang="en-US" sz="2400" b="1"/>
                  <a:t>Rb/</a:t>
                </a:r>
                <a:r>
                  <a:rPr lang="en-US" sz="2400" b="1" baseline="30000"/>
                  <a:t>86</a:t>
                </a:r>
                <a:r>
                  <a:rPr lang="en-US" sz="2400" b="1"/>
                  <a:t>Sr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017831279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360984177544914"/>
          <c:y val="4.9287365455464846E-2"/>
          <c:w val="0.41820207492966976"/>
          <c:h val="0.14913169110741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BlackBeauty!$AI$5:$AI$111</c:f>
                <c:numCache>
                  <c:formatCode>General</c:formatCode>
                  <c:ptCount val="107"/>
                  <c:pt idx="0">
                    <c:v>291.37624657658944</c:v>
                  </c:pt>
                  <c:pt idx="1">
                    <c:v>212.72563858734628</c:v>
                  </c:pt>
                  <c:pt idx="2">
                    <c:v>432.87320480279055</c:v>
                  </c:pt>
                  <c:pt idx="52">
                    <c:v>304.88653459223383</c:v>
                  </c:pt>
                  <c:pt idx="67">
                    <c:v>645.17712202714495</c:v>
                  </c:pt>
                  <c:pt idx="77">
                    <c:v>179.06403652950956</c:v>
                  </c:pt>
                  <c:pt idx="79">
                    <c:v>399.63097341839</c:v>
                  </c:pt>
                  <c:pt idx="80">
                    <c:v>138.21164731518797</c:v>
                  </c:pt>
                  <c:pt idx="81">
                    <c:v>158.05825795264684</c:v>
                  </c:pt>
                  <c:pt idx="82">
                    <c:v>219.70300183497568</c:v>
                  </c:pt>
                  <c:pt idx="83">
                    <c:v>193.00054901957733</c:v>
                  </c:pt>
                  <c:pt idx="84">
                    <c:v>148.72600300206491</c:v>
                  </c:pt>
                  <c:pt idx="86">
                    <c:v>234.3148350209305</c:v>
                  </c:pt>
                  <c:pt idx="88">
                    <c:v>287.13037255359376</c:v>
                  </c:pt>
                  <c:pt idx="90">
                    <c:v>162.81822479926529</c:v>
                  </c:pt>
                  <c:pt idx="91">
                    <c:v>604.40619253838759</c:v>
                  </c:pt>
                  <c:pt idx="93">
                    <c:v>152.46094215539611</c:v>
                  </c:pt>
                  <c:pt idx="94">
                    <c:v>282.15335890983181</c:v>
                  </c:pt>
                  <c:pt idx="95">
                    <c:v>297.66252096393214</c:v>
                  </c:pt>
                  <c:pt idx="96">
                    <c:v>242.91983440289133</c:v>
                  </c:pt>
                  <c:pt idx="97">
                    <c:v>163.83667048975752</c:v>
                  </c:pt>
                  <c:pt idx="98">
                    <c:v>161.6401899069314</c:v>
                  </c:pt>
                  <c:pt idx="99">
                    <c:v>387.01376643997258</c:v>
                  </c:pt>
                  <c:pt idx="100">
                    <c:v>155.17793051141629</c:v>
                  </c:pt>
                  <c:pt idx="101">
                    <c:v>180.74462603436712</c:v>
                  </c:pt>
                  <c:pt idx="102">
                    <c:v>223.58562417397692</c:v>
                  </c:pt>
                  <c:pt idx="103">
                    <c:v>122.23616336702447</c:v>
                  </c:pt>
                  <c:pt idx="104">
                    <c:v>183.37992199794033</c:v>
                  </c:pt>
                  <c:pt idx="105">
                    <c:v>119.40750594855903</c:v>
                  </c:pt>
                  <c:pt idx="106">
                    <c:v>143.86573329125221</c:v>
                  </c:pt>
                </c:numCache>
              </c:numRef>
            </c:plus>
            <c:minus>
              <c:numRef>
                <c:f>BlackBeauty!$AI$5:$AI$111</c:f>
                <c:numCache>
                  <c:formatCode>General</c:formatCode>
                  <c:ptCount val="107"/>
                  <c:pt idx="0">
                    <c:v>291.37624657658944</c:v>
                  </c:pt>
                  <c:pt idx="1">
                    <c:v>212.72563858734628</c:v>
                  </c:pt>
                  <c:pt idx="2">
                    <c:v>432.87320480279055</c:v>
                  </c:pt>
                  <c:pt idx="52">
                    <c:v>304.88653459223383</c:v>
                  </c:pt>
                  <c:pt idx="67">
                    <c:v>645.17712202714495</c:v>
                  </c:pt>
                  <c:pt idx="77">
                    <c:v>179.06403652950956</c:v>
                  </c:pt>
                  <c:pt idx="79">
                    <c:v>399.63097341839</c:v>
                  </c:pt>
                  <c:pt idx="80">
                    <c:v>138.21164731518797</c:v>
                  </c:pt>
                  <c:pt idx="81">
                    <c:v>158.05825795264684</c:v>
                  </c:pt>
                  <c:pt idx="82">
                    <c:v>219.70300183497568</c:v>
                  </c:pt>
                  <c:pt idx="83">
                    <c:v>193.00054901957733</c:v>
                  </c:pt>
                  <c:pt idx="84">
                    <c:v>148.72600300206491</c:v>
                  </c:pt>
                  <c:pt idx="86">
                    <c:v>234.3148350209305</c:v>
                  </c:pt>
                  <c:pt idx="88">
                    <c:v>287.13037255359376</c:v>
                  </c:pt>
                  <c:pt idx="90">
                    <c:v>162.81822479926529</c:v>
                  </c:pt>
                  <c:pt idx="91">
                    <c:v>604.40619253838759</c:v>
                  </c:pt>
                  <c:pt idx="93">
                    <c:v>152.46094215539611</c:v>
                  </c:pt>
                  <c:pt idx="94">
                    <c:v>282.15335890983181</c:v>
                  </c:pt>
                  <c:pt idx="95">
                    <c:v>297.66252096393214</c:v>
                  </c:pt>
                  <c:pt idx="96">
                    <c:v>242.91983440289133</c:v>
                  </c:pt>
                  <c:pt idx="97">
                    <c:v>163.83667048975752</c:v>
                  </c:pt>
                  <c:pt idx="98">
                    <c:v>161.6401899069314</c:v>
                  </c:pt>
                  <c:pt idx="99">
                    <c:v>387.01376643997258</c:v>
                  </c:pt>
                  <c:pt idx="100">
                    <c:v>155.17793051141629</c:v>
                  </c:pt>
                  <c:pt idx="101">
                    <c:v>180.74462603436712</c:v>
                  </c:pt>
                  <c:pt idx="102">
                    <c:v>223.58562417397692</c:v>
                  </c:pt>
                  <c:pt idx="103">
                    <c:v>122.23616336702447</c:v>
                  </c:pt>
                  <c:pt idx="104">
                    <c:v>183.37992199794033</c:v>
                  </c:pt>
                  <c:pt idx="105">
                    <c:v>119.40750594855903</c:v>
                  </c:pt>
                  <c:pt idx="106">
                    <c:v>143.86573329125221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BlackBeauty!$H$5:$H$111</c:f>
              <c:numCache>
                <c:formatCode>0</c:formatCode>
                <c:ptCount val="107"/>
                <c:pt idx="0">
                  <c:v>308.65008945907232</c:v>
                </c:pt>
                <c:pt idx="1">
                  <c:v>308.65008945907232</c:v>
                </c:pt>
                <c:pt idx="2">
                  <c:v>308.65008945907232</c:v>
                </c:pt>
                <c:pt idx="52">
                  <c:v>126.15168066433239</c:v>
                </c:pt>
                <c:pt idx="67">
                  <c:v>290.25895451325135</c:v>
                </c:pt>
                <c:pt idx="77">
                  <c:v>214.08478366295387</c:v>
                </c:pt>
                <c:pt idx="79">
                  <c:v>214.08597313189776</c:v>
                </c:pt>
                <c:pt idx="80">
                  <c:v>368.94151031991322</c:v>
                </c:pt>
                <c:pt idx="81">
                  <c:v>368.94151031991322</c:v>
                </c:pt>
                <c:pt idx="82">
                  <c:v>368.94151031991322</c:v>
                </c:pt>
                <c:pt idx="83">
                  <c:v>368.94151031991322</c:v>
                </c:pt>
                <c:pt idx="84">
                  <c:v>103.42966205536786</c:v>
                </c:pt>
                <c:pt idx="86">
                  <c:v>110.86283684325004</c:v>
                </c:pt>
                <c:pt idx="88">
                  <c:v>176.3489142074132</c:v>
                </c:pt>
                <c:pt idx="90">
                  <c:v>225.35167115529578</c:v>
                </c:pt>
                <c:pt idx="91">
                  <c:v>225.35167115529578</c:v>
                </c:pt>
                <c:pt idx="93">
                  <c:v>117.21573242204794</c:v>
                </c:pt>
                <c:pt idx="94">
                  <c:v>172.60129761427504</c:v>
                </c:pt>
                <c:pt idx="95">
                  <c:v>172.60129761427504</c:v>
                </c:pt>
                <c:pt idx="96">
                  <c:v>265.63344587809195</c:v>
                </c:pt>
                <c:pt idx="97">
                  <c:v>265.63344587809195</c:v>
                </c:pt>
                <c:pt idx="98">
                  <c:v>265.63344587809195</c:v>
                </c:pt>
                <c:pt idx="99">
                  <c:v>176.84804858832234</c:v>
                </c:pt>
                <c:pt idx="100">
                  <c:v>176.84804858832234</c:v>
                </c:pt>
                <c:pt idx="101">
                  <c:v>157.21683084720706</c:v>
                </c:pt>
                <c:pt idx="102">
                  <c:v>460.07166759695679</c:v>
                </c:pt>
                <c:pt idx="103">
                  <c:v>460.07166759695679</c:v>
                </c:pt>
                <c:pt idx="104">
                  <c:v>460.07166759695679</c:v>
                </c:pt>
                <c:pt idx="105">
                  <c:v>460.07166759695679</c:v>
                </c:pt>
                <c:pt idx="106">
                  <c:v>197.55305920503417</c:v>
                </c:pt>
              </c:numCache>
            </c:numRef>
          </c:xVal>
          <c:yVal>
            <c:numRef>
              <c:f>BlackBeauty!$AH$5:$AH$111</c:f>
              <c:numCache>
                <c:formatCode>0</c:formatCode>
                <c:ptCount val="107"/>
                <c:pt idx="0">
                  <c:v>1853.2568731071563</c:v>
                </c:pt>
                <c:pt idx="1">
                  <c:v>1657.6463304948725</c:v>
                </c:pt>
                <c:pt idx="2">
                  <c:v>1592.7340060363324</c:v>
                </c:pt>
                <c:pt idx="52">
                  <c:v>2497.115074388842</c:v>
                </c:pt>
                <c:pt idx="67">
                  <c:v>2006.0078060260257</c:v>
                </c:pt>
                <c:pt idx="77">
                  <c:v>2225.0293687738194</c:v>
                </c:pt>
                <c:pt idx="79">
                  <c:v>2405.4895481160902</c:v>
                </c:pt>
                <c:pt idx="80">
                  <c:v>2140.1564772625475</c:v>
                </c:pt>
                <c:pt idx="81">
                  <c:v>2414.1504566539447</c:v>
                </c:pt>
                <c:pt idx="82">
                  <c:v>2550.2011927290023</c:v>
                </c:pt>
                <c:pt idx="83">
                  <c:v>2309.2903645654947</c:v>
                </c:pt>
                <c:pt idx="84">
                  <c:v>1694.5612880712731</c:v>
                </c:pt>
                <c:pt idx="86">
                  <c:v>3026.6595750324891</c:v>
                </c:pt>
                <c:pt idx="88">
                  <c:v>2458.28407166535</c:v>
                </c:pt>
                <c:pt idx="90">
                  <c:v>1963.0248498945537</c:v>
                </c:pt>
                <c:pt idx="91">
                  <c:v>2230.4482140410187</c:v>
                </c:pt>
                <c:pt idx="93">
                  <c:v>1954.3991499017427</c:v>
                </c:pt>
                <c:pt idx="94">
                  <c:v>2321.1411822843943</c:v>
                </c:pt>
                <c:pt idx="95">
                  <c:v>2494.1754361105341</c:v>
                </c:pt>
                <c:pt idx="96">
                  <c:v>2219.1462989182351</c:v>
                </c:pt>
                <c:pt idx="97">
                  <c:v>2123.703466473426</c:v>
                </c:pt>
                <c:pt idx="98">
                  <c:v>1857.2123162543551</c:v>
                </c:pt>
                <c:pt idx="99">
                  <c:v>2734.8681972259046</c:v>
                </c:pt>
                <c:pt idx="100">
                  <c:v>2116.5001758020035</c:v>
                </c:pt>
                <c:pt idx="101">
                  <c:v>2185.3378445809531</c:v>
                </c:pt>
                <c:pt idx="102">
                  <c:v>1855.0180699721443</c:v>
                </c:pt>
                <c:pt idx="103">
                  <c:v>1957.3493584616087</c:v>
                </c:pt>
                <c:pt idx="104">
                  <c:v>2421.644688544005</c:v>
                </c:pt>
                <c:pt idx="105">
                  <c:v>1893.8340889169879</c:v>
                </c:pt>
                <c:pt idx="106">
                  <c:v>2066.3998880252452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2-214C-B274-ECCC615074EE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BlackBeauty!$AA$135:$AA$136</c:f>
              <c:numCache>
                <c:formatCode>General</c:formatCode>
                <c:ptCount val="2"/>
                <c:pt idx="0">
                  <c:v>0</c:v>
                </c:pt>
                <c:pt idx="1">
                  <c:v>500</c:v>
                </c:pt>
              </c:numCache>
            </c:numRef>
          </c:xVal>
          <c:yVal>
            <c:numRef>
              <c:f>BlackBeauty!$AB$135:$AB$136</c:f>
              <c:numCache>
                <c:formatCode>General</c:formatCode>
                <c:ptCount val="2"/>
                <c:pt idx="0">
                  <c:v>2190</c:v>
                </c:pt>
                <c:pt idx="1">
                  <c:v>2190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2-214C-B274-ECCC615074EE}"/>
            </c:ext>
          </c:extLst>
        </c:ser>
        <c:ser>
          <c:idx val="2"/>
          <c:order val="2"/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BlackBeauty!$AA$138:$AA$139</c:f>
              <c:numCache>
                <c:formatCode>General</c:formatCode>
                <c:ptCount val="2"/>
                <c:pt idx="0">
                  <c:v>0</c:v>
                </c:pt>
                <c:pt idx="1">
                  <c:v>500</c:v>
                </c:pt>
              </c:numCache>
            </c:numRef>
          </c:xVal>
          <c:yVal>
            <c:numRef>
              <c:f>BlackBeauty!$AB$138:$AB$139</c:f>
              <c:numCache>
                <c:formatCode>General</c:formatCode>
                <c:ptCount val="2"/>
                <c:pt idx="0">
                  <c:v>1400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2-214C-B274-ECCC6150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28704"/>
        <c:axId val="28657584"/>
      </c:scatterChart>
      <c:valAx>
        <c:axId val="70128704"/>
        <c:scaling>
          <c:orientation val="minMax"/>
          <c:max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600" b="1"/>
                  <a:t>Equivalent grain diameter (</a:t>
                </a:r>
                <a:r>
                  <a:rPr lang="en-US" sz="1600" b="1" baseline="0">
                    <a:latin typeface="Symbol" pitchFamily="2" charset="2"/>
                  </a:rPr>
                  <a:t>m</a:t>
                </a:r>
                <a:r>
                  <a:rPr lang="en-US" sz="1600" b="1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28657584"/>
        <c:crosses val="autoZero"/>
        <c:crossBetween val="midCat"/>
      </c:valAx>
      <c:valAx>
        <c:axId val="28657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1600" b="1"/>
                  <a:t>Individual</a:t>
                </a:r>
                <a:r>
                  <a:rPr lang="en-US" sz="1600" b="1" baseline="0"/>
                  <a:t> grain age (Ma)</a:t>
                </a:r>
                <a:endParaRPr lang="en-US" sz="16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70128704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76200" cap="rnd">
                <a:solidFill>
                  <a:schemeClr val="bg2">
                    <a:lumMod val="50000"/>
                    <a:alpha val="60578"/>
                  </a:schemeClr>
                </a:solidFill>
                <a:prstDash val="solid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0.1363949178483837"/>
                  <c:y val="-5.3915063895701561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/>
                      </a:solidFill>
                      <a:latin typeface="Helvetica Neue" panose="02000503000000020004" pitchFamily="2" charset="0"/>
                      <a:ea typeface="Helvetica Neue" panose="02000503000000020004" pitchFamily="2" charset="0"/>
                      <a:cs typeface="Helvetica Neue" panose="02000503000000020004" pitchFamily="2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BlackBeauty_ChemicalComposition!$C$7:$C$114</c:f>
              <c:numCache>
                <c:formatCode>General</c:formatCode>
                <c:ptCount val="108"/>
                <c:pt idx="0">
                  <c:v>1.4129692832764502</c:v>
                </c:pt>
                <c:pt idx="1">
                  <c:v>0.36126373626373626</c:v>
                </c:pt>
                <c:pt idx="2">
                  <c:v>9.5409836065573774</c:v>
                </c:pt>
                <c:pt idx="3">
                  <c:v>2.9337803855825649E-2</c:v>
                </c:pt>
                <c:pt idx="4">
                  <c:v>3.3834586466165412E-2</c:v>
                </c:pt>
                <c:pt idx="5">
                  <c:v>4.4502617801047126E-2</c:v>
                </c:pt>
                <c:pt idx="6">
                  <c:v>1.5064562410329985E-2</c:v>
                </c:pt>
                <c:pt idx="7">
                  <c:v>2.1871202916160386E-2</c:v>
                </c:pt>
                <c:pt idx="8">
                  <c:v>4.151838671411625E-2</c:v>
                </c:pt>
                <c:pt idx="9">
                  <c:v>2.1760633036597428E-2</c:v>
                </c:pt>
                <c:pt idx="10">
                  <c:v>5.4858934169278992E-2</c:v>
                </c:pt>
                <c:pt idx="11">
                  <c:v>5.8882235528942117E-2</c:v>
                </c:pt>
                <c:pt idx="12">
                  <c:v>3.7439613526570048E-2</c:v>
                </c:pt>
                <c:pt idx="13">
                  <c:v>2.5368248772504091E-2</c:v>
                </c:pt>
                <c:pt idx="14">
                  <c:v>4.2005420054200542E-2</c:v>
                </c:pt>
                <c:pt idx="15">
                  <c:v>1.7073170731707315E-2</c:v>
                </c:pt>
                <c:pt idx="16">
                  <c:v>1.0752688172043012E-2</c:v>
                </c:pt>
                <c:pt idx="19">
                  <c:v>3.1974921630094043E-2</c:v>
                </c:pt>
                <c:pt idx="20">
                  <c:v>2.1418020679468242E-2</c:v>
                </c:pt>
                <c:pt idx="21">
                  <c:v>2.336448598130841E-2</c:v>
                </c:pt>
                <c:pt idx="22">
                  <c:v>3.4482758620689655E-2</c:v>
                </c:pt>
                <c:pt idx="23">
                  <c:v>3.6334913112164295E-2</c:v>
                </c:pt>
                <c:pt idx="24">
                  <c:v>5.2508751458576426E-2</c:v>
                </c:pt>
                <c:pt idx="25">
                  <c:v>7.3298429319371722E-2</c:v>
                </c:pt>
                <c:pt idx="26">
                  <c:v>0.13980028530670471</c:v>
                </c:pt>
                <c:pt idx="27">
                  <c:v>0.2062706270627063</c:v>
                </c:pt>
                <c:pt idx="28">
                  <c:v>5.6000000000000001E-2</c:v>
                </c:pt>
                <c:pt idx="29">
                  <c:v>4.1152263374485597E-2</c:v>
                </c:pt>
                <c:pt idx="30">
                  <c:v>2.1377672209026127E-2</c:v>
                </c:pt>
                <c:pt idx="31">
                  <c:v>4.3918918918918921E-2</c:v>
                </c:pt>
                <c:pt idx="32">
                  <c:v>3.3457249070631967E-2</c:v>
                </c:pt>
                <c:pt idx="37">
                  <c:v>2.2603126765869275E-3</c:v>
                </c:pt>
                <c:pt idx="38">
                  <c:v>0</c:v>
                </c:pt>
                <c:pt idx="39">
                  <c:v>4.7297297297297293E-2</c:v>
                </c:pt>
                <c:pt idx="41">
                  <c:v>7.5621890547263676E-2</c:v>
                </c:pt>
                <c:pt idx="42">
                  <c:v>6.4344746162927985E-2</c:v>
                </c:pt>
                <c:pt idx="43">
                  <c:v>4.6536796536796536E-2</c:v>
                </c:pt>
                <c:pt idx="44">
                  <c:v>5.6047197640117993E-2</c:v>
                </c:pt>
                <c:pt idx="45">
                  <c:v>2.368615840118431E-2</c:v>
                </c:pt>
                <c:pt idx="46">
                  <c:v>5.9846903270702856E-2</c:v>
                </c:pt>
                <c:pt idx="47">
                  <c:v>1.8741633199464529E-2</c:v>
                </c:pt>
                <c:pt idx="48">
                  <c:v>0.16560509554140126</c:v>
                </c:pt>
                <c:pt idx="49">
                  <c:v>4.5685279187817264E-2</c:v>
                </c:pt>
                <c:pt idx="50">
                  <c:v>1.211410707307542E-2</c:v>
                </c:pt>
                <c:pt idx="51">
                  <c:v>1.3888888888888888E-2</c:v>
                </c:pt>
                <c:pt idx="52">
                  <c:v>6.9557362240289064E-2</c:v>
                </c:pt>
                <c:pt idx="53">
                  <c:v>0.13134851138353765</c:v>
                </c:pt>
                <c:pt idx="54">
                  <c:v>0.10125000000000001</c:v>
                </c:pt>
                <c:pt idx="55">
                  <c:v>8.7186261558784672E-2</c:v>
                </c:pt>
                <c:pt idx="56">
                  <c:v>3.2222222222222222E-2</c:v>
                </c:pt>
                <c:pt idx="57">
                  <c:v>6.9591527987897125E-2</c:v>
                </c:pt>
                <c:pt idx="58">
                  <c:v>9.1753774680603958E-2</c:v>
                </c:pt>
                <c:pt idx="59">
                  <c:v>0.23415977961432508</c:v>
                </c:pt>
                <c:pt idx="60">
                  <c:v>0.11976047904191617</c:v>
                </c:pt>
                <c:pt idx="61">
                  <c:v>0.16835443037974684</c:v>
                </c:pt>
                <c:pt idx="62">
                  <c:v>0.13800904977375567</c:v>
                </c:pt>
                <c:pt idx="63">
                  <c:v>4.6703296703296704E-2</c:v>
                </c:pt>
                <c:pt idx="64">
                  <c:v>8.6206896551724144E-2</c:v>
                </c:pt>
                <c:pt idx="65">
                  <c:v>4.9999999999999996E-2</c:v>
                </c:pt>
                <c:pt idx="66">
                  <c:v>2.371134020618557E-2</c:v>
                </c:pt>
                <c:pt idx="67">
                  <c:v>3.4744842562432134E-2</c:v>
                </c:pt>
                <c:pt idx="68">
                  <c:v>9.4736842105263161E-2</c:v>
                </c:pt>
                <c:pt idx="69">
                  <c:v>3.2873806998939555E-2</c:v>
                </c:pt>
                <c:pt idx="70">
                  <c:v>2.1641791044776117E-2</c:v>
                </c:pt>
                <c:pt idx="71">
                  <c:v>3.4180543382997371E-2</c:v>
                </c:pt>
                <c:pt idx="72">
                  <c:v>9.6510764662212315E-3</c:v>
                </c:pt>
                <c:pt idx="73">
                  <c:v>4.4701986754966887E-2</c:v>
                </c:pt>
                <c:pt idx="74">
                  <c:v>1.1310084825636193E-2</c:v>
                </c:pt>
                <c:pt idx="75">
                  <c:v>3.2402234636871509E-2</c:v>
                </c:pt>
                <c:pt idx="76">
                  <c:v>2.6785714285714288E-2</c:v>
                </c:pt>
                <c:pt idx="77">
                  <c:v>1.5602536997885834</c:v>
                </c:pt>
                <c:pt idx="78">
                  <c:v>1.2779552715654953E-2</c:v>
                </c:pt>
                <c:pt idx="79">
                  <c:v>1.7270742358078603</c:v>
                </c:pt>
                <c:pt idx="80">
                  <c:v>2.6643356643356646</c:v>
                </c:pt>
                <c:pt idx="81">
                  <c:v>6.8630952380952381</c:v>
                </c:pt>
                <c:pt idx="82">
                  <c:v>4.9389312977099236</c:v>
                </c:pt>
                <c:pt idx="83">
                  <c:v>5.6956521739130439</c:v>
                </c:pt>
                <c:pt idx="84">
                  <c:v>2.2819148936170213</c:v>
                </c:pt>
                <c:pt idx="85">
                  <c:v>5.7840616966580979E-2</c:v>
                </c:pt>
                <c:pt idx="86">
                  <c:v>10.893442622950818</c:v>
                </c:pt>
                <c:pt idx="87">
                  <c:v>0.13969335604770017</c:v>
                </c:pt>
                <c:pt idx="88">
                  <c:v>0.68613138686131381</c:v>
                </c:pt>
                <c:pt idx="89">
                  <c:v>7.4889867841409691E-2</c:v>
                </c:pt>
                <c:pt idx="90">
                  <c:v>2.7519083969465647</c:v>
                </c:pt>
                <c:pt idx="91">
                  <c:v>0.20486815415821502</c:v>
                </c:pt>
                <c:pt idx="92">
                  <c:v>5.5932203389830508E-2</c:v>
                </c:pt>
                <c:pt idx="93">
                  <c:v>1.0570071258907363</c:v>
                </c:pt>
                <c:pt idx="94">
                  <c:v>0.32442748091603052</c:v>
                </c:pt>
                <c:pt idx="95">
                  <c:v>0.31772575250836116</c:v>
                </c:pt>
                <c:pt idx="96">
                  <c:v>2.06</c:v>
                </c:pt>
                <c:pt idx="97">
                  <c:v>0.83042789223454838</c:v>
                </c:pt>
                <c:pt idx="98">
                  <c:v>1.4509345794392523</c:v>
                </c:pt>
                <c:pt idx="99">
                  <c:v>0.74850299401197606</c:v>
                </c:pt>
                <c:pt idx="100">
                  <c:v>9.625</c:v>
                </c:pt>
                <c:pt idx="101">
                  <c:v>1.496382054992764</c:v>
                </c:pt>
                <c:pt idx="102">
                  <c:v>15.043956043956042</c:v>
                </c:pt>
                <c:pt idx="103">
                  <c:v>16.088888888888889</c:v>
                </c:pt>
                <c:pt idx="104">
                  <c:v>11.931034482758621</c:v>
                </c:pt>
                <c:pt idx="105">
                  <c:v>6.3096446700507611</c:v>
                </c:pt>
                <c:pt idx="106">
                  <c:v>1.1256410256410256</c:v>
                </c:pt>
                <c:pt idx="107">
                  <c:v>0.12827586206896552</c:v>
                </c:pt>
              </c:numCache>
            </c:numRef>
          </c:xVal>
          <c:yVal>
            <c:numRef>
              <c:f>BlackBeauty_ChemicalComposition!$AJ$7:$AJ$114</c:f>
              <c:numCache>
                <c:formatCode>General</c:formatCode>
                <c:ptCount val="108"/>
                <c:pt idx="0">
                  <c:v>3.6346272132231405</c:v>
                </c:pt>
                <c:pt idx="1">
                  <c:v>6.1027275661157026</c:v>
                </c:pt>
                <c:pt idx="2">
                  <c:v>7.5892889768595051</c:v>
                </c:pt>
                <c:pt idx="3">
                  <c:v>5.3772673553719015E-2</c:v>
                </c:pt>
                <c:pt idx="4">
                  <c:v>5.0298850413223142E-2</c:v>
                </c:pt>
                <c:pt idx="5">
                  <c:v>6.1861336363636367E-2</c:v>
                </c:pt>
                <c:pt idx="6">
                  <c:v>5.648351074380166E-2</c:v>
                </c:pt>
                <c:pt idx="7">
                  <c:v>6.2020653719008272E-2</c:v>
                </c:pt>
                <c:pt idx="8">
                  <c:v>7.0336728925619846E-2</c:v>
                </c:pt>
                <c:pt idx="9">
                  <c:v>5.7669764462809921E-2</c:v>
                </c:pt>
                <c:pt idx="10">
                  <c:v>6.1653235537190085E-2</c:v>
                </c:pt>
                <c:pt idx="11">
                  <c:v>4.5642895867768596E-2</c:v>
                </c:pt>
                <c:pt idx="12">
                  <c:v>0.10205190578512396</c:v>
                </c:pt>
                <c:pt idx="13">
                  <c:v>7.5270496694214872E-2</c:v>
                </c:pt>
                <c:pt idx="14">
                  <c:v>4.8138909917355373E-2</c:v>
                </c:pt>
                <c:pt idx="15">
                  <c:v>3.9644142148760331E-2</c:v>
                </c:pt>
                <c:pt idx="16">
                  <c:v>4.9265238016528927E-2</c:v>
                </c:pt>
                <c:pt idx="17">
                  <c:v>3.3342309090909093E-2</c:v>
                </c:pt>
                <c:pt idx="18">
                  <c:v>3.4008584297520662E-2</c:v>
                </c:pt>
                <c:pt idx="19">
                  <c:v>5.5609859504132239E-3</c:v>
                </c:pt>
                <c:pt idx="20">
                  <c:v>7.427161157024794E-3</c:v>
                </c:pt>
                <c:pt idx="21">
                  <c:v>1.1667169421487603E-2</c:v>
                </c:pt>
                <c:pt idx="22">
                  <c:v>1.0865468595041321E-2</c:v>
                </c:pt>
                <c:pt idx="23">
                  <c:v>1.5351760330578511E-2</c:v>
                </c:pt>
                <c:pt idx="24">
                  <c:v>2.5127771074380165E-2</c:v>
                </c:pt>
                <c:pt idx="25">
                  <c:v>4.4424150413223146E-2</c:v>
                </c:pt>
                <c:pt idx="26">
                  <c:v>8.2275020661157022E-2</c:v>
                </c:pt>
                <c:pt idx="27">
                  <c:v>0.14853628016528925</c:v>
                </c:pt>
                <c:pt idx="28">
                  <c:v>0.11696348429752067</c:v>
                </c:pt>
                <c:pt idx="29">
                  <c:v>0.12845920413223139</c:v>
                </c:pt>
                <c:pt idx="30">
                  <c:v>0.11690025454545455</c:v>
                </c:pt>
                <c:pt idx="31">
                  <c:v>0.10787380165289258</c:v>
                </c:pt>
                <c:pt idx="32">
                  <c:v>0.11055042479338842</c:v>
                </c:pt>
                <c:pt idx="33">
                  <c:v>8.6819286776859503E-2</c:v>
                </c:pt>
                <c:pt idx="34">
                  <c:v>4.5077563636363636E-2</c:v>
                </c:pt>
                <c:pt idx="35">
                  <c:v>6.3145126446280994E-2</c:v>
                </c:pt>
                <c:pt idx="36">
                  <c:v>1.9850471900826446E-2</c:v>
                </c:pt>
                <c:pt idx="37">
                  <c:v>1.3550322314049587E-3</c:v>
                </c:pt>
                <c:pt idx="38">
                  <c:v>3.7592719008264462E-3</c:v>
                </c:pt>
                <c:pt idx="39">
                  <c:v>5.7924340495867768E-2</c:v>
                </c:pt>
                <c:pt idx="40">
                  <c:v>1.0657105785123968E-2</c:v>
                </c:pt>
                <c:pt idx="41">
                  <c:v>0.3074367049586777</c:v>
                </c:pt>
                <c:pt idx="42">
                  <c:v>1.7202123966942151E-2</c:v>
                </c:pt>
                <c:pt idx="43">
                  <c:v>2.0493277685950415E-2</c:v>
                </c:pt>
                <c:pt idx="44">
                  <c:v>1.0365764462809918E-2</c:v>
                </c:pt>
                <c:pt idx="45">
                  <c:v>1.7806971074380167E-2</c:v>
                </c:pt>
                <c:pt idx="46">
                  <c:v>0.26070146115702481</c:v>
                </c:pt>
                <c:pt idx="47">
                  <c:v>1.872624297520661E-2</c:v>
                </c:pt>
                <c:pt idx="48">
                  <c:v>0.1040039041322314</c:v>
                </c:pt>
                <c:pt idx="49">
                  <c:v>6.5145482644628105E-2</c:v>
                </c:pt>
                <c:pt idx="50">
                  <c:v>5.0365702479338841E-3</c:v>
                </c:pt>
                <c:pt idx="51">
                  <c:v>5.7817480991735538E-2</c:v>
                </c:pt>
                <c:pt idx="52">
                  <c:v>1.320736205785124</c:v>
                </c:pt>
                <c:pt idx="53">
                  <c:v>0.13256182479338843</c:v>
                </c:pt>
                <c:pt idx="54">
                  <c:v>0.1728288132231405</c:v>
                </c:pt>
                <c:pt idx="55">
                  <c:v>0.18118312148760332</c:v>
                </c:pt>
                <c:pt idx="56">
                  <c:v>0.26625873719008264</c:v>
                </c:pt>
                <c:pt idx="57">
                  <c:v>0.32738692561983473</c:v>
                </c:pt>
                <c:pt idx="58">
                  <c:v>0.23657504049586775</c:v>
                </c:pt>
                <c:pt idx="59">
                  <c:v>0.20040000000000002</c:v>
                </c:pt>
                <c:pt idx="60">
                  <c:v>0.18928854876033058</c:v>
                </c:pt>
                <c:pt idx="61">
                  <c:v>0.22231116446280991</c:v>
                </c:pt>
                <c:pt idx="62">
                  <c:v>0.18161485867768595</c:v>
                </c:pt>
                <c:pt idx="63">
                  <c:v>0.4085574090909091</c:v>
                </c:pt>
                <c:pt idx="64">
                  <c:v>0.47985475537190081</c:v>
                </c:pt>
                <c:pt idx="65">
                  <c:v>0.63415203471074377</c:v>
                </c:pt>
                <c:pt idx="66">
                  <c:v>0.2832273561983471</c:v>
                </c:pt>
                <c:pt idx="67">
                  <c:v>1.1452318396694214</c:v>
                </c:pt>
                <c:pt idx="68">
                  <c:v>4.599931157024794E-2</c:v>
                </c:pt>
                <c:pt idx="69">
                  <c:v>0.69157371487603314</c:v>
                </c:pt>
                <c:pt idx="70">
                  <c:v>5.1413055371900829E-2</c:v>
                </c:pt>
                <c:pt idx="71">
                  <c:v>3.7995635537190084E-2</c:v>
                </c:pt>
                <c:pt idx="72">
                  <c:v>3.9139550413223138E-2</c:v>
                </c:pt>
                <c:pt idx="73">
                  <c:v>4.5524780991735542E-2</c:v>
                </c:pt>
                <c:pt idx="74">
                  <c:v>3.8497471074380167E-2</c:v>
                </c:pt>
                <c:pt idx="75">
                  <c:v>0.11946241157024792</c:v>
                </c:pt>
                <c:pt idx="76">
                  <c:v>3.8326020661157027E-2</c:v>
                </c:pt>
                <c:pt idx="77">
                  <c:v>4.2242485520661157</c:v>
                </c:pt>
                <c:pt idx="78">
                  <c:v>0.58598920909090912</c:v>
                </c:pt>
                <c:pt idx="79">
                  <c:v>1.9776803578512396</c:v>
                </c:pt>
                <c:pt idx="80">
                  <c:v>6.1234805528925627</c:v>
                </c:pt>
                <c:pt idx="81">
                  <c:v>7.2890817347107442</c:v>
                </c:pt>
                <c:pt idx="82">
                  <c:v>6.6273775330578513</c:v>
                </c:pt>
                <c:pt idx="83">
                  <c:v>6.1455114000000002</c:v>
                </c:pt>
                <c:pt idx="84">
                  <c:v>3.8399374157024795</c:v>
                </c:pt>
                <c:pt idx="85">
                  <c:v>0.16820918347107439</c:v>
                </c:pt>
                <c:pt idx="86">
                  <c:v>6.2881005611570249</c:v>
                </c:pt>
                <c:pt idx="87">
                  <c:v>0.26174980330578512</c:v>
                </c:pt>
                <c:pt idx="88">
                  <c:v>1.9102038644628099</c:v>
                </c:pt>
                <c:pt idx="89">
                  <c:v>0.23417935454545455</c:v>
                </c:pt>
                <c:pt idx="90">
                  <c:v>2.2359806123966943</c:v>
                </c:pt>
                <c:pt idx="91">
                  <c:v>1.1768630719008266</c:v>
                </c:pt>
                <c:pt idx="92">
                  <c:v>0.42710430991735532</c:v>
                </c:pt>
                <c:pt idx="93">
                  <c:v>1.8513354198347107</c:v>
                </c:pt>
                <c:pt idx="94">
                  <c:v>2.1906251090909095</c:v>
                </c:pt>
                <c:pt idx="95">
                  <c:v>1.1752308446280992</c:v>
                </c:pt>
                <c:pt idx="96">
                  <c:v>1.308207496694215</c:v>
                </c:pt>
                <c:pt idx="97">
                  <c:v>2.0699593851239668</c:v>
                </c:pt>
                <c:pt idx="98">
                  <c:v>4.560175470247934</c:v>
                </c:pt>
                <c:pt idx="99">
                  <c:v>2.0317427157024794</c:v>
                </c:pt>
                <c:pt idx="100">
                  <c:v>6.529603785950413</c:v>
                </c:pt>
                <c:pt idx="101">
                  <c:v>3.0803942404958677</c:v>
                </c:pt>
                <c:pt idx="102">
                  <c:v>20.665947446280992</c:v>
                </c:pt>
                <c:pt idx="103">
                  <c:v>30.948964851239669</c:v>
                </c:pt>
                <c:pt idx="104">
                  <c:v>20.025492429752067</c:v>
                </c:pt>
                <c:pt idx="105">
                  <c:v>8.3070619421487599</c:v>
                </c:pt>
                <c:pt idx="106">
                  <c:v>1.6993559504132232</c:v>
                </c:pt>
                <c:pt idx="107">
                  <c:v>0.36847836859504129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D8-D746-84A7-C65FBFAF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831279"/>
        <c:axId val="1018146847"/>
      </c:scatterChart>
      <c:valAx>
        <c:axId val="101783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400" b="1">
                    <a:solidFill>
                      <a:schemeClr val="tx1"/>
                    </a:solidFill>
                  </a:rPr>
                  <a:t>K</a:t>
                </a:r>
                <a:r>
                  <a:rPr lang="en-US" sz="2400" b="1" baseline="-25000">
                    <a:solidFill>
                      <a:schemeClr val="tx1"/>
                    </a:solidFill>
                  </a:rPr>
                  <a:t>2</a:t>
                </a:r>
                <a:r>
                  <a:rPr lang="en-US" sz="2400" b="1">
                    <a:solidFill>
                      <a:schemeClr val="tx1"/>
                    </a:solidFill>
                  </a:rPr>
                  <a:t>O/CaO (wt%/wt%)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018146847"/>
        <c:crosses val="autoZero"/>
        <c:crossBetween val="midCat"/>
      </c:valAx>
      <c:valAx>
        <c:axId val="10181468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2400" b="1" baseline="30000"/>
                  <a:t>87</a:t>
                </a:r>
                <a:r>
                  <a:rPr lang="en-US" sz="2400" b="1"/>
                  <a:t>Rb/</a:t>
                </a:r>
                <a:r>
                  <a:rPr lang="en-US" sz="2400" b="1" baseline="30000"/>
                  <a:t>86</a:t>
                </a:r>
                <a:r>
                  <a:rPr lang="en-US" sz="2400" b="1"/>
                  <a:t>Sr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017831279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603250</xdr:colOff>
      <xdr:row>56</xdr:row>
      <xdr:rowOff>177800</xdr:rowOff>
    </xdr:from>
    <xdr:to>
      <xdr:col>4</xdr:col>
      <xdr:colOff>615950</xdr:colOff>
      <xdr:row>76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4750-BA40-D24F-9323-0AC14D1DB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527050</xdr:colOff>
      <xdr:row>56</xdr:row>
      <xdr:rowOff>139700</xdr:rowOff>
    </xdr:from>
    <xdr:to>
      <xdr:col>10</xdr:col>
      <xdr:colOff>279400</xdr:colOff>
      <xdr:row>76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9BD79B-92A4-074C-8390-3E37BA117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0.23194</cdr:x>
      <cdr:y>0.05178</cdr:y>
    </cdr:from>
    <cdr:to>
      <cdr:x>0.34028</cdr:x>
      <cdr:y>0.17476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251C03-3C9B-1B48-AE8D-414F27C730E9}"/>
            </a:ext>
          </a:extLst>
        </cdr:cNvPr>
        <cdr:cNvSpPr txBox="1"/>
      </cdr:nvSpPr>
      <cdr:spPr>
        <a:xfrm xmlns:a="http://schemas.openxmlformats.org/drawingml/2006/main">
          <a:off x="1060450" y="203200"/>
          <a:ext cx="49530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A</a:t>
          </a:r>
        </a:p>
      </cdr:txBody>
    </cdr:sp>
  </cdr:relSizeAnchor>
  <cdr:relSizeAnchor xmlns:cdr="http://schemas.openxmlformats.org/drawingml/2006/chartDrawing">
    <cdr:from>
      <cdr:x>0.62778</cdr:x>
      <cdr:y>0.11327</cdr:y>
    </cdr:from>
    <cdr:to>
      <cdr:x>0.82917</cdr:x>
      <cdr:y>0.20388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36D0EAB-2632-9D47-9E1B-F36899EF0A33}"/>
            </a:ext>
          </a:extLst>
        </cdr:cNvPr>
        <cdr:cNvSpPr txBox="1"/>
      </cdr:nvSpPr>
      <cdr:spPr>
        <a:xfrm xmlns:a="http://schemas.openxmlformats.org/drawingml/2006/main">
          <a:off x="2870200" y="444500"/>
          <a:ext cx="9207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SRM</a:t>
          </a:r>
          <a:r>
            <a:rPr lang="en-US" sz="1400" b="0" baseline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 612</a:t>
          </a:r>
          <a:endParaRPr lang="en-US" sz="1400" b="0">
            <a:latin typeface="Helvetica Neue" panose="02000503000000020004" pitchFamily="2" charset="0"/>
            <a:ea typeface="Helvetica Neue" panose="02000503000000020004" pitchFamily="2" charset="0"/>
            <a:cs typeface="Helvetica Neue" panose="02000503000000020004" pitchFamily="2" charset="0"/>
          </a:endParaRPr>
        </a:p>
      </cdr:txBody>
    </cdr:sp>
  </cdr:relSizeAnchor>
  <cdr:relSizeAnchor xmlns:cdr="http://schemas.openxmlformats.org/drawingml/2006/chartDrawing">
    <cdr:from>
      <cdr:x>0.64444</cdr:x>
      <cdr:y>0.32039</cdr:y>
    </cdr:from>
    <cdr:to>
      <cdr:x>0.84583</cdr:x>
      <cdr:y>0.411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BCECB0F-3463-2349-80F0-D4580D6B6D30}"/>
            </a:ext>
          </a:extLst>
        </cdr:cNvPr>
        <cdr:cNvSpPr txBox="1"/>
      </cdr:nvSpPr>
      <cdr:spPr>
        <a:xfrm xmlns:a="http://schemas.openxmlformats.org/drawingml/2006/main">
          <a:off x="2946400" y="1257300"/>
          <a:ext cx="9207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FG-I</a:t>
          </a:r>
        </a:p>
      </cdr:txBody>
    </cdr:sp>
  </cdr:relSizeAnchor>
  <cdr:relSizeAnchor xmlns:cdr="http://schemas.openxmlformats.org/drawingml/2006/chartDrawing">
    <cdr:from>
      <cdr:x>0.21111</cdr:x>
      <cdr:y>0.64401</cdr:y>
    </cdr:from>
    <cdr:to>
      <cdr:x>0.4125</cdr:x>
      <cdr:y>0.73463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390FAA33-6CD7-3D42-B6DE-AF1596298DDF}"/>
            </a:ext>
          </a:extLst>
        </cdr:cNvPr>
        <cdr:cNvSpPr txBox="1"/>
      </cdr:nvSpPr>
      <cdr:spPr>
        <a:xfrm xmlns:a="http://schemas.openxmlformats.org/drawingml/2006/main">
          <a:off x="965200" y="2527300"/>
          <a:ext cx="9207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FG-L2</a:t>
          </a:r>
        </a:p>
      </cdr:txBody>
    </cdr:sp>
  </cdr:relSizeAnchor>
  <cdr:relSizeAnchor xmlns:cdr="http://schemas.openxmlformats.org/drawingml/2006/chartDrawing">
    <cdr:from>
      <cdr:x>0.22778</cdr:x>
      <cdr:y>0.73463</cdr:y>
    </cdr:from>
    <cdr:to>
      <cdr:x>0.42917</cdr:x>
      <cdr:y>0.82524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25950A3D-C4E3-5241-824F-9EBF4EB0CEB4}"/>
            </a:ext>
          </a:extLst>
        </cdr:cNvPr>
        <cdr:cNvSpPr txBox="1"/>
      </cdr:nvSpPr>
      <cdr:spPr>
        <a:xfrm xmlns:a="http://schemas.openxmlformats.org/drawingml/2006/main">
          <a:off x="1041400" y="2882900"/>
          <a:ext cx="9207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DA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0.26415</cdr:x>
      <cdr:y>0.04717</cdr:y>
    </cdr:from>
    <cdr:to>
      <cdr:x>0.35611</cdr:x>
      <cdr:y>0.16139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FBBDEF7-182A-C946-A485-90BA15EF3D34}"/>
            </a:ext>
          </a:extLst>
        </cdr:cNvPr>
        <cdr:cNvSpPr txBox="1"/>
      </cdr:nvSpPr>
      <cdr:spPr>
        <a:xfrm xmlns:a="http://schemas.openxmlformats.org/drawingml/2006/main">
          <a:off x="1276470" y="189303"/>
          <a:ext cx="444380" cy="458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400" b="1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B</a:t>
          </a:r>
        </a:p>
      </cdr:txBody>
    </cdr:sp>
  </cdr:relSizeAnchor>
  <cdr:relSizeAnchor xmlns:cdr="http://schemas.openxmlformats.org/drawingml/2006/chartDrawing">
    <cdr:from>
      <cdr:x>0.49146</cdr:x>
      <cdr:y>0.51899</cdr:y>
    </cdr:from>
    <cdr:to>
      <cdr:x>0.58476</cdr:x>
      <cdr:y>0.60759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8195717-D617-0A43-B519-7EBA9FF31703}"/>
            </a:ext>
          </a:extLst>
        </cdr:cNvPr>
        <cdr:cNvSpPr txBox="1"/>
      </cdr:nvSpPr>
      <cdr:spPr>
        <a:xfrm xmlns:a="http://schemas.openxmlformats.org/drawingml/2006/main">
          <a:off x="2374900" y="2082800"/>
          <a:ext cx="4508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DA</a:t>
          </a:r>
        </a:p>
      </cdr:txBody>
    </cdr:sp>
  </cdr:relSizeAnchor>
  <cdr:relSizeAnchor xmlns:cdr="http://schemas.openxmlformats.org/drawingml/2006/chartDrawing">
    <cdr:from>
      <cdr:x>0.50723</cdr:x>
      <cdr:y>0.11709</cdr:y>
    </cdr:from>
    <cdr:to>
      <cdr:x>0.69777</cdr:x>
      <cdr:y>0.2057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7B7537B-DC0B-7949-B841-5F35DE10A1AB}"/>
            </a:ext>
          </a:extLst>
        </cdr:cNvPr>
        <cdr:cNvSpPr txBox="1"/>
      </cdr:nvSpPr>
      <cdr:spPr>
        <a:xfrm xmlns:a="http://schemas.openxmlformats.org/drawingml/2006/main">
          <a:off x="2451100" y="469900"/>
          <a:ext cx="9207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SRM 612</a:t>
          </a:r>
        </a:p>
      </cdr:txBody>
    </cdr:sp>
  </cdr:relSizeAnchor>
  <cdr:relSizeAnchor xmlns:cdr="http://schemas.openxmlformats.org/drawingml/2006/chartDrawing">
    <cdr:from>
      <cdr:x>0.21813</cdr:x>
      <cdr:y>0.59494</cdr:y>
    </cdr:from>
    <cdr:to>
      <cdr:x>0.40867</cdr:x>
      <cdr:y>0.68354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95277B5-B6DA-3C48-8F75-47476870F733}"/>
            </a:ext>
          </a:extLst>
        </cdr:cNvPr>
        <cdr:cNvSpPr txBox="1"/>
      </cdr:nvSpPr>
      <cdr:spPr>
        <a:xfrm xmlns:a="http://schemas.openxmlformats.org/drawingml/2006/main">
          <a:off x="1054100" y="2387600"/>
          <a:ext cx="9207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FG-I, L2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17</xdr:row>
      <xdr:rowOff>50800</xdr:rowOff>
    </xdr:from>
    <xdr:to>
      <xdr:col>9</xdr:col>
      <xdr:colOff>254000</xdr:colOff>
      <xdr:row>32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EA56C0-E13B-714F-8732-489E1FA31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69850</xdr:colOff>
      <xdr:row>17</xdr:row>
      <xdr:rowOff>57150</xdr:rowOff>
    </xdr:from>
    <xdr:to>
      <xdr:col>54</xdr:col>
      <xdr:colOff>558800</xdr:colOff>
      <xdr:row>42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34E110-01A0-184D-9438-01B62A6CA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0.17189</cdr:x>
      <cdr:y>0.53021</cdr:y>
    </cdr:from>
    <cdr:to>
      <cdr:x>0.22372</cdr:x>
      <cdr:y>0.76777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AEE16F2A-B725-7F46-8BCB-322615956482}"/>
            </a:ext>
          </a:extLst>
        </cdr:cNvPr>
        <cdr:cNvSpPr txBox="1"/>
      </cdr:nvSpPr>
      <cdr:spPr>
        <a:xfrm xmlns:a="http://schemas.openxmlformats.org/drawingml/2006/main" rot="16200000">
          <a:off x="791296" y="3158405"/>
          <a:ext cx="1223412" cy="3676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Inner core</a:t>
          </a:r>
        </a:p>
      </cdr:txBody>
    </cdr:sp>
  </cdr:relSizeAnchor>
  <cdr:relSizeAnchor xmlns:cdr="http://schemas.openxmlformats.org/drawingml/2006/chartDrawing">
    <cdr:from>
      <cdr:x>0.69293</cdr:x>
      <cdr:y>0.51295</cdr:y>
    </cdr:from>
    <cdr:to>
      <cdr:x>0.74475</cdr:x>
      <cdr:y>0.76216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9C9A60F1-FCB5-2E4B-AB8F-947251AD6460}"/>
            </a:ext>
          </a:extLst>
        </cdr:cNvPr>
        <cdr:cNvSpPr txBox="1"/>
      </cdr:nvSpPr>
      <cdr:spPr>
        <a:xfrm xmlns:a="http://schemas.openxmlformats.org/drawingml/2006/main" rot="16200000">
          <a:off x="4456988" y="3099512"/>
          <a:ext cx="1283428" cy="3676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Outer core</a:t>
          </a:r>
        </a:p>
      </cdr:txBody>
    </cdr:sp>
  </cdr:relSizeAnchor>
  <cdr:relSizeAnchor xmlns:cdr="http://schemas.openxmlformats.org/drawingml/2006/chartDrawing">
    <cdr:from>
      <cdr:x>0.7735</cdr:x>
      <cdr:y>0.42663</cdr:y>
    </cdr:from>
    <cdr:to>
      <cdr:x>0.82533</cdr:x>
      <cdr:y>0.63852</cdr:y>
    </cdr:to>
    <cdr:sp macro="" textlink="">
      <cdr:nvSpPr>
        <cdr:cNvPr id="4" name="TextBox 5">
          <a:extLst xmlns:a="http://schemas.openxmlformats.org/drawingml/2006/main">
            <a:ext uri="{FF2B5EF4-FFF2-40B4-BE49-F238E27FC236}">
              <a16:creationId xmlns:a16="http://schemas.microsoft.com/office/drawing/2014/main" id="{D044749F-A79F-D04A-9CF4-FD27CE94B295}"/>
            </a:ext>
          </a:extLst>
        </cdr:cNvPr>
        <cdr:cNvSpPr txBox="1"/>
      </cdr:nvSpPr>
      <cdr:spPr>
        <a:xfrm xmlns:a="http://schemas.openxmlformats.org/drawingml/2006/main" rot="16200000">
          <a:off x="5124604" y="2558896"/>
          <a:ext cx="1091196" cy="3676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Inner rim</a:t>
          </a:r>
        </a:p>
      </cdr:txBody>
    </cdr:sp>
  </cdr:relSizeAnchor>
  <cdr:relSizeAnchor xmlns:cdr="http://schemas.openxmlformats.org/drawingml/2006/chartDrawing">
    <cdr:from>
      <cdr:x>0.81468</cdr:x>
      <cdr:y>0.35512</cdr:y>
    </cdr:from>
    <cdr:to>
      <cdr:x>0.86651</cdr:x>
      <cdr:y>0.57866</cdr:y>
    </cdr:to>
    <cdr:sp macro="" textlink="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25E3BA5F-2D68-E748-992D-E1C80E9C1F5D}"/>
            </a:ext>
          </a:extLst>
        </cdr:cNvPr>
        <cdr:cNvSpPr txBox="1"/>
      </cdr:nvSpPr>
      <cdr:spPr>
        <a:xfrm xmlns:a="http://schemas.openxmlformats.org/drawingml/2006/main" rot="16200000">
          <a:off x="5386694" y="2220606"/>
          <a:ext cx="1151213" cy="3676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Outer rim</a:t>
          </a:r>
        </a:p>
      </cdr:txBody>
    </cdr:sp>
  </cdr:relSizeAnchor>
  <cdr:relSizeAnchor xmlns:cdr="http://schemas.openxmlformats.org/drawingml/2006/chartDrawing">
    <cdr:from>
      <cdr:x>0.21183</cdr:x>
      <cdr:y>0.0461</cdr:y>
    </cdr:from>
    <cdr:to>
      <cdr:x>0.27254</cdr:x>
      <cdr:y>0.14916</cdr:y>
    </cdr:to>
    <cdr:sp macro="" textlink="">
      <cdr:nvSpPr>
        <cdr:cNvPr id="6" name="TextBox 3">
          <a:extLst xmlns:a="http://schemas.openxmlformats.org/drawingml/2006/main">
            <a:ext uri="{FF2B5EF4-FFF2-40B4-BE49-F238E27FC236}">
              <a16:creationId xmlns:a16="http://schemas.microsoft.com/office/drawing/2014/main" id="{0D5BD367-35AF-E642-8432-51117132AFE8}"/>
            </a:ext>
          </a:extLst>
        </cdr:cNvPr>
        <cdr:cNvSpPr txBox="1"/>
      </cdr:nvSpPr>
      <cdr:spPr>
        <a:xfrm xmlns:a="http://schemas.openxmlformats.org/drawingml/2006/main">
          <a:off x="1502496" y="237405"/>
          <a:ext cx="430631" cy="5307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</xdr:colOff>
      <xdr:row>123</xdr:row>
      <xdr:rowOff>76200</xdr:rowOff>
    </xdr:from>
    <xdr:to>
      <xdr:col>9</xdr:col>
      <xdr:colOff>736600</xdr:colOff>
      <xdr:row>150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ACCEB-6D6E-E442-ACE5-F2BB2361B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609600</xdr:colOff>
      <xdr:row>115</xdr:row>
      <xdr:rowOff>165100</xdr:rowOff>
    </xdr:from>
    <xdr:to>
      <xdr:col>33</xdr:col>
      <xdr:colOff>127000</xdr:colOff>
      <xdr:row>133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A650EA8-D370-8E43-A94F-D565FB1D4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129</xdr:row>
      <xdr:rowOff>25400</xdr:rowOff>
    </xdr:from>
    <xdr:to>
      <xdr:col>6</xdr:col>
      <xdr:colOff>787400</xdr:colOff>
      <xdr:row>152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1797D-5C47-7B4E-B4FF-AC4287308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A989-EBFA-074B-BD71-1112B96800BE}">
  <dimension ref="A1:W267"/>
  <sheetViews>
    <sheetView topLeftCell="A255" workbookViewId="0">
      <selection activeCell="A264" sqref="A264:XFD267"/>
    </sheetView>
  </sheetViews>
  <sheetFormatPr baseColWidth="10" defaultColWidth="10.83203125" defaultRowHeight="16" x14ac:dyDescent="0.2"/>
  <cols>
    <col min="1" max="1" width="11" style="2" bestFit="1" customWidth="1"/>
    <col min="2" max="2" width="32.83203125" style="2" customWidth="1"/>
    <col min="3" max="3" width="76.83203125" style="2" customWidth="1"/>
    <col min="4" max="4" width="17.83203125" style="2" customWidth="1"/>
    <col min="5" max="5" width="6.33203125" style="2" customWidth="1"/>
    <col min="6" max="6" width="7.33203125" style="2" customWidth="1"/>
    <col min="7" max="7" width="9" style="2" customWidth="1"/>
    <col min="8" max="12" width="10.83203125" style="2"/>
    <col min="13" max="13" width="12.83203125" style="2" bestFit="1" customWidth="1"/>
    <col min="14" max="16" width="11" style="2" bestFit="1" customWidth="1"/>
    <col min="17" max="17" width="10.83203125" style="2"/>
    <col min="18" max="19" width="26.33203125" style="2" customWidth="1"/>
    <col min="20" max="20" width="21.6640625" style="2" customWidth="1"/>
    <col min="21" max="21" width="26.5" style="2" customWidth="1"/>
    <col min="22" max="22" width="10.83203125" style="2"/>
    <col min="23" max="23" width="61.5" style="2" customWidth="1"/>
    <col min="24" max="16384" width="10.832031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H2" s="2" t="s">
        <v>11</v>
      </c>
      <c r="M2" s="2" t="s">
        <v>9</v>
      </c>
    </row>
    <row r="3" spans="1:23" ht="17" thickBot="1" x14ac:dyDescent="0.25">
      <c r="A3" s="3" t="s">
        <v>5</v>
      </c>
      <c r="B3" s="3" t="s">
        <v>6</v>
      </c>
      <c r="C3" s="3"/>
      <c r="D3" s="3" t="s">
        <v>18</v>
      </c>
      <c r="E3" s="3" t="s">
        <v>57</v>
      </c>
      <c r="F3" s="3" t="s">
        <v>58</v>
      </c>
      <c r="G3" s="3" t="s">
        <v>59</v>
      </c>
      <c r="H3" s="3" t="s">
        <v>7</v>
      </c>
      <c r="I3" s="3" t="s">
        <v>8</v>
      </c>
      <c r="J3" s="3" t="s">
        <v>10</v>
      </c>
      <c r="K3" s="3" t="s">
        <v>8</v>
      </c>
      <c r="L3" s="3" t="s">
        <v>275</v>
      </c>
      <c r="M3" s="3" t="s">
        <v>7</v>
      </c>
      <c r="N3" s="3" t="s">
        <v>8</v>
      </c>
      <c r="O3" s="3" t="s">
        <v>10</v>
      </c>
      <c r="P3" s="3" t="s">
        <v>8</v>
      </c>
      <c r="Q3" s="3" t="s">
        <v>275</v>
      </c>
      <c r="R3" s="3" t="s">
        <v>19</v>
      </c>
      <c r="S3" s="3"/>
      <c r="T3" s="3" t="s">
        <v>20</v>
      </c>
      <c r="U3" s="3"/>
      <c r="V3" s="3" t="s">
        <v>12</v>
      </c>
      <c r="W3" s="3"/>
    </row>
    <row r="4" spans="1:23" ht="17" thickTop="1" x14ac:dyDescent="0.2">
      <c r="A4" s="2">
        <v>6</v>
      </c>
      <c r="B4" s="2" t="s">
        <v>0</v>
      </c>
      <c r="C4" s="2" t="str">
        <f>V4</f>
        <v>20220223_NeomaMSMS_SrF_LA_NIST610_612_Durango_Sronly_export_processed</v>
      </c>
      <c r="D4" s="2">
        <v>408758919.508816</v>
      </c>
      <c r="O4" s="2">
        <v>0.70844334068016834</v>
      </c>
      <c r="P4" s="2">
        <v>7.8810070094760174E-4</v>
      </c>
      <c r="T4" s="2">
        <f>0.709063</f>
        <v>0.709063</v>
      </c>
      <c r="U4" s="2" t="s">
        <v>269</v>
      </c>
      <c r="V4" s="2" t="s">
        <v>21</v>
      </c>
    </row>
    <row r="5" spans="1:23" x14ac:dyDescent="0.2">
      <c r="A5" s="2">
        <v>7</v>
      </c>
      <c r="B5" s="2" t="s">
        <v>1</v>
      </c>
      <c r="C5" s="2" t="str">
        <f t="shared" ref="C5:C68" si="0">V5</f>
        <v>20220223_NeomaMSMS_SrF_LA_NIST610_612_Durango_Sronly_export_processed</v>
      </c>
      <c r="D5" s="2">
        <v>408652377.49616718</v>
      </c>
      <c r="O5" s="2">
        <v>0.71144716887438131</v>
      </c>
      <c r="P5" s="2">
        <v>8.0121550579541627E-4</v>
      </c>
      <c r="T5" s="2">
        <f t="shared" ref="T5:T8" si="1">0.709063</f>
        <v>0.709063</v>
      </c>
      <c r="U5" s="2" t="s">
        <v>269</v>
      </c>
      <c r="V5" s="2" t="s">
        <v>21</v>
      </c>
    </row>
    <row r="6" spans="1:23" x14ac:dyDescent="0.2">
      <c r="A6" s="2">
        <v>8</v>
      </c>
      <c r="B6" s="2" t="s">
        <v>2</v>
      </c>
      <c r="C6" s="2" t="str">
        <f t="shared" si="0"/>
        <v>20220223_NeomaMSMS_SrF_LA_NIST610_612_Durango_Sronly_export_processed</v>
      </c>
      <c r="D6" s="2">
        <v>413585510.47748858</v>
      </c>
      <c r="O6" s="2">
        <v>0.7104755728916784</v>
      </c>
      <c r="P6" s="2">
        <v>7.9046234044673463E-4</v>
      </c>
      <c r="T6" s="2">
        <f t="shared" si="1"/>
        <v>0.709063</v>
      </c>
      <c r="U6" s="2" t="s">
        <v>269</v>
      </c>
      <c r="V6" s="2" t="s">
        <v>21</v>
      </c>
    </row>
    <row r="7" spans="1:23" x14ac:dyDescent="0.2">
      <c r="A7" s="2">
        <v>9</v>
      </c>
      <c r="B7" s="2" t="s">
        <v>3</v>
      </c>
      <c r="C7" s="2" t="str">
        <f t="shared" si="0"/>
        <v>20220223_NeomaMSMS_SrF_LA_NIST610_612_Durango_Sronly_export_processed</v>
      </c>
      <c r="D7" s="2">
        <v>409162956.18610501</v>
      </c>
      <c r="O7" s="2">
        <v>0.70973243913019346</v>
      </c>
      <c r="P7" s="2">
        <v>8.4727905484026226E-4</v>
      </c>
      <c r="T7" s="2">
        <f t="shared" si="1"/>
        <v>0.709063</v>
      </c>
      <c r="U7" s="2" t="s">
        <v>269</v>
      </c>
      <c r="V7" s="2" t="s">
        <v>21</v>
      </c>
    </row>
    <row r="8" spans="1:23" x14ac:dyDescent="0.2">
      <c r="A8" s="2">
        <v>10</v>
      </c>
      <c r="B8" s="2" t="s">
        <v>4</v>
      </c>
      <c r="C8" s="2" t="str">
        <f t="shared" si="0"/>
        <v>20220223_NeomaMSMS_SrF_LA_NIST610_612_Durango_Sronly_export_processed</v>
      </c>
      <c r="D8" s="2">
        <v>389593653.16857016</v>
      </c>
      <c r="O8" s="2">
        <v>0.71029936048789277</v>
      </c>
      <c r="P8" s="2">
        <v>8.1474682099958872E-4</v>
      </c>
      <c r="T8" s="2">
        <f t="shared" si="1"/>
        <v>0.709063</v>
      </c>
      <c r="U8" s="2" t="s">
        <v>269</v>
      </c>
      <c r="V8" s="2" t="s">
        <v>21</v>
      </c>
    </row>
    <row r="9" spans="1:23" x14ac:dyDescent="0.2">
      <c r="A9" s="2">
        <v>11</v>
      </c>
      <c r="B9" s="2" t="s">
        <v>13</v>
      </c>
      <c r="C9" s="2" t="str">
        <f t="shared" si="0"/>
        <v>20220223_NeomaMSMS_SrF_LA_NIST610_612_Durango_Sronly_export_processed</v>
      </c>
      <c r="D9" s="2">
        <v>4338621288.413518</v>
      </c>
      <c r="O9" s="2">
        <v>0.70609008463121725</v>
      </c>
      <c r="P9" s="2">
        <v>1.1080389216704517E-4</v>
      </c>
      <c r="T9" s="5">
        <f>AVERAGE(0.70638,0.70629,0.70629,0.70634,0.70633,0.70634,0.70633)</f>
        <v>0.70632857142857142</v>
      </c>
      <c r="U9" s="2" t="s">
        <v>271</v>
      </c>
      <c r="V9" s="2" t="s">
        <v>21</v>
      </c>
    </row>
    <row r="10" spans="1:23" x14ac:dyDescent="0.2">
      <c r="A10" s="2">
        <v>12</v>
      </c>
      <c r="B10" s="2" t="s">
        <v>14</v>
      </c>
      <c r="C10" s="2" t="str">
        <f t="shared" si="0"/>
        <v>20220223_NeomaMSMS_SrF_LA_NIST610_612_Durango_Sronly_export_processed</v>
      </c>
      <c r="D10" s="2">
        <v>4480489549.8487568</v>
      </c>
      <c r="O10" s="2">
        <v>0.70627768978798233</v>
      </c>
      <c r="P10" s="2">
        <v>1.2519950426000137E-4</v>
      </c>
      <c r="T10" s="5">
        <f t="shared" ref="T10:T13" si="2">AVERAGE(0.70638,0.70629,0.70629,0.70634,0.70633,0.70634,0.70633)</f>
        <v>0.70632857142857142</v>
      </c>
      <c r="U10" s="2" t="s">
        <v>271</v>
      </c>
      <c r="V10" s="2" t="s">
        <v>21</v>
      </c>
    </row>
    <row r="11" spans="1:23" x14ac:dyDescent="0.2">
      <c r="A11" s="2">
        <v>13</v>
      </c>
      <c r="B11" s="2" t="s">
        <v>15</v>
      </c>
      <c r="C11" s="2" t="str">
        <f t="shared" si="0"/>
        <v>20220223_NeomaMSMS_SrF_LA_NIST610_612_Durango_Sronly_export_processed</v>
      </c>
      <c r="D11" s="2">
        <v>4629841027.2668581</v>
      </c>
      <c r="O11" s="2">
        <v>0.70627856777083087</v>
      </c>
      <c r="P11" s="2">
        <v>1.1177259605369765E-4</v>
      </c>
      <c r="T11" s="5">
        <f t="shared" si="2"/>
        <v>0.70632857142857142</v>
      </c>
      <c r="U11" s="2" t="s">
        <v>271</v>
      </c>
      <c r="V11" s="2" t="s">
        <v>21</v>
      </c>
    </row>
    <row r="12" spans="1:23" x14ac:dyDescent="0.2">
      <c r="A12" s="2">
        <v>14</v>
      </c>
      <c r="B12" s="2" t="s">
        <v>16</v>
      </c>
      <c r="C12" s="2" t="str">
        <f t="shared" si="0"/>
        <v>20220223_NeomaMSMS_SrF_LA_NIST610_612_Durango_Sronly_export_processed</v>
      </c>
      <c r="D12" s="2">
        <v>4556190735.875824</v>
      </c>
      <c r="O12" s="2">
        <v>0.70643390325618172</v>
      </c>
      <c r="P12" s="2">
        <v>1.0169832077969549E-4</v>
      </c>
      <c r="T12" s="5">
        <f t="shared" si="2"/>
        <v>0.70632857142857142</v>
      </c>
      <c r="U12" s="2" t="s">
        <v>271</v>
      </c>
      <c r="V12" s="2" t="s">
        <v>21</v>
      </c>
    </row>
    <row r="13" spans="1:23" x14ac:dyDescent="0.2">
      <c r="A13" s="2">
        <v>15</v>
      </c>
      <c r="B13" s="2" t="s">
        <v>17</v>
      </c>
      <c r="C13" s="2" t="str">
        <f t="shared" si="0"/>
        <v>20220223_NeomaMSMS_SrF_LA_NIST610_612_Durango_Sronly_export_processed</v>
      </c>
      <c r="D13" s="2">
        <v>4831671747.9383526</v>
      </c>
      <c r="O13" s="2">
        <v>0.70608473450959852</v>
      </c>
      <c r="P13" s="2">
        <v>1.1412716537463137E-4</v>
      </c>
      <c r="T13" s="5">
        <f t="shared" si="2"/>
        <v>0.70632857142857142</v>
      </c>
      <c r="U13" s="2" t="s">
        <v>271</v>
      </c>
      <c r="V13" s="2" t="s">
        <v>21</v>
      </c>
    </row>
    <row r="14" spans="1:23" x14ac:dyDescent="0.2">
      <c r="A14" s="2">
        <v>6</v>
      </c>
      <c r="B14" s="2" t="s">
        <v>0</v>
      </c>
      <c r="C14" s="2" t="str">
        <f t="shared" si="0"/>
        <v>20220223_NeomaMSMS_SrF_LA_NIST_610_612_Durango_SrRb_export_processed</v>
      </c>
      <c r="D14" s="2">
        <v>1039307160.4053981</v>
      </c>
      <c r="M14" s="2">
        <v>1.2004640384326113</v>
      </c>
      <c r="N14" s="2">
        <v>0.13414415789869386</v>
      </c>
      <c r="O14" s="2">
        <v>0.71129574856224143</v>
      </c>
      <c r="P14" s="2">
        <v>1.130646887396647E-3</v>
      </c>
      <c r="R14" s="2">
        <f>(31.4/78.4)*(87.62/85.4678)*(27.8/9.86)</f>
        <v>1.1576630988718966</v>
      </c>
      <c r="S14" s="2" t="s">
        <v>270</v>
      </c>
      <c r="T14" s="2">
        <f t="shared" ref="T14:T18" si="3">0.709063</f>
        <v>0.709063</v>
      </c>
      <c r="U14" s="2" t="s">
        <v>269</v>
      </c>
      <c r="V14" s="2" t="s">
        <v>22</v>
      </c>
    </row>
    <row r="15" spans="1:23" x14ac:dyDescent="0.2">
      <c r="A15" s="2">
        <v>7</v>
      </c>
      <c r="B15" s="2" t="s">
        <v>1</v>
      </c>
      <c r="C15" s="2" t="str">
        <f t="shared" si="0"/>
        <v>20220223_NeomaMSMS_SrF_LA_NIST_610_612_Durango_SrRb_export_processed</v>
      </c>
      <c r="D15" s="2">
        <v>884551334.73634195</v>
      </c>
      <c r="M15" s="2">
        <v>1.151236361999562</v>
      </c>
      <c r="N15" s="2">
        <v>0.11906118142053276</v>
      </c>
      <c r="O15" s="2">
        <v>0.71149928960119513</v>
      </c>
      <c r="P15" s="2">
        <v>1.4752519414642931E-3</v>
      </c>
      <c r="R15" s="2">
        <f t="shared" ref="R15:R18" si="4">(31.4/78.4)*(87.62/85.4678)*(27.8/9.86)</f>
        <v>1.1576630988718966</v>
      </c>
      <c r="S15" s="2" t="s">
        <v>270</v>
      </c>
      <c r="T15" s="2">
        <f t="shared" si="3"/>
        <v>0.709063</v>
      </c>
      <c r="U15" s="2" t="s">
        <v>269</v>
      </c>
      <c r="V15" s="2" t="s">
        <v>22</v>
      </c>
    </row>
    <row r="16" spans="1:23" x14ac:dyDescent="0.2">
      <c r="A16" s="2">
        <v>8</v>
      </c>
      <c r="B16" s="2" t="s">
        <v>2</v>
      </c>
      <c r="C16" s="2" t="str">
        <f t="shared" si="0"/>
        <v>20220223_NeomaMSMS_SrF_LA_NIST_610_612_Durango_SrRb_export_processed</v>
      </c>
      <c r="D16" s="2">
        <v>1042001029.6149434</v>
      </c>
      <c r="M16" s="2">
        <v>1.1556743865374126</v>
      </c>
      <c r="N16" s="2">
        <v>0.11838204143234908</v>
      </c>
      <c r="O16" s="2">
        <v>0.71150186469628041</v>
      </c>
      <c r="P16" s="2">
        <v>9.1060895860133788E-4</v>
      </c>
      <c r="R16" s="2">
        <f t="shared" si="4"/>
        <v>1.1576630988718966</v>
      </c>
      <c r="S16" s="2" t="s">
        <v>270</v>
      </c>
      <c r="T16" s="2">
        <f t="shared" si="3"/>
        <v>0.709063</v>
      </c>
      <c r="U16" s="2" t="s">
        <v>269</v>
      </c>
      <c r="V16" s="2" t="s">
        <v>22</v>
      </c>
    </row>
    <row r="17" spans="1:22" x14ac:dyDescent="0.2">
      <c r="A17" s="2">
        <v>9</v>
      </c>
      <c r="B17" s="2" t="s">
        <v>3</v>
      </c>
      <c r="C17" s="2" t="str">
        <f t="shared" si="0"/>
        <v>20220223_NeomaMSMS_SrF_LA_NIST_610_612_Durango_SrRb_export_processed</v>
      </c>
      <c r="D17" s="2">
        <v>1055551644.3890026</v>
      </c>
      <c r="M17" s="2">
        <v>1.1771688537836291</v>
      </c>
      <c r="N17" s="2">
        <v>0.12754374507560862</v>
      </c>
      <c r="O17" s="2">
        <v>0.71026378823390102</v>
      </c>
      <c r="P17" s="2">
        <v>3.4621290867884065E-4</v>
      </c>
      <c r="R17" s="2">
        <f t="shared" si="4"/>
        <v>1.1576630988718966</v>
      </c>
      <c r="S17" s="2" t="s">
        <v>270</v>
      </c>
      <c r="T17" s="2">
        <f t="shared" si="3"/>
        <v>0.709063</v>
      </c>
      <c r="U17" s="2" t="s">
        <v>269</v>
      </c>
      <c r="V17" s="2" t="s">
        <v>22</v>
      </c>
    </row>
    <row r="18" spans="1:22" x14ac:dyDescent="0.2">
      <c r="A18" s="2">
        <v>10</v>
      </c>
      <c r="B18" s="2" t="s">
        <v>4</v>
      </c>
      <c r="C18" s="2" t="str">
        <f t="shared" si="0"/>
        <v>20220223_NeomaMSMS_SrF_LA_NIST_610_612_Durango_SrRb_export_processed</v>
      </c>
      <c r="D18" s="2">
        <v>1045989661.7444898</v>
      </c>
      <c r="M18" s="2">
        <v>1.1667563360827915</v>
      </c>
      <c r="N18" s="2">
        <v>4.7498130250261216E-6</v>
      </c>
      <c r="O18" s="2">
        <v>0.71068770715655516</v>
      </c>
      <c r="P18" s="2">
        <v>9.1826367242821131E-4</v>
      </c>
      <c r="R18" s="2">
        <f t="shared" si="4"/>
        <v>1.1576630988718966</v>
      </c>
      <c r="S18" s="2" t="s">
        <v>270</v>
      </c>
      <c r="T18" s="2">
        <f t="shared" si="3"/>
        <v>0.709063</v>
      </c>
      <c r="U18" s="2" t="s">
        <v>269</v>
      </c>
      <c r="V18" s="2" t="s">
        <v>22</v>
      </c>
    </row>
    <row r="19" spans="1:22" x14ac:dyDescent="0.2">
      <c r="A19" s="2">
        <v>11</v>
      </c>
      <c r="B19" s="2" t="s">
        <v>13</v>
      </c>
      <c r="C19" s="2" t="str">
        <f t="shared" si="0"/>
        <v>20220223_NeomaMSMS_SrF_LA_NIST_610_612_Durango_SrRb_export_processed</v>
      </c>
      <c r="D19" s="2">
        <v>11012847023.929623</v>
      </c>
      <c r="M19" s="2">
        <v>-4.6050131114019748E-5</v>
      </c>
      <c r="N19" s="2">
        <v>4.0840877916875978E-5</v>
      </c>
      <c r="O19" s="2">
        <v>0.70542937969289377</v>
      </c>
      <c r="P19" s="2">
        <v>1.9667018486539271E-4</v>
      </c>
      <c r="T19" s="5">
        <f>AVERAGE(0.70638,0.70629,0.70629,0.70634,0.70633,0.70634,0.70633)</f>
        <v>0.70632857142857142</v>
      </c>
      <c r="U19" s="2" t="s">
        <v>271</v>
      </c>
      <c r="V19" s="2" t="s">
        <v>22</v>
      </c>
    </row>
    <row r="20" spans="1:22" x14ac:dyDescent="0.2">
      <c r="A20" s="2">
        <v>12</v>
      </c>
      <c r="B20" s="2" t="s">
        <v>14</v>
      </c>
      <c r="C20" s="2" t="str">
        <f t="shared" si="0"/>
        <v>20220223_NeomaMSMS_SrF_LA_NIST_610_612_Durango_SrRb_export_processed</v>
      </c>
      <c r="D20" s="2">
        <v>10580335197.850134</v>
      </c>
      <c r="M20" s="2">
        <v>5.9553455273480296E-5</v>
      </c>
      <c r="N20" s="2">
        <v>6.6205218989046088E-5</v>
      </c>
      <c r="O20" s="2">
        <v>0.70548965793378937</v>
      </c>
      <c r="P20" s="2">
        <v>2.1238628012033625E-4</v>
      </c>
      <c r="T20" s="5">
        <f t="shared" ref="T20:T23" si="5">AVERAGE(0.70638,0.70629,0.70629,0.70634,0.70633,0.70634,0.70633)</f>
        <v>0.70632857142857142</v>
      </c>
      <c r="U20" s="2" t="s">
        <v>271</v>
      </c>
      <c r="V20" s="2" t="s">
        <v>22</v>
      </c>
    </row>
    <row r="21" spans="1:22" x14ac:dyDescent="0.2">
      <c r="A21" s="2">
        <v>13</v>
      </c>
      <c r="B21" s="2" t="s">
        <v>15</v>
      </c>
      <c r="C21" s="2" t="str">
        <f t="shared" si="0"/>
        <v>20220223_NeomaMSMS_SrF_LA_NIST_610_612_Durango_SrRb_export_processed</v>
      </c>
      <c r="D21" s="2">
        <v>9803358275.4613762</v>
      </c>
      <c r="M21" s="2">
        <v>6.5115092545361486E-5</v>
      </c>
      <c r="N21" s="2">
        <v>4.6119219853354452E-5</v>
      </c>
      <c r="O21" s="2">
        <v>0.70536113080364704</v>
      </c>
      <c r="P21" s="2">
        <v>2.2007688109162377E-4</v>
      </c>
      <c r="T21" s="5">
        <f t="shared" si="5"/>
        <v>0.70632857142857142</v>
      </c>
      <c r="U21" s="2" t="s">
        <v>271</v>
      </c>
      <c r="V21" s="2" t="s">
        <v>22</v>
      </c>
    </row>
    <row r="22" spans="1:22" x14ac:dyDescent="0.2">
      <c r="A22" s="2">
        <v>14</v>
      </c>
      <c r="B22" s="2" t="s">
        <v>16</v>
      </c>
      <c r="C22" s="2" t="str">
        <f t="shared" si="0"/>
        <v>20220223_NeomaMSMS_SrF_LA_NIST_610_612_Durango_SrRb_export_processed</v>
      </c>
      <c r="D22" s="2">
        <v>8826602295.5132389</v>
      </c>
      <c r="M22" s="2">
        <v>2.122635427810319E-4</v>
      </c>
      <c r="N22" s="2">
        <v>1.1174907175602024E-4</v>
      </c>
      <c r="O22" s="2">
        <v>0.70545248790241766</v>
      </c>
      <c r="P22" s="2">
        <v>2.4175727878505108E-4</v>
      </c>
      <c r="T22" s="5">
        <f t="shared" si="5"/>
        <v>0.70632857142857142</v>
      </c>
      <c r="U22" s="2" t="s">
        <v>271</v>
      </c>
      <c r="V22" s="2" t="s">
        <v>22</v>
      </c>
    </row>
    <row r="23" spans="1:22" x14ac:dyDescent="0.2">
      <c r="A23" s="2">
        <v>15</v>
      </c>
      <c r="B23" s="2" t="s">
        <v>17</v>
      </c>
      <c r="C23" s="2" t="str">
        <f t="shared" si="0"/>
        <v>20220223_NeomaMSMS_SrF_LA_NIST_610_612_Durango_SrRb_export_processed</v>
      </c>
      <c r="D23" s="2">
        <v>9094536766.3362274</v>
      </c>
      <c r="M23" s="2">
        <v>-4.6050131114019748E-5</v>
      </c>
      <c r="N23" s="2">
        <v>1.4601111416201432E-4</v>
      </c>
      <c r="O23" s="2">
        <v>0.70542937969289377</v>
      </c>
      <c r="P23" s="2">
        <v>1.8245719662993688E-4</v>
      </c>
      <c r="T23" s="5">
        <f t="shared" si="5"/>
        <v>0.70632857142857142</v>
      </c>
      <c r="U23" s="2" t="s">
        <v>271</v>
      </c>
      <c r="V23" s="2" t="s">
        <v>22</v>
      </c>
    </row>
    <row r="24" spans="1:22" x14ac:dyDescent="0.2">
      <c r="A24" s="2">
        <v>2</v>
      </c>
      <c r="B24" s="2" t="s">
        <v>23</v>
      </c>
      <c r="C24" s="2" t="str">
        <f t="shared" si="0"/>
        <v>20220223_NeomaMSMS_SrF_LA_Megacryst_Shap_Sr_export_processed</v>
      </c>
      <c r="D24" s="2">
        <v>6136974100.4167538</v>
      </c>
      <c r="O24" s="2">
        <v>0.70983692369226314</v>
      </c>
      <c r="P24" s="2">
        <v>1.0131443319015383E-4</v>
      </c>
      <c r="T24" s="2">
        <f>0.710863</f>
        <v>0.71086300000000002</v>
      </c>
      <c r="U24" s="2" t="s">
        <v>273</v>
      </c>
      <c r="V24" s="2" t="s">
        <v>39</v>
      </c>
    </row>
    <row r="25" spans="1:22" x14ac:dyDescent="0.2">
      <c r="A25" s="2">
        <v>3</v>
      </c>
      <c r="B25" s="2" t="s">
        <v>24</v>
      </c>
      <c r="C25" s="2" t="str">
        <f t="shared" si="0"/>
        <v>20220223_NeomaMSMS_SrF_LA_Megacryst_Shap_Sr_export_processed</v>
      </c>
      <c r="D25" s="2">
        <v>7221853608.2591791</v>
      </c>
      <c r="O25" s="2">
        <v>0.71006613669342045</v>
      </c>
      <c r="P25" s="2">
        <v>1.1781699087266324E-4</v>
      </c>
      <c r="T25" s="2">
        <f t="shared" ref="T25:T30" si="6">0.710863</f>
        <v>0.71086300000000002</v>
      </c>
      <c r="U25" s="2" t="s">
        <v>273</v>
      </c>
      <c r="V25" s="2" t="s">
        <v>39</v>
      </c>
    </row>
    <row r="26" spans="1:22" x14ac:dyDescent="0.2">
      <c r="A26" s="2">
        <v>4</v>
      </c>
      <c r="B26" s="2" t="s">
        <v>25</v>
      </c>
      <c r="C26" s="2" t="str">
        <f t="shared" si="0"/>
        <v>20220223_NeomaMSMS_SrF_LA_Megacryst_Shap_Sr_export_processed</v>
      </c>
      <c r="D26" s="2">
        <v>6434562101.9687204</v>
      </c>
      <c r="O26" s="2">
        <v>0.71054279259414233</v>
      </c>
      <c r="P26" s="2">
        <v>1.4321969652479646E-4</v>
      </c>
      <c r="T26" s="2">
        <f t="shared" si="6"/>
        <v>0.71086300000000002</v>
      </c>
      <c r="U26" s="2" t="s">
        <v>273</v>
      </c>
      <c r="V26" s="2" t="s">
        <v>39</v>
      </c>
    </row>
    <row r="27" spans="1:22" x14ac:dyDescent="0.2">
      <c r="A27" s="2">
        <v>6</v>
      </c>
      <c r="B27" s="2" t="s">
        <v>23</v>
      </c>
      <c r="C27" s="2" t="str">
        <f t="shared" si="0"/>
        <v>20220223_NeomaMSMS_SrF_LA_Megacryst_Shap_Sr_export_processed</v>
      </c>
      <c r="D27" s="2">
        <v>2992646997.0280252</v>
      </c>
      <c r="O27" s="2">
        <v>0.71002564553972913</v>
      </c>
      <c r="P27" s="2">
        <v>1.8891012553646179E-4</v>
      </c>
      <c r="T27" s="2">
        <f t="shared" si="6"/>
        <v>0.71086300000000002</v>
      </c>
      <c r="U27" s="2" t="s">
        <v>273</v>
      </c>
      <c r="V27" s="2" t="s">
        <v>39</v>
      </c>
    </row>
    <row r="28" spans="1:22" x14ac:dyDescent="0.2">
      <c r="A28" s="2">
        <v>7</v>
      </c>
      <c r="B28" s="2" t="s">
        <v>24</v>
      </c>
      <c r="C28" s="2" t="str">
        <f t="shared" si="0"/>
        <v>20220223_NeomaMSMS_SrF_LA_Megacryst_Shap_Sr_export_processed</v>
      </c>
      <c r="D28" s="2">
        <v>4762195217.5965929</v>
      </c>
      <c r="O28" s="2">
        <v>0.70982283745881769</v>
      </c>
      <c r="P28" s="2">
        <v>1.7869106080283464E-4</v>
      </c>
      <c r="T28" s="2">
        <f t="shared" si="6"/>
        <v>0.71086300000000002</v>
      </c>
      <c r="U28" s="2" t="s">
        <v>273</v>
      </c>
      <c r="V28" s="2" t="s">
        <v>39</v>
      </c>
    </row>
    <row r="29" spans="1:22" x14ac:dyDescent="0.2">
      <c r="A29" s="2">
        <v>8</v>
      </c>
      <c r="B29" s="2" t="s">
        <v>25</v>
      </c>
      <c r="C29" s="2" t="str">
        <f t="shared" si="0"/>
        <v>20220223_NeomaMSMS_SrF_LA_Megacryst_Shap_Sr_export_processed</v>
      </c>
      <c r="D29" s="2">
        <v>1925198353.1255379</v>
      </c>
      <c r="O29" s="2">
        <v>0.70939293746851029</v>
      </c>
      <c r="P29" s="2">
        <v>2.4784637295138058E-4</v>
      </c>
      <c r="T29" s="2">
        <f t="shared" si="6"/>
        <v>0.71086300000000002</v>
      </c>
      <c r="U29" s="2" t="s">
        <v>273</v>
      </c>
      <c r="V29" s="2" t="s">
        <v>39</v>
      </c>
    </row>
    <row r="30" spans="1:22" x14ac:dyDescent="0.2">
      <c r="A30" s="2">
        <v>9</v>
      </c>
      <c r="B30" s="2" t="s">
        <v>26</v>
      </c>
      <c r="C30" s="2" t="str">
        <f t="shared" si="0"/>
        <v>20220223_NeomaMSMS_SrF_LA_Megacryst_Shap_Sr_export_processed</v>
      </c>
      <c r="D30" s="2">
        <v>5525080957.6157093</v>
      </c>
      <c r="O30" s="2">
        <v>0.71068829929601507</v>
      </c>
      <c r="P30" s="2">
        <v>2.3958350194380922E-4</v>
      </c>
      <c r="T30" s="2">
        <f t="shared" si="6"/>
        <v>0.71086300000000002</v>
      </c>
      <c r="U30" s="2" t="s">
        <v>273</v>
      </c>
      <c r="V30" s="2" t="s">
        <v>39</v>
      </c>
    </row>
    <row r="31" spans="1:22" x14ac:dyDescent="0.2">
      <c r="A31" s="2">
        <v>11</v>
      </c>
      <c r="B31" s="2" t="s">
        <v>27</v>
      </c>
      <c r="C31" s="2" t="str">
        <f t="shared" si="0"/>
        <v>20220223_NeomaMSMS_SrF_LA_Megacryst_Shap_Sr_export_processed</v>
      </c>
      <c r="D31" s="2">
        <v>7785816887.1595039</v>
      </c>
      <c r="O31" s="2">
        <v>0.70998109817267152</v>
      </c>
      <c r="P31" s="2">
        <v>1.4104591491318161E-4</v>
      </c>
      <c r="T31" s="2">
        <f>0.708519</f>
        <v>0.70851900000000001</v>
      </c>
      <c r="U31" s="2" t="s">
        <v>273</v>
      </c>
      <c r="V31" s="2" t="s">
        <v>39</v>
      </c>
    </row>
    <row r="32" spans="1:22" x14ac:dyDescent="0.2">
      <c r="A32" s="2">
        <v>12</v>
      </c>
      <c r="B32" s="2" t="s">
        <v>28</v>
      </c>
      <c r="C32" s="2" t="str">
        <f t="shared" si="0"/>
        <v>20220223_NeomaMSMS_SrF_LA_Megacryst_Shap_Sr_export_processed</v>
      </c>
      <c r="D32" s="2">
        <v>6820521648.6744061</v>
      </c>
      <c r="O32" s="2">
        <v>0.70951891881123264</v>
      </c>
      <c r="P32" s="2">
        <v>1.1599208936883172E-4</v>
      </c>
      <c r="T32" s="2">
        <f t="shared" ref="T32:T33" si="7">0.708519</f>
        <v>0.70851900000000001</v>
      </c>
      <c r="U32" s="2" t="s">
        <v>273</v>
      </c>
      <c r="V32" s="2" t="s">
        <v>39</v>
      </c>
    </row>
    <row r="33" spans="1:22" x14ac:dyDescent="0.2">
      <c r="A33" s="2">
        <v>13</v>
      </c>
      <c r="B33" s="2" t="s">
        <v>29</v>
      </c>
      <c r="C33" s="2" t="str">
        <f t="shared" si="0"/>
        <v>20220223_NeomaMSMS_SrF_LA_Megacryst_Shap_Sr_export_processed</v>
      </c>
      <c r="D33" s="2">
        <v>7232340352.4956722</v>
      </c>
      <c r="O33" s="2">
        <v>0.7102708329599694</v>
      </c>
      <c r="P33" s="2">
        <v>2.4534212061636765E-4</v>
      </c>
      <c r="T33" s="2">
        <f t="shared" si="7"/>
        <v>0.70851900000000001</v>
      </c>
      <c r="U33" s="2" t="s">
        <v>273</v>
      </c>
      <c r="V33" s="2" t="s">
        <v>39</v>
      </c>
    </row>
    <row r="34" spans="1:22" x14ac:dyDescent="0.2">
      <c r="A34" s="2">
        <v>14</v>
      </c>
      <c r="B34" s="2" t="s">
        <v>30</v>
      </c>
      <c r="C34" s="2" t="str">
        <f t="shared" si="0"/>
        <v>20220223_NeomaMSMS_SrF_LA_Megacryst_Shap_Sr_export_processed</v>
      </c>
      <c r="D34" s="2">
        <v>9105885973.3173161</v>
      </c>
      <c r="O34" s="2">
        <v>0.70954756358084314</v>
      </c>
      <c r="P34" s="2">
        <v>1.0074671467008722E-4</v>
      </c>
      <c r="T34" s="2">
        <f>0.708519</f>
        <v>0.70851900000000001</v>
      </c>
      <c r="U34" s="2" t="s">
        <v>273</v>
      </c>
      <c r="V34" s="2" t="s">
        <v>39</v>
      </c>
    </row>
    <row r="35" spans="1:22" x14ac:dyDescent="0.2">
      <c r="A35" s="2">
        <v>16</v>
      </c>
      <c r="B35" s="2" t="s">
        <v>31</v>
      </c>
      <c r="C35" s="2" t="str">
        <f t="shared" si="0"/>
        <v>20220223_NeomaMSMS_SrF_LA_Megacryst_Shap_Sr_export_processed</v>
      </c>
      <c r="D35" s="2">
        <v>7692291503.7775402</v>
      </c>
      <c r="O35" s="2">
        <v>0.71419461995145006</v>
      </c>
      <c r="P35" s="2">
        <v>1.108667282586713E-4</v>
      </c>
      <c r="T35" s="2">
        <f>0.715535</f>
        <v>0.71553500000000003</v>
      </c>
      <c r="U35" s="2" t="s">
        <v>273</v>
      </c>
      <c r="V35" s="2" t="s">
        <v>39</v>
      </c>
    </row>
    <row r="36" spans="1:22" x14ac:dyDescent="0.2">
      <c r="A36" s="2">
        <v>17</v>
      </c>
      <c r="B36" s="2" t="s">
        <v>32</v>
      </c>
      <c r="C36" s="2" t="str">
        <f t="shared" si="0"/>
        <v>20220223_NeomaMSMS_SrF_LA_Megacryst_Shap_Sr_export_processed</v>
      </c>
      <c r="D36" s="2">
        <v>7410881389.9715071</v>
      </c>
      <c r="O36" s="2">
        <v>0.714872940886772</v>
      </c>
      <c r="P36" s="2">
        <v>1.253438940125052E-4</v>
      </c>
      <c r="T36" s="2">
        <f t="shared" ref="T36:T37" si="8">0.715535</f>
        <v>0.71553500000000003</v>
      </c>
      <c r="U36" s="2" t="s">
        <v>273</v>
      </c>
      <c r="V36" s="2" t="s">
        <v>39</v>
      </c>
    </row>
    <row r="37" spans="1:22" x14ac:dyDescent="0.2">
      <c r="A37" s="2">
        <v>18</v>
      </c>
      <c r="B37" s="2" t="s">
        <v>33</v>
      </c>
      <c r="C37" s="2" t="str">
        <f t="shared" si="0"/>
        <v>20220223_NeomaMSMS_SrF_LA_Megacryst_Shap_Sr_export_processed</v>
      </c>
      <c r="D37" s="2">
        <v>7048559528.2202349</v>
      </c>
      <c r="O37" s="2">
        <v>0.71564039770527432</v>
      </c>
      <c r="P37" s="2">
        <v>1.1089594758961547E-4</v>
      </c>
      <c r="T37" s="2">
        <f t="shared" si="8"/>
        <v>0.71553500000000003</v>
      </c>
      <c r="U37" s="2" t="s">
        <v>273</v>
      </c>
      <c r="V37" s="2" t="s">
        <v>39</v>
      </c>
    </row>
    <row r="38" spans="1:22" x14ac:dyDescent="0.2">
      <c r="A38" s="2">
        <v>19</v>
      </c>
      <c r="B38" s="2" t="s">
        <v>34</v>
      </c>
      <c r="C38" s="2" t="str">
        <f t="shared" si="0"/>
        <v>20220223_NeomaMSMS_SrF_LA_Megacryst_Shap_Sr_export_processed</v>
      </c>
      <c r="D38" s="2">
        <v>6562120979.6430397</v>
      </c>
      <c r="O38" s="2">
        <v>0.7198848212868435</v>
      </c>
      <c r="P38" s="2">
        <v>1.0407263078869289E-4</v>
      </c>
      <c r="T38" s="2">
        <f>0.715535</f>
        <v>0.71553500000000003</v>
      </c>
      <c r="U38" s="2" t="s">
        <v>273</v>
      </c>
      <c r="V38" s="2" t="s">
        <v>39</v>
      </c>
    </row>
    <row r="39" spans="1:22" x14ac:dyDescent="0.2">
      <c r="A39" s="2">
        <v>21</v>
      </c>
      <c r="B39" s="2" t="s">
        <v>35</v>
      </c>
      <c r="C39" s="2" t="str">
        <f t="shared" si="0"/>
        <v>20220223_NeomaMSMS_SrF_LA_Megacryst_Shap_Sr_export_processed</v>
      </c>
      <c r="D39" s="2">
        <v>6151534929.7710238</v>
      </c>
      <c r="O39" s="2">
        <v>0.71758137118761345</v>
      </c>
      <c r="P39" s="2">
        <v>1.0279178444816695E-4</v>
      </c>
      <c r="T39" s="2">
        <f>0.714819</f>
        <v>0.71481899999999998</v>
      </c>
      <c r="U39" s="2" t="s">
        <v>273</v>
      </c>
      <c r="V39" s="2" t="s">
        <v>39</v>
      </c>
    </row>
    <row r="40" spans="1:22" x14ac:dyDescent="0.2">
      <c r="A40" s="2">
        <v>22</v>
      </c>
      <c r="B40" s="2" t="s">
        <v>36</v>
      </c>
      <c r="C40" s="2" t="str">
        <f t="shared" si="0"/>
        <v>20220223_NeomaMSMS_SrF_LA_Megacryst_Shap_Sr_export_processed</v>
      </c>
      <c r="D40" s="2">
        <v>6504826952.2069006</v>
      </c>
      <c r="O40" s="2">
        <v>0.7180455362160868</v>
      </c>
      <c r="P40" s="2">
        <v>1.1046388138547893E-4</v>
      </c>
      <c r="T40" s="2">
        <f t="shared" ref="T40:T41" si="9">0.714819</f>
        <v>0.71481899999999998</v>
      </c>
      <c r="U40" s="2" t="s">
        <v>273</v>
      </c>
      <c r="V40" s="2" t="s">
        <v>39</v>
      </c>
    </row>
    <row r="41" spans="1:22" x14ac:dyDescent="0.2">
      <c r="A41" s="2">
        <v>23</v>
      </c>
      <c r="B41" s="2" t="s">
        <v>37</v>
      </c>
      <c r="C41" s="2" t="str">
        <f t="shared" si="0"/>
        <v>20220223_NeomaMSMS_SrF_LA_Megacryst_Shap_Sr_export_processed</v>
      </c>
      <c r="D41" s="2">
        <v>6834482228.9752073</v>
      </c>
      <c r="O41" s="2">
        <v>0.71705373231838709</v>
      </c>
      <c r="P41" s="2">
        <v>9.4030573325883763E-5</v>
      </c>
      <c r="T41" s="2">
        <f t="shared" si="9"/>
        <v>0.71481899999999998</v>
      </c>
      <c r="U41" s="2" t="s">
        <v>273</v>
      </c>
      <c r="V41" s="2" t="s">
        <v>39</v>
      </c>
    </row>
    <row r="42" spans="1:22" x14ac:dyDescent="0.2">
      <c r="A42" s="2">
        <v>24</v>
      </c>
      <c r="B42" s="2" t="s">
        <v>38</v>
      </c>
      <c r="C42" s="2" t="str">
        <f t="shared" si="0"/>
        <v>20220223_NeomaMSMS_SrF_LA_Megacryst_Shap_Sr_export_processed</v>
      </c>
      <c r="D42" s="2">
        <v>6990841227.179019</v>
      </c>
      <c r="O42" s="2">
        <v>0.71603644221094931</v>
      </c>
      <c r="P42" s="2">
        <v>1.3210309218848062E-4</v>
      </c>
      <c r="T42" s="2">
        <f>0.714819</f>
        <v>0.71481899999999998</v>
      </c>
      <c r="U42" s="2" t="s">
        <v>273</v>
      </c>
      <c r="V42" s="2" t="s">
        <v>39</v>
      </c>
    </row>
    <row r="43" spans="1:22" x14ac:dyDescent="0.2">
      <c r="A43" s="2">
        <v>2</v>
      </c>
      <c r="B43" s="2" t="s">
        <v>40</v>
      </c>
      <c r="C43" s="2" t="str">
        <f t="shared" si="0"/>
        <v>20220223_NeomaMSMS_SrF_LA_Megacryst_Shap_RbSr_export_processed</v>
      </c>
      <c r="D43" s="2">
        <v>1634975356.7767847</v>
      </c>
      <c r="M43" s="2">
        <v>1.4050712524613347</v>
      </c>
      <c r="N43" s="2">
        <v>0.26211970902622816</v>
      </c>
      <c r="O43" s="2">
        <v>0.71471690319348113</v>
      </c>
      <c r="P43" s="2">
        <v>1.6296277382330622E-3</v>
      </c>
      <c r="Q43" s="2">
        <v>0.36358331271751704</v>
      </c>
      <c r="R43" s="2">
        <f>0.6425087</f>
        <v>0.64250870000000004</v>
      </c>
      <c r="S43" s="2" t="s">
        <v>273</v>
      </c>
      <c r="T43" s="2">
        <f>0.710863</f>
        <v>0.71086300000000002</v>
      </c>
      <c r="U43" s="2" t="s">
        <v>273</v>
      </c>
      <c r="V43" s="2" t="s">
        <v>56</v>
      </c>
    </row>
    <row r="44" spans="1:22" x14ac:dyDescent="0.2">
      <c r="A44" s="2">
        <v>3</v>
      </c>
      <c r="B44" s="2" t="s">
        <v>41</v>
      </c>
      <c r="C44" s="2" t="str">
        <f t="shared" si="0"/>
        <v>20220223_NeomaMSMS_SrF_LA_Megacryst_Shap_RbSr_export_processed</v>
      </c>
      <c r="D44" s="2">
        <v>9498985095.1159592</v>
      </c>
      <c r="M44" s="2">
        <v>0.57847681563125597</v>
      </c>
      <c r="N44" s="2">
        <v>6.5307208658910848E-2</v>
      </c>
      <c r="O44" s="2">
        <v>0.71170894135074481</v>
      </c>
      <c r="P44" s="2">
        <v>4.2713363588945747E-4</v>
      </c>
      <c r="Q44" s="2">
        <v>0.22693259019920364</v>
      </c>
      <c r="R44" s="2">
        <f t="shared" ref="R44:R45" si="10">0.6425087</f>
        <v>0.64250870000000004</v>
      </c>
      <c r="S44" s="2" t="s">
        <v>273</v>
      </c>
      <c r="T44" s="2">
        <f t="shared" ref="T44:T45" si="11">0.710863</f>
        <v>0.71086300000000002</v>
      </c>
      <c r="U44" s="2" t="s">
        <v>273</v>
      </c>
      <c r="V44" s="2" t="s">
        <v>56</v>
      </c>
    </row>
    <row r="45" spans="1:22" x14ac:dyDescent="0.2">
      <c r="A45" s="2">
        <v>4</v>
      </c>
      <c r="B45" s="2" t="s">
        <v>42</v>
      </c>
      <c r="C45" s="2" t="str">
        <f t="shared" si="0"/>
        <v>20220223_NeomaMSMS_SrF_LA_Megacryst_Shap_RbSr_export_processed</v>
      </c>
      <c r="D45" s="2">
        <v>9411167324.7085018</v>
      </c>
      <c r="M45" s="2">
        <v>0.16865110733852948</v>
      </c>
      <c r="N45" s="2">
        <v>4.3970052454649779E-2</v>
      </c>
      <c r="O45" s="2">
        <v>0.70956399976743356</v>
      </c>
      <c r="P45" s="2">
        <v>1.3845484797901439E-4</v>
      </c>
      <c r="Q45" s="2">
        <v>0.2024190674839052</v>
      </c>
      <c r="R45" s="2">
        <f t="shared" si="10"/>
        <v>0.64250870000000004</v>
      </c>
      <c r="S45" s="2" t="s">
        <v>273</v>
      </c>
      <c r="T45" s="2">
        <f t="shared" si="11"/>
        <v>0.71086300000000002</v>
      </c>
      <c r="U45" s="2" t="s">
        <v>273</v>
      </c>
      <c r="V45" s="2" t="s">
        <v>56</v>
      </c>
    </row>
    <row r="46" spans="1:22" x14ac:dyDescent="0.2">
      <c r="A46" s="2">
        <v>5</v>
      </c>
      <c r="B46" s="2" t="s">
        <v>43</v>
      </c>
      <c r="C46" s="2" t="str">
        <f t="shared" si="0"/>
        <v>20220223_NeomaMSMS_SrF_LA_Megacryst_Shap_RbSr_export_processed</v>
      </c>
      <c r="D46" s="2">
        <v>8660658657.133873</v>
      </c>
      <c r="M46" s="2">
        <v>0.46878005236240494</v>
      </c>
      <c r="N46" s="2">
        <v>6.4737750104017472E-2</v>
      </c>
      <c r="O46" s="2">
        <v>0.71105701020856116</v>
      </c>
      <c r="P46" s="2">
        <v>3.1599734397186633E-4</v>
      </c>
      <c r="Q46" s="2">
        <v>0.70591017192972427</v>
      </c>
      <c r="R46" s="2">
        <f>0.6425087</f>
        <v>0.64250870000000004</v>
      </c>
      <c r="S46" s="2" t="s">
        <v>273</v>
      </c>
      <c r="T46" s="2">
        <f>0.710863</f>
        <v>0.71086300000000002</v>
      </c>
      <c r="U46" s="2" t="s">
        <v>273</v>
      </c>
      <c r="V46" s="2" t="s">
        <v>56</v>
      </c>
    </row>
    <row r="47" spans="1:22" x14ac:dyDescent="0.2">
      <c r="A47" s="2">
        <v>7</v>
      </c>
      <c r="B47" s="2" t="s">
        <v>44</v>
      </c>
      <c r="C47" s="2" t="str">
        <f t="shared" si="0"/>
        <v>20220223_NeomaMSMS_SrF_LA_Megacryst_Shap_RbSr_export_processed</v>
      </c>
      <c r="D47" s="2">
        <v>8268953943.8950357</v>
      </c>
      <c r="M47" s="2">
        <v>0.28512231669944454</v>
      </c>
      <c r="N47" s="2">
        <v>0.18683916876507209</v>
      </c>
      <c r="O47" s="2">
        <v>0.71015635479071237</v>
      </c>
      <c r="P47" s="2">
        <v>1.0239327467693403E-3</v>
      </c>
      <c r="Q47" s="2">
        <v>0.97447762689588835</v>
      </c>
      <c r="R47" s="2">
        <f>0.2403064</f>
        <v>0.2403064</v>
      </c>
      <c r="S47" s="2" t="s">
        <v>273</v>
      </c>
      <c r="T47" s="2">
        <f>0.708519</f>
        <v>0.70851900000000001</v>
      </c>
      <c r="U47" s="2" t="s">
        <v>273</v>
      </c>
      <c r="V47" s="2" t="s">
        <v>56</v>
      </c>
    </row>
    <row r="48" spans="1:22" x14ac:dyDescent="0.2">
      <c r="A48" s="2">
        <v>8</v>
      </c>
      <c r="B48" s="2" t="s">
        <v>45</v>
      </c>
      <c r="C48" s="2" t="str">
        <f t="shared" si="0"/>
        <v>20220223_NeomaMSMS_SrF_LA_Megacryst_Shap_RbSr_export_processed</v>
      </c>
      <c r="D48" s="2">
        <v>9102745056.1290569</v>
      </c>
      <c r="M48" s="2">
        <v>0.29255181900813232</v>
      </c>
      <c r="N48" s="2">
        <v>6.8286965081935408E-2</v>
      </c>
      <c r="O48" s="2">
        <v>0.71016365186882369</v>
      </c>
      <c r="P48" s="2">
        <v>3.2113614903381905E-4</v>
      </c>
      <c r="Q48" s="2">
        <v>0.82529582487737974</v>
      </c>
      <c r="R48" s="2">
        <f t="shared" ref="R48:R50" si="12">0.2403064</f>
        <v>0.2403064</v>
      </c>
      <c r="S48" s="2" t="s">
        <v>273</v>
      </c>
      <c r="T48" s="2">
        <f t="shared" ref="T48:T50" si="13">0.708519</f>
        <v>0.70851900000000001</v>
      </c>
      <c r="U48" s="2" t="s">
        <v>273</v>
      </c>
      <c r="V48" s="2" t="s">
        <v>56</v>
      </c>
    </row>
    <row r="49" spans="1:22" x14ac:dyDescent="0.2">
      <c r="A49" s="2">
        <v>9</v>
      </c>
      <c r="B49" s="2" t="s">
        <v>46</v>
      </c>
      <c r="C49" s="2" t="str">
        <f t="shared" si="0"/>
        <v>20220223_NeomaMSMS_SrF_LA_Megacryst_Shap_RbSr_export_processed</v>
      </c>
      <c r="D49" s="2">
        <v>5940650661.657095</v>
      </c>
      <c r="M49" s="2">
        <v>5.6273386388906388E-2</v>
      </c>
      <c r="N49" s="2">
        <v>2.0754856322215874E-2</v>
      </c>
      <c r="O49" s="2">
        <v>0.70898755240329148</v>
      </c>
      <c r="P49" s="2">
        <v>2.3932052211449758E-4</v>
      </c>
      <c r="Q49" s="2">
        <v>0.78125405215473398</v>
      </c>
      <c r="R49" s="2">
        <f t="shared" si="12"/>
        <v>0.2403064</v>
      </c>
      <c r="S49" s="2" t="s">
        <v>273</v>
      </c>
      <c r="T49" s="2">
        <f t="shared" si="13"/>
        <v>0.70851900000000001</v>
      </c>
      <c r="U49" s="2" t="s">
        <v>273</v>
      </c>
      <c r="V49" s="2" t="s">
        <v>56</v>
      </c>
    </row>
    <row r="50" spans="1:22" x14ac:dyDescent="0.2">
      <c r="A50" s="2">
        <v>10</v>
      </c>
      <c r="B50" s="2" t="s">
        <v>47</v>
      </c>
      <c r="C50" s="2" t="str">
        <f t="shared" si="0"/>
        <v>20220223_NeomaMSMS_SrF_LA_Megacryst_Shap_RbSr_export_processed</v>
      </c>
      <c r="D50" s="2">
        <v>12529440434.31712</v>
      </c>
      <c r="M50" s="2">
        <v>5.5805403311266245E-2</v>
      </c>
      <c r="N50" s="2">
        <v>7.1203153554762217E-3</v>
      </c>
      <c r="O50" s="2">
        <v>0.70898420653269278</v>
      </c>
      <c r="P50" s="2">
        <v>1.4251339511578545E-4</v>
      </c>
      <c r="Q50" s="2">
        <v>0.49851560397897748</v>
      </c>
      <c r="R50" s="2">
        <f t="shared" si="12"/>
        <v>0.2403064</v>
      </c>
      <c r="S50" s="2" t="s">
        <v>273</v>
      </c>
      <c r="T50" s="2">
        <f t="shared" si="13"/>
        <v>0.70851900000000001</v>
      </c>
      <c r="U50" s="2" t="s">
        <v>273</v>
      </c>
      <c r="V50" s="2" t="s">
        <v>56</v>
      </c>
    </row>
    <row r="51" spans="1:22" x14ac:dyDescent="0.2">
      <c r="A51" s="2">
        <v>12</v>
      </c>
      <c r="B51" s="2" t="s">
        <v>48</v>
      </c>
      <c r="C51" s="2" t="str">
        <f t="shared" si="0"/>
        <v>20220223_NeomaMSMS_SrF_LA_Megacryst_Shap_RbSr_export_processed</v>
      </c>
      <c r="D51" s="2">
        <v>7089003282.7914181</v>
      </c>
      <c r="M51" s="2">
        <v>1.2797881695695363</v>
      </c>
      <c r="N51" s="2">
        <v>0.11417700094169854</v>
      </c>
      <c r="O51" s="2">
        <v>0.7150005012745807</v>
      </c>
      <c r="P51" s="2">
        <v>2.7334667122383394E-4</v>
      </c>
      <c r="Q51" s="2">
        <v>0.27336849576724159</v>
      </c>
      <c r="R51" s="2">
        <f>1.456129</f>
        <v>1.456129</v>
      </c>
      <c r="S51" s="2" t="s">
        <v>273</v>
      </c>
      <c r="T51" s="2">
        <f>0.715535</f>
        <v>0.71553500000000003</v>
      </c>
      <c r="U51" s="2" t="s">
        <v>273</v>
      </c>
      <c r="V51" s="2" t="s">
        <v>56</v>
      </c>
    </row>
    <row r="52" spans="1:22" x14ac:dyDescent="0.2">
      <c r="A52" s="2">
        <v>13</v>
      </c>
      <c r="B52" s="2" t="s">
        <v>49</v>
      </c>
      <c r="C52" s="2" t="str">
        <f t="shared" si="0"/>
        <v>20220223_NeomaMSMS_SrF_LA_Megacryst_Shap_RbSr_export_processed</v>
      </c>
      <c r="D52" s="2">
        <v>7772152038.9286604</v>
      </c>
      <c r="M52" s="2">
        <v>1.0878941393601347</v>
      </c>
      <c r="N52" s="2">
        <v>0.10229360505204191</v>
      </c>
      <c r="O52" s="2">
        <v>0.71406362984823635</v>
      </c>
      <c r="P52" s="2">
        <v>1.6327319252400666E-4</v>
      </c>
      <c r="Q52" s="2">
        <v>0.51161969800856777</v>
      </c>
      <c r="R52" s="2">
        <f t="shared" ref="R52:R54" si="14">1.456129</f>
        <v>1.456129</v>
      </c>
      <c r="S52" s="2" t="s">
        <v>273</v>
      </c>
      <c r="T52" s="2">
        <f t="shared" ref="T52:T54" si="15">0.715535</f>
        <v>0.71553500000000003</v>
      </c>
      <c r="U52" s="2" t="s">
        <v>273</v>
      </c>
      <c r="V52" s="2" t="s">
        <v>56</v>
      </c>
    </row>
    <row r="53" spans="1:22" x14ac:dyDescent="0.2">
      <c r="A53" s="2">
        <v>14</v>
      </c>
      <c r="B53" s="2" t="s">
        <v>50</v>
      </c>
      <c r="C53" s="2" t="str">
        <f t="shared" si="0"/>
        <v>20220223_NeomaMSMS_SrF_LA_Megacryst_Shap_RbSr_export_processed</v>
      </c>
      <c r="D53" s="2">
        <v>5364556303.7883492</v>
      </c>
      <c r="M53" s="2">
        <v>1.3184901932955058</v>
      </c>
      <c r="N53" s="2">
        <v>0.14176214723775241</v>
      </c>
      <c r="O53" s="2">
        <v>0.71510608827820465</v>
      </c>
      <c r="P53" s="2">
        <v>3.9225244004576751E-4</v>
      </c>
      <c r="Q53" s="2">
        <v>0.70109120026012617</v>
      </c>
      <c r="R53" s="2">
        <f t="shared" si="14"/>
        <v>1.456129</v>
      </c>
      <c r="S53" s="2" t="s">
        <v>273</v>
      </c>
      <c r="T53" s="2">
        <f t="shared" si="15"/>
        <v>0.71553500000000003</v>
      </c>
      <c r="U53" s="2" t="s">
        <v>273</v>
      </c>
      <c r="V53" s="2" t="s">
        <v>56</v>
      </c>
    </row>
    <row r="54" spans="1:22" x14ac:dyDescent="0.2">
      <c r="A54" s="2">
        <v>15</v>
      </c>
      <c r="B54" s="2" t="s">
        <v>51</v>
      </c>
      <c r="C54" s="2" t="str">
        <f t="shared" si="0"/>
        <v>20220223_NeomaMSMS_SrF_LA_Megacryst_Shap_RbSr_export_processed</v>
      </c>
      <c r="D54" s="2">
        <v>6798133319.5140524</v>
      </c>
      <c r="M54" s="2">
        <v>1.1285661312372552</v>
      </c>
      <c r="N54" s="2">
        <v>0.11578910491507258</v>
      </c>
      <c r="O54" s="2">
        <v>0.71412138806602898</v>
      </c>
      <c r="P54" s="2">
        <v>1.9394197607455586E-4</v>
      </c>
      <c r="Q54" s="2">
        <v>0.50496689187452148</v>
      </c>
      <c r="R54" s="2">
        <f t="shared" si="14"/>
        <v>1.456129</v>
      </c>
      <c r="S54" s="2" t="s">
        <v>273</v>
      </c>
      <c r="T54" s="2">
        <f t="shared" si="15"/>
        <v>0.71553500000000003</v>
      </c>
      <c r="U54" s="2" t="s">
        <v>273</v>
      </c>
      <c r="V54" s="2" t="s">
        <v>56</v>
      </c>
    </row>
    <row r="55" spans="1:22" x14ac:dyDescent="0.2">
      <c r="A55" s="2">
        <v>17</v>
      </c>
      <c r="B55" s="2" t="s">
        <v>52</v>
      </c>
      <c r="C55" s="2" t="str">
        <f t="shared" si="0"/>
        <v>20220223_NeomaMSMS_SrF_LA_Megacryst_Shap_RbSr_export_processed</v>
      </c>
      <c r="D55" s="2">
        <v>7037248027.08076</v>
      </c>
      <c r="M55" s="2">
        <v>1.3438052034849408</v>
      </c>
      <c r="N55" s="2">
        <v>0.13054614199757278</v>
      </c>
      <c r="O55" s="2">
        <v>0.7150887095020716</v>
      </c>
      <c r="P55" s="2">
        <v>1.6264187712741445E-4</v>
      </c>
      <c r="Q55" s="2">
        <v>0.30792068233321374</v>
      </c>
      <c r="R55" s="2">
        <f t="shared" ref="R55:R58" si="16">1.3336536</f>
        <v>1.3336536000000001</v>
      </c>
      <c r="S55" s="2" t="s">
        <v>273</v>
      </c>
      <c r="T55" s="2">
        <f t="shared" ref="T55:T58" si="17">0.714819</f>
        <v>0.71481899999999998</v>
      </c>
      <c r="U55" s="2" t="s">
        <v>273</v>
      </c>
      <c r="V55" s="2" t="s">
        <v>56</v>
      </c>
    </row>
    <row r="56" spans="1:22" x14ac:dyDescent="0.2">
      <c r="A56" s="2">
        <v>18</v>
      </c>
      <c r="B56" s="2" t="s">
        <v>53</v>
      </c>
      <c r="C56" s="2" t="str">
        <f t="shared" si="0"/>
        <v>20220223_NeomaMSMS_SrF_LA_Megacryst_Shap_RbSr_export_processed</v>
      </c>
      <c r="D56" s="2">
        <v>6289686688.7771721</v>
      </c>
      <c r="M56" s="2">
        <v>1.3659916129453418</v>
      </c>
      <c r="N56" s="2">
        <v>0.20096789922157662</v>
      </c>
      <c r="O56" s="2">
        <v>0.71533909102177029</v>
      </c>
      <c r="P56" s="2">
        <v>3.3009870879120875E-4</v>
      </c>
      <c r="Q56" s="2">
        <v>0.77203150909496021</v>
      </c>
      <c r="R56" s="2">
        <f t="shared" si="16"/>
        <v>1.3336536000000001</v>
      </c>
      <c r="S56" s="2" t="s">
        <v>273</v>
      </c>
      <c r="T56" s="2">
        <f t="shared" si="17"/>
        <v>0.71481899999999998</v>
      </c>
      <c r="U56" s="2" t="s">
        <v>273</v>
      </c>
      <c r="V56" s="2" t="s">
        <v>56</v>
      </c>
    </row>
    <row r="57" spans="1:22" x14ac:dyDescent="0.2">
      <c r="A57" s="2">
        <v>19</v>
      </c>
      <c r="B57" s="2" t="s">
        <v>54</v>
      </c>
      <c r="C57" s="2" t="str">
        <f t="shared" si="0"/>
        <v>20220223_NeomaMSMS_SrF_LA_Megacryst_Shap_RbSr_export_processed</v>
      </c>
      <c r="D57" s="2">
        <v>6290346762.270009</v>
      </c>
      <c r="M57" s="2">
        <v>1.3836333904791782</v>
      </c>
      <c r="N57" s="2">
        <v>0.14900474609707751</v>
      </c>
      <c r="O57" s="2">
        <v>0.71524608244670107</v>
      </c>
      <c r="P57" s="2">
        <v>1.6978073567844759E-4</v>
      </c>
      <c r="Q57" s="2">
        <v>0.29829677113119668</v>
      </c>
      <c r="R57" s="2">
        <f t="shared" si="16"/>
        <v>1.3336536000000001</v>
      </c>
      <c r="S57" s="2" t="s">
        <v>273</v>
      </c>
      <c r="T57" s="2">
        <f t="shared" si="17"/>
        <v>0.71481899999999998</v>
      </c>
      <c r="U57" s="2" t="s">
        <v>273</v>
      </c>
      <c r="V57" s="2" t="s">
        <v>56</v>
      </c>
    </row>
    <row r="58" spans="1:22" x14ac:dyDescent="0.2">
      <c r="A58" s="2">
        <v>20</v>
      </c>
      <c r="B58" s="2" t="s">
        <v>55</v>
      </c>
      <c r="C58" s="2" t="str">
        <f t="shared" si="0"/>
        <v>20220223_NeomaMSMS_SrF_LA_Megacryst_Shap_RbSr_export_processed</v>
      </c>
      <c r="D58" s="2">
        <v>6468501170.5376158</v>
      </c>
      <c r="M58" s="2">
        <v>1.2287882330007751</v>
      </c>
      <c r="N58" s="2">
        <v>0.12785531647601223</v>
      </c>
      <c r="O58" s="2">
        <v>0.71456296376411832</v>
      </c>
      <c r="P58" s="2">
        <v>2.8873992302086372E-4</v>
      </c>
      <c r="Q58" s="2">
        <v>-5.1724750084241995E-2</v>
      </c>
      <c r="R58" s="2">
        <f t="shared" si="16"/>
        <v>1.3336536000000001</v>
      </c>
      <c r="S58" s="2" t="s">
        <v>273</v>
      </c>
      <c r="T58" s="2">
        <f t="shared" si="17"/>
        <v>0.71481899999999998</v>
      </c>
      <c r="U58" s="2" t="s">
        <v>273</v>
      </c>
      <c r="V58" s="2" t="s">
        <v>56</v>
      </c>
    </row>
    <row r="59" spans="1:22" x14ac:dyDescent="0.2">
      <c r="A59" s="2">
        <v>3</v>
      </c>
      <c r="B59" s="2" t="s">
        <v>60</v>
      </c>
      <c r="C59" s="2" t="str">
        <f t="shared" si="0"/>
        <v>20220223_NeomaMSMS_SrF_LA_Chicago_Run1_RbSr_export_processed</v>
      </c>
      <c r="D59" s="2">
        <v>888293838.74890208</v>
      </c>
      <c r="E59" s="2">
        <v>56939.957999999999</v>
      </c>
      <c r="F59" s="2">
        <v>20163.712</v>
      </c>
      <c r="G59" s="2">
        <v>1431.25</v>
      </c>
      <c r="H59" s="2">
        <v>1.940501674573796</v>
      </c>
      <c r="I59" s="2">
        <v>0.1077264256578843</v>
      </c>
      <c r="J59" s="2">
        <v>0.71558988887383301</v>
      </c>
      <c r="K59" s="2">
        <v>8.1947998175777308E-4</v>
      </c>
      <c r="L59" s="2">
        <v>0.18757517776473914</v>
      </c>
      <c r="M59" s="2">
        <v>1.771883434043203</v>
      </c>
      <c r="N59" s="2">
        <v>0.16952590219351005</v>
      </c>
      <c r="O59" s="2">
        <v>0.71630727663476934</v>
      </c>
      <c r="P59" s="2">
        <v>8.0551295579882169E-4</v>
      </c>
      <c r="Q59" s="2">
        <v>0.30341739285273966</v>
      </c>
      <c r="V59" s="2" t="s">
        <v>196</v>
      </c>
    </row>
    <row r="60" spans="1:22" x14ac:dyDescent="0.2">
      <c r="A60" s="2">
        <v>4</v>
      </c>
      <c r="B60" s="2" t="s">
        <v>61</v>
      </c>
      <c r="C60" s="2" t="str">
        <f t="shared" si="0"/>
        <v>20220223_NeomaMSMS_SrF_LA_Chicago_Run1_RbSr_export_processed</v>
      </c>
      <c r="D60" s="2">
        <v>417023725.93201911</v>
      </c>
      <c r="E60" s="2">
        <v>56535.445</v>
      </c>
      <c r="F60" s="2">
        <v>20380.944</v>
      </c>
      <c r="G60" s="2">
        <v>1431.25</v>
      </c>
      <c r="H60" s="2">
        <v>3.806121686664635</v>
      </c>
      <c r="I60" s="2">
        <v>0.55425007325323283</v>
      </c>
      <c r="J60" s="2">
        <v>0.72143652741802256</v>
      </c>
      <c r="K60" s="2">
        <v>1.4464621607575871E-3</v>
      </c>
      <c r="L60" s="2">
        <v>0.78344163351335849</v>
      </c>
      <c r="M60" s="2">
        <v>3.4753919838976013</v>
      </c>
      <c r="N60" s="2">
        <v>0.57399030910573523</v>
      </c>
      <c r="O60" s="2">
        <v>0.72215977650679397</v>
      </c>
      <c r="P60" s="2">
        <v>1.4394484874642706E-3</v>
      </c>
      <c r="Q60" s="2">
        <v>0.75776392963070494</v>
      </c>
      <c r="V60" s="2" t="s">
        <v>196</v>
      </c>
    </row>
    <row r="61" spans="1:22" x14ac:dyDescent="0.2">
      <c r="A61" s="2">
        <v>5</v>
      </c>
      <c r="B61" s="2" t="s">
        <v>62</v>
      </c>
      <c r="C61" s="2" t="str">
        <f t="shared" si="0"/>
        <v>20220223_NeomaMSMS_SrF_LA_Chicago_Run1_RbSr_export_processed</v>
      </c>
      <c r="D61" s="2">
        <v>764204445.38418269</v>
      </c>
      <c r="E61" s="2">
        <v>55926.38</v>
      </c>
      <c r="F61" s="2">
        <v>20768.892</v>
      </c>
      <c r="G61" s="2">
        <v>1431.25</v>
      </c>
      <c r="H61" s="2">
        <v>1.9911499450464614</v>
      </c>
      <c r="I61" s="2">
        <v>0.20248628408131064</v>
      </c>
      <c r="J61" s="2">
        <v>0.71557944690848563</v>
      </c>
      <c r="K61" s="2">
        <v>1.4449581000298539E-3</v>
      </c>
      <c r="L61" s="2">
        <v>0.21438609688577681</v>
      </c>
      <c r="M61" s="2">
        <v>1.8181306661839156</v>
      </c>
      <c r="N61" s="2">
        <v>0.23292955771353482</v>
      </c>
      <c r="O61" s="2">
        <v>0.71629682420122187</v>
      </c>
      <c r="P61" s="2">
        <v>1.4380714681164605E-3</v>
      </c>
      <c r="Q61" s="2">
        <v>0.25171495044367903</v>
      </c>
      <c r="V61" s="2" t="s">
        <v>196</v>
      </c>
    </row>
    <row r="62" spans="1:22" x14ac:dyDescent="0.2">
      <c r="A62" s="2">
        <v>6</v>
      </c>
      <c r="B62" s="2" t="s">
        <v>63</v>
      </c>
      <c r="C62" s="2" t="str">
        <f t="shared" si="0"/>
        <v>20220223_NeomaMSMS_SrF_LA_Chicago_Run1_RbSr_export_processed</v>
      </c>
      <c r="D62" s="2">
        <v>735679632.07197189</v>
      </c>
      <c r="E62" s="2">
        <v>55390.807000000001</v>
      </c>
      <c r="F62" s="2">
        <v>21027.935000000001</v>
      </c>
      <c r="G62" s="2">
        <v>1431.25</v>
      </c>
      <c r="H62" s="2">
        <v>1.7814994111783471</v>
      </c>
      <c r="I62" s="2">
        <v>0.14581303999352571</v>
      </c>
      <c r="J62" s="2">
        <v>0.71373842298872536</v>
      </c>
      <c r="K62" s="2">
        <v>6.3156313499252283E-4</v>
      </c>
      <c r="L62" s="2">
        <v>0.4023574592638538</v>
      </c>
      <c r="M62" s="2">
        <v>1.6266975369232493</v>
      </c>
      <c r="N62" s="2">
        <v>0.18383193016609159</v>
      </c>
      <c r="O62" s="2">
        <v>0.7144539546320916</v>
      </c>
      <c r="P62" s="2">
        <v>6.1298689671528399E-4</v>
      </c>
      <c r="Q62" s="2">
        <v>0.51424054849124357</v>
      </c>
      <c r="V62" s="2" t="s">
        <v>196</v>
      </c>
    </row>
    <row r="63" spans="1:22" x14ac:dyDescent="0.2">
      <c r="A63" s="2">
        <v>7</v>
      </c>
      <c r="B63" s="2" t="s">
        <v>64</v>
      </c>
      <c r="C63" s="2" t="str">
        <f t="shared" si="0"/>
        <v>20220223_NeomaMSMS_SrF_LA_Chicago_Run1_RbSr_export_processed</v>
      </c>
      <c r="D63" s="2">
        <v>835912067.35092115</v>
      </c>
      <c r="E63" s="2">
        <v>54725.559000000001</v>
      </c>
      <c r="F63" s="2">
        <v>21399.89</v>
      </c>
      <c r="G63" s="2">
        <v>1431.25</v>
      </c>
      <c r="H63" s="2">
        <v>1.4041600319393917</v>
      </c>
      <c r="I63" s="2">
        <v>0.13282200963974478</v>
      </c>
      <c r="J63" s="2">
        <v>0.71257603166718553</v>
      </c>
      <c r="K63" s="2">
        <v>4.9312304671245697E-4</v>
      </c>
      <c r="L63" s="2">
        <v>0.21186323485652686</v>
      </c>
      <c r="M63" s="2">
        <v>1.2821467417107173</v>
      </c>
      <c r="N63" s="2">
        <v>0.15713245855934271</v>
      </c>
      <c r="O63" s="2">
        <v>0.71329039799879923</v>
      </c>
      <c r="P63" s="2">
        <v>4.6884622754384209E-4</v>
      </c>
      <c r="Q63" s="2">
        <v>0.42937740645430011</v>
      </c>
      <c r="V63" s="2" t="s">
        <v>196</v>
      </c>
    </row>
    <row r="64" spans="1:22" x14ac:dyDescent="0.2">
      <c r="A64" s="2">
        <v>10</v>
      </c>
      <c r="B64" s="2" t="s">
        <v>65</v>
      </c>
      <c r="C64" s="2" t="str">
        <f t="shared" si="0"/>
        <v>20220223_NeomaMSMS_SrF_LA_Chicago_Run1_RbSr_export_processed</v>
      </c>
      <c r="D64" s="2">
        <v>710123803.64671445</v>
      </c>
      <c r="E64" s="2">
        <v>54030.949000000001</v>
      </c>
      <c r="F64" s="2">
        <v>21761.087</v>
      </c>
      <c r="G64" s="2">
        <v>1431.25</v>
      </c>
      <c r="H64" s="2">
        <v>1.6696286342853301</v>
      </c>
      <c r="I64" s="2">
        <v>0.10769471364461555</v>
      </c>
      <c r="J64" s="2">
        <v>0.71454257329505044</v>
      </c>
      <c r="K64" s="2">
        <v>8.7571516386154163E-4</v>
      </c>
      <c r="L64" s="2">
        <v>0.33503958251762167</v>
      </c>
      <c r="M64" s="2">
        <v>1.4879709745295118</v>
      </c>
      <c r="N64" s="2">
        <v>0.16177995806340001</v>
      </c>
      <c r="O64" s="2">
        <v>0.71592382434460833</v>
      </c>
      <c r="P64" s="2">
        <v>9.2285054592863803E-4</v>
      </c>
      <c r="Q64" s="2">
        <v>0.23972998434506523</v>
      </c>
      <c r="V64" s="2" t="s">
        <v>196</v>
      </c>
    </row>
    <row r="65" spans="1:22" x14ac:dyDescent="0.2">
      <c r="A65" s="2">
        <v>11</v>
      </c>
      <c r="B65" s="2" t="s">
        <v>66</v>
      </c>
      <c r="C65" s="2" t="str">
        <f t="shared" si="0"/>
        <v>20220223_NeomaMSMS_SrF_LA_Chicago_Run1_RbSr_export_processed</v>
      </c>
      <c r="D65" s="2">
        <v>735548647.07137465</v>
      </c>
      <c r="E65" s="2">
        <v>53400.307000000001</v>
      </c>
      <c r="F65" s="2">
        <v>21992.260999999999</v>
      </c>
      <c r="G65" s="2">
        <v>1431.25</v>
      </c>
      <c r="H65" s="2">
        <v>2.1929884553005676</v>
      </c>
      <c r="I65" s="2">
        <v>0.21189336860020752</v>
      </c>
      <c r="J65" s="2">
        <v>0.71625223061965837</v>
      </c>
      <c r="K65" s="2">
        <v>7.8568230198229865E-4</v>
      </c>
      <c r="L65" s="2">
        <v>0.59149512556223904</v>
      </c>
      <c r="M65" s="2">
        <v>1.954388599930964</v>
      </c>
      <c r="N65" s="2">
        <v>0.25479609288745381</v>
      </c>
      <c r="O65" s="2">
        <v>0.71763678653314211</v>
      </c>
      <c r="P65" s="2">
        <v>8.3778628280789763E-4</v>
      </c>
      <c r="Q65" s="2">
        <v>0.45864517686300044</v>
      </c>
      <c r="V65" s="2" t="s">
        <v>196</v>
      </c>
    </row>
    <row r="66" spans="1:22" x14ac:dyDescent="0.2">
      <c r="A66" s="2">
        <v>12</v>
      </c>
      <c r="B66" s="2" t="s">
        <v>67</v>
      </c>
      <c r="C66" s="2" t="str">
        <f t="shared" si="0"/>
        <v>20220223_NeomaMSMS_SrF_LA_Chicago_Run1_RbSr_export_processed</v>
      </c>
      <c r="D66" s="2">
        <v>380680193.88271934</v>
      </c>
      <c r="E66" s="2">
        <v>52725.082000000002</v>
      </c>
      <c r="F66" s="2">
        <v>22446.436000000002</v>
      </c>
      <c r="G66" s="2">
        <v>1431.25</v>
      </c>
      <c r="H66" s="2">
        <v>3.9072570128045077</v>
      </c>
      <c r="I66" s="2">
        <v>0.72348815459201121</v>
      </c>
      <c r="J66" s="2">
        <v>0.72284339413149046</v>
      </c>
      <c r="K66" s="2">
        <v>2.3110492852379781E-3</v>
      </c>
      <c r="L66" s="2">
        <v>0.34196418691466635</v>
      </c>
      <c r="M66" s="2">
        <v>3.4821426188396525</v>
      </c>
      <c r="N66" s="2">
        <v>0.71317478656788158</v>
      </c>
      <c r="O66" s="2">
        <v>0.72424069113537071</v>
      </c>
      <c r="P66" s="2">
        <v>2.3335247204925931E-3</v>
      </c>
      <c r="Q66" s="2">
        <v>0.31755819706826638</v>
      </c>
      <c r="V66" s="2" t="s">
        <v>196</v>
      </c>
    </row>
    <row r="67" spans="1:22" x14ac:dyDescent="0.2">
      <c r="A67" s="2">
        <v>13</v>
      </c>
      <c r="B67" s="2" t="s">
        <v>68</v>
      </c>
      <c r="C67" s="2" t="str">
        <f t="shared" si="0"/>
        <v>20220223_NeomaMSMS_SrF_LA_Chicago_Run1_RbSr_export_processed</v>
      </c>
      <c r="D67" s="2">
        <v>585004137.63736665</v>
      </c>
      <c r="E67" s="2">
        <v>52007.112999999998</v>
      </c>
      <c r="F67" s="2">
        <v>22830.633000000002</v>
      </c>
      <c r="G67" s="2">
        <v>1431.25</v>
      </c>
      <c r="H67" s="2">
        <v>2.3833947149176891</v>
      </c>
      <c r="I67" s="2">
        <v>0.11310811571551474</v>
      </c>
      <c r="J67" s="2">
        <v>0.71768404755662574</v>
      </c>
      <c r="K67" s="2">
        <v>1.6504960931620629E-3</v>
      </c>
      <c r="L67" s="2">
        <v>-0.4662831064185024</v>
      </c>
      <c r="M67" s="2">
        <v>2.124078423081535</v>
      </c>
      <c r="N67" s="2">
        <v>0.21147949511676034</v>
      </c>
      <c r="O67" s="2">
        <v>0.71907137125291354</v>
      </c>
      <c r="P67" s="2">
        <v>1.6784542465128293E-3</v>
      </c>
      <c r="Q67" s="2">
        <v>-0.18836785112073498</v>
      </c>
      <c r="V67" s="2" t="s">
        <v>196</v>
      </c>
    </row>
    <row r="68" spans="1:22" x14ac:dyDescent="0.2">
      <c r="A68" s="2">
        <v>14</v>
      </c>
      <c r="B68" s="2" t="s">
        <v>69</v>
      </c>
      <c r="C68" s="2" t="str">
        <f t="shared" si="0"/>
        <v>20220223_NeomaMSMS_SrF_LA_Chicago_Run1_RbSr_export_processed</v>
      </c>
      <c r="D68" s="2">
        <v>810439105.3475548</v>
      </c>
      <c r="E68" s="2">
        <v>51145.347999999998</v>
      </c>
      <c r="F68" s="2">
        <v>23449.334999999999</v>
      </c>
      <c r="G68" s="2">
        <v>1431.25</v>
      </c>
      <c r="H68" s="2">
        <v>1.619336927145977</v>
      </c>
      <c r="I68" s="2">
        <v>9.1290897321541095E-2</v>
      </c>
      <c r="J68" s="2">
        <v>0.7141074791205303</v>
      </c>
      <c r="K68" s="2">
        <v>1.0901723032891674E-3</v>
      </c>
      <c r="L68" s="2">
        <v>-0.1403925849933233</v>
      </c>
      <c r="M68" s="2">
        <v>1.4431510673080907</v>
      </c>
      <c r="N68" s="2">
        <v>0.15024604789181567</v>
      </c>
      <c r="O68" s="2">
        <v>0.71548788910853689</v>
      </c>
      <c r="P68" s="2">
        <v>1.1290631770767068E-3</v>
      </c>
      <c r="Q68" s="2">
        <v>-3.0250409832005058E-2</v>
      </c>
      <c r="V68" s="2" t="s">
        <v>196</v>
      </c>
    </row>
    <row r="69" spans="1:22" x14ac:dyDescent="0.2">
      <c r="A69" s="2">
        <v>17</v>
      </c>
      <c r="B69" s="2" t="s">
        <v>70</v>
      </c>
      <c r="C69" s="2" t="str">
        <f t="shared" ref="C69:C132" si="18">V69</f>
        <v>20220223_NeomaMSMS_SrF_LA_Chicago_Run1_RbSr_export_processed</v>
      </c>
      <c r="D69" s="2">
        <v>785146879.92702055</v>
      </c>
      <c r="E69" s="2">
        <v>50371.968999999997</v>
      </c>
      <c r="F69" s="2">
        <v>24001.749</v>
      </c>
      <c r="G69" s="2">
        <v>1431.25</v>
      </c>
      <c r="H69" s="2">
        <v>1.4876071268662718</v>
      </c>
      <c r="I69" s="2">
        <v>0.14728168356781596</v>
      </c>
      <c r="J69" s="2">
        <v>0.71253249068626412</v>
      </c>
      <c r="K69" s="2">
        <v>6.2373995116072126E-4</v>
      </c>
      <c r="L69" s="2">
        <v>0.31857250961745026</v>
      </c>
      <c r="M69" s="2">
        <v>1.310621269109657</v>
      </c>
      <c r="N69" s="2">
        <v>0.17414042677132957</v>
      </c>
      <c r="O69" s="2">
        <v>0.71409640786066675</v>
      </c>
      <c r="P69" s="2">
        <v>6.744040862717471E-4</v>
      </c>
      <c r="Q69" s="2">
        <v>0.153746709975948</v>
      </c>
      <c r="V69" s="2" t="s">
        <v>196</v>
      </c>
    </row>
    <row r="70" spans="1:22" x14ac:dyDescent="0.2">
      <c r="A70" s="2">
        <v>18</v>
      </c>
      <c r="B70" s="2" t="s">
        <v>71</v>
      </c>
      <c r="C70" s="2" t="str">
        <f t="shared" si="18"/>
        <v>20220223_NeomaMSMS_SrF_LA_Chicago_Run1_RbSr_export_processed</v>
      </c>
      <c r="D70" s="2">
        <v>1005751276.9166632</v>
      </c>
      <c r="E70" s="2">
        <v>49532.28</v>
      </c>
      <c r="F70" s="2">
        <v>24576.116000000002</v>
      </c>
      <c r="G70" s="2">
        <v>1431.25</v>
      </c>
      <c r="H70" s="2">
        <v>1.2882086491660478</v>
      </c>
      <c r="I70" s="2">
        <v>0.18054236202346671</v>
      </c>
      <c r="J70" s="2">
        <v>0.7120894181703401</v>
      </c>
      <c r="K70" s="2">
        <v>3.798540060336284E-4</v>
      </c>
      <c r="L70" s="2">
        <v>0.33050778390509739</v>
      </c>
      <c r="M70" s="2">
        <v>1.134945930384627</v>
      </c>
      <c r="N70" s="2">
        <v>0.18818872094629258</v>
      </c>
      <c r="O70" s="2">
        <v>0.71365236285755629</v>
      </c>
      <c r="P70" s="2">
        <v>4.5705923475613717E-4</v>
      </c>
      <c r="Q70" s="2">
        <v>0.15435417862579179</v>
      </c>
      <c r="V70" s="2" t="s">
        <v>196</v>
      </c>
    </row>
    <row r="71" spans="1:22" x14ac:dyDescent="0.2">
      <c r="A71" s="2">
        <v>19</v>
      </c>
      <c r="B71" s="2" t="s">
        <v>72</v>
      </c>
      <c r="C71" s="2" t="str">
        <f t="shared" si="18"/>
        <v>20220223_NeomaMSMS_SrF_LA_Chicago_Run1_RbSr_export_processed</v>
      </c>
      <c r="D71" s="2">
        <v>808155657.39517093</v>
      </c>
      <c r="E71" s="2">
        <v>48560.033000000003</v>
      </c>
      <c r="F71" s="2">
        <v>25040.143</v>
      </c>
      <c r="G71" s="2">
        <v>1431.25</v>
      </c>
      <c r="H71" s="2">
        <v>1.9513455718572621</v>
      </c>
      <c r="I71" s="2">
        <v>0.10281090390437707</v>
      </c>
      <c r="J71" s="2">
        <v>0.71484144132822247</v>
      </c>
      <c r="K71" s="2">
        <v>1.1118032230342928E-3</v>
      </c>
      <c r="L71" s="2">
        <v>0.72580354802367408</v>
      </c>
      <c r="M71" s="2">
        <v>1.7191871184743108</v>
      </c>
      <c r="N71" s="2">
        <v>0.17723364458950747</v>
      </c>
      <c r="O71" s="2">
        <v>0.71641042635231766</v>
      </c>
      <c r="P71" s="2">
        <v>1.1428097070597502E-3</v>
      </c>
      <c r="Q71" s="2">
        <v>0.31108842053007951</v>
      </c>
      <c r="V71" s="2" t="s">
        <v>196</v>
      </c>
    </row>
    <row r="72" spans="1:22" x14ac:dyDescent="0.2">
      <c r="A72" s="2">
        <v>20</v>
      </c>
      <c r="B72" s="2" t="s">
        <v>73</v>
      </c>
      <c r="C72" s="2" t="str">
        <f t="shared" si="18"/>
        <v>20220223_NeomaMSMS_SrF_LA_Chicago_Run1_RbSr_export_processed</v>
      </c>
      <c r="D72" s="2">
        <v>687122858.36597264</v>
      </c>
      <c r="E72" s="2">
        <v>47720.364999999998</v>
      </c>
      <c r="F72" s="2">
        <v>25437.881000000001</v>
      </c>
      <c r="G72" s="2">
        <v>1431.25</v>
      </c>
      <c r="H72" s="2">
        <v>1.9861432109306598</v>
      </c>
      <c r="I72" s="2">
        <v>0.26145737676905412</v>
      </c>
      <c r="J72" s="2">
        <v>0.71480700553030441</v>
      </c>
      <c r="K72" s="2">
        <v>1.3844333256027538E-3</v>
      </c>
      <c r="L72" s="2">
        <v>0.29499374599965489</v>
      </c>
      <c r="M72" s="2">
        <v>1.7498447599044571</v>
      </c>
      <c r="N72" s="2">
        <v>0.27767567617084599</v>
      </c>
      <c r="O72" s="2">
        <v>0.71637591497225217</v>
      </c>
      <c r="P72" s="2">
        <v>1.4105132950973237E-3</v>
      </c>
      <c r="Q72" s="2">
        <v>0.21409937966499318</v>
      </c>
      <c r="V72" s="2" t="s">
        <v>196</v>
      </c>
    </row>
    <row r="73" spans="1:22" x14ac:dyDescent="0.2">
      <c r="A73" s="2">
        <v>21</v>
      </c>
      <c r="B73" s="2" t="s">
        <v>74</v>
      </c>
      <c r="C73" s="2" t="str">
        <f t="shared" si="18"/>
        <v>20220223_NeomaMSMS_SrF_LA_Chicago_Run1_RbSr_export_processed</v>
      </c>
      <c r="D73" s="2">
        <v>636622007.46421552</v>
      </c>
      <c r="E73" s="2">
        <v>46814.406999999999</v>
      </c>
      <c r="F73" s="2">
        <v>25901.907999999999</v>
      </c>
      <c r="G73" s="2">
        <v>1431.25</v>
      </c>
      <c r="H73" s="2">
        <v>2.699325276177567</v>
      </c>
      <c r="I73" s="2">
        <v>0.17044692842883397</v>
      </c>
      <c r="J73" s="2">
        <v>0.71805546042630297</v>
      </c>
      <c r="K73" s="2">
        <v>1.3042107445600435E-3</v>
      </c>
      <c r="L73" s="2">
        <v>0.25766232582455756</v>
      </c>
      <c r="M73" s="2">
        <v>2.3781770437307457</v>
      </c>
      <c r="N73" s="2">
        <v>0.25876407619838865</v>
      </c>
      <c r="O73" s="2">
        <v>0.71963149980894603</v>
      </c>
      <c r="P73" s="2">
        <v>1.3317271573010919E-3</v>
      </c>
      <c r="Q73" s="2">
        <v>0.10545356835492177</v>
      </c>
      <c r="V73" s="2" t="s">
        <v>196</v>
      </c>
    </row>
    <row r="74" spans="1:22" x14ac:dyDescent="0.2">
      <c r="A74" s="2">
        <v>24</v>
      </c>
      <c r="B74" s="2" t="s">
        <v>75</v>
      </c>
      <c r="C74" s="2" t="str">
        <f t="shared" si="18"/>
        <v>20220223_NeomaMSMS_SrF_LA_Chicago_Run1_RbSr_export_processed</v>
      </c>
      <c r="D74" s="2">
        <v>578949766.9656148</v>
      </c>
      <c r="E74" s="2">
        <v>46041.027999999998</v>
      </c>
      <c r="F74" s="2">
        <v>26343.838</v>
      </c>
      <c r="G74" s="2">
        <v>1431.25</v>
      </c>
      <c r="H74" s="2">
        <v>1.7692135702780747</v>
      </c>
      <c r="I74" s="2">
        <v>7.1980046888384164E-2</v>
      </c>
      <c r="J74" s="2">
        <v>0.71404376666427294</v>
      </c>
      <c r="K74" s="2">
        <v>1.844599066320314E-3</v>
      </c>
      <c r="L74" s="2">
        <v>0.40729957895692537</v>
      </c>
      <c r="M74" s="2">
        <v>1.5385834893966039</v>
      </c>
      <c r="N74" s="2">
        <v>0.147424147038903</v>
      </c>
      <c r="O74" s="2">
        <v>0.71539139667515272</v>
      </c>
      <c r="P74" s="2">
        <v>1.8537555153546573E-3</v>
      </c>
      <c r="Q74" s="2">
        <v>0.14120871662228907</v>
      </c>
      <c r="V74" s="2" t="s">
        <v>196</v>
      </c>
    </row>
    <row r="75" spans="1:22" x14ac:dyDescent="0.2">
      <c r="A75" s="2">
        <v>25</v>
      </c>
      <c r="B75" s="2" t="s">
        <v>76</v>
      </c>
      <c r="C75" s="2" t="str">
        <f t="shared" si="18"/>
        <v>20220223_NeomaMSMS_SrF_LA_Chicago_Run1_RbSr_export_processed</v>
      </c>
      <c r="D75" s="2">
        <v>888403494.72825849</v>
      </c>
      <c r="E75" s="2">
        <v>45387.328000000001</v>
      </c>
      <c r="F75" s="2">
        <v>26584.05</v>
      </c>
      <c r="G75" s="2">
        <v>1431.25</v>
      </c>
      <c r="H75" s="2">
        <v>2.021411946306892</v>
      </c>
      <c r="I75" s="2">
        <v>0.13977373731670964</v>
      </c>
      <c r="J75" s="2">
        <v>0.71666098495487796</v>
      </c>
      <c r="K75" s="2">
        <v>6.5439155286239762E-4</v>
      </c>
      <c r="L75" s="2">
        <v>0.17966906166783203</v>
      </c>
      <c r="M75" s="2">
        <v>1.7579059408684106</v>
      </c>
      <c r="N75" s="2">
        <v>0.19501752749071907</v>
      </c>
      <c r="O75" s="2">
        <v>0.71801355449758775</v>
      </c>
      <c r="P75" s="2">
        <v>6.7157189306053084E-4</v>
      </c>
      <c r="Q75" s="2">
        <v>3.4663158558264441E-2</v>
      </c>
      <c r="V75" s="2" t="s">
        <v>196</v>
      </c>
    </row>
    <row r="76" spans="1:22" x14ac:dyDescent="0.2">
      <c r="A76" s="2">
        <v>26</v>
      </c>
      <c r="B76" s="2" t="s">
        <v>77</v>
      </c>
      <c r="C76" s="2" t="str">
        <f t="shared" si="18"/>
        <v>20220223_NeomaMSMS_SrF_LA_Chicago_Run1_RbSr_export_processed</v>
      </c>
      <c r="D76" s="2">
        <v>3824922552.7111244</v>
      </c>
      <c r="E76" s="2">
        <v>44626.851000000002</v>
      </c>
      <c r="F76" s="2">
        <v>26984.637999999999</v>
      </c>
      <c r="G76" s="2">
        <v>1431.25</v>
      </c>
      <c r="H76" s="2">
        <v>0.2472013993414687</v>
      </c>
      <c r="I76" s="2">
        <v>4.8447829816820456E-2</v>
      </c>
      <c r="J76" s="2">
        <v>0.70851677793457679</v>
      </c>
      <c r="K76" s="2">
        <v>2.6728512322678162E-4</v>
      </c>
      <c r="L76" s="2">
        <v>0.69455628039816275</v>
      </c>
      <c r="M76" s="2">
        <v>0.21497686767275967</v>
      </c>
      <c r="N76" s="2">
        <v>4.6075355106886234E-2</v>
      </c>
      <c r="O76" s="2">
        <v>0.70985397674189499</v>
      </c>
      <c r="P76" s="2">
        <v>3.0396639934653297E-4</v>
      </c>
      <c r="Q76" s="2">
        <v>0.47511339473292297</v>
      </c>
      <c r="V76" s="2" t="s">
        <v>196</v>
      </c>
    </row>
    <row r="77" spans="1:22" x14ac:dyDescent="0.2">
      <c r="A77" s="2">
        <v>27</v>
      </c>
      <c r="B77" s="2" t="s">
        <v>78</v>
      </c>
      <c r="C77" s="2" t="str">
        <f t="shared" si="18"/>
        <v>20220223_NeomaMSMS_SrF_LA_Chicago_Run1_RbSr_export_processed</v>
      </c>
      <c r="D77" s="2">
        <v>991480498.40883183</v>
      </c>
      <c r="E77" s="2">
        <v>44229.802000000003</v>
      </c>
      <c r="F77" s="2">
        <v>27271.463</v>
      </c>
      <c r="G77" s="2">
        <v>1431.25</v>
      </c>
      <c r="H77" s="2">
        <v>6.0064793255104512E-2</v>
      </c>
      <c r="I77" s="2">
        <v>2.8346407261709852E-2</v>
      </c>
      <c r="J77" s="2">
        <v>0.70696775639420351</v>
      </c>
      <c r="K77" s="2">
        <v>7.4918714961124007E-4</v>
      </c>
      <c r="L77" s="2">
        <v>0.80914011015034382</v>
      </c>
      <c r="M77" s="2">
        <v>5.2234902981102005E-2</v>
      </c>
      <c r="N77" s="2">
        <v>2.5064277126281558E-2</v>
      </c>
      <c r="O77" s="2">
        <v>0.70830203170017247</v>
      </c>
      <c r="P77" s="2">
        <v>7.6419630398962858E-4</v>
      </c>
      <c r="Q77" s="2">
        <v>0.7666839459832101</v>
      </c>
      <c r="V77" s="2" t="s">
        <v>196</v>
      </c>
    </row>
    <row r="78" spans="1:22" x14ac:dyDescent="0.2">
      <c r="A78" s="2">
        <v>28</v>
      </c>
      <c r="B78" s="2" t="s">
        <v>79</v>
      </c>
      <c r="C78" s="2" t="str">
        <f t="shared" si="18"/>
        <v>20220223_NeomaMSMS_SrF_LA_Chicago_Run1_RbSr_export_processed</v>
      </c>
      <c r="D78" s="2">
        <v>1845371706.4348669</v>
      </c>
      <c r="E78" s="2">
        <v>43999.608999999997</v>
      </c>
      <c r="F78" s="2">
        <v>27467.692999999999</v>
      </c>
      <c r="G78" s="2">
        <v>1431.25</v>
      </c>
      <c r="H78" s="2">
        <v>0.27047226973162697</v>
      </c>
      <c r="I78" s="2">
        <v>1.5739832375148564E-2</v>
      </c>
      <c r="J78" s="2">
        <v>0.70873419907978186</v>
      </c>
      <c r="K78" s="2">
        <v>5.5997049625789233E-4</v>
      </c>
      <c r="L78" s="2">
        <v>-0.17940212237115605</v>
      </c>
      <c r="M78" s="2">
        <v>0.23521420790554931</v>
      </c>
      <c r="N78" s="2">
        <v>2.4571032982996188E-2</v>
      </c>
      <c r="O78" s="2">
        <v>0.71007180823065874</v>
      </c>
      <c r="P78" s="2">
        <v>5.7917932309092693E-4</v>
      </c>
      <c r="Q78" s="2">
        <v>-0.18773368351552544</v>
      </c>
      <c r="V78" s="2" t="s">
        <v>196</v>
      </c>
    </row>
    <row r="79" spans="1:22" x14ac:dyDescent="0.2">
      <c r="A79" s="2">
        <v>31</v>
      </c>
      <c r="B79" s="2" t="s">
        <v>80</v>
      </c>
      <c r="C79" s="2" t="str">
        <f t="shared" si="18"/>
        <v>20220223_NeomaMSMS_SrF_LA_Chicago_Run1_RbSr_export_processed</v>
      </c>
      <c r="D79" s="2">
        <v>443335025.06280762</v>
      </c>
      <c r="E79" s="2">
        <v>43723.957999999999</v>
      </c>
      <c r="F79" s="2">
        <v>27717.819</v>
      </c>
      <c r="G79" s="2">
        <v>1431.25</v>
      </c>
      <c r="H79" s="2">
        <v>0.32692149200514536</v>
      </c>
      <c r="I79" s="2">
        <v>6.73832577667446E-2</v>
      </c>
      <c r="J79" s="2">
        <v>0.70933900315688792</v>
      </c>
      <c r="K79" s="2">
        <v>1.5356237775158504E-3</v>
      </c>
      <c r="L79" s="2">
        <v>0.35188859321121563</v>
      </c>
      <c r="M79" s="2">
        <v>0.28194139491324194</v>
      </c>
      <c r="N79" s="2">
        <v>6.2349858541715146E-2</v>
      </c>
      <c r="O79" s="2">
        <v>0.71076452056543094</v>
      </c>
      <c r="P79" s="2">
        <v>1.5490509861938123E-3</v>
      </c>
      <c r="Q79" s="2">
        <v>0.32616800717230338</v>
      </c>
      <c r="V79" s="2" t="s">
        <v>196</v>
      </c>
    </row>
    <row r="80" spans="1:22" x14ac:dyDescent="0.2">
      <c r="A80" s="2">
        <v>32</v>
      </c>
      <c r="B80" s="2" t="s">
        <v>81</v>
      </c>
      <c r="C80" s="2" t="str">
        <f t="shared" si="18"/>
        <v>20220223_NeomaMSMS_SrF_LA_Chicago_Run1_RbSr_export_processed</v>
      </c>
      <c r="D80" s="2">
        <v>1103880733.4152596</v>
      </c>
      <c r="E80" s="2">
        <v>43490.165000000001</v>
      </c>
      <c r="F80" s="2">
        <v>27835.625</v>
      </c>
      <c r="G80" s="2">
        <v>1431.25</v>
      </c>
      <c r="H80" s="2">
        <v>0.28765546398656466</v>
      </c>
      <c r="I80" s="2">
        <v>3.0834733852462489E-2</v>
      </c>
      <c r="J80" s="2">
        <v>0.70840187635981</v>
      </c>
      <c r="K80" s="2">
        <v>8.5399958325350998E-4</v>
      </c>
      <c r="L80" s="2">
        <v>0.12676638770835758</v>
      </c>
      <c r="M80" s="2">
        <v>0.24807785585877426</v>
      </c>
      <c r="N80" s="2">
        <v>3.3201877716932456E-2</v>
      </c>
      <c r="O80" s="2">
        <v>0.70982551047904086</v>
      </c>
      <c r="P80" s="2">
        <v>8.7412599613962598E-4</v>
      </c>
      <c r="Q80" s="2">
        <v>0.10051881058693524</v>
      </c>
      <c r="V80" s="2" t="s">
        <v>196</v>
      </c>
    </row>
    <row r="81" spans="1:22" x14ac:dyDescent="0.2">
      <c r="A81" s="2">
        <v>33</v>
      </c>
      <c r="B81" s="2" t="s">
        <v>82</v>
      </c>
      <c r="C81" s="2" t="str">
        <f t="shared" si="18"/>
        <v>20220223_NeomaMSMS_SrF_LA_Chicago_Run1_RbSr_export_processed</v>
      </c>
      <c r="D81" s="2">
        <v>1705687100.5288618</v>
      </c>
      <c r="E81" s="2">
        <v>43290.79</v>
      </c>
      <c r="F81" s="2">
        <v>27987.714</v>
      </c>
      <c r="G81" s="2">
        <v>1431.25</v>
      </c>
      <c r="H81" s="2">
        <v>0.68283338104927938</v>
      </c>
      <c r="I81" s="2">
        <v>0.2067513847949751</v>
      </c>
      <c r="J81" s="2">
        <v>0.71087065776974478</v>
      </c>
      <c r="K81" s="2">
        <v>1.1770286291890248E-3</v>
      </c>
      <c r="L81" s="2">
        <v>0.83922594663259975</v>
      </c>
      <c r="M81" s="2">
        <v>0.58888448956218842</v>
      </c>
      <c r="N81" s="2">
        <v>0.18444430670685225</v>
      </c>
      <c r="O81" s="2">
        <v>0.71229925325563104</v>
      </c>
      <c r="P81" s="2">
        <v>1.1929121288298161E-3</v>
      </c>
      <c r="Q81" s="2">
        <v>0.80245286861451814</v>
      </c>
      <c r="V81" s="2" t="s">
        <v>196</v>
      </c>
    </row>
    <row r="82" spans="1:22" x14ac:dyDescent="0.2">
      <c r="A82" s="2">
        <v>34</v>
      </c>
      <c r="B82" s="2" t="s">
        <v>83</v>
      </c>
      <c r="C82" s="2" t="str">
        <f t="shared" si="18"/>
        <v>20220223_NeomaMSMS_SrF_LA_Chicago_Run1_RbSr_export_processed</v>
      </c>
      <c r="D82" s="2">
        <v>1390976319.9839962</v>
      </c>
      <c r="E82" s="2">
        <v>43062.947</v>
      </c>
      <c r="F82" s="2">
        <v>28156.09</v>
      </c>
      <c r="G82" s="2">
        <v>1431.25</v>
      </c>
      <c r="H82" s="2">
        <v>0.49792393867009843</v>
      </c>
      <c r="I82" s="2">
        <v>7.0032781273186184E-2</v>
      </c>
      <c r="J82" s="2">
        <v>0.71022218195427322</v>
      </c>
      <c r="K82" s="2">
        <v>7.4334373666792896E-4</v>
      </c>
      <c r="L82" s="2">
        <v>0.73510517837182743</v>
      </c>
      <c r="M82" s="2">
        <v>0.42941615422192425</v>
      </c>
      <c r="N82" s="2">
        <v>6.9512531809900732E-2</v>
      </c>
      <c r="O82" s="2">
        <v>0.71164947423596558</v>
      </c>
      <c r="P82" s="2">
        <v>7.6602455075701283E-4</v>
      </c>
      <c r="Q82" s="2">
        <v>0.62210907881880417</v>
      </c>
      <c r="V82" s="2" t="s">
        <v>196</v>
      </c>
    </row>
    <row r="83" spans="1:22" x14ac:dyDescent="0.2">
      <c r="A83" s="2">
        <v>35</v>
      </c>
      <c r="B83" s="2" t="s">
        <v>84</v>
      </c>
      <c r="C83" s="2" t="str">
        <f t="shared" si="18"/>
        <v>20220223_NeomaMSMS_SrF_LA_Chicago_Run1_RbSr_export_processed</v>
      </c>
      <c r="D83" s="2">
        <v>230566097.12596577</v>
      </c>
      <c r="E83" s="2">
        <v>42609.968999999997</v>
      </c>
      <c r="F83" s="2">
        <v>28386.268</v>
      </c>
      <c r="G83" s="2">
        <v>1431.25</v>
      </c>
      <c r="H83" s="2">
        <v>10.20646009375986</v>
      </c>
      <c r="I83" s="2">
        <v>0.42350727182681513</v>
      </c>
      <c r="J83" s="2">
        <v>0.7486918412595458</v>
      </c>
      <c r="K83" s="2">
        <v>5.0373654108120808E-3</v>
      </c>
      <c r="L83" s="2">
        <v>-0.2560526494267184</v>
      </c>
      <c r="M83" s="2">
        <v>8.8021854369724419</v>
      </c>
      <c r="N83" s="2">
        <v>0.7943244610860688</v>
      </c>
      <c r="O83" s="2">
        <v>0.75019644378189354</v>
      </c>
      <c r="P83" s="2">
        <v>5.0510112386810292E-3</v>
      </c>
      <c r="Q83" s="2">
        <v>-0.11734784419750553</v>
      </c>
      <c r="V83" s="2" t="s">
        <v>196</v>
      </c>
    </row>
    <row r="84" spans="1:22" x14ac:dyDescent="0.2">
      <c r="A84" s="2">
        <v>38</v>
      </c>
      <c r="B84" s="2" t="s">
        <v>85</v>
      </c>
      <c r="C84" s="2" t="str">
        <f t="shared" si="18"/>
        <v>20220223_NeomaMSMS_SrF_LA_Chicago_Run1_RbSr_export_processed</v>
      </c>
      <c r="D84" s="2">
        <v>592158878.737867</v>
      </c>
      <c r="E84" s="2">
        <v>42457.902999999998</v>
      </c>
      <c r="F84" s="2">
        <v>28656.217000000001</v>
      </c>
      <c r="G84" s="2">
        <v>1431.25</v>
      </c>
      <c r="H84" s="2">
        <v>5.6694760684724201</v>
      </c>
      <c r="I84" s="2">
        <v>1.4518432624866595</v>
      </c>
      <c r="J84" s="2">
        <v>0.73170132855072711</v>
      </c>
      <c r="K84" s="2">
        <v>3.8031289008129843E-3</v>
      </c>
      <c r="L84" s="2">
        <v>0.9187277066439864</v>
      </c>
      <c r="M84" s="2">
        <v>4.9375618203175495</v>
      </c>
      <c r="N84" s="2">
        <v>1.3229225311005322</v>
      </c>
      <c r="O84" s="2">
        <v>0.73326288541063944</v>
      </c>
      <c r="P84" s="2">
        <v>3.8114112907862174E-3</v>
      </c>
      <c r="Q84" s="2">
        <v>0.88368084041998807</v>
      </c>
      <c r="V84" s="2" t="s">
        <v>196</v>
      </c>
    </row>
    <row r="85" spans="1:22" x14ac:dyDescent="0.2">
      <c r="A85" s="2">
        <v>39</v>
      </c>
      <c r="B85" s="2" t="s">
        <v>86</v>
      </c>
      <c r="C85" s="2" t="str">
        <f t="shared" si="18"/>
        <v>20220223_NeomaMSMS_SrF_LA_Chicago_Run1_RbSr_export_processed</v>
      </c>
      <c r="D85" s="2">
        <v>17490727.569870606</v>
      </c>
      <c r="E85" s="2">
        <v>47948.093999999997</v>
      </c>
      <c r="F85" s="2">
        <v>30658.462</v>
      </c>
      <c r="G85" s="2">
        <v>1327.19</v>
      </c>
      <c r="H85" s="2">
        <v>5.8989627243054903</v>
      </c>
      <c r="I85" s="2">
        <v>1.0927538548602269</v>
      </c>
      <c r="J85" s="2">
        <v>0.70580210701259871</v>
      </c>
      <c r="K85" s="2">
        <v>2.4613485162487625E-2</v>
      </c>
      <c r="L85" s="2">
        <v>0.82968157655768648</v>
      </c>
      <c r="M85" s="2">
        <v>5.1374223605912501</v>
      </c>
      <c r="N85" s="2">
        <v>1.034206468241827</v>
      </c>
      <c r="O85" s="2">
        <v>0.70730839117382771</v>
      </c>
      <c r="P85" s="2">
        <v>2.4666037773661009E-2</v>
      </c>
      <c r="Q85" s="2">
        <v>0.76459222029991858</v>
      </c>
      <c r="V85" s="2" t="s">
        <v>196</v>
      </c>
    </row>
    <row r="86" spans="1:22" x14ac:dyDescent="0.2">
      <c r="A86" s="2">
        <v>40</v>
      </c>
      <c r="B86" s="2" t="s">
        <v>87</v>
      </c>
      <c r="C86" s="2" t="str">
        <f t="shared" si="18"/>
        <v>20220223_NeomaMSMS_SrF_LA_Chicago_Run1_RbSr_export_processed</v>
      </c>
      <c r="D86" s="2">
        <v>101111124.01852256</v>
      </c>
      <c r="E86" s="2">
        <v>50107.735999999997</v>
      </c>
      <c r="F86" s="2">
        <v>32462.924999999999</v>
      </c>
      <c r="G86" s="2">
        <v>1327.19</v>
      </c>
      <c r="H86" s="2">
        <v>16.14851863499895</v>
      </c>
      <c r="I86" s="2">
        <v>6.3679631078114403</v>
      </c>
      <c r="J86" s="2">
        <v>0.76995715040840651</v>
      </c>
      <c r="K86" s="2">
        <v>2.9308070748385952E-2</v>
      </c>
      <c r="L86" s="2">
        <v>0.96193239656825213</v>
      </c>
      <c r="M86" s="2">
        <v>14.063787923941417</v>
      </c>
      <c r="N86" s="2">
        <v>5.6555183950452781</v>
      </c>
      <c r="O86" s="2">
        <v>0.77160035074595423</v>
      </c>
      <c r="P86" s="2">
        <v>2.9370642273176779E-2</v>
      </c>
      <c r="Q86" s="2">
        <v>0.94379449411719873</v>
      </c>
      <c r="V86" s="2" t="s">
        <v>196</v>
      </c>
    </row>
    <row r="87" spans="1:22" x14ac:dyDescent="0.2">
      <c r="A87" s="2">
        <v>41</v>
      </c>
      <c r="B87" s="2" t="s">
        <v>88</v>
      </c>
      <c r="C87" s="2" t="str">
        <f t="shared" si="18"/>
        <v>20220223_NeomaMSMS_SrF_LA_Chicago_Run1_RbSr_export_processed</v>
      </c>
      <c r="D87" s="2">
        <v>57389839.321770146</v>
      </c>
      <c r="E87" s="2">
        <v>51285.180999999997</v>
      </c>
      <c r="F87" s="2">
        <v>32086.594000000001</v>
      </c>
      <c r="G87" s="2">
        <v>1327.19</v>
      </c>
      <c r="H87" s="2">
        <v>223.23796146291619</v>
      </c>
      <c r="I87" s="2">
        <v>29.339935625561967</v>
      </c>
      <c r="J87" s="2">
        <v>1.864344151074524</v>
      </c>
      <c r="K87" s="2">
        <v>0.11401170811790713</v>
      </c>
      <c r="L87" s="2">
        <v>0.76177397042790129</v>
      </c>
      <c r="M87" s="2">
        <v>194.41853569051315</v>
      </c>
      <c r="N87" s="2">
        <v>29.792964210949929</v>
      </c>
      <c r="O87" s="2">
        <v>1.8683229321491932</v>
      </c>
      <c r="P87" s="2">
        <v>0.11425506159575131</v>
      </c>
      <c r="Q87" s="2">
        <v>0.65417843580932356</v>
      </c>
      <c r="V87" s="2" t="s">
        <v>196</v>
      </c>
    </row>
    <row r="88" spans="1:22" x14ac:dyDescent="0.2">
      <c r="A88" s="2">
        <v>42</v>
      </c>
      <c r="B88" s="2" t="s">
        <v>89</v>
      </c>
      <c r="C88" s="2" t="str">
        <f t="shared" si="18"/>
        <v>20220223_NeomaMSMS_SrF_LA_Chicago_Run1_RbSr_export_processed</v>
      </c>
      <c r="D88" s="2">
        <v>470465025.02796519</v>
      </c>
      <c r="E88" s="2">
        <v>52627.309000000001</v>
      </c>
      <c r="F88" s="2">
        <v>30704.845000000001</v>
      </c>
      <c r="G88" s="2">
        <v>1327.19</v>
      </c>
      <c r="H88" s="2">
        <v>8.6680454045875397</v>
      </c>
      <c r="I88" s="2">
        <v>7.3677583727579687</v>
      </c>
      <c r="J88" s="2">
        <v>0.7507208622495698</v>
      </c>
      <c r="K88" s="2">
        <v>3.4853103351477066E-2</v>
      </c>
      <c r="L88" s="2">
        <v>0.99591922873783045</v>
      </c>
      <c r="M88" s="2">
        <v>7.5490238479835678</v>
      </c>
      <c r="N88" s="2">
        <v>6.444114947349834</v>
      </c>
      <c r="O88" s="2">
        <v>0.75232300955555731</v>
      </c>
      <c r="P88" s="2">
        <v>3.4927503997376083E-2</v>
      </c>
      <c r="Q88" s="2">
        <v>0.99186401216921771</v>
      </c>
      <c r="V88" s="2" t="s">
        <v>196</v>
      </c>
    </row>
    <row r="89" spans="1:22" x14ac:dyDescent="0.2">
      <c r="A89" s="2">
        <v>45</v>
      </c>
      <c r="B89" s="2" t="s">
        <v>90</v>
      </c>
      <c r="C89" s="2" t="str">
        <f t="shared" si="18"/>
        <v>20220223_NeomaMSMS_SrF_LA_Chicago_Run1_RbSr_export_processed</v>
      </c>
      <c r="D89" s="2">
        <v>29853650.520143583</v>
      </c>
      <c r="E89" s="2">
        <v>44135.447999999997</v>
      </c>
      <c r="F89" s="2">
        <v>31231.605</v>
      </c>
      <c r="G89" s="2">
        <v>1327.19</v>
      </c>
      <c r="H89" s="2">
        <v>340.79249079490137</v>
      </c>
      <c r="I89" s="2">
        <v>106.80335358364468</v>
      </c>
      <c r="J89" s="2">
        <v>2.2913410051795622</v>
      </c>
      <c r="K89" s="2">
        <v>0.48857842056497669</v>
      </c>
      <c r="L89" s="2">
        <v>0.99516295028767099</v>
      </c>
      <c r="M89" s="2">
        <v>304.9074396806115</v>
      </c>
      <c r="N89" s="2">
        <v>98.965753906835772</v>
      </c>
      <c r="O89" s="2">
        <v>2.2971872924706114</v>
      </c>
      <c r="P89" s="2">
        <v>0.48982583829976184</v>
      </c>
      <c r="Q89" s="2">
        <v>0.96109064533240718</v>
      </c>
      <c r="V89" s="2" t="s">
        <v>196</v>
      </c>
    </row>
    <row r="90" spans="1:22" x14ac:dyDescent="0.2">
      <c r="A90" s="2">
        <v>46</v>
      </c>
      <c r="B90" s="2" t="s">
        <v>91</v>
      </c>
      <c r="C90" s="2" t="str">
        <f t="shared" si="18"/>
        <v>20220223_NeomaMSMS_SrF_LA_Chicago_Run1_RbSr_export_processed</v>
      </c>
      <c r="D90" s="2">
        <v>230578055.25565183</v>
      </c>
      <c r="E90" s="2">
        <v>43738.538999999997</v>
      </c>
      <c r="F90" s="2">
        <v>31329.038</v>
      </c>
      <c r="G90" s="2">
        <v>1327.19</v>
      </c>
      <c r="H90" s="2">
        <v>10.79276712362028</v>
      </c>
      <c r="I90" s="2">
        <v>0.6115561267623334</v>
      </c>
      <c r="J90" s="2">
        <v>0.74593161681278564</v>
      </c>
      <c r="K90" s="2">
        <v>2.785669604433045E-3</v>
      </c>
      <c r="L90" s="2">
        <v>-0.26829831614704519</v>
      </c>
      <c r="M90" s="2">
        <v>9.6563013552802488</v>
      </c>
      <c r="N90" s="2">
        <v>0.98204563687381807</v>
      </c>
      <c r="O90" s="2">
        <v>0.74783483877822254</v>
      </c>
      <c r="P90" s="2">
        <v>2.8080639271675159E-3</v>
      </c>
      <c r="Q90" s="2">
        <v>-0.11140653410756422</v>
      </c>
      <c r="V90" s="2" t="s">
        <v>196</v>
      </c>
    </row>
    <row r="91" spans="1:22" x14ac:dyDescent="0.2">
      <c r="A91" s="2">
        <v>47</v>
      </c>
      <c r="B91" s="2" t="s">
        <v>92</v>
      </c>
      <c r="C91" s="2" t="str">
        <f t="shared" si="18"/>
        <v>20220223_NeomaMSMS_SrF_LA_Chicago_Run1_RbSr_export_processed</v>
      </c>
      <c r="D91" s="2">
        <v>106205.34792052816</v>
      </c>
      <c r="E91" s="2">
        <v>43187.612000000001</v>
      </c>
      <c r="F91" s="2">
        <v>30822.251</v>
      </c>
      <c r="G91" s="2">
        <v>1327.19</v>
      </c>
      <c r="H91" s="2">
        <v>0.78935279804458913</v>
      </c>
      <c r="I91" s="2">
        <v>4.3027587890469396</v>
      </c>
      <c r="J91" s="2" t="e">
        <v>#VALUE!</v>
      </c>
      <c r="K91" s="2" t="e">
        <v>#VALUE!</v>
      </c>
      <c r="L91" s="2" t="e">
        <v>#VALUE!</v>
      </c>
      <c r="M91" s="2">
        <v>0.70623487065432511</v>
      </c>
      <c r="N91" s="2">
        <v>3.8501453099907956</v>
      </c>
      <c r="O91" s="2" t="e">
        <v>#VALUE!</v>
      </c>
      <c r="P91" s="2" t="e">
        <v>#VALUE!</v>
      </c>
      <c r="Q91" s="2" t="e">
        <v>#VALUE!</v>
      </c>
      <c r="V91" s="2" t="s">
        <v>196</v>
      </c>
    </row>
    <row r="92" spans="1:22" x14ac:dyDescent="0.2">
      <c r="A92" s="2">
        <v>48</v>
      </c>
      <c r="B92" s="2" t="s">
        <v>93</v>
      </c>
      <c r="C92" s="2" t="str">
        <f t="shared" si="18"/>
        <v>20220223_NeomaMSMS_SrF_LA_Chicago_Run1_RbSr_export_processed</v>
      </c>
      <c r="D92" s="2">
        <v>324717253.33096457</v>
      </c>
      <c r="E92" s="2">
        <v>46902.438000000002</v>
      </c>
      <c r="F92" s="2">
        <v>32397.932000000001</v>
      </c>
      <c r="G92" s="2">
        <v>1327.19</v>
      </c>
      <c r="H92" s="2">
        <v>21.921575471685557</v>
      </c>
      <c r="I92" s="2">
        <v>12.38932275004583</v>
      </c>
      <c r="J92" s="2">
        <v>0.82130432997883362</v>
      </c>
      <c r="K92" s="2">
        <v>5.5184450411502634E-2</v>
      </c>
      <c r="L92" s="2">
        <v>0.98755218976160897</v>
      </c>
      <c r="M92" s="2">
        <v>19.613259186686687</v>
      </c>
      <c r="N92" s="2">
        <v>11.207813476124317</v>
      </c>
      <c r="O92" s="2">
        <v>0.82339986314285629</v>
      </c>
      <c r="P92" s="2">
        <v>5.5326189909765261E-2</v>
      </c>
      <c r="Q92" s="2">
        <v>0.97706204291158649</v>
      </c>
      <c r="V92" s="2" t="s">
        <v>196</v>
      </c>
    </row>
    <row r="93" spans="1:22" x14ac:dyDescent="0.2">
      <c r="A93" s="2">
        <v>49</v>
      </c>
      <c r="B93" s="2" t="s">
        <v>94</v>
      </c>
      <c r="C93" s="2" t="str">
        <f t="shared" si="18"/>
        <v>20220223_NeomaMSMS_SrF_LA_Chicago_Run1_RbSr_export_processed</v>
      </c>
      <c r="D93" s="2">
        <v>307947.60264237766</v>
      </c>
      <c r="E93" s="2">
        <v>42131.707999999999</v>
      </c>
      <c r="F93" s="2">
        <v>28562.287</v>
      </c>
      <c r="G93" s="2">
        <v>1327.19</v>
      </c>
      <c r="H93" s="2">
        <v>0.4267755339957055</v>
      </c>
      <c r="I93" s="2">
        <v>0.3110914634287188</v>
      </c>
      <c r="J93" s="2" t="e">
        <v>#VALUE!</v>
      </c>
      <c r="K93" s="2" t="e">
        <v>#VALUE!</v>
      </c>
      <c r="L93" s="2" t="e">
        <v>#VALUE!</v>
      </c>
      <c r="M93" s="2">
        <v>0.38183656889103967</v>
      </c>
      <c r="N93" s="2">
        <v>0.28019567516044674</v>
      </c>
      <c r="O93" s="2" t="e">
        <v>#VALUE!</v>
      </c>
      <c r="P93" s="2" t="e">
        <v>#VALUE!</v>
      </c>
      <c r="Q93" s="2" t="e">
        <v>#VALUE!</v>
      </c>
      <c r="V93" s="2" t="s">
        <v>196</v>
      </c>
    </row>
    <row r="94" spans="1:22" x14ac:dyDescent="0.2">
      <c r="A94" s="2">
        <v>52</v>
      </c>
      <c r="B94" s="2" t="s">
        <v>95</v>
      </c>
      <c r="C94" s="2" t="str">
        <f t="shared" si="18"/>
        <v>20220223_NeomaMSMS_SrF_LA_Chicago_Run1_RbSr_export_processed</v>
      </c>
      <c r="D94" s="2">
        <v>580335.64715333865</v>
      </c>
      <c r="E94" s="2">
        <v>41715.362000000001</v>
      </c>
      <c r="F94" s="2">
        <v>27929.512999999999</v>
      </c>
      <c r="G94" s="2">
        <v>1327.19</v>
      </c>
      <c r="H94" s="2">
        <v>5.4520795327686479E-2</v>
      </c>
      <c r="I94" s="2">
        <v>0.12276304853532052</v>
      </c>
      <c r="J94" s="2">
        <v>0.32284671038592083</v>
      </c>
      <c r="K94" s="2">
        <v>0.44604088351784793</v>
      </c>
      <c r="L94" s="2">
        <v>0.68564158225365179</v>
      </c>
      <c r="M94" s="2">
        <v>4.9927022140427046E-2</v>
      </c>
      <c r="N94" s="2">
        <v>0.11250908002170006</v>
      </c>
      <c r="O94" s="2">
        <v>0.3237102730229125</v>
      </c>
      <c r="P94" s="2">
        <v>0.44723398873701442</v>
      </c>
      <c r="Q94" s="2">
        <v>0.68509829156170543</v>
      </c>
      <c r="V94" s="2" t="s">
        <v>196</v>
      </c>
    </row>
    <row r="95" spans="1:22" x14ac:dyDescent="0.2">
      <c r="A95" s="2">
        <v>53</v>
      </c>
      <c r="B95" s="2" t="s">
        <v>96</v>
      </c>
      <c r="C95" s="2" t="str">
        <f t="shared" si="18"/>
        <v>20220223_NeomaMSMS_SrF_LA_Chicago_Run1_RbSr_export_processed</v>
      </c>
      <c r="D95" s="2">
        <v>13590749.331385909</v>
      </c>
      <c r="E95" s="2">
        <v>40373.877</v>
      </c>
      <c r="F95" s="2">
        <v>26806.476999999999</v>
      </c>
      <c r="G95" s="2">
        <v>1327.19</v>
      </c>
      <c r="H95" s="2">
        <v>892.26021396334158</v>
      </c>
      <c r="I95" s="2">
        <v>94.644018464302064</v>
      </c>
      <c r="J95" s="2">
        <v>4.8581195728920585</v>
      </c>
      <c r="K95" s="2">
        <v>0.23782377292602433</v>
      </c>
      <c r="L95" s="2">
        <v>0.77872168225172089</v>
      </c>
      <c r="M95" s="2">
        <v>817.08080723737783</v>
      </c>
      <c r="N95" s="2">
        <v>113.64855665169563</v>
      </c>
      <c r="O95" s="2">
        <v>4.871114255551741</v>
      </c>
      <c r="P95" s="2">
        <v>0.23846761280836551</v>
      </c>
      <c r="Q95" s="2">
        <v>0.59541548960056645</v>
      </c>
      <c r="V95" s="2" t="s">
        <v>196</v>
      </c>
    </row>
    <row r="96" spans="1:22" x14ac:dyDescent="0.2">
      <c r="A96" s="2">
        <v>54</v>
      </c>
      <c r="B96" s="2" t="s">
        <v>97</v>
      </c>
      <c r="C96" s="2" t="str">
        <f t="shared" si="18"/>
        <v>20220223_NeomaMSMS_SrF_LA_Chicago_Run1_RbSr_export_processed</v>
      </c>
      <c r="D96" s="2">
        <v>23425210.494332828</v>
      </c>
      <c r="E96" s="2">
        <v>40414.646000000001</v>
      </c>
      <c r="F96" s="2">
        <v>26464.077000000001</v>
      </c>
      <c r="G96" s="2">
        <v>1327.19</v>
      </c>
      <c r="H96" s="2">
        <v>657.58167220850032</v>
      </c>
      <c r="I96" s="2">
        <v>423.68452424345247</v>
      </c>
      <c r="J96" s="2">
        <v>3.9538060961129431</v>
      </c>
      <c r="K96" s="2">
        <v>1.6863606172878305</v>
      </c>
      <c r="L96" s="2">
        <v>0.9722948104007787</v>
      </c>
      <c r="M96" s="2">
        <v>602.17563794086311</v>
      </c>
      <c r="N96" s="2">
        <v>391.75058475325591</v>
      </c>
      <c r="O96" s="2">
        <v>3.9643818867549836</v>
      </c>
      <c r="P96" s="2">
        <v>1.6908720779471123</v>
      </c>
      <c r="Q96" s="2">
        <v>0.96298966313287149</v>
      </c>
      <c r="V96" s="2" t="s">
        <v>196</v>
      </c>
    </row>
    <row r="97" spans="1:22" x14ac:dyDescent="0.2">
      <c r="A97" s="2">
        <v>55</v>
      </c>
      <c r="B97" s="2" t="s">
        <v>98</v>
      </c>
      <c r="C97" s="2" t="str">
        <f t="shared" si="18"/>
        <v>20220223_NeomaMSMS_SrF_LA_Chicago_Run1_RbSr_export_processed</v>
      </c>
      <c r="D97" s="2">
        <v>38036772.51642552</v>
      </c>
      <c r="E97" s="2">
        <v>40270.387999999999</v>
      </c>
      <c r="F97" s="2">
        <v>26708.456999999999</v>
      </c>
      <c r="G97" s="2">
        <v>1327.19</v>
      </c>
      <c r="H97" s="2">
        <v>177.21868414580925</v>
      </c>
      <c r="I97" s="2">
        <v>36.685464590894291</v>
      </c>
      <c r="J97" s="2">
        <v>2.1091304753525257</v>
      </c>
      <c r="K97" s="2">
        <v>0.17014498105251966</v>
      </c>
      <c r="L97" s="2">
        <v>0.75268326531835072</v>
      </c>
      <c r="M97" s="2">
        <v>162.28672222894036</v>
      </c>
      <c r="N97" s="2">
        <v>36.63037354079156</v>
      </c>
      <c r="O97" s="2">
        <v>2.1147720576157543</v>
      </c>
      <c r="P97" s="2">
        <v>0.17060211988614379</v>
      </c>
      <c r="Q97" s="2">
        <v>0.69088104111759019</v>
      </c>
      <c r="V97" s="2" t="s">
        <v>196</v>
      </c>
    </row>
    <row r="98" spans="1:22" x14ac:dyDescent="0.2">
      <c r="A98" s="2">
        <v>56</v>
      </c>
      <c r="B98" s="2" t="s">
        <v>99</v>
      </c>
      <c r="C98" s="2" t="str">
        <f t="shared" si="18"/>
        <v>20220223_NeomaMSMS_SrF_LA_Chicago_Run1_RbSr_export_processed</v>
      </c>
      <c r="D98" s="2">
        <v>319112719.66456544</v>
      </c>
      <c r="E98" s="2">
        <v>40292.741999999998</v>
      </c>
      <c r="F98" s="2">
        <v>27057.121999999999</v>
      </c>
      <c r="G98" s="2">
        <v>1327.19</v>
      </c>
      <c r="H98" s="2">
        <v>8.0625488399263538</v>
      </c>
      <c r="I98" s="2">
        <v>1.0642049871790029</v>
      </c>
      <c r="J98" s="2">
        <v>0.73779073001143369</v>
      </c>
      <c r="K98" s="2">
        <v>4.2564970934916421E-3</v>
      </c>
      <c r="L98" s="2">
        <v>-0.65460721731426597</v>
      </c>
      <c r="M98" s="2">
        <v>7.3832205128317723</v>
      </c>
      <c r="N98" s="2">
        <v>1.1794055464514384</v>
      </c>
      <c r="O98" s="2">
        <v>0.7397642006644104</v>
      </c>
      <c r="P98" s="2">
        <v>4.2777935196884331E-3</v>
      </c>
      <c r="Q98" s="2">
        <v>-0.52804772777552389</v>
      </c>
      <c r="V98" s="2" t="s">
        <v>196</v>
      </c>
    </row>
    <row r="99" spans="1:22" x14ac:dyDescent="0.2">
      <c r="A99" s="2">
        <v>59</v>
      </c>
      <c r="B99" s="2" t="s">
        <v>100</v>
      </c>
      <c r="C99" s="2" t="str">
        <f t="shared" si="18"/>
        <v>20220223_NeomaMSMS_SrF_LA_Chicago_Run1_RbSr_export_processed</v>
      </c>
      <c r="D99" s="2">
        <v>22160436.317697078</v>
      </c>
      <c r="E99" s="2">
        <v>44375.500999999997</v>
      </c>
      <c r="F99" s="2">
        <v>31279.556</v>
      </c>
      <c r="G99" s="2">
        <v>1327.19</v>
      </c>
      <c r="H99" s="2">
        <v>570.35689168885756</v>
      </c>
      <c r="I99" s="2">
        <v>182.43672657177217</v>
      </c>
      <c r="J99" s="2">
        <v>3.3919089947119319</v>
      </c>
      <c r="K99" s="2">
        <v>0.76706520061657146</v>
      </c>
      <c r="L99" s="2">
        <v>0.93120449713688946</v>
      </c>
      <c r="M99" s="2">
        <v>526.98684946239632</v>
      </c>
      <c r="N99" s="2">
        <v>176.40152195447516</v>
      </c>
      <c r="O99" s="2">
        <v>3.3991012690391207</v>
      </c>
      <c r="P99" s="2">
        <v>0.7686916020531519</v>
      </c>
      <c r="Q99" s="2">
        <v>0.88994614943371353</v>
      </c>
      <c r="V99" s="2" t="s">
        <v>196</v>
      </c>
    </row>
    <row r="100" spans="1:22" x14ac:dyDescent="0.2">
      <c r="A100" s="2">
        <v>60</v>
      </c>
      <c r="B100" s="2" t="s">
        <v>101</v>
      </c>
      <c r="C100" s="2" t="str">
        <f t="shared" si="18"/>
        <v>20220223_NeomaMSMS_SrF_LA_Chicago_Run1_RbSr_export_processed</v>
      </c>
      <c r="D100" s="2">
        <v>21201928.019970261</v>
      </c>
      <c r="E100" s="2">
        <v>44476.461000000003</v>
      </c>
      <c r="F100" s="2">
        <v>31065.93</v>
      </c>
      <c r="G100" s="2">
        <v>1327.19</v>
      </c>
      <c r="H100" s="2">
        <v>579.0184048847434</v>
      </c>
      <c r="I100" s="2">
        <v>371.31033545081419</v>
      </c>
      <c r="J100" s="2">
        <v>3.3871890906679969</v>
      </c>
      <c r="K100" s="2">
        <v>1.399766309070533</v>
      </c>
      <c r="L100" s="2">
        <v>0.98798818866130689</v>
      </c>
      <c r="M100" s="2">
        <v>534.98973961273907</v>
      </c>
      <c r="N100" s="2">
        <v>347.11290517985901</v>
      </c>
      <c r="O100" s="2">
        <v>3.394371356812556</v>
      </c>
      <c r="P100" s="2">
        <v>1.4027343482389729</v>
      </c>
      <c r="Q100" s="2">
        <v>0.97652964286570365</v>
      </c>
      <c r="V100" s="2" t="s">
        <v>196</v>
      </c>
    </row>
    <row r="101" spans="1:22" x14ac:dyDescent="0.2">
      <c r="A101" s="2">
        <v>61</v>
      </c>
      <c r="B101" s="2" t="s">
        <v>102</v>
      </c>
      <c r="C101" s="2" t="str">
        <f t="shared" si="18"/>
        <v>20220223_NeomaMSMS_SrF_LA_Chicago_Run1_RbSr_export_processed</v>
      </c>
      <c r="D101" s="2">
        <v>75085960.656905115</v>
      </c>
      <c r="E101" s="2">
        <v>47948.093999999997</v>
      </c>
      <c r="F101" s="2">
        <v>30797.089</v>
      </c>
      <c r="G101" s="2">
        <v>1327.19</v>
      </c>
      <c r="H101" s="2">
        <v>22.385821641240273</v>
      </c>
      <c r="I101" s="2">
        <v>8.5120052208171053</v>
      </c>
      <c r="J101" s="2">
        <v>0.79197769540184848</v>
      </c>
      <c r="K101" s="2">
        <v>3.4454731648543402E-2</v>
      </c>
      <c r="L101" s="2">
        <v>0.92334647517246571</v>
      </c>
      <c r="M101" s="2">
        <v>20.683599674604942</v>
      </c>
      <c r="N101" s="2">
        <v>8.1252152849804808</v>
      </c>
      <c r="O101" s="2">
        <v>0.79365702136702776</v>
      </c>
      <c r="P101" s="2">
        <v>3.4527669342541194E-2</v>
      </c>
      <c r="Q101" s="2">
        <v>0.89425496013911565</v>
      </c>
      <c r="V101" s="2" t="s">
        <v>196</v>
      </c>
    </row>
    <row r="102" spans="1:22" x14ac:dyDescent="0.2">
      <c r="A102" s="2">
        <v>62</v>
      </c>
      <c r="B102" s="2" t="s">
        <v>103</v>
      </c>
      <c r="C102" s="2" t="str">
        <f t="shared" si="18"/>
        <v>20220223_NeomaMSMS_SrF_LA_Chicago_Run1_RbSr_export_processed</v>
      </c>
      <c r="D102" s="2">
        <v>429280513.29699826</v>
      </c>
      <c r="E102" s="2">
        <v>45591.75</v>
      </c>
      <c r="F102" s="2">
        <v>48684.898000000001</v>
      </c>
      <c r="G102" s="2">
        <v>995.63</v>
      </c>
      <c r="H102" s="2">
        <v>4.759837869259778</v>
      </c>
      <c r="I102" s="2">
        <v>0.32615704459847655</v>
      </c>
      <c r="J102" s="2">
        <v>0.80551499751810662</v>
      </c>
      <c r="K102" s="2">
        <v>1.4088909691866443E-2</v>
      </c>
      <c r="L102" s="2">
        <v>0.56632581203505983</v>
      </c>
      <c r="M102" s="2">
        <v>4.3978989282405108</v>
      </c>
      <c r="N102" s="2">
        <v>0.52830720433846456</v>
      </c>
      <c r="O102" s="2">
        <v>0.80722302826004189</v>
      </c>
      <c r="P102" s="2">
        <v>1.4118478412768349E-2</v>
      </c>
      <c r="Q102" s="2">
        <v>0.32715270128331214</v>
      </c>
      <c r="V102" s="2" t="s">
        <v>196</v>
      </c>
    </row>
    <row r="103" spans="1:22" x14ac:dyDescent="0.2">
      <c r="A103" s="2">
        <v>63</v>
      </c>
      <c r="B103" s="2" t="s">
        <v>104</v>
      </c>
      <c r="C103" s="2" t="str">
        <f t="shared" si="18"/>
        <v>20220223_NeomaMSMS_SrF_LA_Chicago_Run1_RbSr_export_processed</v>
      </c>
      <c r="D103" s="2">
        <v>259988044.48067999</v>
      </c>
      <c r="E103" s="2">
        <v>45544.017</v>
      </c>
      <c r="F103" s="2">
        <v>48866.993000000002</v>
      </c>
      <c r="G103" s="2">
        <v>995.63</v>
      </c>
      <c r="H103" s="2">
        <v>7.9920146056723063</v>
      </c>
      <c r="I103" s="2">
        <v>1.7198381580121622</v>
      </c>
      <c r="J103" s="2">
        <v>0.85306369691048167</v>
      </c>
      <c r="K103" s="2">
        <v>1.9792779330751274E-2</v>
      </c>
      <c r="L103" s="2">
        <v>0.98346191787357518</v>
      </c>
      <c r="M103" s="2">
        <v>7.3843003552208719</v>
      </c>
      <c r="N103" s="2">
        <v>1.7481288920596334</v>
      </c>
      <c r="O103" s="2">
        <v>0.85487255090282388</v>
      </c>
      <c r="P103" s="2">
        <v>1.9834504304095325E-2</v>
      </c>
      <c r="Q103" s="2">
        <v>0.89555428630968914</v>
      </c>
      <c r="V103" s="2" t="s">
        <v>196</v>
      </c>
    </row>
    <row r="104" spans="1:22" x14ac:dyDescent="0.2">
      <c r="A104" s="2">
        <v>66</v>
      </c>
      <c r="B104" s="2" t="s">
        <v>105</v>
      </c>
      <c r="C104" s="2" t="str">
        <f t="shared" si="18"/>
        <v>20220223_NeomaMSMS_SrF_LA_Chicago_Run1_RbSr_export_processed</v>
      </c>
      <c r="D104" s="2">
        <v>285551014.38122678</v>
      </c>
      <c r="E104" s="2">
        <v>45651.858999999997</v>
      </c>
      <c r="F104" s="2">
        <v>48780.364999999998</v>
      </c>
      <c r="G104" s="2">
        <v>995.63</v>
      </c>
      <c r="H104" s="2">
        <v>9.9655989347036407</v>
      </c>
      <c r="I104" s="2">
        <v>2.8994640373822023</v>
      </c>
      <c r="J104" s="2">
        <v>0.88084911700686963</v>
      </c>
      <c r="K104" s="2">
        <v>2.1469284880094659E-2</v>
      </c>
      <c r="L104" s="2">
        <v>0.49848350391338286</v>
      </c>
      <c r="M104" s="2">
        <v>9.1830396620070971</v>
      </c>
      <c r="N104" s="2">
        <v>2.8285060792435623</v>
      </c>
      <c r="O104" s="2">
        <v>0.88266282634180959</v>
      </c>
      <c r="P104" s="2">
        <v>2.1516198818073307E-2</v>
      </c>
      <c r="Q104" s="2">
        <v>0.47520157501753213</v>
      </c>
      <c r="V104" s="2" t="s">
        <v>196</v>
      </c>
    </row>
    <row r="105" spans="1:22" x14ac:dyDescent="0.2">
      <c r="A105" s="2">
        <v>67</v>
      </c>
      <c r="B105" s="2" t="s">
        <v>106</v>
      </c>
      <c r="C105" s="2" t="str">
        <f t="shared" si="18"/>
        <v>20220223_NeomaMSMS_SrF_LA_Chicago_Run1_RbSr_export_processed</v>
      </c>
      <c r="D105" s="2">
        <v>1041136313.182106</v>
      </c>
      <c r="E105" s="2">
        <v>46702.771999999997</v>
      </c>
      <c r="F105" s="2">
        <v>48991.815999999999</v>
      </c>
      <c r="G105" s="2">
        <v>1071.56</v>
      </c>
      <c r="H105" s="2">
        <v>7.0609631280765819E-2</v>
      </c>
      <c r="I105" s="2">
        <v>7.6149072096110557E-3</v>
      </c>
      <c r="J105" s="2">
        <v>0.70825652382143645</v>
      </c>
      <c r="K105" s="2">
        <v>6.6180873312762746E-4</v>
      </c>
      <c r="L105" s="2">
        <v>-0.54605201792015778</v>
      </c>
      <c r="M105" s="2">
        <v>6.5064934764029012E-2</v>
      </c>
      <c r="N105" s="2">
        <v>9.618385186728742E-3</v>
      </c>
      <c r="O105" s="2">
        <v>0.70971485697292103</v>
      </c>
      <c r="P105" s="2">
        <v>7.1772011122236024E-4</v>
      </c>
      <c r="Q105" s="2">
        <v>-0.14720232393592719</v>
      </c>
      <c r="V105" s="2" t="s">
        <v>196</v>
      </c>
    </row>
    <row r="106" spans="1:22" x14ac:dyDescent="0.2">
      <c r="A106" s="2">
        <v>68</v>
      </c>
      <c r="B106" s="2" t="s">
        <v>107</v>
      </c>
      <c r="C106" s="2" t="str">
        <f t="shared" si="18"/>
        <v>20220223_NeomaMSMS_SrF_LA_Chicago_Run1_RbSr_export_processed</v>
      </c>
      <c r="D106" s="2">
        <v>325115895.85311449</v>
      </c>
      <c r="E106" s="2">
        <v>46354.027999999998</v>
      </c>
      <c r="F106" s="2">
        <v>49128.822999999997</v>
      </c>
      <c r="G106" s="2">
        <v>1076.25</v>
      </c>
      <c r="H106" s="2">
        <v>6.6048106706054904E-2</v>
      </c>
      <c r="I106" s="2">
        <v>4.5509139387798755E-2</v>
      </c>
      <c r="J106" s="2">
        <v>0.70942694986326782</v>
      </c>
      <c r="K106" s="2">
        <v>4.8716344033643633E-3</v>
      </c>
      <c r="L106" s="2">
        <v>0.57946490696837805</v>
      </c>
      <c r="M106" s="2">
        <v>6.0861608765937748E-2</v>
      </c>
      <c r="N106" s="2">
        <v>4.2384549759097521E-2</v>
      </c>
      <c r="O106" s="2">
        <v>0.71088769297645504</v>
      </c>
      <c r="P106" s="2">
        <v>4.8893998944953936E-3</v>
      </c>
      <c r="Q106" s="2">
        <v>0.57931255780303659</v>
      </c>
      <c r="V106" s="2" t="s">
        <v>196</v>
      </c>
    </row>
    <row r="107" spans="1:22" x14ac:dyDescent="0.2">
      <c r="A107" s="2">
        <v>69</v>
      </c>
      <c r="B107" s="2" t="s">
        <v>108</v>
      </c>
      <c r="C107" s="2" t="str">
        <f t="shared" si="18"/>
        <v>20220223_NeomaMSMS_SrF_LA_Chicago_Run1_RbSr_export_processed</v>
      </c>
      <c r="D107" s="2">
        <v>599198669.88934505</v>
      </c>
      <c r="E107" s="2">
        <v>46389.836000000003</v>
      </c>
      <c r="F107" s="2">
        <v>49244.033000000003</v>
      </c>
      <c r="G107" s="2">
        <v>1021.25</v>
      </c>
      <c r="H107" s="2">
        <v>8.1230965024647828E-2</v>
      </c>
      <c r="I107" s="2">
        <v>4.7189147026988152E-3</v>
      </c>
      <c r="J107" s="2">
        <v>0.71466532235615254</v>
      </c>
      <c r="K107" s="2">
        <v>9.7463308753607792E-4</v>
      </c>
      <c r="L107" s="2">
        <v>5.6195456774276509E-2</v>
      </c>
      <c r="M107" s="2">
        <v>7.4852216960769699E-2</v>
      </c>
      <c r="N107" s="2">
        <v>8.7282722350205313E-3</v>
      </c>
      <c r="O107" s="2">
        <v>0.7161368515221459</v>
      </c>
      <c r="P107" s="2">
        <v>1.0151456459654236E-3</v>
      </c>
      <c r="Q107" s="2">
        <v>0.22670665083902858</v>
      </c>
      <c r="V107" s="2" t="s">
        <v>196</v>
      </c>
    </row>
    <row r="108" spans="1:22" x14ac:dyDescent="0.2">
      <c r="A108" s="2">
        <v>70</v>
      </c>
      <c r="B108" s="2" t="s">
        <v>109</v>
      </c>
      <c r="C108" s="2" t="str">
        <f t="shared" si="18"/>
        <v>20220223_NeomaMSMS_SrF_LA_Chicago_Run1_RbSr_export_processed</v>
      </c>
      <c r="D108" s="2">
        <v>696377876.56965685</v>
      </c>
      <c r="E108" s="2">
        <v>46780.616000000002</v>
      </c>
      <c r="F108" s="2">
        <v>49265.828999999998</v>
      </c>
      <c r="G108" s="2">
        <v>1086.8800000000001</v>
      </c>
      <c r="H108" s="2">
        <v>7.4169268951051553E-2</v>
      </c>
      <c r="I108" s="2">
        <v>1.0040036830614739E-2</v>
      </c>
      <c r="J108" s="2">
        <v>0.71375792106154468</v>
      </c>
      <c r="K108" s="2">
        <v>2.4625451892696282E-3</v>
      </c>
      <c r="L108" s="2">
        <v>0.38640305880034065</v>
      </c>
      <c r="M108" s="2">
        <v>6.8345048094174854E-2</v>
      </c>
      <c r="N108" s="2">
        <v>1.1547377213876702E-2</v>
      </c>
      <c r="O108" s="2">
        <v>0.71522758184603352</v>
      </c>
      <c r="P108" s="2">
        <v>2.4830682059695163E-3</v>
      </c>
      <c r="Q108" s="2">
        <v>0.3639504562289434</v>
      </c>
      <c r="V108" s="2" t="s">
        <v>196</v>
      </c>
    </row>
    <row r="109" spans="1:22" x14ac:dyDescent="0.2">
      <c r="A109" s="2">
        <v>73</v>
      </c>
      <c r="B109" s="2" t="s">
        <v>110</v>
      </c>
      <c r="C109" s="2" t="str">
        <f t="shared" si="18"/>
        <v>20220223_NeomaMSMS_SrF_LA_Chicago_Run1_RbSr_export_processed</v>
      </c>
      <c r="D109" s="2">
        <v>356874950.34836495</v>
      </c>
      <c r="E109" s="2">
        <v>46624.927000000003</v>
      </c>
      <c r="F109" s="2">
        <v>49293.853000000003</v>
      </c>
      <c r="G109" s="2">
        <v>1093.1300000000001</v>
      </c>
      <c r="H109" s="2">
        <v>8.3170020731289943E-2</v>
      </c>
      <c r="I109" s="2">
        <v>2.1399827629853763E-2</v>
      </c>
      <c r="J109" s="2">
        <v>0.71688337955570458</v>
      </c>
      <c r="K109" s="2">
        <v>6.999419189522262E-4</v>
      </c>
      <c r="L109" s="2">
        <v>-0.61038630113293024</v>
      </c>
      <c r="M109" s="2">
        <v>7.504499056483821E-2</v>
      </c>
      <c r="N109" s="2">
        <v>2.0515568443441889E-2</v>
      </c>
      <c r="O109" s="2">
        <v>0.71835644829907941</v>
      </c>
      <c r="P109" s="2">
        <v>7.2032760454506103E-4</v>
      </c>
      <c r="Q109" s="2">
        <v>-0.48586032684024333</v>
      </c>
      <c r="V109" s="2" t="s">
        <v>196</v>
      </c>
    </row>
    <row r="110" spans="1:22" x14ac:dyDescent="0.2">
      <c r="A110" s="2">
        <v>74</v>
      </c>
      <c r="B110" s="2" t="s">
        <v>111</v>
      </c>
      <c r="C110" s="2" t="str">
        <f t="shared" si="18"/>
        <v>20220223_NeomaMSMS_SrF_LA_Chicago_Run1_RbSr_export_processed</v>
      </c>
      <c r="D110" s="2">
        <v>414316546.98000139</v>
      </c>
      <c r="E110" s="2">
        <v>46433.428999999996</v>
      </c>
      <c r="F110" s="2">
        <v>49353.014999999999</v>
      </c>
      <c r="G110" s="2">
        <v>1083.44</v>
      </c>
      <c r="H110" s="2">
        <v>9.4321921150752108E-2</v>
      </c>
      <c r="I110" s="2">
        <v>8.0188594683479244E-3</v>
      </c>
      <c r="J110" s="2">
        <v>0.71158646865568997</v>
      </c>
      <c r="K110" s="2">
        <v>1.263608358111601E-3</v>
      </c>
      <c r="L110" s="2">
        <v>0.22119900142742674</v>
      </c>
      <c r="M110" s="2">
        <v>8.5107441606691786E-2</v>
      </c>
      <c r="N110" s="2">
        <v>1.0683688013312109E-2</v>
      </c>
      <c r="O110" s="2">
        <v>0.7130486531825998</v>
      </c>
      <c r="P110" s="2">
        <v>1.2766424028984563E-3</v>
      </c>
      <c r="Q110" s="2">
        <v>0.23825678527400548</v>
      </c>
      <c r="V110" s="2" t="s">
        <v>196</v>
      </c>
    </row>
    <row r="111" spans="1:22" x14ac:dyDescent="0.2">
      <c r="A111" s="2">
        <v>75</v>
      </c>
      <c r="B111" s="2" t="s">
        <v>112</v>
      </c>
      <c r="C111" s="2" t="str">
        <f t="shared" si="18"/>
        <v>20220223_NeomaMSMS_SrF_LA_Chicago_Run1_RbSr_export_processed</v>
      </c>
      <c r="D111" s="2">
        <v>382958171.32246846</v>
      </c>
      <c r="E111" s="2">
        <v>46332.275999999998</v>
      </c>
      <c r="F111" s="2">
        <v>49331.144999999997</v>
      </c>
      <c r="G111" s="2">
        <v>1054.69</v>
      </c>
      <c r="H111" s="2">
        <v>7.7335455562953126E-2</v>
      </c>
      <c r="I111" s="2">
        <v>2.0227275989748668E-2</v>
      </c>
      <c r="J111" s="2">
        <v>0.71229373516416095</v>
      </c>
      <c r="K111" s="2">
        <v>1.197295071350906E-3</v>
      </c>
      <c r="L111" s="2">
        <v>0.26633036827504475</v>
      </c>
      <c r="M111" s="2">
        <v>6.9780414649648598E-2</v>
      </c>
      <c r="N111" s="2">
        <v>1.9355758842267964E-2</v>
      </c>
      <c r="O111" s="2">
        <v>0.71375737299884245</v>
      </c>
      <c r="P111" s="2">
        <v>1.2107876244384606E-3</v>
      </c>
      <c r="Q111" s="2">
        <v>0.29167766912834614</v>
      </c>
      <c r="V111" s="2" t="s">
        <v>196</v>
      </c>
    </row>
    <row r="112" spans="1:22" x14ac:dyDescent="0.2">
      <c r="A112" s="2">
        <v>76</v>
      </c>
      <c r="B112" s="2" t="s">
        <v>113</v>
      </c>
      <c r="C112" s="2" t="str">
        <f t="shared" si="18"/>
        <v>20220223_NeomaMSMS_SrF_LA_Chicago_Run1_RbSr_export_processed</v>
      </c>
      <c r="D112" s="2">
        <v>448635121.35432303</v>
      </c>
      <c r="E112" s="2">
        <v>46481.714</v>
      </c>
      <c r="F112" s="2">
        <v>49659.591</v>
      </c>
      <c r="G112" s="2">
        <v>1083.75</v>
      </c>
      <c r="H112" s="2">
        <v>8.2677311590046057E-2</v>
      </c>
      <c r="I112" s="2">
        <v>4.2843879735245333E-3</v>
      </c>
      <c r="J112" s="2">
        <v>0.71601620163935253</v>
      </c>
      <c r="K112" s="2">
        <v>1.0578902833588042E-3</v>
      </c>
      <c r="L112" s="2">
        <v>-0.45123372768249193</v>
      </c>
      <c r="M112" s="2">
        <v>7.4600415073203794E-2</v>
      </c>
      <c r="N112" s="2">
        <v>7.9005691995679243E-3</v>
      </c>
      <c r="O112" s="2">
        <v>0.71748748848525279</v>
      </c>
      <c r="P112" s="2">
        <v>1.0726641548959982E-3</v>
      </c>
      <c r="Q112" s="2">
        <v>-9.0905362477006105E-2</v>
      </c>
      <c r="V112" s="2" t="s">
        <v>196</v>
      </c>
    </row>
    <row r="113" spans="1:22" x14ac:dyDescent="0.2">
      <c r="A113" s="2">
        <v>77</v>
      </c>
      <c r="B113" s="2" t="s">
        <v>114</v>
      </c>
      <c r="C113" s="2" t="str">
        <f t="shared" si="18"/>
        <v>20220223_NeomaMSMS_SrF_LA_Chicago_Run1_RbSr_export_processed</v>
      </c>
      <c r="D113" s="2">
        <v>814978248.96368849</v>
      </c>
      <c r="E113" s="2">
        <v>46629.618999999999</v>
      </c>
      <c r="F113" s="2">
        <v>49435.398000000001</v>
      </c>
      <c r="G113" s="2">
        <v>1056.8800000000001</v>
      </c>
      <c r="H113" s="2">
        <v>6.1207362777037207E-2</v>
      </c>
      <c r="I113" s="2">
        <v>5.6700445863810227E-3</v>
      </c>
      <c r="J113" s="2">
        <v>0.71106996046766024</v>
      </c>
      <c r="K113" s="2">
        <v>7.6799439699194705E-4</v>
      </c>
      <c r="L113" s="2">
        <v>0.12664419569847457</v>
      </c>
      <c r="M113" s="2">
        <v>5.5227904498685636E-2</v>
      </c>
      <c r="N113" s="2">
        <v>7.2245354004762605E-3</v>
      </c>
      <c r="O113" s="2">
        <v>0.71253108366145901</v>
      </c>
      <c r="P113" s="2">
        <v>7.8660307877539298E-4</v>
      </c>
      <c r="Q113" s="2">
        <v>0.22730690746665</v>
      </c>
      <c r="V113" s="2" t="s">
        <v>196</v>
      </c>
    </row>
    <row r="114" spans="1:22" x14ac:dyDescent="0.2">
      <c r="A114" s="2">
        <v>80</v>
      </c>
      <c r="B114" s="2" t="s">
        <v>115</v>
      </c>
      <c r="C114" s="2" t="str">
        <f t="shared" si="18"/>
        <v>20220223_NeomaMSMS_SrF_LA_Chicago_Run1_RbSr_export_processed</v>
      </c>
      <c r="D114" s="2">
        <v>444203620.81092131</v>
      </c>
      <c r="E114" s="2">
        <v>46485.572999999997</v>
      </c>
      <c r="F114" s="2">
        <v>48964.989000000001</v>
      </c>
      <c r="G114" s="2">
        <v>1077.19</v>
      </c>
      <c r="H114" s="2">
        <v>0.13701198910888249</v>
      </c>
      <c r="I114" s="2">
        <v>1.9521833103724132E-2</v>
      </c>
      <c r="J114" s="2">
        <v>0.71850592841433703</v>
      </c>
      <c r="K114" s="2">
        <v>1.3408334022766779E-3</v>
      </c>
      <c r="L114" s="2">
        <v>-0.52210511443400331</v>
      </c>
      <c r="M114" s="2">
        <v>0.12348280555755381</v>
      </c>
      <c r="N114" s="2">
        <v>2.0803572490566632E-2</v>
      </c>
      <c r="O114" s="2">
        <v>0.71969570570853669</v>
      </c>
      <c r="P114" s="2">
        <v>1.3358094993039995E-3</v>
      </c>
      <c r="Q114" s="2">
        <v>-0.4661886339258246</v>
      </c>
      <c r="V114" s="2" t="s">
        <v>196</v>
      </c>
    </row>
    <row r="115" spans="1:22" x14ac:dyDescent="0.2">
      <c r="A115" s="2">
        <v>81</v>
      </c>
      <c r="B115" s="2" t="s">
        <v>116</v>
      </c>
      <c r="C115" s="2" t="str">
        <f t="shared" si="18"/>
        <v>20220223_NeomaMSMS_SrF_LA_Chicago_Run1_RbSr_export_processed</v>
      </c>
      <c r="D115" s="2">
        <v>368867504.96070075</v>
      </c>
      <c r="E115" s="2">
        <v>46811.864999999998</v>
      </c>
      <c r="F115" s="2">
        <v>49109.845000000001</v>
      </c>
      <c r="G115" s="2">
        <v>1084.69</v>
      </c>
      <c r="H115" s="2">
        <v>0.1010560300981337</v>
      </c>
      <c r="I115" s="2">
        <v>2.200161669046587E-2</v>
      </c>
      <c r="J115" s="2">
        <v>0.71548863419071618</v>
      </c>
      <c r="K115" s="2">
        <v>2.2606582428594925E-3</v>
      </c>
      <c r="L115" s="2">
        <v>-0.25506879456615483</v>
      </c>
      <c r="M115" s="2">
        <v>9.1077300579217368E-2</v>
      </c>
      <c r="N115" s="2">
        <v>2.1453042205195821E-2</v>
      </c>
      <c r="O115" s="2">
        <v>0.71667341513343807</v>
      </c>
      <c r="P115" s="2">
        <v>2.2601485338240137E-3</v>
      </c>
      <c r="Q115" s="2">
        <v>-0.24556407121352741</v>
      </c>
      <c r="V115" s="2" t="s">
        <v>196</v>
      </c>
    </row>
    <row r="116" spans="1:22" x14ac:dyDescent="0.2">
      <c r="A116" s="2">
        <v>82</v>
      </c>
      <c r="B116" s="2" t="s">
        <v>117</v>
      </c>
      <c r="C116" s="2" t="str">
        <f t="shared" si="18"/>
        <v>20220223_NeomaMSMS_SrF_LA_Chicago_Run1_RbSr_export_processed</v>
      </c>
      <c r="D116" s="2">
        <v>590690558.40000618</v>
      </c>
      <c r="E116" s="2">
        <v>46393.392</v>
      </c>
      <c r="F116" s="2">
        <v>49035.222000000002</v>
      </c>
      <c r="G116" s="2">
        <v>1048.1300000000001</v>
      </c>
      <c r="H116" s="2">
        <v>6.462993332654933E-2</v>
      </c>
      <c r="I116" s="2">
        <v>2.3500993796121881E-3</v>
      </c>
      <c r="J116" s="2">
        <v>0.71273000333122027</v>
      </c>
      <c r="K116" s="2">
        <v>9.0106942729826535E-4</v>
      </c>
      <c r="L116" s="2">
        <v>0.54641473435995147</v>
      </c>
      <c r="M116" s="2">
        <v>5.8248081369125744E-2</v>
      </c>
      <c r="N116" s="2">
        <v>5.648626481757857E-3</v>
      </c>
      <c r="O116" s="2">
        <v>0.71391021624432682</v>
      </c>
      <c r="P116" s="2">
        <v>8.919203029306422E-4</v>
      </c>
      <c r="Q116" s="2">
        <v>0.14994257678144557</v>
      </c>
      <c r="V116" s="2" t="s">
        <v>196</v>
      </c>
    </row>
    <row r="117" spans="1:22" x14ac:dyDescent="0.2">
      <c r="A117" s="2">
        <v>83</v>
      </c>
      <c r="B117" s="2" t="s">
        <v>118</v>
      </c>
      <c r="C117" s="2" t="str">
        <f t="shared" si="18"/>
        <v>20220223_NeomaMSMS_SrF_LA_Chicago_Run1_RbSr_export_processed</v>
      </c>
      <c r="D117" s="2">
        <v>788218450.77094221</v>
      </c>
      <c r="E117" s="2">
        <v>46538.248</v>
      </c>
      <c r="F117" s="2">
        <v>49212.269</v>
      </c>
      <c r="G117" s="2">
        <v>1078.44</v>
      </c>
      <c r="H117" s="2">
        <v>5.3225099173829969E-2</v>
      </c>
      <c r="I117" s="2">
        <v>2.7720390400046927E-3</v>
      </c>
      <c r="J117" s="2">
        <v>0.71190298172364697</v>
      </c>
      <c r="K117" s="2">
        <v>1.0752619883395602E-3</v>
      </c>
      <c r="L117" s="2">
        <v>0.34325236709135076</v>
      </c>
      <c r="M117" s="2">
        <v>4.7969412128164454E-2</v>
      </c>
      <c r="N117" s="2">
        <v>4.9838497233286681E-3</v>
      </c>
      <c r="O117" s="2">
        <v>0.71308182516784391</v>
      </c>
      <c r="P117" s="2">
        <v>1.0681617020643058E-3</v>
      </c>
      <c r="Q117" s="2">
        <v>0.1288212795291552</v>
      </c>
      <c r="V117" s="2" t="s">
        <v>196</v>
      </c>
    </row>
    <row r="118" spans="1:22" x14ac:dyDescent="0.2">
      <c r="A118" s="2">
        <v>84</v>
      </c>
      <c r="B118" s="2" t="s">
        <v>119</v>
      </c>
      <c r="C118" s="2" t="str">
        <f t="shared" si="18"/>
        <v>20220223_NeomaMSMS_SrF_LA_Chicago_Run1_RbSr_export_processed</v>
      </c>
      <c r="D118" s="2">
        <v>595695614.22113419</v>
      </c>
      <c r="E118" s="2">
        <v>46694.81</v>
      </c>
      <c r="F118" s="2">
        <v>49143.499000000003</v>
      </c>
      <c r="G118" s="2">
        <v>1083.44</v>
      </c>
      <c r="H118" s="2">
        <v>6.6142108605959177E-2</v>
      </c>
      <c r="I118" s="2">
        <v>7.4532511905577884E-3</v>
      </c>
      <c r="J118" s="2">
        <v>0.71511869259811012</v>
      </c>
      <c r="K118" s="2">
        <v>1.0461645525880383E-3</v>
      </c>
      <c r="L118" s="2">
        <v>0.72982366036653701</v>
      </c>
      <c r="M118" s="2">
        <v>5.9610937621419953E-2</v>
      </c>
      <c r="N118" s="2">
        <v>8.5930759149055631E-3</v>
      </c>
      <c r="O118" s="2">
        <v>0.71630286095283546</v>
      </c>
      <c r="P118" s="2">
        <v>1.0386839023694403E-3</v>
      </c>
      <c r="Q118" s="2">
        <v>0.54230712247892499</v>
      </c>
      <c r="V118" s="2" t="s">
        <v>196</v>
      </c>
    </row>
    <row r="119" spans="1:22" x14ac:dyDescent="0.2">
      <c r="A119" s="2">
        <v>87</v>
      </c>
      <c r="B119" s="2" t="s">
        <v>120</v>
      </c>
      <c r="C119" s="2" t="str">
        <f t="shared" si="18"/>
        <v>20220223_NeomaMSMS_SrF_LA_Chicago_Run1_RbSr_export_processed</v>
      </c>
      <c r="D119" s="2">
        <v>781197762.53524327</v>
      </c>
      <c r="E119" s="2">
        <v>47400.906999999999</v>
      </c>
      <c r="F119" s="2">
        <v>49446.783000000003</v>
      </c>
      <c r="G119" s="2">
        <v>1115.6300000000001</v>
      </c>
      <c r="H119" s="2">
        <v>4.5460368428282709E-2</v>
      </c>
      <c r="I119" s="2">
        <v>3.4672265302100541E-3</v>
      </c>
      <c r="J119" s="2">
        <v>0.70218949452502566</v>
      </c>
      <c r="K119" s="2">
        <v>8.7574366651328934E-4</v>
      </c>
      <c r="L119" s="2">
        <v>0.54641842723203726</v>
      </c>
      <c r="M119" s="2">
        <v>4.034419416011966E-2</v>
      </c>
      <c r="N119" s="2">
        <v>4.900040948731514E-3</v>
      </c>
      <c r="O119" s="2">
        <v>0.70343064486537543</v>
      </c>
      <c r="P119" s="2">
        <v>9.0920005826149479E-4</v>
      </c>
      <c r="Q119" s="2">
        <v>0.39754507280942775</v>
      </c>
      <c r="V119" s="2" t="s">
        <v>196</v>
      </c>
    </row>
    <row r="120" spans="1:22" x14ac:dyDescent="0.2">
      <c r="A120" s="2">
        <v>88</v>
      </c>
      <c r="B120" s="2" t="s">
        <v>121</v>
      </c>
      <c r="C120" s="2" t="str">
        <f t="shared" si="18"/>
        <v>20220223_NeomaMSMS_SrF_LA_Chicago_Run1_RbSr_export_processed</v>
      </c>
      <c r="D120" s="2">
        <v>712408433.14164329</v>
      </c>
      <c r="E120" s="2">
        <v>47304.362999999998</v>
      </c>
      <c r="F120" s="2">
        <v>49686.906000000003</v>
      </c>
      <c r="G120" s="2">
        <v>1056.25</v>
      </c>
      <c r="H120" s="2">
        <v>4.6368797549119892E-2</v>
      </c>
      <c r="I120" s="2">
        <v>9.7652063605902515E-4</v>
      </c>
      <c r="J120" s="2">
        <v>0.70460033224399776</v>
      </c>
      <c r="K120" s="2">
        <v>6.8998173020918565E-4</v>
      </c>
      <c r="L120" s="2">
        <v>-0.11086691291929285</v>
      </c>
      <c r="M120" s="2">
        <v>4.1150387380695506E-2</v>
      </c>
      <c r="N120" s="2">
        <v>3.9850201572612107E-3</v>
      </c>
      <c r="O120" s="2">
        <v>0.70584574384441856</v>
      </c>
      <c r="P120" s="2">
        <v>7.3154327764888422E-4</v>
      </c>
      <c r="Q120" s="2">
        <v>8.1169778349557159E-2</v>
      </c>
      <c r="V120" s="2" t="s">
        <v>196</v>
      </c>
    </row>
    <row r="121" spans="1:22" x14ac:dyDescent="0.2">
      <c r="A121" s="2">
        <v>89</v>
      </c>
      <c r="B121" s="2" t="s">
        <v>122</v>
      </c>
      <c r="C121" s="2" t="str">
        <f t="shared" si="18"/>
        <v>20220223_NeomaMSMS_SrF_LA_Chicago_Run1_RbSr_export_processed</v>
      </c>
      <c r="D121" s="2">
        <v>1012706590.1081662</v>
      </c>
      <c r="E121" s="2">
        <v>47895.025000000001</v>
      </c>
      <c r="F121" s="2">
        <v>48605.576000000001</v>
      </c>
      <c r="G121" s="2">
        <v>1074.3800000000001</v>
      </c>
      <c r="H121" s="2">
        <v>7.5820918658068047E-3</v>
      </c>
      <c r="I121" s="2">
        <v>3.4861362560545942E-4</v>
      </c>
      <c r="J121" s="2">
        <v>0.7024028719663824</v>
      </c>
      <c r="K121" s="2">
        <v>5.9162091630455735E-4</v>
      </c>
      <c r="L121" s="2">
        <v>-0.45627313490504784</v>
      </c>
      <c r="M121" s="2">
        <v>6.728792505422485E-3</v>
      </c>
      <c r="N121" s="2">
        <v>7.0727814858335123E-4</v>
      </c>
      <c r="O121" s="2">
        <v>0.7036443994606002</v>
      </c>
      <c r="P121" s="2">
        <v>6.3897778778554837E-4</v>
      </c>
      <c r="Q121" s="2">
        <v>-7.5817548941191359E-2</v>
      </c>
      <c r="V121" s="2" t="s">
        <v>196</v>
      </c>
    </row>
    <row r="122" spans="1:22" x14ac:dyDescent="0.2">
      <c r="A122" s="2">
        <v>90</v>
      </c>
      <c r="B122" s="2" t="s">
        <v>123</v>
      </c>
      <c r="C122" s="2" t="str">
        <f t="shared" si="18"/>
        <v>20220223_NeomaMSMS_SrF_LA_Chicago_Run1_RbSr_export_processed</v>
      </c>
      <c r="D122" s="2">
        <v>893885503.68517601</v>
      </c>
      <c r="E122" s="2">
        <v>47969.288999999997</v>
      </c>
      <c r="F122" s="2">
        <v>48791.237999999998</v>
      </c>
      <c r="G122" s="2">
        <v>1108.1300000000001</v>
      </c>
      <c r="H122" s="2">
        <v>1.0126518132871574E-2</v>
      </c>
      <c r="I122" s="2">
        <v>2.3587936158467591E-3</v>
      </c>
      <c r="J122" s="2">
        <v>0.70147903350398821</v>
      </c>
      <c r="K122" s="2">
        <v>1.1049686893938931E-3</v>
      </c>
      <c r="L122" s="2">
        <v>0.85597500556745065</v>
      </c>
      <c r="M122" s="2">
        <v>8.9868654356168899E-3</v>
      </c>
      <c r="N122" s="2">
        <v>2.2591203598297193E-3</v>
      </c>
      <c r="O122" s="2">
        <v>0.70271892807371628</v>
      </c>
      <c r="P122" s="2">
        <v>1.1323271336972065E-3</v>
      </c>
      <c r="Q122" s="2">
        <v>0.80111923228294879</v>
      </c>
      <c r="V122" s="2" t="s">
        <v>196</v>
      </c>
    </row>
    <row r="123" spans="1:22" x14ac:dyDescent="0.2">
      <c r="A123" s="2">
        <v>91</v>
      </c>
      <c r="B123" s="2" t="s">
        <v>124</v>
      </c>
      <c r="C123" s="2" t="str">
        <f t="shared" si="18"/>
        <v>20220223_NeomaMSMS_SrF_LA_Chicago_Run1_RbSr_export_processed</v>
      </c>
      <c r="D123" s="2">
        <v>744120338.35408843</v>
      </c>
      <c r="E123" s="2">
        <v>48053.455999999998</v>
      </c>
      <c r="F123" s="2">
        <v>48491.703000000001</v>
      </c>
      <c r="G123" s="2">
        <v>1122.5</v>
      </c>
      <c r="H123" s="2">
        <v>1.5907531093177964E-2</v>
      </c>
      <c r="I123" s="2">
        <v>4.3626832465577797E-4</v>
      </c>
      <c r="J123" s="2">
        <v>0.70234228392512377</v>
      </c>
      <c r="K123" s="2">
        <v>1.8466485646314301E-3</v>
      </c>
      <c r="L123" s="2">
        <v>0.28220723646707918</v>
      </c>
      <c r="M123" s="2">
        <v>1.4117275007213482E-2</v>
      </c>
      <c r="N123" s="2">
        <v>1.3894361915028697E-3</v>
      </c>
      <c r="O123" s="2">
        <v>0.70358370432735484</v>
      </c>
      <c r="P123" s="2">
        <v>1.8652628902156674E-3</v>
      </c>
      <c r="Q123" s="2">
        <v>0.11797599292752252</v>
      </c>
      <c r="V123" s="2" t="s">
        <v>196</v>
      </c>
    </row>
    <row r="124" spans="1:22" x14ac:dyDescent="0.2">
      <c r="A124" s="2">
        <v>94</v>
      </c>
      <c r="B124" s="2" t="s">
        <v>125</v>
      </c>
      <c r="C124" s="2" t="str">
        <f t="shared" si="18"/>
        <v>20220223_NeomaMSMS_SrF_LA_Chicago_Run1_RbSr_export_processed</v>
      </c>
      <c r="D124" s="2">
        <v>1102324.8083367646</v>
      </c>
      <c r="E124" s="2">
        <v>48938.853999999999</v>
      </c>
      <c r="F124" s="2">
        <v>46419.847000000002</v>
      </c>
      <c r="G124" s="2">
        <v>1124.69</v>
      </c>
      <c r="H124" s="2">
        <v>-0.9826745873771664</v>
      </c>
      <c r="I124" s="2">
        <v>0.62912082210027298</v>
      </c>
      <c r="J124" s="2" t="e">
        <v>#VALUE!</v>
      </c>
      <c r="K124" s="2" t="e">
        <v>#VALUE!</v>
      </c>
      <c r="L124" s="2" t="e">
        <v>#VALUE!</v>
      </c>
      <c r="M124" s="2">
        <v>-0.87893678025985567</v>
      </c>
      <c r="N124" s="2">
        <v>-0.56845644870875023</v>
      </c>
      <c r="O124" s="2" t="e">
        <v>#VALUE!</v>
      </c>
      <c r="P124" s="2" t="e">
        <v>#VALUE!</v>
      </c>
      <c r="Q124" s="2" t="e">
        <v>#VALUE!</v>
      </c>
      <c r="V124" s="2" t="s">
        <v>196</v>
      </c>
    </row>
    <row r="125" spans="1:22" x14ac:dyDescent="0.2">
      <c r="A125" s="2">
        <v>95</v>
      </c>
      <c r="B125" s="2" t="s">
        <v>126</v>
      </c>
      <c r="C125" s="2" t="str">
        <f t="shared" si="18"/>
        <v>20220223_NeomaMSMS_SrF_LA_Chicago_Run1_RbSr_export_processed</v>
      </c>
      <c r="D125" s="2">
        <v>1146712.3945653376</v>
      </c>
      <c r="E125" s="2">
        <v>48810.127999999997</v>
      </c>
      <c r="F125" s="2">
        <v>46565.900999999998</v>
      </c>
      <c r="G125" s="2">
        <v>1135</v>
      </c>
      <c r="H125" s="2">
        <v>0.38660566800055746</v>
      </c>
      <c r="I125" s="2">
        <v>1.1950305678560647</v>
      </c>
      <c r="J125" s="2">
        <v>0.73487580267039843</v>
      </c>
      <c r="K125" s="2">
        <v>9.3361881475162036</v>
      </c>
      <c r="L125" s="2" t="e">
        <v>#VALUE!</v>
      </c>
      <c r="M125" s="2">
        <v>0.34579294654355319</v>
      </c>
      <c r="N125" s="2">
        <v>1.0693458346264932</v>
      </c>
      <c r="O125" s="2">
        <v>0.73638553874348012</v>
      </c>
      <c r="P125" s="2">
        <v>9.3553685050870659</v>
      </c>
      <c r="Q125" s="2" t="e">
        <v>#VALUE!</v>
      </c>
      <c r="V125" s="2" t="s">
        <v>196</v>
      </c>
    </row>
    <row r="126" spans="1:22" x14ac:dyDescent="0.2">
      <c r="A126" s="2">
        <v>96</v>
      </c>
      <c r="B126" s="2" t="s">
        <v>127</v>
      </c>
      <c r="C126" s="2" t="str">
        <f t="shared" si="18"/>
        <v>20220223_NeomaMSMS_SrF_LA_Chicago_Run1_RbSr_export_processed</v>
      </c>
      <c r="D126" s="2">
        <v>1529874.2406335599</v>
      </c>
      <c r="E126" s="2">
        <v>48958.658000000003</v>
      </c>
      <c r="F126" s="2">
        <v>46112.885000000002</v>
      </c>
      <c r="G126" s="2">
        <v>1138.1300000000001</v>
      </c>
      <c r="H126" s="2">
        <v>-0.14896837632369408</v>
      </c>
      <c r="I126" s="2">
        <v>-2.3643181794271957</v>
      </c>
      <c r="J126" s="2">
        <v>0.76559579394650734</v>
      </c>
      <c r="K126" s="2">
        <v>1.1219762816073231</v>
      </c>
      <c r="L126" s="2" t="e">
        <v>#VALUE!</v>
      </c>
      <c r="M126" s="2">
        <v>-0.13324226221821658</v>
      </c>
      <c r="N126" s="2">
        <v>-2.114760025892275</v>
      </c>
      <c r="O126" s="2">
        <v>0.76716864147165442</v>
      </c>
      <c r="P126" s="2">
        <v>1.1242812885014726</v>
      </c>
      <c r="Q126" s="2" t="e">
        <v>#VALUE!</v>
      </c>
      <c r="V126" s="2" t="s">
        <v>196</v>
      </c>
    </row>
    <row r="127" spans="1:22" x14ac:dyDescent="0.2">
      <c r="A127" s="2">
        <v>97</v>
      </c>
      <c r="B127" s="2" t="s">
        <v>128</v>
      </c>
      <c r="C127" s="2" t="str">
        <f t="shared" si="18"/>
        <v>20220223_NeomaMSMS_SrF_LA_Chicago_Run1_RbSr_export_processed</v>
      </c>
      <c r="D127" s="2">
        <v>1120969.3060119748</v>
      </c>
      <c r="E127" s="2">
        <v>48656.648000000001</v>
      </c>
      <c r="F127" s="2">
        <v>46308.45</v>
      </c>
      <c r="G127" s="2">
        <v>1136.56</v>
      </c>
      <c r="H127" s="2">
        <v>0.67292749751480008</v>
      </c>
      <c r="I127" s="2">
        <v>8.6394036055945769</v>
      </c>
      <c r="J127" s="2">
        <v>-0.44184563571233887</v>
      </c>
      <c r="K127" s="2">
        <v>-24.373062686514622</v>
      </c>
      <c r="L127" s="2" t="e">
        <v>#VALUE!</v>
      </c>
      <c r="M127" s="2">
        <v>0.60188869806090572</v>
      </c>
      <c r="N127" s="2">
        <v>7.7275668017750911</v>
      </c>
      <c r="O127" s="2">
        <v>-0.44275336772983709</v>
      </c>
      <c r="P127" s="2">
        <v>-24.423134946212645</v>
      </c>
      <c r="Q127" s="2" t="e">
        <v>#VALUE!</v>
      </c>
      <c r="V127" s="2" t="s">
        <v>196</v>
      </c>
    </row>
    <row r="128" spans="1:22" x14ac:dyDescent="0.2">
      <c r="A128" s="2">
        <v>98</v>
      </c>
      <c r="B128" s="2" t="s">
        <v>129</v>
      </c>
      <c r="C128" s="2" t="str">
        <f t="shared" si="18"/>
        <v>20220223_NeomaMSMS_SrF_LA_Chicago_Run1_RbSr_export_processed</v>
      </c>
      <c r="D128" s="2">
        <v>-13931232.228953354</v>
      </c>
      <c r="E128" s="2">
        <v>49848.173999999999</v>
      </c>
      <c r="F128" s="2">
        <v>46717.750999999997</v>
      </c>
      <c r="G128" s="2">
        <v>1161.56</v>
      </c>
      <c r="H128" s="2">
        <v>-1.0203056115304506E-2</v>
      </c>
      <c r="I128" s="2">
        <v>-3.3436792642390294E-2</v>
      </c>
      <c r="J128" s="2">
        <v>0.67730041416081854</v>
      </c>
      <c r="K128" s="2">
        <v>4.1833826896517372E-2</v>
      </c>
      <c r="L128" s="2">
        <v>0.25597437175406579</v>
      </c>
      <c r="M128" s="2">
        <v>-9.1259521778539396E-3</v>
      </c>
      <c r="N128" s="2">
        <v>-2.9918697892321891E-2</v>
      </c>
      <c r="O128" s="2">
        <v>0.67869186678976068</v>
      </c>
      <c r="P128" s="2">
        <v>4.1919934274285718E-2</v>
      </c>
      <c r="Q128" s="2">
        <v>0.25576742911856615</v>
      </c>
      <c r="V128" s="2" t="s">
        <v>196</v>
      </c>
    </row>
    <row r="129" spans="1:22" x14ac:dyDescent="0.2">
      <c r="A129" s="2">
        <v>101</v>
      </c>
      <c r="B129" s="2" t="s">
        <v>130</v>
      </c>
      <c r="C129" s="2" t="str">
        <f t="shared" si="18"/>
        <v>20220223_NeomaMSMS_SrF_LA_Chicago_Run1_RbSr_export_processed</v>
      </c>
      <c r="D129" s="2">
        <v>1099774.0083537106</v>
      </c>
      <c r="E129" s="2">
        <v>49867.978000000003</v>
      </c>
      <c r="F129" s="2">
        <v>46873.707999999999</v>
      </c>
      <c r="G129" s="2">
        <v>1169.3800000000001</v>
      </c>
      <c r="H129" s="2">
        <v>-1.2168662245758797</v>
      </c>
      <c r="I129" s="2">
        <v>-0.3628178723183666</v>
      </c>
      <c r="J129" s="2">
        <v>-0.13730572684646508</v>
      </c>
      <c r="K129" s="2">
        <v>-0.89440594782714367</v>
      </c>
      <c r="L129" s="2" t="e">
        <v>#VALUE!</v>
      </c>
      <c r="M129" s="2">
        <v>-1.095187192268176</v>
      </c>
      <c r="N129" s="2">
        <v>-0.3379300305311338</v>
      </c>
      <c r="O129" s="2">
        <v>-0.13756111041554273</v>
      </c>
      <c r="P129" s="2">
        <v>-0.8960695100158792</v>
      </c>
      <c r="Q129" s="2" t="e">
        <v>#VALUE!</v>
      </c>
      <c r="V129" s="2" t="s">
        <v>196</v>
      </c>
    </row>
    <row r="130" spans="1:22" x14ac:dyDescent="0.2">
      <c r="A130" s="2">
        <v>102</v>
      </c>
      <c r="B130" s="2" t="s">
        <v>131</v>
      </c>
      <c r="C130" s="2" t="str">
        <f t="shared" si="18"/>
        <v>20220223_NeomaMSMS_SrF_LA_Chicago_Run1_RbSr_export_processed</v>
      </c>
      <c r="D130" s="2">
        <v>908689299.89520943</v>
      </c>
      <c r="E130" s="2">
        <v>49085.576000000001</v>
      </c>
      <c r="F130" s="2">
        <v>48277.525000000001</v>
      </c>
      <c r="G130" s="2">
        <v>1147.19</v>
      </c>
      <c r="H130" s="2">
        <v>1.4607917243499722E-2</v>
      </c>
      <c r="I130" s="2">
        <v>6.8678347812448537E-4</v>
      </c>
      <c r="J130" s="2">
        <v>0.70233146350812636</v>
      </c>
      <c r="K130" s="2">
        <v>7.7255304715182751E-4</v>
      </c>
      <c r="L130" s="2">
        <v>-0.25830898684819742</v>
      </c>
      <c r="M130" s="2">
        <v>1.3147216635395014E-2</v>
      </c>
      <c r="N130" s="2">
        <v>1.213622386495502E-3</v>
      </c>
      <c r="O130" s="2">
        <v>0.70363777403097005</v>
      </c>
      <c r="P130" s="2">
        <v>7.8108715010942443E-4</v>
      </c>
      <c r="Q130" s="2">
        <v>-4.1053153371976993E-2</v>
      </c>
      <c r="V130" s="2" t="s">
        <v>196</v>
      </c>
    </row>
    <row r="131" spans="1:22" x14ac:dyDescent="0.2">
      <c r="A131" s="2">
        <v>103</v>
      </c>
      <c r="B131" s="2" t="s">
        <v>132</v>
      </c>
      <c r="C131" s="2" t="str">
        <f t="shared" si="18"/>
        <v>20220223_NeomaMSMS_SrF_LA_Chicago_Run1_RbSr_export_processed</v>
      </c>
      <c r="D131" s="2">
        <v>708827247.63040853</v>
      </c>
      <c r="E131" s="2">
        <v>48956.85</v>
      </c>
      <c r="F131" s="2">
        <v>48403.775000000001</v>
      </c>
      <c r="G131" s="2">
        <v>1169.3800000000001</v>
      </c>
      <c r="H131" s="2">
        <v>2.0639446080600723E-2</v>
      </c>
      <c r="I131" s="2">
        <v>1.3557950549217216E-3</v>
      </c>
      <c r="J131" s="2">
        <v>0.70115073215671242</v>
      </c>
      <c r="K131" s="2">
        <v>8.825665460091823E-4</v>
      </c>
      <c r="L131" s="2">
        <v>-0.10419720110810621</v>
      </c>
      <c r="M131" s="2">
        <v>1.8575630210183384E-2</v>
      </c>
      <c r="N131" s="2">
        <v>1.9148156421963331E-3</v>
      </c>
      <c r="O131" s="2">
        <v>0.70245484656295143</v>
      </c>
      <c r="P131" s="2">
        <v>8.9040638498320216E-4</v>
      </c>
      <c r="Q131" s="2">
        <v>4.1028011974420138E-3</v>
      </c>
      <c r="V131" s="2" t="s">
        <v>196</v>
      </c>
    </row>
    <row r="132" spans="1:22" x14ac:dyDescent="0.2">
      <c r="A132" s="2">
        <v>104</v>
      </c>
      <c r="B132" s="2" t="s">
        <v>133</v>
      </c>
      <c r="C132" s="2" t="str">
        <f t="shared" si="18"/>
        <v>20220223_NeomaMSMS_SrF_LA_Chicago_Run1_RbSr_export_processed</v>
      </c>
      <c r="D132" s="2">
        <v>877195480.15880752</v>
      </c>
      <c r="E132" s="2">
        <v>49152.413999999997</v>
      </c>
      <c r="F132" s="2">
        <v>48458.235999999997</v>
      </c>
      <c r="G132" s="2">
        <v>1169.3800000000001</v>
      </c>
      <c r="H132" s="2">
        <v>3.3782657760285467E-2</v>
      </c>
      <c r="I132" s="2">
        <v>2.2010128305640121E-3</v>
      </c>
      <c r="J132" s="2">
        <v>0.70284231625199822</v>
      </c>
      <c r="K132" s="2">
        <v>1.1696417476306713E-3</v>
      </c>
      <c r="L132" s="2">
        <v>0.43529270692298533</v>
      </c>
      <c r="M132" s="2">
        <v>3.0404602702107986E-2</v>
      </c>
      <c r="N132" s="2">
        <v>3.123785243109147E-3</v>
      </c>
      <c r="O132" s="2">
        <v>0.70414957694203439</v>
      </c>
      <c r="P132" s="2">
        <v>1.176523848970035E-3</v>
      </c>
      <c r="Q132" s="2">
        <v>0.32824548448430474</v>
      </c>
      <c r="V132" s="2" t="s">
        <v>196</v>
      </c>
    </row>
    <row r="133" spans="1:22" x14ac:dyDescent="0.2">
      <c r="A133" s="2">
        <v>105</v>
      </c>
      <c r="B133" s="2" t="s">
        <v>134</v>
      </c>
      <c r="C133" s="2" t="str">
        <f t="shared" ref="C133:C196" si="19">V133</f>
        <v>20220223_NeomaMSMS_SrF_LA_Chicago_Run1_RbSr_export_processed</v>
      </c>
      <c r="D133" s="2">
        <v>683658935.25967181</v>
      </c>
      <c r="E133" s="2">
        <v>49602.983999999997</v>
      </c>
      <c r="F133" s="2">
        <v>48218.044999999998</v>
      </c>
      <c r="G133" s="2">
        <v>1169.3800000000001</v>
      </c>
      <c r="H133" s="2">
        <v>5.9725388826169186E-2</v>
      </c>
      <c r="I133" s="2">
        <v>6.2771907377939E-3</v>
      </c>
      <c r="J133" s="2">
        <v>0.7044395580684103</v>
      </c>
      <c r="K133" s="2">
        <v>9.679210917137675E-4</v>
      </c>
      <c r="L133" s="2">
        <v>0.5135388502608732</v>
      </c>
      <c r="M133" s="2">
        <v>5.3753222478054342E-2</v>
      </c>
      <c r="N133" s="2">
        <v>7.0817722847403095E-3</v>
      </c>
      <c r="O133" s="2">
        <v>0.70574978956909762</v>
      </c>
      <c r="P133" s="2">
        <v>9.7542944041198779E-4</v>
      </c>
      <c r="Q133" s="2">
        <v>0.45754003293711187</v>
      </c>
      <c r="V133" s="2" t="s">
        <v>196</v>
      </c>
    </row>
    <row r="134" spans="1:22" x14ac:dyDescent="0.2">
      <c r="A134" s="2">
        <v>108</v>
      </c>
      <c r="B134" s="2" t="s">
        <v>135</v>
      </c>
      <c r="C134" s="2" t="str">
        <f t="shared" si="19"/>
        <v>20220223_NeomaMSMS_SrF_LA_Chicago_Run1_RbSr_export_processed</v>
      </c>
      <c r="D134" s="2">
        <v>743071215.02421486</v>
      </c>
      <c r="E134" s="2">
        <v>49622.788</v>
      </c>
      <c r="F134" s="2">
        <v>48388.853999999999</v>
      </c>
      <c r="G134" s="2">
        <v>1169.3800000000001</v>
      </c>
      <c r="H134" s="2">
        <v>0.11378109944009079</v>
      </c>
      <c r="I134" s="2">
        <v>7.6110598696199905E-3</v>
      </c>
      <c r="J134" s="2">
        <v>0.7051361961539272</v>
      </c>
      <c r="K134" s="2">
        <v>8.7553629276449928E-4</v>
      </c>
      <c r="L134" s="2">
        <v>0.18964046937425369</v>
      </c>
      <c r="M134" s="2">
        <v>9.9552774925428522E-2</v>
      </c>
      <c r="N134" s="2">
        <v>1.054523598897175E-2</v>
      </c>
      <c r="O134" s="2">
        <v>0.70671415658800296</v>
      </c>
      <c r="P134" s="2">
        <v>9.5684600799039656E-4</v>
      </c>
      <c r="Q134" s="2">
        <v>0.3279878554525123</v>
      </c>
      <c r="V134" s="2" t="s">
        <v>196</v>
      </c>
    </row>
    <row r="135" spans="1:22" x14ac:dyDescent="0.2">
      <c r="A135" s="2">
        <v>109</v>
      </c>
      <c r="B135" s="2" t="s">
        <v>136</v>
      </c>
      <c r="C135" s="2" t="str">
        <f t="shared" si="19"/>
        <v>20220223_NeomaMSMS_SrF_LA_Chicago_Run1_RbSr_export_processed</v>
      </c>
      <c r="D135" s="2">
        <v>594019524.53606594</v>
      </c>
      <c r="E135" s="2">
        <v>49761.415999999997</v>
      </c>
      <c r="F135" s="2">
        <v>48294.786</v>
      </c>
      <c r="G135" s="2">
        <v>1169.3800000000001</v>
      </c>
      <c r="H135" s="2">
        <v>0.20541619014887225</v>
      </c>
      <c r="I135" s="2">
        <v>4.537345306155962E-2</v>
      </c>
      <c r="J135" s="2">
        <v>0.7123341827865276</v>
      </c>
      <c r="K135" s="2">
        <v>8.2285803989035078E-4</v>
      </c>
      <c r="L135" s="2">
        <v>0.16570849231044296</v>
      </c>
      <c r="M135" s="2">
        <v>0.1797288991279006</v>
      </c>
      <c r="N135" s="2">
        <v>4.235511732630684E-2</v>
      </c>
      <c r="O135" s="2">
        <v>0.71392825094301682</v>
      </c>
      <c r="P135" s="2">
        <v>9.1031410979729036E-4</v>
      </c>
      <c r="Q135" s="2">
        <v>0.24483608259581932</v>
      </c>
      <c r="V135" s="2" t="s">
        <v>196</v>
      </c>
    </row>
    <row r="136" spans="1:22" x14ac:dyDescent="0.2">
      <c r="A136" s="2">
        <v>110</v>
      </c>
      <c r="B136" s="2" t="s">
        <v>137</v>
      </c>
      <c r="C136" s="2" t="str">
        <f t="shared" si="19"/>
        <v>20220223_NeomaMSMS_SrF_LA_Chicago_Run1_RbSr_export_processed</v>
      </c>
      <c r="D136" s="2">
        <v>232928719.04413709</v>
      </c>
      <c r="E136" s="2">
        <v>49949.712</v>
      </c>
      <c r="F136" s="2">
        <v>48042.137999999999</v>
      </c>
      <c r="G136" s="2">
        <v>1196.56</v>
      </c>
      <c r="H136" s="2">
        <v>0.16175302968207217</v>
      </c>
      <c r="I136" s="2">
        <v>2.8315916092109147E-2</v>
      </c>
      <c r="J136" s="2">
        <v>0.72697310757893108</v>
      </c>
      <c r="K136" s="2">
        <v>1.8991792926925427E-3</v>
      </c>
      <c r="L136" s="2">
        <v>0.78611540085059961</v>
      </c>
      <c r="M136" s="2">
        <v>0.141525816121369</v>
      </c>
      <c r="N136" s="2">
        <v>2.7366332461390273E-2</v>
      </c>
      <c r="O136" s="2">
        <v>0.72859993485946728</v>
      </c>
      <c r="P136" s="2">
        <v>1.9436444419071227E-3</v>
      </c>
      <c r="Q136" s="2">
        <v>0.757608614723014</v>
      </c>
      <c r="V136" s="2" t="s">
        <v>196</v>
      </c>
    </row>
    <row r="137" spans="1:22" x14ac:dyDescent="0.2">
      <c r="A137" s="2">
        <v>111</v>
      </c>
      <c r="B137" s="2" t="s">
        <v>138</v>
      </c>
      <c r="C137" s="2" t="str">
        <f t="shared" si="19"/>
        <v>20220223_NeomaMSMS_SrF_LA_Chicago_Run1_RbSr_export_processed</v>
      </c>
      <c r="D137" s="2">
        <v>224024954.54826024</v>
      </c>
      <c r="E137" s="2">
        <v>50075.962</v>
      </c>
      <c r="F137" s="2">
        <v>47977.775000000001</v>
      </c>
      <c r="G137" s="2">
        <v>1203.44</v>
      </c>
      <c r="H137" s="2">
        <v>0.17765087609468461</v>
      </c>
      <c r="I137" s="2">
        <v>1.9525346921308504E-2</v>
      </c>
      <c r="J137" s="2">
        <v>0.72922029957352286</v>
      </c>
      <c r="K137" s="2">
        <v>3.8934122696022444E-3</v>
      </c>
      <c r="L137" s="2">
        <v>-0.12951662087254509</v>
      </c>
      <c r="M137" s="2">
        <v>0.15543563711538361</v>
      </c>
      <c r="N137" s="2">
        <v>2.1326802954523282E-2</v>
      </c>
      <c r="O137" s="2">
        <v>0.73085215564151107</v>
      </c>
      <c r="P137" s="2">
        <v>3.9220209053719294E-3</v>
      </c>
      <c r="Q137" s="2">
        <v>-6.0728526211394962E-2</v>
      </c>
      <c r="V137" s="2" t="s">
        <v>196</v>
      </c>
    </row>
    <row r="138" spans="1:22" x14ac:dyDescent="0.2">
      <c r="A138" s="2">
        <v>112</v>
      </c>
      <c r="B138" s="2" t="s">
        <v>139</v>
      </c>
      <c r="C138" s="2" t="str">
        <f t="shared" si="19"/>
        <v>20220223_NeomaMSMS_SrF_LA_Chicago_Run1_RbSr_export_processed</v>
      </c>
      <c r="D138" s="2">
        <v>157797113.54480892</v>
      </c>
      <c r="E138" s="2">
        <v>50226.966999999997</v>
      </c>
      <c r="F138" s="2">
        <v>47930.741000000002</v>
      </c>
      <c r="G138" s="2">
        <v>1192.19</v>
      </c>
      <c r="H138" s="2">
        <v>0.16166558701053377</v>
      </c>
      <c r="I138" s="2">
        <v>1.9468441188831079E-2</v>
      </c>
      <c r="J138" s="2">
        <v>0.71755419196921999</v>
      </c>
      <c r="K138" s="2">
        <v>7.8858094107063948E-3</v>
      </c>
      <c r="L138" s="2">
        <v>-0.90210764952643063</v>
      </c>
      <c r="M138" s="2">
        <v>0.14144930815439227</v>
      </c>
      <c r="N138" s="2">
        <v>2.0618513868682985E-2</v>
      </c>
      <c r="O138" s="2">
        <v>0.71915994151151907</v>
      </c>
      <c r="P138" s="2">
        <v>7.9129861561770959E-3</v>
      </c>
      <c r="Q138" s="2">
        <v>-0.72486772797846588</v>
      </c>
      <c r="V138" s="2" t="s">
        <v>196</v>
      </c>
    </row>
    <row r="139" spans="1:22" x14ac:dyDescent="0.2">
      <c r="A139" s="2">
        <v>115</v>
      </c>
      <c r="B139" s="2" t="s">
        <v>140</v>
      </c>
      <c r="C139" s="2" t="str">
        <f t="shared" si="19"/>
        <v>20220223_NeomaMSMS_SrF_LA_Chicago_Run1_RbSr_export_processed</v>
      </c>
      <c r="D139" s="2">
        <v>250993816.23045942</v>
      </c>
      <c r="E139" s="2">
        <v>50071.010999999999</v>
      </c>
      <c r="F139" s="2">
        <v>48299.59</v>
      </c>
      <c r="G139" s="2">
        <v>1203.75</v>
      </c>
      <c r="H139" s="2">
        <v>0.15010979385986323</v>
      </c>
      <c r="I139" s="2">
        <v>8.6180483266634494E-3</v>
      </c>
      <c r="J139" s="2">
        <v>0.72917943053471346</v>
      </c>
      <c r="K139" s="2">
        <v>2.660685593486159E-3</v>
      </c>
      <c r="L139" s="2">
        <v>0.5201875155520187</v>
      </c>
      <c r="M139" s="2">
        <v>0.13052730023541226</v>
      </c>
      <c r="N139" s="2">
        <v>1.2218825331391039E-2</v>
      </c>
      <c r="O139" s="2">
        <v>0.73126213767040549</v>
      </c>
      <c r="P139" s="2">
        <v>2.6967782651288472E-3</v>
      </c>
      <c r="Q139" s="2">
        <v>0.45057143499006164</v>
      </c>
      <c r="V139" s="2" t="s">
        <v>196</v>
      </c>
    </row>
    <row r="140" spans="1:22" x14ac:dyDescent="0.2">
      <c r="A140" s="2">
        <v>116</v>
      </c>
      <c r="B140" s="2" t="s">
        <v>141</v>
      </c>
      <c r="C140" s="2" t="str">
        <f t="shared" si="19"/>
        <v>20220223_NeomaMSMS_SrF_LA_Chicago_Run1_RbSr_export_processed</v>
      </c>
      <c r="D140" s="2">
        <v>150843158.79450926</v>
      </c>
      <c r="E140" s="2">
        <v>50194.786</v>
      </c>
      <c r="F140" s="2">
        <v>48391.182999999997</v>
      </c>
      <c r="G140" s="2">
        <v>1197.5</v>
      </c>
      <c r="H140" s="2">
        <v>0.15383439856772294</v>
      </c>
      <c r="I140" s="2">
        <v>4.8000228946041574E-3</v>
      </c>
      <c r="J140" s="2">
        <v>0.71548008953199393</v>
      </c>
      <c r="K140" s="2">
        <v>7.4980274004760594E-3</v>
      </c>
      <c r="L140" s="2">
        <v>0.57541484260654896</v>
      </c>
      <c r="M140" s="2">
        <v>0.13376601360953697</v>
      </c>
      <c r="N140" s="2">
        <v>1.0735146326397797E-2</v>
      </c>
      <c r="O140" s="2">
        <v>0.71752366814311996</v>
      </c>
      <c r="P140" s="2">
        <v>7.5292236214986553E-3</v>
      </c>
      <c r="Q140" s="2">
        <v>0.27873774063797485</v>
      </c>
      <c r="V140" s="2" t="s">
        <v>196</v>
      </c>
    </row>
    <row r="141" spans="1:22" x14ac:dyDescent="0.2">
      <c r="A141" s="2">
        <v>117</v>
      </c>
      <c r="B141" s="2" t="s">
        <v>142</v>
      </c>
      <c r="C141" s="2" t="str">
        <f t="shared" si="19"/>
        <v>20220223_NeomaMSMS_SrF_LA_Chicago_Run1_RbSr_export_processed</v>
      </c>
      <c r="D141" s="2">
        <v>571844050.86582756</v>
      </c>
      <c r="E141" s="2">
        <v>51068.07</v>
      </c>
      <c r="F141" s="2">
        <v>47767.31</v>
      </c>
      <c r="G141" s="2">
        <v>1232.81</v>
      </c>
      <c r="H141" s="2">
        <v>0.12081177313533208</v>
      </c>
      <c r="I141" s="2">
        <v>5.3944135341861404E-3</v>
      </c>
      <c r="J141" s="2">
        <v>0.71236927981333498</v>
      </c>
      <c r="K141" s="2">
        <v>1.0905235724862298E-3</v>
      </c>
      <c r="L141" s="2">
        <v>0.40072082728042535</v>
      </c>
      <c r="M141" s="2">
        <v>0.10505133728136062</v>
      </c>
      <c r="N141" s="2">
        <v>9.0738571901912493E-3</v>
      </c>
      <c r="O141" s="2">
        <v>0.71440397322374438</v>
      </c>
      <c r="P141" s="2">
        <v>1.1584236275975718E-3</v>
      </c>
      <c r="Q141" s="2">
        <v>0.52810055519927157</v>
      </c>
      <c r="V141" s="2" t="s">
        <v>196</v>
      </c>
    </row>
    <row r="142" spans="1:22" x14ac:dyDescent="0.2">
      <c r="A142" s="2">
        <v>118</v>
      </c>
      <c r="B142" s="2" t="s">
        <v>143</v>
      </c>
      <c r="C142" s="2" t="str">
        <f t="shared" si="19"/>
        <v>20220223_NeomaMSMS_SrF_LA_Chicago_Run1_RbSr_export_processed</v>
      </c>
      <c r="D142" s="2">
        <v>192356339.39983329</v>
      </c>
      <c r="E142" s="2">
        <v>50882.506000000001</v>
      </c>
      <c r="F142" s="2">
        <v>47529.625999999997</v>
      </c>
      <c r="G142" s="2">
        <v>1211.56</v>
      </c>
      <c r="H142" s="2">
        <v>6.2726850080110377E-2</v>
      </c>
      <c r="I142" s="2">
        <v>1.1346479599942318E-2</v>
      </c>
      <c r="J142" s="2">
        <v>0.71396375058973705</v>
      </c>
      <c r="K142" s="2">
        <v>3.2983999275971116E-3</v>
      </c>
      <c r="L142" s="2">
        <v>-0.6749148637908533</v>
      </c>
      <c r="M142" s="2">
        <v>5.4543852087838199E-2</v>
      </c>
      <c r="N142" s="2">
        <v>1.0658701201972027E-2</v>
      </c>
      <c r="O142" s="2">
        <v>0.71600299818190827</v>
      </c>
      <c r="P142" s="2">
        <v>3.3298999375698576E-3</v>
      </c>
      <c r="Q142" s="2">
        <v>-0.56934809759590577</v>
      </c>
      <c r="V142" s="2" t="s">
        <v>196</v>
      </c>
    </row>
    <row r="143" spans="1:22" x14ac:dyDescent="0.2">
      <c r="A143" s="2">
        <v>119</v>
      </c>
      <c r="B143" s="2" t="s">
        <v>144</v>
      </c>
      <c r="C143" s="2" t="str">
        <f t="shared" si="19"/>
        <v>20220223_NeomaMSMS_SrF_LA_Chicago_Run1_RbSr_export_processed</v>
      </c>
      <c r="D143" s="2">
        <v>129662741.88300778</v>
      </c>
      <c r="E143" s="2">
        <v>51787.623</v>
      </c>
      <c r="F143" s="2">
        <v>47426.040999999997</v>
      </c>
      <c r="G143" s="2">
        <v>1169.3800000000001</v>
      </c>
      <c r="H143" s="2">
        <v>8.7868432784195816E-2</v>
      </c>
      <c r="I143" s="2">
        <v>2.4816100064334871E-2</v>
      </c>
      <c r="J143" s="2">
        <v>0.71202518776524693</v>
      </c>
      <c r="K143" s="2">
        <v>6.6470268727858691E-3</v>
      </c>
      <c r="L143" s="2">
        <v>0.38784360216001251</v>
      </c>
      <c r="M143" s="2">
        <v>7.640560294117188E-2</v>
      </c>
      <c r="N143" s="2">
        <v>2.2305979525152186E-2</v>
      </c>
      <c r="O143" s="2">
        <v>0.71405889836822367</v>
      </c>
      <c r="P143" s="2">
        <v>6.6769364233581112E-3</v>
      </c>
      <c r="Q143" s="2">
        <v>0.39164600698495872</v>
      </c>
      <c r="V143" s="2" t="s">
        <v>196</v>
      </c>
    </row>
    <row r="144" spans="1:22" x14ac:dyDescent="0.2">
      <c r="A144" s="2">
        <v>122</v>
      </c>
      <c r="B144" s="2" t="s">
        <v>145</v>
      </c>
      <c r="C144" s="2" t="str">
        <f t="shared" si="19"/>
        <v>20220223_NeomaMSMS_SrF_LA_Chicago_Run1_RbSr_export_processed</v>
      </c>
      <c r="D144" s="2">
        <v>998280124.71595955</v>
      </c>
      <c r="E144" s="2">
        <v>52097.997000000003</v>
      </c>
      <c r="F144" s="2">
        <v>47450.741000000002</v>
      </c>
      <c r="G144" s="2">
        <v>1243.1300000000001</v>
      </c>
      <c r="H144" s="2">
        <v>2.7580412938074818E-2</v>
      </c>
      <c r="I144" s="2">
        <v>7.7244150098325001E-4</v>
      </c>
      <c r="J144" s="2">
        <v>0.70284675610307357</v>
      </c>
      <c r="K144" s="2">
        <v>6.6462483521096381E-4</v>
      </c>
      <c r="L144" s="2">
        <v>-0.41527498161701437</v>
      </c>
      <c r="M144" s="2">
        <v>2.4019070692739584E-2</v>
      </c>
      <c r="N144" s="2">
        <v>1.710381714881332E-3</v>
      </c>
      <c r="O144" s="2">
        <v>0.70492587584393729</v>
      </c>
      <c r="P144" s="2">
        <v>6.6461069212586058E-4</v>
      </c>
      <c r="Q144" s="2">
        <v>0.20926776602207869</v>
      </c>
      <c r="V144" s="2" t="s">
        <v>196</v>
      </c>
    </row>
    <row r="145" spans="1:22" x14ac:dyDescent="0.2">
      <c r="A145" s="2">
        <v>123</v>
      </c>
      <c r="B145" s="2" t="s">
        <v>146</v>
      </c>
      <c r="C145" s="2" t="str">
        <f t="shared" si="19"/>
        <v>20220223_NeomaMSMS_SrF_LA_Chicago_Run1_RbSr_export_processed</v>
      </c>
      <c r="D145" s="2">
        <v>1530458390.025239</v>
      </c>
      <c r="E145" s="2">
        <v>52486.690999999999</v>
      </c>
      <c r="F145" s="2">
        <v>47600.925000000003</v>
      </c>
      <c r="G145" s="2">
        <v>1284.69</v>
      </c>
      <c r="H145" s="2">
        <v>1.882693398068279E-3</v>
      </c>
      <c r="I145" s="2">
        <v>8.365726267293178E-4</v>
      </c>
      <c r="J145" s="2">
        <v>0.70877414212794587</v>
      </c>
      <c r="K145" s="2">
        <v>1.6365423169359232E-3</v>
      </c>
      <c r="L145" s="2">
        <v>0.8933557846657727</v>
      </c>
      <c r="M145" s="2">
        <v>1.6395891505499923E-3</v>
      </c>
      <c r="N145" s="2">
        <v>7.3641517074904492E-4</v>
      </c>
      <c r="O145" s="2">
        <v>0.71087079591188373</v>
      </c>
      <c r="P145" s="2">
        <v>1.6405666416607436E-3</v>
      </c>
      <c r="Q145" s="2">
        <v>0.90841829672792107</v>
      </c>
      <c r="V145" s="2" t="s">
        <v>196</v>
      </c>
    </row>
    <row r="146" spans="1:22" x14ac:dyDescent="0.2">
      <c r="A146" s="2">
        <v>124</v>
      </c>
      <c r="B146" s="2" t="s">
        <v>147</v>
      </c>
      <c r="C146" s="2" t="str">
        <f t="shared" si="19"/>
        <v>20220223_NeomaMSMS_SrF_LA_Chicago_Run1_RbSr_export_processed</v>
      </c>
      <c r="D146" s="2">
        <v>1633573352.6780863</v>
      </c>
      <c r="E146" s="2">
        <v>52456.985000000001</v>
      </c>
      <c r="F146" s="2">
        <v>47776.686000000002</v>
      </c>
      <c r="G146" s="2">
        <v>1278.44</v>
      </c>
      <c r="H146" s="2">
        <v>5.2231639687415864E-3</v>
      </c>
      <c r="I146" s="2">
        <v>2.8701650363323734E-3</v>
      </c>
      <c r="J146" s="2">
        <v>0.70836058145661696</v>
      </c>
      <c r="K146" s="2">
        <v>5.21072489205573E-4</v>
      </c>
      <c r="L146" s="2">
        <v>-0.25122207756912307</v>
      </c>
      <c r="M146" s="2">
        <v>4.5487188638783137E-3</v>
      </c>
      <c r="N146" s="2">
        <v>2.517231174166309E-3</v>
      </c>
      <c r="O146" s="2">
        <v>0.71045601186981533</v>
      </c>
      <c r="P146" s="2">
        <v>5.2004588284144753E-4</v>
      </c>
      <c r="Q146" s="2">
        <v>-0.18885544191733955</v>
      </c>
      <c r="V146" s="2" t="s">
        <v>196</v>
      </c>
    </row>
    <row r="147" spans="1:22" x14ac:dyDescent="0.2">
      <c r="A147" s="2">
        <v>125</v>
      </c>
      <c r="B147" s="2" t="s">
        <v>148</v>
      </c>
      <c r="C147" s="2" t="str">
        <f t="shared" si="19"/>
        <v>20220223_NeomaMSMS_SrF_LA_Chicago_Run1_RbSr_export_processed</v>
      </c>
      <c r="D147" s="2">
        <v>701177277.7417134</v>
      </c>
      <c r="E147" s="2">
        <v>53570.112000000001</v>
      </c>
      <c r="F147" s="2">
        <v>50011.587</v>
      </c>
      <c r="G147" s="2">
        <v>1352.5</v>
      </c>
      <c r="H147" s="2">
        <v>8.0480567839524161E-2</v>
      </c>
      <c r="I147" s="2">
        <v>3.6418694678724446E-3</v>
      </c>
      <c r="J147" s="2">
        <v>0.71077547785483863</v>
      </c>
      <c r="K147" s="2">
        <v>1.1880688089187818E-3</v>
      </c>
      <c r="L147" s="2">
        <v>0.59866050850347008</v>
      </c>
      <c r="M147" s="2">
        <v>7.0088451999235649E-2</v>
      </c>
      <c r="N147" s="2">
        <v>5.5781264623125781E-3</v>
      </c>
      <c r="O147" s="2">
        <v>0.7128780518718596</v>
      </c>
      <c r="P147" s="2">
        <v>1.190451541171735E-3</v>
      </c>
      <c r="Q147" s="2">
        <v>0.52917392708259592</v>
      </c>
      <c r="V147" s="2" t="s">
        <v>196</v>
      </c>
    </row>
    <row r="148" spans="1:22" x14ac:dyDescent="0.2">
      <c r="A148" s="2">
        <v>126</v>
      </c>
      <c r="B148" s="2" t="s">
        <v>149</v>
      </c>
      <c r="C148" s="2" t="str">
        <f t="shared" si="19"/>
        <v>20220223_NeomaMSMS_SrF_LA_Chicago_Run1_RbSr_export_processed</v>
      </c>
      <c r="D148" s="2">
        <v>524982253.7831856</v>
      </c>
      <c r="E148" s="2">
        <v>53306.900999999998</v>
      </c>
      <c r="F148" s="2">
        <v>50094.099000000002</v>
      </c>
      <c r="G148" s="2">
        <v>1272.5</v>
      </c>
      <c r="H148" s="2">
        <v>1.4807072742233203E-2</v>
      </c>
      <c r="I148" s="2">
        <v>4.6789817381424495E-3</v>
      </c>
      <c r="J148" s="2">
        <v>0.7010650693398689</v>
      </c>
      <c r="K148" s="2">
        <v>8.0073128368089849E-4</v>
      </c>
      <c r="L148" s="2">
        <v>0.55151942542511534</v>
      </c>
      <c r="M148" s="2">
        <v>1.2895097972128552E-2</v>
      </c>
      <c r="N148" s="2">
        <v>4.1613443969658196E-3</v>
      </c>
      <c r="O148" s="2">
        <v>0.70313891860023414</v>
      </c>
      <c r="P148" s="2">
        <v>8.0146543991433208E-4</v>
      </c>
      <c r="Q148" s="2">
        <v>0.60924618183954415</v>
      </c>
      <c r="V148" s="2" t="s">
        <v>196</v>
      </c>
    </row>
    <row r="149" spans="1:22" x14ac:dyDescent="0.2">
      <c r="A149" s="2">
        <v>129</v>
      </c>
      <c r="B149" s="2" t="s">
        <v>150</v>
      </c>
      <c r="C149" s="2" t="str">
        <f t="shared" si="19"/>
        <v>20220223_NeomaMSMS_SrF_LA_Chicago_Run1_RbSr_export_processed</v>
      </c>
      <c r="D149" s="2">
        <v>381242078.908714</v>
      </c>
      <c r="E149" s="2">
        <v>53752.463000000003</v>
      </c>
      <c r="F149" s="2">
        <v>50185.686000000002</v>
      </c>
      <c r="G149" s="2">
        <v>1308.44</v>
      </c>
      <c r="H149" s="2">
        <v>0.42969810790281887</v>
      </c>
      <c r="I149" s="2">
        <v>8.4475679183883601E-2</v>
      </c>
      <c r="J149" s="2">
        <v>0.73209645620574393</v>
      </c>
      <c r="K149" s="2">
        <v>2.6735795762896451E-3</v>
      </c>
      <c r="L149" s="2">
        <v>0.82633783389587667</v>
      </c>
      <c r="M149" s="2">
        <v>0.3719984126760808</v>
      </c>
      <c r="N149" s="2">
        <v>7.9155778805700239E-2</v>
      </c>
      <c r="O149" s="2">
        <v>0.73385968950401104</v>
      </c>
      <c r="P149" s="2">
        <v>2.6892124940394056E-3</v>
      </c>
      <c r="Q149" s="2">
        <v>0.78665449140577681</v>
      </c>
      <c r="V149" s="2" t="s">
        <v>196</v>
      </c>
    </row>
    <row r="150" spans="1:22" x14ac:dyDescent="0.2">
      <c r="A150" s="2">
        <v>130</v>
      </c>
      <c r="B150" s="2" t="s">
        <v>151</v>
      </c>
      <c r="C150" s="2" t="str">
        <f t="shared" si="19"/>
        <v>20220223_NeomaMSMS_SrF_LA_Chicago_Run1_RbSr_export_processed</v>
      </c>
      <c r="D150" s="2">
        <v>758299971.64062667</v>
      </c>
      <c r="E150" s="2">
        <v>53222.500999999997</v>
      </c>
      <c r="F150" s="2">
        <v>50867.97</v>
      </c>
      <c r="G150" s="2">
        <v>1349.69</v>
      </c>
      <c r="H150" s="2">
        <v>2.4043063313896829E-2</v>
      </c>
      <c r="I150" s="2">
        <v>5.3978495561988072E-4</v>
      </c>
      <c r="J150" s="2">
        <v>0.70277919349915685</v>
      </c>
      <c r="K150" s="2">
        <v>6.2292214144576215E-4</v>
      </c>
      <c r="L150" s="2">
        <v>6.0334949297007494E-2</v>
      </c>
      <c r="M150" s="2">
        <v>2.0814570099673128E-2</v>
      </c>
      <c r="N150" s="2">
        <v>1.7579084108711261E-3</v>
      </c>
      <c r="O150" s="2">
        <v>0.70447181701181416</v>
      </c>
      <c r="P150" s="2">
        <v>6.5984238639422294E-4</v>
      </c>
      <c r="Q150" s="2">
        <v>0.26956881162797558</v>
      </c>
      <c r="V150" s="2" t="s">
        <v>196</v>
      </c>
    </row>
    <row r="151" spans="1:22" x14ac:dyDescent="0.2">
      <c r="A151" s="2">
        <v>131</v>
      </c>
      <c r="B151" s="2" t="s">
        <v>152</v>
      </c>
      <c r="C151" s="2" t="str">
        <f t="shared" si="19"/>
        <v>20220223_NeomaMSMS_SrF_LA_Chicago_Run1_RbSr_export_processed</v>
      </c>
      <c r="D151" s="2">
        <v>831307786.38133085</v>
      </c>
      <c r="E151" s="2">
        <v>52861.178</v>
      </c>
      <c r="F151" s="2">
        <v>50965.425999999999</v>
      </c>
      <c r="G151" s="2">
        <v>1349.69</v>
      </c>
      <c r="H151" s="2">
        <v>2.8643042184024897E-2</v>
      </c>
      <c r="I151" s="2">
        <v>2.0179374068709701E-3</v>
      </c>
      <c r="J151" s="2">
        <v>0.70248456604912723</v>
      </c>
      <c r="K151" s="2">
        <v>9.455859569515578E-4</v>
      </c>
      <c r="L151" s="2">
        <v>0.46485453757382927</v>
      </c>
      <c r="M151" s="2">
        <v>2.4796865591693671E-2</v>
      </c>
      <c r="N151" s="2">
        <v>2.6697943981834802E-3</v>
      </c>
      <c r="O151" s="2">
        <v>0.70417647996002919</v>
      </c>
      <c r="P151" s="2">
        <v>9.715428165047354E-4</v>
      </c>
      <c r="Q151" s="2">
        <v>0.43223285589676841</v>
      </c>
      <c r="V151" s="2" t="s">
        <v>196</v>
      </c>
    </row>
    <row r="152" spans="1:22" x14ac:dyDescent="0.2">
      <c r="A152" s="2">
        <v>132</v>
      </c>
      <c r="B152" s="2" t="s">
        <v>153</v>
      </c>
      <c r="C152" s="2" t="str">
        <f t="shared" si="19"/>
        <v>20220223_NeomaMSMS_SrF_LA_Chicago_Run1_RbSr_export_processed</v>
      </c>
      <c r="D152" s="2">
        <v>837753586.8034184</v>
      </c>
      <c r="E152" s="2">
        <v>53447.752999999997</v>
      </c>
      <c r="F152" s="2">
        <v>51118.046000000002</v>
      </c>
      <c r="G152" s="2">
        <v>1349.69</v>
      </c>
      <c r="H152" s="2">
        <v>1.4488020530742041E-2</v>
      </c>
      <c r="I152" s="2">
        <v>1.5482601191600064E-3</v>
      </c>
      <c r="J152" s="2">
        <v>0.70031091023046033</v>
      </c>
      <c r="K152" s="2">
        <v>1.0708555799911377E-3</v>
      </c>
      <c r="L152" s="2">
        <v>-0.54602656629527124</v>
      </c>
      <c r="M152" s="2">
        <v>1.2542574754537692E-2</v>
      </c>
      <c r="N152" s="2">
        <v>1.6850434147230059E-3</v>
      </c>
      <c r="O152" s="2">
        <v>0.70199758895372288</v>
      </c>
      <c r="P152" s="2">
        <v>1.0942722243002349E-3</v>
      </c>
      <c r="Q152" s="2">
        <v>-0.32997040618739559</v>
      </c>
      <c r="V152" s="2" t="s">
        <v>196</v>
      </c>
    </row>
    <row r="153" spans="1:22" x14ac:dyDescent="0.2">
      <c r="A153" s="2">
        <v>133</v>
      </c>
      <c r="B153" s="2" t="s">
        <v>154</v>
      </c>
      <c r="C153" s="2" t="str">
        <f t="shared" si="19"/>
        <v>20220223_NeomaMSMS_SrF_LA_Chicago_Run1_RbSr_export_processed</v>
      </c>
      <c r="D153" s="2">
        <v>880405197.48624349</v>
      </c>
      <c r="E153" s="2">
        <v>53322.714999999997</v>
      </c>
      <c r="F153" s="2">
        <v>51150.224999999999</v>
      </c>
      <c r="G153" s="2">
        <v>1349.69</v>
      </c>
      <c r="H153" s="2">
        <v>2.4888445523616787E-2</v>
      </c>
      <c r="I153" s="2">
        <v>2.3713351778903626E-3</v>
      </c>
      <c r="J153" s="2">
        <v>0.70164599916235793</v>
      </c>
      <c r="K153" s="2">
        <v>8.207567502666991E-4</v>
      </c>
      <c r="L153" s="2">
        <v>0.36267294703230762</v>
      </c>
      <c r="M153" s="2">
        <v>2.1546434714240021E-2</v>
      </c>
      <c r="N153" s="2">
        <v>2.7003388332047626E-3</v>
      </c>
      <c r="O153" s="2">
        <v>0.70333589340898606</v>
      </c>
      <c r="P153" s="2">
        <v>8.4984261369161246E-4</v>
      </c>
      <c r="Q153" s="2">
        <v>0.39981318968071583</v>
      </c>
      <c r="V153" s="2" t="s">
        <v>196</v>
      </c>
    </row>
    <row r="154" spans="1:22" x14ac:dyDescent="0.2">
      <c r="A154" s="2">
        <v>136</v>
      </c>
      <c r="B154" s="2" t="s">
        <v>155</v>
      </c>
      <c r="C154" s="2" t="str">
        <f t="shared" si="19"/>
        <v>20220223_NeomaMSMS_SrF_LA_Chicago_Run1_RbSr_export_processed</v>
      </c>
      <c r="D154" s="2">
        <v>873159307.51084256</v>
      </c>
      <c r="E154" s="2">
        <v>52904.800000000003</v>
      </c>
      <c r="F154" s="2">
        <v>51148.856</v>
      </c>
      <c r="G154" s="2">
        <v>1349.69</v>
      </c>
      <c r="H154" s="2">
        <v>0.37010850953658697</v>
      </c>
      <c r="I154" s="2">
        <v>3.2059033708605578E-2</v>
      </c>
      <c r="J154" s="2">
        <v>0.71137799188408513</v>
      </c>
      <c r="K154" s="2">
        <v>1.6729715611848788E-3</v>
      </c>
      <c r="L154" s="2">
        <v>0.60064043015176283</v>
      </c>
      <c r="M154" s="2">
        <v>0.31544876779285014</v>
      </c>
      <c r="N154" s="2">
        <v>3.8623714446934999E-2</v>
      </c>
      <c r="O154" s="2">
        <v>0.71205832013831327</v>
      </c>
      <c r="P154" s="2">
        <v>1.678765252558526E-3</v>
      </c>
      <c r="Q154" s="2">
        <v>0.42901433609515072</v>
      </c>
      <c r="V154" s="2" t="s">
        <v>196</v>
      </c>
    </row>
    <row r="155" spans="1:22" x14ac:dyDescent="0.2">
      <c r="A155" s="2">
        <v>137</v>
      </c>
      <c r="B155" s="2" t="s">
        <v>156</v>
      </c>
      <c r="C155" s="2" t="str">
        <f t="shared" si="19"/>
        <v>20220223_NeomaMSMS_SrF_LA_Chicago_Run1_RbSr_export_processed</v>
      </c>
      <c r="D155" s="2">
        <v>851268775.6942873</v>
      </c>
      <c r="E155" s="2">
        <v>52990.296999999999</v>
      </c>
      <c r="F155" s="2">
        <v>51416.34</v>
      </c>
      <c r="G155" s="2">
        <v>1349.69</v>
      </c>
      <c r="H155" s="2">
        <v>2.6584975118129319E-2</v>
      </c>
      <c r="I155" s="2">
        <v>8.2778141464282893E-3</v>
      </c>
      <c r="J155" s="2">
        <v>0.70381319647512663</v>
      </c>
      <c r="K155" s="2">
        <v>9.4444717704774089E-4</v>
      </c>
      <c r="L155" s="2">
        <v>0.17002288239751592</v>
      </c>
      <c r="M155" s="2">
        <v>2.2658753924133863E-2</v>
      </c>
      <c r="N155" s="2">
        <v>7.3227051897842782E-3</v>
      </c>
      <c r="O155" s="2">
        <v>0.70448629011693653</v>
      </c>
      <c r="P155" s="2">
        <v>9.5260322483918026E-4</v>
      </c>
      <c r="Q155" s="2">
        <v>0.16597041184553782</v>
      </c>
      <c r="V155" s="2" t="s">
        <v>196</v>
      </c>
    </row>
    <row r="156" spans="1:22" x14ac:dyDescent="0.2">
      <c r="A156" s="2">
        <v>138</v>
      </c>
      <c r="B156" s="2" t="s">
        <v>157</v>
      </c>
      <c r="C156" s="2" t="str">
        <f t="shared" si="19"/>
        <v>20220223_NeomaMSMS_SrF_LA_Chicago_Run1_RbSr_export_processed</v>
      </c>
      <c r="D156" s="2">
        <v>136888911.71625808</v>
      </c>
      <c r="E156" s="2">
        <v>52233.491999999998</v>
      </c>
      <c r="F156" s="2">
        <v>48350.186000000002</v>
      </c>
      <c r="G156" s="2">
        <v>1278.1300000000001</v>
      </c>
      <c r="H156" s="2">
        <v>0.14765061030420326</v>
      </c>
      <c r="I156" s="2">
        <v>4.826560638749311E-2</v>
      </c>
      <c r="J156" s="2">
        <v>0.72692692125579217</v>
      </c>
      <c r="K156" s="2">
        <v>3.1388218972076512E-2</v>
      </c>
      <c r="L156" s="2">
        <v>-1.4027885029570667E-2</v>
      </c>
      <c r="M156" s="2">
        <v>0.12584472359914478</v>
      </c>
      <c r="N156" s="2">
        <v>4.2554511353223939E-2</v>
      </c>
      <c r="O156" s="2">
        <v>0.7276221197704098</v>
      </c>
      <c r="P156" s="2">
        <v>3.1418470872776751E-2</v>
      </c>
      <c r="Q156" s="2">
        <v>-1.3458798819005861E-2</v>
      </c>
      <c r="V156" s="2" t="s">
        <v>196</v>
      </c>
    </row>
    <row r="157" spans="1:22" x14ac:dyDescent="0.2">
      <c r="A157" s="2">
        <v>139</v>
      </c>
      <c r="B157" s="2" t="s">
        <v>158</v>
      </c>
      <c r="C157" s="2" t="str">
        <f t="shared" si="19"/>
        <v>20220223_NeomaMSMS_SrF_LA_Chicago_Run1_RbSr_export_processed</v>
      </c>
      <c r="D157" s="2">
        <v>149466422.31153908</v>
      </c>
      <c r="E157" s="2">
        <v>52097.203999999998</v>
      </c>
      <c r="F157" s="2">
        <v>48545.953999999998</v>
      </c>
      <c r="G157" s="2">
        <v>1280.94</v>
      </c>
      <c r="H157" s="2">
        <v>9.2484704693748435E-2</v>
      </c>
      <c r="I157" s="2">
        <v>1.392460460167172E-2</v>
      </c>
      <c r="J157" s="2">
        <v>0.70977534749365456</v>
      </c>
      <c r="K157" s="2">
        <v>1.2723822753528799E-2</v>
      </c>
      <c r="L157" s="2">
        <v>-0.13717058611090485</v>
      </c>
      <c r="M157" s="2">
        <v>7.8826034483394036E-2</v>
      </c>
      <c r="N157" s="2">
        <v>1.3688796869114797E-2</v>
      </c>
      <c r="O157" s="2">
        <v>0.71045414305461307</v>
      </c>
      <c r="P157" s="2">
        <v>1.2736540816696848E-2</v>
      </c>
      <c r="Q157" s="2">
        <v>-0.11844354515420173</v>
      </c>
      <c r="V157" s="2" t="s">
        <v>196</v>
      </c>
    </row>
    <row r="158" spans="1:22" x14ac:dyDescent="0.2">
      <c r="A158" s="2">
        <v>140</v>
      </c>
      <c r="B158" s="2" t="s">
        <v>159</v>
      </c>
      <c r="C158" s="2" t="str">
        <f t="shared" si="19"/>
        <v>20220223_NeomaMSMS_SrF_LA_Chicago_Run1_RbSr_export_processed</v>
      </c>
      <c r="D158" s="2">
        <v>542218549.71366143</v>
      </c>
      <c r="E158" s="2">
        <v>51662.311000000002</v>
      </c>
      <c r="F158" s="2">
        <v>49403.027000000002</v>
      </c>
      <c r="G158" s="2">
        <v>1265.6300000000001</v>
      </c>
      <c r="H158" s="2">
        <v>7.1502384046646687E-3</v>
      </c>
      <c r="I158" s="2">
        <v>2.5593129062612746E-3</v>
      </c>
      <c r="J158" s="2">
        <v>0.70629392783860157</v>
      </c>
      <c r="K158" s="2">
        <v>9.5697320233834645E-4</v>
      </c>
      <c r="L158" s="2">
        <v>0.26499423383803983</v>
      </c>
      <c r="M158" s="2">
        <v>6.0942502970297548E-3</v>
      </c>
      <c r="N158" s="2">
        <v>2.2441843570270583E-3</v>
      </c>
      <c r="O158" s="2">
        <v>0.70696939393451741</v>
      </c>
      <c r="P158" s="2">
        <v>9.6509736845906842E-4</v>
      </c>
      <c r="Q158" s="2">
        <v>0.25860811221354507</v>
      </c>
      <c r="V158" s="2" t="s">
        <v>196</v>
      </c>
    </row>
    <row r="159" spans="1:22" x14ac:dyDescent="0.2">
      <c r="A159" s="2">
        <v>143</v>
      </c>
      <c r="B159" s="2" t="s">
        <v>160</v>
      </c>
      <c r="C159" s="2" t="str">
        <f t="shared" si="19"/>
        <v>20220223_NeomaMSMS_SrF_LA_Chicago_Run1_RbSr_export_processed</v>
      </c>
      <c r="D159" s="2">
        <v>75251424.411855727</v>
      </c>
      <c r="E159" s="2">
        <v>51547.214</v>
      </c>
      <c r="F159" s="2">
        <v>49163.4</v>
      </c>
      <c r="G159" s="2">
        <v>1262.81</v>
      </c>
      <c r="H159" s="2">
        <v>7.8990173025676361E-2</v>
      </c>
      <c r="I159" s="2">
        <v>1.6873373128314599E-2</v>
      </c>
      <c r="J159" s="2">
        <v>0.70497604391390056</v>
      </c>
      <c r="K159" s="2">
        <v>1.2227354069010954E-2</v>
      </c>
      <c r="L159" s="2">
        <v>-0.62960492570495796</v>
      </c>
      <c r="M159" s="2">
        <v>6.9959152318457701E-2</v>
      </c>
      <c r="N159" s="2">
        <v>1.5748031207021642E-2</v>
      </c>
      <c r="O159" s="2">
        <v>0.70511764638340046</v>
      </c>
      <c r="P159" s="2">
        <v>1.2227251949908187E-2</v>
      </c>
      <c r="Q159" s="2">
        <v>-0.59887442899057242</v>
      </c>
      <c r="V159" s="2" t="s">
        <v>196</v>
      </c>
    </row>
    <row r="160" spans="1:22" x14ac:dyDescent="0.2">
      <c r="A160" s="2">
        <v>144</v>
      </c>
      <c r="B160" s="2" t="s">
        <v>161</v>
      </c>
      <c r="C160" s="2" t="str">
        <f t="shared" si="19"/>
        <v>20220223_NeomaMSMS_SrF_LA_Chicago_Run1_RbSr_export_processed</v>
      </c>
      <c r="D160" s="2">
        <v>268544462.81117004</v>
      </c>
      <c r="E160" s="2">
        <v>51464.194000000003</v>
      </c>
      <c r="F160" s="2">
        <v>49312.46</v>
      </c>
      <c r="G160" s="2">
        <v>1233.1300000000001</v>
      </c>
      <c r="H160" s="2">
        <v>1.8043882085011684</v>
      </c>
      <c r="I160" s="2">
        <v>0.11438137934070791</v>
      </c>
      <c r="J160" s="2">
        <v>0.75862099157001905</v>
      </c>
      <c r="K160" s="2">
        <v>4.7766373436266907E-3</v>
      </c>
      <c r="L160" s="2">
        <v>0.36081584986925547</v>
      </c>
      <c r="M160" s="2">
        <v>1.5980908090824049</v>
      </c>
      <c r="N160" s="2">
        <v>0.15210502812597029</v>
      </c>
      <c r="O160" s="2">
        <v>0.75877336923837835</v>
      </c>
      <c r="P160" s="2">
        <v>4.7700087014152575E-3</v>
      </c>
      <c r="Q160" s="2">
        <v>0.232336088296349</v>
      </c>
      <c r="V160" s="2" t="s">
        <v>196</v>
      </c>
    </row>
    <row r="161" spans="1:22" x14ac:dyDescent="0.2">
      <c r="A161" s="2">
        <v>145</v>
      </c>
      <c r="B161" s="2" t="s">
        <v>162</v>
      </c>
      <c r="C161" s="2" t="str">
        <f t="shared" si="19"/>
        <v>20220223_NeomaMSMS_SrF_LA_Chicago_Run1_RbSr_export_processed</v>
      </c>
      <c r="D161" s="2">
        <v>424010284.89944887</v>
      </c>
      <c r="E161" s="2">
        <v>51492.222000000002</v>
      </c>
      <c r="F161" s="2">
        <v>47376.536</v>
      </c>
      <c r="G161" s="2">
        <v>1169.3800000000001</v>
      </c>
      <c r="H161" s="2">
        <v>0.18110580461475242</v>
      </c>
      <c r="I161" s="2">
        <v>1.428869293856214E-2</v>
      </c>
      <c r="J161" s="2">
        <v>0.72481294089979587</v>
      </c>
      <c r="K161" s="2">
        <v>2.089443298212887E-3</v>
      </c>
      <c r="L161" s="2">
        <v>0.17834417082997497</v>
      </c>
      <c r="M161" s="2">
        <v>0.16039980779231644</v>
      </c>
      <c r="N161" s="2">
        <v>1.7024633485125805E-2</v>
      </c>
      <c r="O161" s="2">
        <v>0.7249585278360372</v>
      </c>
      <c r="P161" s="2">
        <v>2.0739799171058683E-3</v>
      </c>
      <c r="Q161" s="2">
        <v>0.1171223315311558</v>
      </c>
      <c r="V161" s="2" t="s">
        <v>196</v>
      </c>
    </row>
    <row r="162" spans="1:22" x14ac:dyDescent="0.2">
      <c r="A162" s="2">
        <v>146</v>
      </c>
      <c r="B162" s="2" t="s">
        <v>163</v>
      </c>
      <c r="C162" s="2" t="str">
        <f t="shared" si="19"/>
        <v>20220223_NeomaMSMS_SrF_LA_Chicago_Run1_RbSr_export_processed</v>
      </c>
      <c r="D162" s="2">
        <v>1048682562.4815419</v>
      </c>
      <c r="E162" s="2">
        <v>47809.94</v>
      </c>
      <c r="F162" s="2">
        <v>53397.451999999997</v>
      </c>
      <c r="G162" s="2">
        <v>1233.1300000000001</v>
      </c>
      <c r="H162" s="2">
        <v>0.23611851534664596</v>
      </c>
      <c r="I162" s="2">
        <v>1.4887596764191461E-2</v>
      </c>
      <c r="J162" s="2">
        <v>0.71869152532489144</v>
      </c>
      <c r="K162" s="2">
        <v>7.1365446632752464E-4</v>
      </c>
      <c r="L162" s="2">
        <v>0.14138138650668317</v>
      </c>
      <c r="M162" s="2">
        <v>0.20912286361209242</v>
      </c>
      <c r="N162" s="2">
        <v>1.985696357288071E-2</v>
      </c>
      <c r="O162" s="2">
        <v>0.71883588270507959</v>
      </c>
      <c r="P162" s="2">
        <v>6.6669713786989113E-4</v>
      </c>
      <c r="Q162" s="2">
        <v>4.3750528236463103E-2</v>
      </c>
      <c r="V162" s="2" t="s">
        <v>196</v>
      </c>
    </row>
    <row r="163" spans="1:22" x14ac:dyDescent="0.2">
      <c r="A163" s="2">
        <v>147</v>
      </c>
      <c r="B163" s="2" t="s">
        <v>164</v>
      </c>
      <c r="C163" s="2" t="str">
        <f t="shared" si="19"/>
        <v>20220223_NeomaMSMS_SrF_LA_Chicago_Run1_RbSr_export_processed</v>
      </c>
      <c r="D163" s="2">
        <v>901313593.06304598</v>
      </c>
      <c r="E163" s="2">
        <v>47615.536</v>
      </c>
      <c r="F163" s="2">
        <v>53355.978999999999</v>
      </c>
      <c r="G163" s="2">
        <v>1233.1300000000001</v>
      </c>
      <c r="H163" s="2">
        <v>0.24753216174924933</v>
      </c>
      <c r="I163" s="2">
        <v>3.386135833067324E-2</v>
      </c>
      <c r="J163" s="2">
        <v>0.72068385419903558</v>
      </c>
      <c r="K163" s="2">
        <v>1.1906798518666166E-3</v>
      </c>
      <c r="L163" s="2">
        <v>0.29573119040797058</v>
      </c>
      <c r="M163" s="2">
        <v>0.21923157709635319</v>
      </c>
      <c r="N163" s="2">
        <v>3.3788554066981974E-2</v>
      </c>
      <c r="O163" s="2">
        <v>0.72082861176117452</v>
      </c>
      <c r="P163" s="2">
        <v>1.1631443805349415E-3</v>
      </c>
      <c r="Q163" s="2">
        <v>0.24865184172038582</v>
      </c>
      <c r="V163" s="2" t="s">
        <v>196</v>
      </c>
    </row>
    <row r="164" spans="1:22" x14ac:dyDescent="0.2">
      <c r="A164" s="2">
        <v>150</v>
      </c>
      <c r="B164" s="2" t="s">
        <v>165</v>
      </c>
      <c r="C164" s="2" t="str">
        <f t="shared" si="19"/>
        <v>20220223_NeomaMSMS_SrF_LA_Chicago_Run1_RbSr_export_processed</v>
      </c>
      <c r="D164" s="2">
        <v>647828125.63762856</v>
      </c>
      <c r="E164" s="2">
        <v>47463.59</v>
      </c>
      <c r="F164" s="2">
        <v>53331.334999999999</v>
      </c>
      <c r="G164" s="2">
        <v>1233.1300000000001</v>
      </c>
      <c r="H164" s="2">
        <v>0.37033667747065985</v>
      </c>
      <c r="I164" s="2">
        <v>0.14022422260615264</v>
      </c>
      <c r="J164" s="2">
        <v>0.72151101316551169</v>
      </c>
      <c r="K164" s="2">
        <v>2.8830720049675975E-3</v>
      </c>
      <c r="L164" s="2">
        <v>0.59216459230510332</v>
      </c>
      <c r="M164" s="2">
        <v>0.32217307208521445</v>
      </c>
      <c r="N164" s="2">
        <v>0.12399301474647913</v>
      </c>
      <c r="O164" s="2">
        <v>0.72197143280672982</v>
      </c>
      <c r="P164" s="2">
        <v>2.8760709863839503E-3</v>
      </c>
      <c r="Q164" s="2">
        <v>0.58998725151404086</v>
      </c>
      <c r="V164" s="2" t="s">
        <v>196</v>
      </c>
    </row>
    <row r="165" spans="1:22" x14ac:dyDescent="0.2">
      <c r="A165" s="2">
        <v>151</v>
      </c>
      <c r="B165" s="2" t="s">
        <v>166</v>
      </c>
      <c r="C165" s="2" t="str">
        <f t="shared" si="19"/>
        <v>20220223_NeomaMSMS_SrF_LA_Chicago_Run1_RbSr_export_processed</v>
      </c>
      <c r="D165" s="2">
        <v>515880842.16691023</v>
      </c>
      <c r="E165" s="2">
        <v>47340.468000000001</v>
      </c>
      <c r="F165" s="2">
        <v>53318.375</v>
      </c>
      <c r="G165" s="2">
        <v>1226.25</v>
      </c>
      <c r="H165" s="2">
        <v>0.45535927768042611</v>
      </c>
      <c r="I165" s="2">
        <v>6.1616444562368498E-2</v>
      </c>
      <c r="J165" s="2">
        <v>0.72088888502867887</v>
      </c>
      <c r="K165" s="2">
        <v>1.0685424344070754E-3</v>
      </c>
      <c r="L165" s="2">
        <v>-0.43197767477290189</v>
      </c>
      <c r="M165" s="2">
        <v>0.39613817997929701</v>
      </c>
      <c r="N165" s="2">
        <v>6.015889011916313E-2</v>
      </c>
      <c r="O165" s="2">
        <v>0.72134890766970106</v>
      </c>
      <c r="P165" s="2">
        <v>1.0451778372227117E-3</v>
      </c>
      <c r="Q165" s="2">
        <v>-0.35467287160604377</v>
      </c>
      <c r="V165" s="2" t="s">
        <v>196</v>
      </c>
    </row>
    <row r="166" spans="1:22" x14ac:dyDescent="0.2">
      <c r="A166" s="2">
        <v>152</v>
      </c>
      <c r="B166" s="2" t="s">
        <v>167</v>
      </c>
      <c r="C166" s="2" t="str">
        <f t="shared" si="19"/>
        <v>20220223_NeomaMSMS_SrF_LA_Chicago_Run1_RbSr_export_processed</v>
      </c>
      <c r="D166" s="2">
        <v>1104744530.2868583</v>
      </c>
      <c r="E166" s="2">
        <v>46825.813999999998</v>
      </c>
      <c r="F166" s="2">
        <v>53258.838000000003</v>
      </c>
      <c r="G166" s="2">
        <v>1104.3800000000001</v>
      </c>
      <c r="H166" s="2">
        <v>0.32904991304872505</v>
      </c>
      <c r="I166" s="2">
        <v>2.7449728253828201E-2</v>
      </c>
      <c r="J166" s="2">
        <v>0.71748729553706314</v>
      </c>
      <c r="K166" s="2">
        <v>7.7230768127565152E-4</v>
      </c>
      <c r="L166" s="2">
        <v>0.65923264591552222</v>
      </c>
      <c r="M166" s="2">
        <v>0.28625579858932348</v>
      </c>
      <c r="N166" s="2">
        <v>3.0978814464094544E-2</v>
      </c>
      <c r="O166" s="2">
        <v>0.71794514751321026</v>
      </c>
      <c r="P166" s="2">
        <v>7.3949673739298226E-4</v>
      </c>
      <c r="Q166" s="2">
        <v>0.6082032275031829</v>
      </c>
      <c r="V166" s="2" t="s">
        <v>196</v>
      </c>
    </row>
    <row r="167" spans="1:22" x14ac:dyDescent="0.2">
      <c r="A167" s="2">
        <v>153</v>
      </c>
      <c r="B167" s="2" t="s">
        <v>168</v>
      </c>
      <c r="C167" s="2" t="str">
        <f t="shared" si="19"/>
        <v>20220223_NeomaMSMS_SrF_LA_Chicago_Run1_RbSr_export_processed</v>
      </c>
      <c r="D167" s="2">
        <v>1186491899.3098915</v>
      </c>
      <c r="E167" s="2">
        <v>46693.62</v>
      </c>
      <c r="F167" s="2">
        <v>53244.580999999998</v>
      </c>
      <c r="G167" s="2">
        <v>1154.69</v>
      </c>
      <c r="H167" s="2">
        <v>0.27873440317563242</v>
      </c>
      <c r="I167" s="2">
        <v>1.4433077762611908E-2</v>
      </c>
      <c r="J167" s="2">
        <v>0.7163987316699999</v>
      </c>
      <c r="K167" s="2">
        <v>5.1186956173132571E-4</v>
      </c>
      <c r="L167" s="2">
        <v>0.11628560843916234</v>
      </c>
      <c r="M167" s="2">
        <v>0.2424840001812858</v>
      </c>
      <c r="N167" s="2">
        <v>2.0906964096711403E-2</v>
      </c>
      <c r="O167" s="2">
        <v>0.71685588899814301</v>
      </c>
      <c r="P167" s="2">
        <v>4.605783842796121E-4</v>
      </c>
      <c r="Q167" s="2">
        <v>0.23291284563218509</v>
      </c>
      <c r="V167" s="2" t="s">
        <v>196</v>
      </c>
    </row>
    <row r="168" spans="1:22" x14ac:dyDescent="0.2">
      <c r="A168" s="2">
        <v>154</v>
      </c>
      <c r="B168" s="2" t="s">
        <v>169</v>
      </c>
      <c r="C168" s="2" t="str">
        <f t="shared" si="19"/>
        <v>20220223_NeomaMSMS_SrF_LA_Chicago_Run1_RbSr_export_processed</v>
      </c>
      <c r="D168" s="2">
        <v>842664089.37412</v>
      </c>
      <c r="E168" s="2">
        <v>46935.400999999998</v>
      </c>
      <c r="F168" s="2">
        <v>53196.911999999997</v>
      </c>
      <c r="G168" s="2">
        <v>1126.8800000000001</v>
      </c>
      <c r="H168" s="2">
        <v>0.26327959347000057</v>
      </c>
      <c r="I168" s="2">
        <v>9.2926265708114884E-3</v>
      </c>
      <c r="J168" s="2">
        <v>0.71957107657952979</v>
      </c>
      <c r="K168" s="2">
        <v>9.411283781925946E-4</v>
      </c>
      <c r="L168" s="2">
        <v>0.26042239668895051</v>
      </c>
      <c r="M168" s="2">
        <v>0.2290391435838717</v>
      </c>
      <c r="N168" s="2">
        <v>1.7738960845211319E-2</v>
      </c>
      <c r="O168" s="2">
        <v>0.72003025828412515</v>
      </c>
      <c r="P168" s="2">
        <v>9.1443710290887612E-4</v>
      </c>
      <c r="Q168" s="2">
        <v>0.20965835161007113</v>
      </c>
      <c r="V168" s="2" t="s">
        <v>196</v>
      </c>
    </row>
    <row r="169" spans="1:22" x14ac:dyDescent="0.2">
      <c r="A169" s="2">
        <v>157</v>
      </c>
      <c r="B169" s="2" t="s">
        <v>170</v>
      </c>
      <c r="C169" s="2" t="str">
        <f t="shared" si="19"/>
        <v>20220223_NeomaMSMS_SrF_LA_Chicago_Run1_RbSr_export_processed</v>
      </c>
      <c r="D169" s="2">
        <v>930188794.19957685</v>
      </c>
      <c r="E169" s="2">
        <v>46970.139000000003</v>
      </c>
      <c r="F169" s="2">
        <v>53090.112000000001</v>
      </c>
      <c r="G169" s="2">
        <v>1146.56</v>
      </c>
      <c r="H169" s="2">
        <v>0.31971803218483186</v>
      </c>
      <c r="I169" s="2">
        <v>3.7157222622674242E-2</v>
      </c>
      <c r="J169" s="2">
        <v>0.72065312870901044</v>
      </c>
      <c r="K169" s="2">
        <v>8.9190550511608797E-4</v>
      </c>
      <c r="L169" s="2">
        <v>0.73917092759850578</v>
      </c>
      <c r="M169" s="2">
        <v>0.26899650908380934</v>
      </c>
      <c r="N169" s="2">
        <v>3.6337188862054511E-2</v>
      </c>
      <c r="O169" s="2">
        <v>0.72159933654911645</v>
      </c>
      <c r="P169" s="2">
        <v>9.7726256936536259E-4</v>
      </c>
      <c r="Q169" s="2">
        <v>0.62112357138285312</v>
      </c>
      <c r="V169" s="2" t="s">
        <v>196</v>
      </c>
    </row>
    <row r="170" spans="1:22" x14ac:dyDescent="0.2">
      <c r="A170" s="2">
        <v>158</v>
      </c>
      <c r="B170" s="2" t="s">
        <v>171</v>
      </c>
      <c r="C170" s="2" t="str">
        <f t="shared" si="19"/>
        <v>20220223_NeomaMSMS_SrF_LA_Chicago_Run1_RbSr_export_processed</v>
      </c>
      <c r="D170" s="2">
        <v>1112646493.8225698</v>
      </c>
      <c r="E170" s="2">
        <v>47022.752999999997</v>
      </c>
      <c r="F170" s="2">
        <v>52800.654000000002</v>
      </c>
      <c r="G170" s="2">
        <v>1097.81</v>
      </c>
      <c r="H170" s="2">
        <v>0.26119041489789802</v>
      </c>
      <c r="I170" s="2">
        <v>2.8564658146656628E-2</v>
      </c>
      <c r="J170" s="2">
        <v>0.7191715709512978</v>
      </c>
      <c r="K170" s="2">
        <v>9.4375256161167975E-4</v>
      </c>
      <c r="L170" s="2">
        <v>0.33552376973606407</v>
      </c>
      <c r="M170" s="2">
        <v>0.21975397925966469</v>
      </c>
      <c r="N170" s="2">
        <v>2.8399578941451977E-2</v>
      </c>
      <c r="O170" s="2">
        <v>0.72011583352604658</v>
      </c>
      <c r="P170" s="2">
        <v>1.0246067220104572E-3</v>
      </c>
      <c r="Q170" s="2">
        <v>0.30163634491063029</v>
      </c>
      <c r="V170" s="2" t="s">
        <v>196</v>
      </c>
    </row>
    <row r="171" spans="1:22" x14ac:dyDescent="0.2">
      <c r="A171" s="2">
        <v>159</v>
      </c>
      <c r="B171" s="2" t="s">
        <v>172</v>
      </c>
      <c r="C171" s="2" t="str">
        <f t="shared" si="19"/>
        <v>20220223_NeomaMSMS_SrF_LA_Chicago_Run1_RbSr_export_processed</v>
      </c>
      <c r="D171" s="2">
        <v>364679002.65917253</v>
      </c>
      <c r="E171" s="2">
        <v>47783.995000000003</v>
      </c>
      <c r="F171" s="2">
        <v>53177.978000000003</v>
      </c>
      <c r="G171" s="2">
        <v>1163.1300000000001</v>
      </c>
      <c r="H171" s="2">
        <v>0.58756910024913689</v>
      </c>
      <c r="I171" s="2">
        <v>5.665262653516686E-2</v>
      </c>
      <c r="J171" s="2">
        <v>0.72712478357417221</v>
      </c>
      <c r="K171" s="2">
        <v>1.5571894057319442E-3</v>
      </c>
      <c r="L171" s="2">
        <v>0.11751726643737095</v>
      </c>
      <c r="M171" s="2">
        <v>0.49435446519062826</v>
      </c>
      <c r="N171" s="2">
        <v>5.8571132299519602E-2</v>
      </c>
      <c r="O171" s="2">
        <v>0.72807948860984706</v>
      </c>
      <c r="P171" s="2">
        <v>1.6098160339210353E-3</v>
      </c>
      <c r="Q171" s="2">
        <v>0.12054088390144813</v>
      </c>
      <c r="V171" s="2" t="s">
        <v>196</v>
      </c>
    </row>
    <row r="172" spans="1:22" x14ac:dyDescent="0.2">
      <c r="A172" s="2">
        <v>160</v>
      </c>
      <c r="B172" s="2" t="s">
        <v>173</v>
      </c>
      <c r="C172" s="2" t="str">
        <f t="shared" si="19"/>
        <v>20220223_NeomaMSMS_SrF_LA_Chicago_Run1_RbSr_export_processed</v>
      </c>
      <c r="D172" s="2">
        <v>377127818.32037652</v>
      </c>
      <c r="E172" s="2">
        <v>47749.927000000003</v>
      </c>
      <c r="F172" s="2">
        <v>53015.853000000003</v>
      </c>
      <c r="G172" s="2">
        <v>1155.6300000000001</v>
      </c>
      <c r="H172" s="2">
        <v>0.6901057731481528</v>
      </c>
      <c r="I172" s="2">
        <v>7.6015196671365623E-2</v>
      </c>
      <c r="J172" s="2">
        <v>0.72944807290864355</v>
      </c>
      <c r="K172" s="2">
        <v>3.3091157374843219E-3</v>
      </c>
      <c r="L172" s="2">
        <v>0.74000310976985062</v>
      </c>
      <c r="M172" s="2">
        <v>0.5806242538366384</v>
      </c>
      <c r="N172" s="2">
        <v>7.5423060231332051E-2</v>
      </c>
      <c r="O172" s="2">
        <v>0.73040582839188528</v>
      </c>
      <c r="P172" s="2">
        <v>3.3377153804738432E-3</v>
      </c>
      <c r="Q172" s="2">
        <v>0.63525110965577036</v>
      </c>
      <c r="V172" s="2" t="s">
        <v>196</v>
      </c>
    </row>
    <row r="173" spans="1:22" x14ac:dyDescent="0.2">
      <c r="A173" s="2">
        <v>161</v>
      </c>
      <c r="B173" s="2" t="s">
        <v>174</v>
      </c>
      <c r="C173" s="2" t="str">
        <f t="shared" si="19"/>
        <v>20220223_NeomaMSMS_SrF_LA_Chicago_Run1_RbSr_export_processed</v>
      </c>
      <c r="D173" s="2">
        <v>359839051.10402757</v>
      </c>
      <c r="E173" s="2">
        <v>47330.968999999997</v>
      </c>
      <c r="F173" s="2">
        <v>53047.875</v>
      </c>
      <c r="G173" s="2">
        <v>1153.75</v>
      </c>
      <c r="H173" s="2">
        <v>0.91200925947154032</v>
      </c>
      <c r="I173" s="2">
        <v>1.0056057898427246</v>
      </c>
      <c r="J173" s="2">
        <v>0.72995302262358186</v>
      </c>
      <c r="K173" s="2">
        <v>1.1251440809249133E-2</v>
      </c>
      <c r="L173" s="2">
        <v>0.97899540008560459</v>
      </c>
      <c r="M173" s="2">
        <v>0.7673239615966625</v>
      </c>
      <c r="N173" s="2">
        <v>0.84771993727313444</v>
      </c>
      <c r="O173" s="2">
        <v>0.7309114410989902</v>
      </c>
      <c r="P173" s="2">
        <v>1.1273381030655758E-2</v>
      </c>
      <c r="Q173" s="2">
        <v>0.97690005658425239</v>
      </c>
      <c r="V173" s="2" t="s">
        <v>196</v>
      </c>
    </row>
    <row r="174" spans="1:22" x14ac:dyDescent="0.2">
      <c r="A174" s="2">
        <v>164</v>
      </c>
      <c r="B174" s="2" t="s">
        <v>175</v>
      </c>
      <c r="C174" s="2" t="str">
        <f t="shared" si="19"/>
        <v>20220223_NeomaMSMS_SrF_LA_Chicago_Run1_RbSr_export_processed</v>
      </c>
      <c r="D174" s="2">
        <v>308697552.39146614</v>
      </c>
      <c r="E174" s="2">
        <v>47679.665000000001</v>
      </c>
      <c r="F174" s="2">
        <v>53569.466</v>
      </c>
      <c r="G174" s="2">
        <v>1181.56</v>
      </c>
      <c r="H174" s="2">
        <v>0.40067678855245542</v>
      </c>
      <c r="I174" s="2">
        <v>3.4755191455799687E-2</v>
      </c>
      <c r="J174" s="2">
        <v>0.72489510041066152</v>
      </c>
      <c r="K174" s="2">
        <v>1.3067258778881221E-3</v>
      </c>
      <c r="L174" s="2">
        <v>0.45899718120964123</v>
      </c>
      <c r="M174" s="2">
        <v>0.34270510104552032</v>
      </c>
      <c r="N174" s="2">
        <v>3.6296213286439706E-2</v>
      </c>
      <c r="O174" s="2">
        <v>0.72618416920721229</v>
      </c>
      <c r="P174" s="2">
        <v>1.4152997973774773E-3</v>
      </c>
      <c r="Q174" s="2">
        <v>0.38558931443593136</v>
      </c>
      <c r="V174" s="2" t="s">
        <v>196</v>
      </c>
    </row>
    <row r="175" spans="1:22" x14ac:dyDescent="0.2">
      <c r="A175" s="2">
        <v>165</v>
      </c>
      <c r="B175" s="2" t="s">
        <v>176</v>
      </c>
      <c r="C175" s="2" t="str">
        <f t="shared" si="19"/>
        <v>20220223_NeomaMSMS_SrF_LA_Chicago_Run1_RbSr_export_processed</v>
      </c>
      <c r="D175" s="2">
        <v>274628092.77704191</v>
      </c>
      <c r="E175" s="2">
        <v>47154.063000000002</v>
      </c>
      <c r="F175" s="2">
        <v>53702.591</v>
      </c>
      <c r="G175" s="2">
        <v>1186.25</v>
      </c>
      <c r="H175" s="2">
        <v>1.6201394586262008</v>
      </c>
      <c r="I175" s="2">
        <v>1.3415727227471357</v>
      </c>
      <c r="J175" s="2">
        <v>0.74311108610722254</v>
      </c>
      <c r="K175" s="2">
        <v>1.9185599946733439E-2</v>
      </c>
      <c r="L175" s="2">
        <v>0.95566985543932592</v>
      </c>
      <c r="M175" s="2">
        <v>1.3857305257991945</v>
      </c>
      <c r="N175" s="2">
        <v>1.1505540326242798</v>
      </c>
      <c r="O175" s="2">
        <v>0.74443254808555448</v>
      </c>
      <c r="P175" s="2">
        <v>1.922762932305494E-2</v>
      </c>
      <c r="Q175" s="2">
        <v>0.953079110961632</v>
      </c>
      <c r="V175" s="2" t="s">
        <v>196</v>
      </c>
    </row>
    <row r="176" spans="1:22" x14ac:dyDescent="0.2">
      <c r="A176" s="2">
        <v>166</v>
      </c>
      <c r="B176" s="2" t="s">
        <v>177</v>
      </c>
      <c r="C176" s="2" t="str">
        <f t="shared" si="19"/>
        <v>20220223_NeomaMSMS_SrF_LA_Chicago_Run1_RbSr_export_processed</v>
      </c>
      <c r="D176" s="2">
        <v>1296320052.1941173</v>
      </c>
      <c r="E176" s="2">
        <v>47457.79</v>
      </c>
      <c r="F176" s="2">
        <v>53860.733</v>
      </c>
      <c r="G176" s="2">
        <v>1142.19</v>
      </c>
      <c r="H176" s="2">
        <v>6.5074422253970685E-2</v>
      </c>
      <c r="I176" s="2">
        <v>1.5483489962086981E-2</v>
      </c>
      <c r="J176" s="2">
        <v>0.71736460039132888</v>
      </c>
      <c r="K176" s="2">
        <v>1.104189530954243E-3</v>
      </c>
      <c r="L176" s="2">
        <v>0.49706423397062682</v>
      </c>
      <c r="M176" s="2">
        <v>5.5659167416697644E-2</v>
      </c>
      <c r="N176" s="2">
        <v>1.3668400546668963E-2</v>
      </c>
      <c r="O176" s="2">
        <v>0.71864027782602335</v>
      </c>
      <c r="P176" s="2">
        <v>1.2276214561369025E-3</v>
      </c>
      <c r="Q176" s="2">
        <v>0.4525954296604488</v>
      </c>
      <c r="V176" s="2" t="s">
        <v>196</v>
      </c>
    </row>
    <row r="177" spans="1:22" x14ac:dyDescent="0.2">
      <c r="A177" s="2">
        <v>167</v>
      </c>
      <c r="B177" s="2" t="s">
        <v>178</v>
      </c>
      <c r="C177" s="2" t="str">
        <f t="shared" si="19"/>
        <v>20220223_NeomaMSMS_SrF_LA_Chicago_Run1_RbSr_export_processed</v>
      </c>
      <c r="D177" s="2">
        <v>362833976.98430365</v>
      </c>
      <c r="E177" s="2">
        <v>46608.158000000003</v>
      </c>
      <c r="F177" s="2">
        <v>53623.864000000001</v>
      </c>
      <c r="G177" s="2">
        <v>1148.44</v>
      </c>
      <c r="H177" s="2">
        <v>0.97835724261959645</v>
      </c>
      <c r="I177" s="2">
        <v>6.1095691714999401E-2</v>
      </c>
      <c r="J177" s="2">
        <v>0.73336630854610818</v>
      </c>
      <c r="K177" s="2">
        <v>3.2411873179645115E-3</v>
      </c>
      <c r="L177" s="2">
        <v>0.86550350699472656</v>
      </c>
      <c r="M177" s="2">
        <v>0.83680419547605145</v>
      </c>
      <c r="N177" s="2">
        <v>7.2916049220407453E-2</v>
      </c>
      <c r="O177" s="2">
        <v>0.73467044154997718</v>
      </c>
      <c r="P177" s="2">
        <v>3.2922574009277184E-3</v>
      </c>
      <c r="Q177" s="2">
        <v>0.63176676771155393</v>
      </c>
      <c r="V177" s="2" t="s">
        <v>196</v>
      </c>
    </row>
    <row r="178" spans="1:22" x14ac:dyDescent="0.2">
      <c r="A178" s="2">
        <v>168</v>
      </c>
      <c r="B178" s="2" t="s">
        <v>179</v>
      </c>
      <c r="C178" s="2" t="str">
        <f t="shared" si="19"/>
        <v>20220223_NeomaMSMS_SrF_LA_Chicago_Run1_RbSr_export_processed</v>
      </c>
      <c r="D178" s="2">
        <v>470787513.73724306</v>
      </c>
      <c r="E178" s="2">
        <v>47388.483999999997</v>
      </c>
      <c r="F178" s="2">
        <v>55255.607000000004</v>
      </c>
      <c r="G178" s="2">
        <v>1148.44</v>
      </c>
      <c r="H178" s="2">
        <v>7.2733150046242395E-2</v>
      </c>
      <c r="I178" s="2">
        <v>5.0537426872144815E-3</v>
      </c>
      <c r="J178" s="2">
        <v>0.71590382888607695</v>
      </c>
      <c r="K178" s="2">
        <v>1.5292596019728176E-3</v>
      </c>
      <c r="L178" s="2">
        <v>0.4882712377521487</v>
      </c>
      <c r="M178" s="2">
        <v>6.2209796644342556E-2</v>
      </c>
      <c r="N178" s="2">
        <v>5.742547388557606E-3</v>
      </c>
      <c r="O178" s="2">
        <v>0.71717690865530903</v>
      </c>
      <c r="P178" s="2">
        <v>1.6215074114860381E-3</v>
      </c>
      <c r="Q178" s="2">
        <v>0.38471515111099291</v>
      </c>
      <c r="V178" s="2" t="s">
        <v>196</v>
      </c>
    </row>
    <row r="179" spans="1:22" x14ac:dyDescent="0.2">
      <c r="A179" s="2">
        <v>171</v>
      </c>
      <c r="B179" s="2" t="s">
        <v>180</v>
      </c>
      <c r="C179" s="2" t="str">
        <f t="shared" si="19"/>
        <v>20220223_NeomaMSMS_SrF_LA_Chicago_Run1_RbSr_export_processed</v>
      </c>
      <c r="D179" s="2">
        <v>728053768.97381914</v>
      </c>
      <c r="E179" s="2">
        <v>47536.12</v>
      </c>
      <c r="F179" s="2">
        <v>55551.843000000001</v>
      </c>
      <c r="G179" s="2">
        <v>1177.81</v>
      </c>
      <c r="H179" s="2">
        <v>5.5075315314420073E-2</v>
      </c>
      <c r="I179" s="2">
        <v>2.1663865202640065E-3</v>
      </c>
      <c r="J179" s="2">
        <v>0.70732432346081997</v>
      </c>
      <c r="K179" s="2">
        <v>8.6721198437734136E-4</v>
      </c>
      <c r="L179" s="2">
        <v>0.18101957459538531</v>
      </c>
      <c r="M179" s="2">
        <v>4.5974718904917118E-2</v>
      </c>
      <c r="N179" s="2">
        <v>3.5979044981247783E-3</v>
      </c>
      <c r="O179" s="2">
        <v>0.70853697032660257</v>
      </c>
      <c r="P179" s="2">
        <v>9.6099285542810208E-4</v>
      </c>
      <c r="Q179" s="2">
        <v>8.0964110342401308E-2</v>
      </c>
      <c r="V179" s="2" t="s">
        <v>196</v>
      </c>
    </row>
    <row r="180" spans="1:22" x14ac:dyDescent="0.2">
      <c r="A180" s="2">
        <v>172</v>
      </c>
      <c r="B180" s="2" t="s">
        <v>181</v>
      </c>
      <c r="C180" s="2" t="str">
        <f t="shared" si="19"/>
        <v>20220223_NeomaMSMS_SrF_LA_Chicago_Run1_RbSr_export_processed</v>
      </c>
      <c r="D180" s="2">
        <v>521068327.08732122</v>
      </c>
      <c r="E180" s="2">
        <v>47501.313999999998</v>
      </c>
      <c r="F180" s="2">
        <v>55986.137999999999</v>
      </c>
      <c r="G180" s="2">
        <v>1184.69</v>
      </c>
      <c r="H180" s="2">
        <v>5.6733439571787052E-2</v>
      </c>
      <c r="I180" s="2">
        <v>2.9273422136586571E-3</v>
      </c>
      <c r="J180" s="2">
        <v>0.70945441169379941</v>
      </c>
      <c r="K180" s="2">
        <v>9.7923640149585639E-4</v>
      </c>
      <c r="L180" s="2">
        <v>0.82585714369312313</v>
      </c>
      <c r="M180" s="2">
        <v>4.7358856175973504E-2</v>
      </c>
      <c r="N180" s="2">
        <v>4.029539295921163E-3</v>
      </c>
      <c r="O180" s="2">
        <v>0.7106707104131007</v>
      </c>
      <c r="P180" s="2">
        <v>1.0639939140835836E-3</v>
      </c>
      <c r="Q180" s="2">
        <v>0.46064928586858822</v>
      </c>
      <c r="V180" s="2" t="s">
        <v>196</v>
      </c>
    </row>
    <row r="181" spans="1:22" x14ac:dyDescent="0.2">
      <c r="A181" s="2">
        <v>173</v>
      </c>
      <c r="B181" s="2" t="s">
        <v>182</v>
      </c>
      <c r="C181" s="2" t="str">
        <f t="shared" si="19"/>
        <v>20220223_NeomaMSMS_SrF_LA_Chicago_Run1_RbSr_export_processed</v>
      </c>
      <c r="D181" s="2">
        <v>460754584.1988827</v>
      </c>
      <c r="E181" s="2">
        <v>47969.712</v>
      </c>
      <c r="F181" s="2">
        <v>56346.004999999997</v>
      </c>
      <c r="G181" s="2">
        <v>1185</v>
      </c>
      <c r="H181" s="2">
        <v>6.5988938938771974E-2</v>
      </c>
      <c r="I181" s="2">
        <v>7.9897917909095163E-3</v>
      </c>
      <c r="J181" s="2">
        <v>0.71370771359023466</v>
      </c>
      <c r="K181" s="2">
        <v>3.5797851895132186E-4</v>
      </c>
      <c r="L181" s="2">
        <v>-0.19546965090467008</v>
      </c>
      <c r="M181" s="2">
        <v>5.5084985010507084E-2</v>
      </c>
      <c r="N181" s="2">
        <v>7.6401393841262818E-3</v>
      </c>
      <c r="O181" s="2">
        <v>0.71493130423071383</v>
      </c>
      <c r="P181" s="2">
        <v>5.4819695974983823E-4</v>
      </c>
      <c r="Q181" s="2">
        <v>-0.11290037471807883</v>
      </c>
      <c r="V181" s="2" t="s">
        <v>196</v>
      </c>
    </row>
    <row r="182" spans="1:22" x14ac:dyDescent="0.2">
      <c r="A182" s="2">
        <v>174</v>
      </c>
      <c r="B182" s="2" t="s">
        <v>183</v>
      </c>
      <c r="C182" s="2" t="str">
        <f t="shared" si="19"/>
        <v>20220223_NeomaMSMS_SrF_LA_Chicago_Run1_RbSr_export_processed</v>
      </c>
      <c r="D182" s="2">
        <v>481068735.56105745</v>
      </c>
      <c r="E182" s="2">
        <v>48323.866999999998</v>
      </c>
      <c r="F182" s="2">
        <v>55803.347999999998</v>
      </c>
      <c r="G182" s="2">
        <v>1169.06</v>
      </c>
      <c r="H182" s="2">
        <v>5.5802734352966017E-2</v>
      </c>
      <c r="I182" s="2">
        <v>5.6611782228013201E-3</v>
      </c>
      <c r="J182" s="2">
        <v>0.71541349821132483</v>
      </c>
      <c r="K182" s="2">
        <v>6.6871852778282819E-4</v>
      </c>
      <c r="L182" s="2">
        <v>-0.22580313759589457</v>
      </c>
      <c r="M182" s="2">
        <v>4.6581939864657654E-2</v>
      </c>
      <c r="N182" s="2">
        <v>5.6801693130412835E-3</v>
      </c>
      <c r="O182" s="2">
        <v>0.7166400132731845</v>
      </c>
      <c r="P182" s="2">
        <v>7.8833586678085307E-4</v>
      </c>
      <c r="Q182" s="2">
        <v>-0.16064523584404683</v>
      </c>
      <c r="V182" s="2" t="s">
        <v>196</v>
      </c>
    </row>
    <row r="183" spans="1:22" x14ac:dyDescent="0.2">
      <c r="A183" s="2">
        <v>175</v>
      </c>
      <c r="B183" s="2" t="s">
        <v>184</v>
      </c>
      <c r="C183" s="2" t="str">
        <f t="shared" si="19"/>
        <v>20220223_NeomaMSMS_SrF_LA_Chicago_Run1_RbSr_export_processed</v>
      </c>
      <c r="D183" s="2">
        <v>406184004.55099213</v>
      </c>
      <c r="E183" s="2">
        <v>48078.243999999999</v>
      </c>
      <c r="F183" s="2">
        <v>55254.978999999999</v>
      </c>
      <c r="G183" s="2">
        <v>1180.31</v>
      </c>
      <c r="H183" s="2">
        <v>0.17316278379679792</v>
      </c>
      <c r="I183" s="2">
        <v>1.1563066648740338E-2</v>
      </c>
      <c r="J183" s="2">
        <v>0.719276731441992</v>
      </c>
      <c r="K183" s="2">
        <v>2.1068868197512409E-3</v>
      </c>
      <c r="L183" s="2">
        <v>0.68411193993756747</v>
      </c>
      <c r="M183" s="2">
        <v>0.14454951849846798</v>
      </c>
      <c r="N183" s="2">
        <v>1.3740660990095003E-2</v>
      </c>
      <c r="O183" s="2">
        <v>0.72050986968576924</v>
      </c>
      <c r="P183" s="2">
        <v>2.1514717550199535E-3</v>
      </c>
      <c r="Q183" s="2">
        <v>0.47093588227753508</v>
      </c>
      <c r="V183" s="2" t="s">
        <v>196</v>
      </c>
    </row>
    <row r="184" spans="1:22" x14ac:dyDescent="0.2">
      <c r="A184" s="2">
        <v>178</v>
      </c>
      <c r="B184" s="2" t="s">
        <v>185</v>
      </c>
      <c r="C184" s="2" t="str">
        <f t="shared" si="19"/>
        <v>20220223_NeomaMSMS_SrF_LA_Chicago_Run1_RbSr_export_processed</v>
      </c>
      <c r="D184" s="2">
        <v>621901783.23311949</v>
      </c>
      <c r="E184" s="2">
        <v>48001.129000000001</v>
      </c>
      <c r="F184" s="2">
        <v>55791.923999999999</v>
      </c>
      <c r="G184" s="2">
        <v>1181.25</v>
      </c>
      <c r="H184" s="2">
        <v>5.6262611889402278E-2</v>
      </c>
      <c r="I184" s="2">
        <v>5.1665836958205034E-3</v>
      </c>
      <c r="J184" s="2">
        <v>0.71161048439902752</v>
      </c>
      <c r="K184" s="2">
        <v>1.1242370126041403E-3</v>
      </c>
      <c r="L184" s="2">
        <v>0.50664433448523394</v>
      </c>
      <c r="M184" s="2">
        <v>4.6374484954289447E-2</v>
      </c>
      <c r="N184" s="2">
        <v>5.3721979255419378E-3</v>
      </c>
      <c r="O184" s="2">
        <v>0.71256148134029096</v>
      </c>
      <c r="P184" s="2">
        <v>1.1363924252955494E-3</v>
      </c>
      <c r="Q184" s="2">
        <v>0.38213148861165469</v>
      </c>
      <c r="V184" s="2" t="s">
        <v>196</v>
      </c>
    </row>
    <row r="185" spans="1:22" x14ac:dyDescent="0.2">
      <c r="A185" s="2">
        <v>181</v>
      </c>
      <c r="B185" s="2" t="s">
        <v>186</v>
      </c>
      <c r="C185" s="2" t="str">
        <f t="shared" si="19"/>
        <v>20220223_NeomaMSMS_SrF_LA_Chicago_Run1_RbSr_export_processed</v>
      </c>
      <c r="D185" s="2">
        <v>1672376136.168767</v>
      </c>
      <c r="H185" s="2">
        <v>0.87752098964841097</v>
      </c>
      <c r="I185" s="2">
        <v>4.4489746578940344E-2</v>
      </c>
      <c r="J185" s="2">
        <v>0.70378430249493429</v>
      </c>
      <c r="K185" s="2">
        <v>3.7889667640089958E-4</v>
      </c>
      <c r="L185" s="2">
        <v>-4.9908596978680421E-2</v>
      </c>
      <c r="M185" s="2">
        <v>0.73363543277074716</v>
      </c>
      <c r="N185" s="2">
        <v>6.1214310810302132E-2</v>
      </c>
      <c r="O185" s="2">
        <v>0.70521557307720639</v>
      </c>
      <c r="P185" s="2">
        <v>4.4012550934585041E-4</v>
      </c>
      <c r="Q185" s="2">
        <v>0.22114419489800002</v>
      </c>
      <c r="R185" s="2">
        <f>(0.2845)*(87.62/85.4678)*(27.8/9.86)</f>
        <v>0.82233897731585592</v>
      </c>
      <c r="S185" s="2" t="s">
        <v>274</v>
      </c>
      <c r="T185" s="2">
        <f>0.7041365</f>
        <v>0.70413650000000005</v>
      </c>
      <c r="U185" s="2" t="s">
        <v>274</v>
      </c>
      <c r="V185" s="2" t="s">
        <v>196</v>
      </c>
    </row>
    <row r="186" spans="1:22" x14ac:dyDescent="0.2">
      <c r="A186" s="2">
        <v>182</v>
      </c>
      <c r="B186" s="2" t="s">
        <v>187</v>
      </c>
      <c r="C186" s="2" t="str">
        <f t="shared" si="19"/>
        <v>20220223_NeomaMSMS_SrF_LA_Chicago_Run1_RbSr_export_processed</v>
      </c>
      <c r="D186" s="2">
        <v>1552062024.6070786</v>
      </c>
      <c r="H186" s="2">
        <v>0.87517010611067647</v>
      </c>
      <c r="I186" s="2">
        <v>3.7567148514602293E-2</v>
      </c>
      <c r="J186" s="2">
        <v>0.70378847286965651</v>
      </c>
      <c r="K186" s="2">
        <v>3.4203851153643601E-4</v>
      </c>
      <c r="L186" s="2">
        <v>0.15210354314270189</v>
      </c>
      <c r="M186" s="2">
        <v>0.73167001942799581</v>
      </c>
      <c r="N186" s="2">
        <v>5.7771169289534706E-2</v>
      </c>
      <c r="O186" s="2">
        <v>0.70521975193312747</v>
      </c>
      <c r="P186" s="2">
        <v>4.0869366799662228E-4</v>
      </c>
      <c r="Q186" s="2">
        <v>0.35078749170034379</v>
      </c>
      <c r="R186" s="2">
        <f t="shared" ref="R186:R189" si="20">(0.2845)*(87.62/85.4678)*(27.8/9.86)</f>
        <v>0.82233897731585592</v>
      </c>
      <c r="S186" s="2" t="s">
        <v>274</v>
      </c>
      <c r="T186" s="2">
        <f t="shared" ref="T186:T189" si="21">0.7041365</f>
        <v>0.70413650000000005</v>
      </c>
      <c r="U186" s="2" t="s">
        <v>274</v>
      </c>
      <c r="V186" s="2" t="s">
        <v>196</v>
      </c>
    </row>
    <row r="187" spans="1:22" x14ac:dyDescent="0.2">
      <c r="A187" s="2">
        <v>183</v>
      </c>
      <c r="B187" s="2" t="s">
        <v>188</v>
      </c>
      <c r="C187" s="2" t="str">
        <f t="shared" si="19"/>
        <v>20220223_NeomaMSMS_SrF_LA_Chicago_Run1_RbSr_export_processed</v>
      </c>
      <c r="D187" s="2">
        <v>1485011950.1577373</v>
      </c>
      <c r="H187" s="2">
        <v>0.86899674135880578</v>
      </c>
      <c r="I187" s="2">
        <v>3.3722166925350218E-2</v>
      </c>
      <c r="J187" s="2">
        <v>0.70401919165708926</v>
      </c>
      <c r="K187" s="2">
        <v>7.5598805394544509E-4</v>
      </c>
      <c r="L187" s="2">
        <v>-0.37590048107903595</v>
      </c>
      <c r="M187" s="2">
        <v>0.72650889032132349</v>
      </c>
      <c r="N187" s="2">
        <v>5.5793100596125259E-2</v>
      </c>
      <c r="O187" s="2">
        <v>0.70545093992825936</v>
      </c>
      <c r="P187" s="2">
        <v>7.8958293780039598E-4</v>
      </c>
      <c r="Q187" s="2">
        <v>-3.2408145638845677E-2</v>
      </c>
      <c r="R187" s="2">
        <f t="shared" si="20"/>
        <v>0.82233897731585592</v>
      </c>
      <c r="S187" s="2" t="s">
        <v>274</v>
      </c>
      <c r="T187" s="2">
        <f t="shared" si="21"/>
        <v>0.70413650000000005</v>
      </c>
      <c r="U187" s="2" t="s">
        <v>274</v>
      </c>
      <c r="V187" s="2" t="s">
        <v>196</v>
      </c>
    </row>
    <row r="188" spans="1:22" x14ac:dyDescent="0.2">
      <c r="A188" s="2">
        <v>184</v>
      </c>
      <c r="B188" s="2" t="s">
        <v>189</v>
      </c>
      <c r="C188" s="2" t="str">
        <f t="shared" si="19"/>
        <v>20220223_NeomaMSMS_SrF_LA_Chicago_Run1_RbSr_export_processed</v>
      </c>
      <c r="D188" s="2">
        <v>1600415837.3040042</v>
      </c>
      <c r="H188" s="2">
        <v>0.87635033403957219</v>
      </c>
      <c r="I188" s="2">
        <v>4.1103954369814705E-2</v>
      </c>
      <c r="J188" s="2">
        <v>0.70441054185542162</v>
      </c>
      <c r="K188" s="2">
        <v>5.4108831677101806E-4</v>
      </c>
      <c r="L188" s="2">
        <v>0.21613781666051513</v>
      </c>
      <c r="M188" s="2">
        <v>0.73265672748124755</v>
      </c>
      <c r="N188" s="2">
        <v>5.948388170252801E-2</v>
      </c>
      <c r="O188" s="2">
        <v>0.7058430860068412</v>
      </c>
      <c r="P188" s="2">
        <v>5.8619118545187284E-4</v>
      </c>
      <c r="Q188" s="2">
        <v>0.30648900030142695</v>
      </c>
      <c r="R188" s="2">
        <f t="shared" si="20"/>
        <v>0.82233897731585592</v>
      </c>
      <c r="S188" s="2" t="s">
        <v>274</v>
      </c>
      <c r="T188" s="2">
        <f t="shared" si="21"/>
        <v>0.70413650000000005</v>
      </c>
      <c r="U188" s="2" t="s">
        <v>274</v>
      </c>
      <c r="V188" s="2" t="s">
        <v>196</v>
      </c>
    </row>
    <row r="189" spans="1:22" x14ac:dyDescent="0.2">
      <c r="A189" s="2">
        <v>185</v>
      </c>
      <c r="B189" s="2" t="s">
        <v>190</v>
      </c>
      <c r="C189" s="2" t="str">
        <f t="shared" si="19"/>
        <v>20220223_NeomaMSMS_SrF_LA_Chicago_Run1_RbSr_export_processed</v>
      </c>
      <c r="D189" s="2">
        <v>1416104565.8425357</v>
      </c>
      <c r="H189" s="2">
        <v>0.85957272825189746</v>
      </c>
      <c r="I189" s="2">
        <v>2.7240967015655398E-2</v>
      </c>
      <c r="J189" s="2">
        <v>0.70462832274450149</v>
      </c>
      <c r="K189" s="2">
        <v>5.7954874741510576E-4</v>
      </c>
      <c r="L189" s="2">
        <v>0.52601645126656371</v>
      </c>
      <c r="M189" s="2">
        <v>0.71863011589235626</v>
      </c>
      <c r="N189" s="2">
        <v>5.2789213804794129E-2</v>
      </c>
      <c r="O189" s="2">
        <v>0.70606130979210224</v>
      </c>
      <c r="P189" s="2">
        <v>6.2203414539611685E-4</v>
      </c>
      <c r="Q189" s="2">
        <v>0.41086117944376721</v>
      </c>
      <c r="R189" s="2">
        <f t="shared" si="20"/>
        <v>0.82233897731585592</v>
      </c>
      <c r="S189" s="2" t="s">
        <v>274</v>
      </c>
      <c r="T189" s="2">
        <f t="shared" si="21"/>
        <v>0.70413650000000005</v>
      </c>
      <c r="U189" s="2" t="s">
        <v>274</v>
      </c>
      <c r="V189" s="2" t="s">
        <v>196</v>
      </c>
    </row>
    <row r="190" spans="1:22" x14ac:dyDescent="0.2">
      <c r="A190" s="2">
        <v>188</v>
      </c>
      <c r="B190" s="2" t="s">
        <v>191</v>
      </c>
      <c r="C190" s="2" t="str">
        <f t="shared" si="19"/>
        <v>20220223_NeomaMSMS_SrF_LA_Chicago_Run1_RbSr_export_processed</v>
      </c>
      <c r="D190" s="2">
        <v>6077010924.1681433</v>
      </c>
      <c r="H190" s="2">
        <v>0.1209687124850182</v>
      </c>
      <c r="I190" s="2">
        <v>4.2293178243663241E-3</v>
      </c>
      <c r="J190" s="2">
        <v>0.70435189639458162</v>
      </c>
      <c r="K190" s="2">
        <v>2.6755300840452048E-4</v>
      </c>
      <c r="L190" s="2">
        <v>-7.3000882901104208E-2</v>
      </c>
      <c r="M190" s="2">
        <v>0.10199204168841773</v>
      </c>
      <c r="N190" s="2">
        <v>9.1668485657914519E-3</v>
      </c>
      <c r="O190" s="2">
        <v>0.70609236581689716</v>
      </c>
      <c r="P190" s="2">
        <v>4.1834791154777266E-4</v>
      </c>
      <c r="Q190" s="2">
        <v>-8.4806317727103828E-2</v>
      </c>
      <c r="R190" s="2">
        <f>(0.0365)*(87.62/85.4678)*(27.8/9.86)</f>
        <v>0.10550218865387959</v>
      </c>
      <c r="S190" s="2" t="s">
        <v>274</v>
      </c>
      <c r="T190" s="2">
        <f>AVERAGE(0.704312,0.704357)</f>
        <v>0.70433450000000009</v>
      </c>
      <c r="U190" s="2" t="s">
        <v>274</v>
      </c>
      <c r="V190" s="2" t="s">
        <v>196</v>
      </c>
    </row>
    <row r="191" spans="1:22" x14ac:dyDescent="0.2">
      <c r="A191" s="2">
        <v>189</v>
      </c>
      <c r="B191" s="2" t="s">
        <v>192</v>
      </c>
      <c r="C191" s="2" t="str">
        <f t="shared" si="19"/>
        <v>20220223_NeomaMSMS_SrF_LA_Chicago_Run1_RbSr_export_processed</v>
      </c>
      <c r="D191" s="2">
        <v>6324281095.373745</v>
      </c>
      <c r="H191" s="2">
        <v>0.11531965329146328</v>
      </c>
      <c r="I191" s="2">
        <v>6.1184599398747316E-3</v>
      </c>
      <c r="J191" s="2">
        <v>0.70434427679349598</v>
      </c>
      <c r="K191" s="2">
        <v>2.9010051568377542E-4</v>
      </c>
      <c r="L191" s="2">
        <v>1.5490133203681323E-2</v>
      </c>
      <c r="M191" s="2">
        <v>9.722916483428283E-2</v>
      </c>
      <c r="N191" s="2">
        <v>9.561496683292996E-3</v>
      </c>
      <c r="O191" s="2">
        <v>0.7060847273876053</v>
      </c>
      <c r="P191" s="2">
        <v>4.3318432384021086E-4</v>
      </c>
      <c r="Q191" s="2">
        <v>-5.3173562863804869E-2</v>
      </c>
      <c r="R191" s="2">
        <f t="shared" ref="R191:R194" si="22">(0.0365)*(87.62/85.4678)*(27.8/9.86)</f>
        <v>0.10550218865387959</v>
      </c>
      <c r="S191" s="2" t="s">
        <v>274</v>
      </c>
      <c r="T191" s="2">
        <f t="shared" ref="T191:T194" si="23">AVERAGE(0.704312,0.704357)</f>
        <v>0.70433450000000009</v>
      </c>
      <c r="U191" s="2" t="s">
        <v>274</v>
      </c>
      <c r="V191" s="2" t="s">
        <v>196</v>
      </c>
    </row>
    <row r="192" spans="1:22" x14ac:dyDescent="0.2">
      <c r="A192" s="2">
        <v>190</v>
      </c>
      <c r="B192" s="2" t="s">
        <v>193</v>
      </c>
      <c r="C192" s="2" t="str">
        <f t="shared" si="19"/>
        <v>20220223_NeomaMSMS_SrF_LA_Chicago_Run1_RbSr_export_processed</v>
      </c>
      <c r="D192" s="2">
        <v>5360805098.4254913</v>
      </c>
      <c r="H192" s="2">
        <v>0.11761428734545404</v>
      </c>
      <c r="I192" s="2">
        <v>3.0036382897739998E-3</v>
      </c>
      <c r="J192" s="2">
        <v>0.7044153608560374</v>
      </c>
      <c r="K192" s="2">
        <v>3.6708144070155251E-4</v>
      </c>
      <c r="L192" s="2">
        <v>2.8401391549393043E-2</v>
      </c>
      <c r="M192" s="2">
        <v>9.916383378534134E-2</v>
      </c>
      <c r="N192" s="2">
        <v>8.5923691581005299E-3</v>
      </c>
      <c r="O192" s="2">
        <v>0.70615598710046856</v>
      </c>
      <c r="P192" s="2">
        <v>4.8837513103156113E-4</v>
      </c>
      <c r="Q192" s="2">
        <v>-5.287513504186532E-2</v>
      </c>
      <c r="R192" s="2">
        <f t="shared" si="22"/>
        <v>0.10550218865387959</v>
      </c>
      <c r="S192" s="2" t="s">
        <v>274</v>
      </c>
      <c r="T192" s="2">
        <f t="shared" si="23"/>
        <v>0.70433450000000009</v>
      </c>
      <c r="U192" s="2" t="s">
        <v>274</v>
      </c>
      <c r="V192" s="2" t="s">
        <v>196</v>
      </c>
    </row>
    <row r="193" spans="1:22" x14ac:dyDescent="0.2">
      <c r="A193" s="2">
        <v>191</v>
      </c>
      <c r="B193" s="2" t="s">
        <v>194</v>
      </c>
      <c r="C193" s="2" t="str">
        <f t="shared" si="19"/>
        <v>20220223_NeomaMSMS_SrF_LA_Chicago_Run1_RbSr_export_processed</v>
      </c>
      <c r="D193" s="2">
        <v>6107228167.748353</v>
      </c>
      <c r="H193" s="2">
        <v>0.11949942408489356</v>
      </c>
      <c r="I193" s="2">
        <v>5.6312997316802513E-3</v>
      </c>
      <c r="J193" s="2">
        <v>0.70464224963287214</v>
      </c>
      <c r="K193" s="2">
        <v>3.5739571599689913E-4</v>
      </c>
      <c r="L193" s="2">
        <v>0.35750673985752335</v>
      </c>
      <c r="M193" s="2">
        <v>0.10075324431115062</v>
      </c>
      <c r="N193" s="2">
        <v>9.5987759308621256E-3</v>
      </c>
      <c r="O193" s="2">
        <v>0.70638343652458824</v>
      </c>
      <c r="P193" s="2">
        <v>4.8117032746516398E-4</v>
      </c>
      <c r="Q193" s="2">
        <v>7.7021674424616063E-2</v>
      </c>
      <c r="R193" s="2">
        <f t="shared" si="22"/>
        <v>0.10550218865387959</v>
      </c>
      <c r="S193" s="2" t="s">
        <v>274</v>
      </c>
      <c r="T193" s="2">
        <f t="shared" si="23"/>
        <v>0.70433450000000009</v>
      </c>
      <c r="U193" s="2" t="s">
        <v>274</v>
      </c>
      <c r="V193" s="2" t="s">
        <v>196</v>
      </c>
    </row>
    <row r="194" spans="1:22" x14ac:dyDescent="0.2">
      <c r="A194" s="2">
        <v>192</v>
      </c>
      <c r="B194" s="2" t="s">
        <v>195</v>
      </c>
      <c r="C194" s="2" t="str">
        <f t="shared" si="19"/>
        <v>20220223_NeomaMSMS_SrF_LA_Chicago_Run1_RbSr_export_processed</v>
      </c>
      <c r="D194" s="2">
        <v>5930103926.6763878</v>
      </c>
      <c r="H194" s="2">
        <v>0.1176052209288104</v>
      </c>
      <c r="I194" s="2">
        <v>5.7021439206070236E-3</v>
      </c>
      <c r="J194" s="2">
        <v>0.70444912375520419</v>
      </c>
      <c r="K194" s="2">
        <v>3.4082954736564566E-4</v>
      </c>
      <c r="L194" s="2">
        <v>0.14328028440712942</v>
      </c>
      <c r="M194" s="2">
        <v>9.9156189640625864E-2</v>
      </c>
      <c r="N194" s="2">
        <v>9.514118838084137E-3</v>
      </c>
      <c r="O194" s="2">
        <v>0.70618983342852082</v>
      </c>
      <c r="P194" s="2">
        <v>4.6887545401614255E-4</v>
      </c>
      <c r="Q194" s="2">
        <v>-2.9104614823758307E-3</v>
      </c>
      <c r="R194" s="2">
        <f t="shared" si="22"/>
        <v>0.10550218865387959</v>
      </c>
      <c r="S194" s="2" t="s">
        <v>274</v>
      </c>
      <c r="T194" s="2">
        <f t="shared" si="23"/>
        <v>0.70433450000000009</v>
      </c>
      <c r="U194" s="2" t="s">
        <v>274</v>
      </c>
      <c r="V194" s="2" t="s">
        <v>196</v>
      </c>
    </row>
    <row r="195" spans="1:22" x14ac:dyDescent="0.2">
      <c r="A195" s="2">
        <v>3</v>
      </c>
      <c r="B195" s="2" t="s">
        <v>197</v>
      </c>
      <c r="C195" s="2" t="str">
        <f t="shared" si="19"/>
        <v>20220228_NeomaMSMS_SrF_LA_Chicago_Run2_RbSr_export_processed</v>
      </c>
      <c r="D195" s="2">
        <v>306105433.47337216</v>
      </c>
      <c r="E195" s="2">
        <v>55625.983</v>
      </c>
      <c r="F195" s="2">
        <v>48389.438999999998</v>
      </c>
      <c r="G195" s="2">
        <v>1366.25</v>
      </c>
      <c r="H195" s="2">
        <v>5.4605079452228891</v>
      </c>
      <c r="I195" s="2">
        <v>0.3256691664941756</v>
      </c>
      <c r="J195" s="2">
        <v>0.8410966764631862</v>
      </c>
      <c r="K195" s="2">
        <v>3.8638406420817908E-3</v>
      </c>
      <c r="L195" s="2">
        <v>0.28787651218839239</v>
      </c>
      <c r="M195" s="2">
        <v>5.1113407479292556</v>
      </c>
      <c r="N195" s="2">
        <v>0.41648579477583764</v>
      </c>
      <c r="O195" s="2">
        <v>0.84526653081522518</v>
      </c>
      <c r="P195" s="2">
        <v>3.8706398818427797E-3</v>
      </c>
      <c r="Q195" s="2">
        <v>0.21250168829320312</v>
      </c>
      <c r="V195" s="2" t="s">
        <v>228</v>
      </c>
    </row>
    <row r="196" spans="1:22" x14ac:dyDescent="0.2">
      <c r="A196" s="2">
        <v>4</v>
      </c>
      <c r="B196" s="2" t="s">
        <v>198</v>
      </c>
      <c r="C196" s="2" t="str">
        <f t="shared" si="19"/>
        <v>20220228_NeomaMSMS_SrF_LA_Chicago_Run2_RbSr_export_processed</v>
      </c>
      <c r="D196" s="2">
        <v>172953801.8208755</v>
      </c>
      <c r="E196" s="2">
        <v>55677.052000000003</v>
      </c>
      <c r="F196" s="2">
        <v>48297.040999999997</v>
      </c>
      <c r="G196" s="2">
        <v>1366.25</v>
      </c>
      <c r="H196" s="2">
        <v>0.75748353694180881</v>
      </c>
      <c r="I196" s="2">
        <v>0.13003396681141624</v>
      </c>
      <c r="J196" s="2">
        <v>0.7298692004009969</v>
      </c>
      <c r="K196" s="2">
        <v>3.1753543215170335E-3</v>
      </c>
      <c r="L196" s="2">
        <v>0.4951122984055753</v>
      </c>
      <c r="M196" s="2">
        <v>0.70904694345210839</v>
      </c>
      <c r="N196" s="2">
        <v>0.12792654248624111</v>
      </c>
      <c r="O196" s="2">
        <v>0.73348762899176123</v>
      </c>
      <c r="P196" s="2">
        <v>3.1797727617988115E-3</v>
      </c>
      <c r="Q196" s="2">
        <v>0.47329921395799684</v>
      </c>
      <c r="V196" s="2" t="s">
        <v>228</v>
      </c>
    </row>
    <row r="197" spans="1:22" x14ac:dyDescent="0.2">
      <c r="A197" s="2">
        <v>5</v>
      </c>
      <c r="B197" s="2" t="s">
        <v>199</v>
      </c>
      <c r="C197" s="2" t="str">
        <f t="shared" ref="C197:C260" si="24">V197</f>
        <v>20220228_NeomaMSMS_SrF_LA_Chicago_Run2_RbSr_export_processed</v>
      </c>
      <c r="D197" s="2">
        <v>512012195.69740534</v>
      </c>
      <c r="E197" s="2">
        <v>55526.106</v>
      </c>
      <c r="F197" s="2">
        <v>48291.38</v>
      </c>
      <c r="G197" s="2">
        <v>1366.25</v>
      </c>
      <c r="H197" s="2">
        <v>2.5564639897740364</v>
      </c>
      <c r="I197" s="2">
        <v>1.2105056329480968</v>
      </c>
      <c r="J197" s="2">
        <v>0.7756331519015498</v>
      </c>
      <c r="K197" s="2">
        <v>2.2531706758088466E-2</v>
      </c>
      <c r="L197" s="2">
        <v>0.98312757593474553</v>
      </c>
      <c r="M197" s="2">
        <v>2.3929932329788892</v>
      </c>
      <c r="N197" s="2">
        <v>1.1408632211209813</v>
      </c>
      <c r="O197" s="2">
        <v>0.77947846167930634</v>
      </c>
      <c r="P197" s="2">
        <v>2.2641611725375932E-2</v>
      </c>
      <c r="Q197" s="2">
        <v>0.97654626844614545</v>
      </c>
      <c r="V197" s="2" t="s">
        <v>228</v>
      </c>
    </row>
    <row r="198" spans="1:22" x14ac:dyDescent="0.2">
      <c r="A198" s="2">
        <v>6</v>
      </c>
      <c r="B198" s="2" t="s">
        <v>200</v>
      </c>
      <c r="C198" s="2" t="str">
        <f t="shared" si="24"/>
        <v>20220228_NeomaMSMS_SrF_LA_Chicago_Run2_RbSr_export_processed</v>
      </c>
      <c r="D198" s="2">
        <v>263917950.04719901</v>
      </c>
      <c r="E198" s="2">
        <v>56279.112999999998</v>
      </c>
      <c r="F198" s="2">
        <v>50551.055999999997</v>
      </c>
      <c r="G198" s="2">
        <v>1423.13</v>
      </c>
      <c r="H198" s="2">
        <v>7.9155650521996987</v>
      </c>
      <c r="I198" s="2">
        <v>0.38091864601217079</v>
      </c>
      <c r="J198" s="2">
        <v>0.89332231017088559</v>
      </c>
      <c r="K198" s="2">
        <v>6.5727489654195696E-3</v>
      </c>
      <c r="L198" s="2">
        <v>0.72605791443412337</v>
      </c>
      <c r="M198" s="2">
        <v>7.4094114686873889</v>
      </c>
      <c r="N198" s="2">
        <v>0.54438752791826728</v>
      </c>
      <c r="O198" s="2">
        <v>0.89775108040274931</v>
      </c>
      <c r="P198" s="2">
        <v>6.5971484626224418E-3</v>
      </c>
      <c r="Q198" s="2">
        <v>0.47691466507435248</v>
      </c>
      <c r="V198" s="2" t="s">
        <v>228</v>
      </c>
    </row>
    <row r="199" spans="1:22" x14ac:dyDescent="0.2">
      <c r="A199" s="2">
        <v>7</v>
      </c>
      <c r="B199" s="2" t="s">
        <v>201</v>
      </c>
      <c r="C199" s="2" t="str">
        <f t="shared" si="24"/>
        <v>20220228_NeomaMSMS_SrF_LA_Chicago_Run2_RbSr_export_processed</v>
      </c>
      <c r="D199" s="2">
        <v>288081537.07857126</v>
      </c>
      <c r="E199" s="2">
        <v>56377.228000000003</v>
      </c>
      <c r="F199" s="2">
        <v>50617.095000000001</v>
      </c>
      <c r="G199" s="2">
        <v>1423.13</v>
      </c>
      <c r="H199" s="2">
        <v>9.4222885412040949</v>
      </c>
      <c r="I199" s="2">
        <v>0.5786088930633928</v>
      </c>
      <c r="J199" s="2">
        <v>0.95719261187465621</v>
      </c>
      <c r="K199" s="2">
        <v>1.3308677303591669E-2</v>
      </c>
      <c r="L199" s="2">
        <v>0.82545925111343232</v>
      </c>
      <c r="M199" s="2">
        <v>8.8197888992243847</v>
      </c>
      <c r="N199" s="2">
        <v>0.73014904167162265</v>
      </c>
      <c r="O199" s="2">
        <v>0.961938028055765</v>
      </c>
      <c r="P199" s="2">
        <v>1.3370017518683951E-2</v>
      </c>
      <c r="Q199" s="2">
        <v>0.61288498073702202</v>
      </c>
      <c r="V199" s="2" t="s">
        <v>228</v>
      </c>
    </row>
    <row r="200" spans="1:22" x14ac:dyDescent="0.2">
      <c r="A200" s="2">
        <v>10</v>
      </c>
      <c r="B200" s="2" t="s">
        <v>202</v>
      </c>
      <c r="C200" s="2" t="str">
        <f t="shared" si="24"/>
        <v>20220228_NeomaMSMS_SrF_LA_Chicago_Run2_RbSr_export_processed</v>
      </c>
      <c r="D200" s="2">
        <v>302015084.73226827</v>
      </c>
      <c r="E200" s="2">
        <v>56441.38</v>
      </c>
      <c r="F200" s="2">
        <v>50485.017</v>
      </c>
      <c r="G200" s="2">
        <v>1423.13</v>
      </c>
      <c r="H200" s="2">
        <v>8.6110480991094551</v>
      </c>
      <c r="I200" s="2">
        <v>1.1407392388065756</v>
      </c>
      <c r="J200" s="2">
        <v>0.9484311313556768</v>
      </c>
      <c r="K200" s="2">
        <v>3.8561630016744453E-2</v>
      </c>
      <c r="L200" s="2">
        <v>0.97648062994131157</v>
      </c>
      <c r="M200" s="2">
        <v>8.0191268146515409</v>
      </c>
      <c r="N200" s="2">
        <v>1.2197189798580923</v>
      </c>
      <c r="O200" s="2">
        <v>0.95228027964676787</v>
      </c>
      <c r="P200" s="2">
        <v>3.871748600378129E-2</v>
      </c>
      <c r="Q200" s="2">
        <v>0.85014462304988936</v>
      </c>
      <c r="V200" s="2" t="s">
        <v>228</v>
      </c>
    </row>
    <row r="201" spans="1:22" x14ac:dyDescent="0.2">
      <c r="A201" s="2">
        <v>11</v>
      </c>
      <c r="B201" s="2" t="s">
        <v>203</v>
      </c>
      <c r="C201" s="2" t="str">
        <f t="shared" si="24"/>
        <v>20220228_NeomaMSMS_SrF_LA_Chicago_Run2_RbSr_export_processed</v>
      </c>
      <c r="D201" s="2">
        <v>297267659.51606917</v>
      </c>
      <c r="E201" s="2">
        <v>56520.627</v>
      </c>
      <c r="F201" s="2">
        <v>50354.826000000001</v>
      </c>
      <c r="G201" s="2">
        <v>1423.13</v>
      </c>
      <c r="H201" s="2">
        <v>7.9849524181914804</v>
      </c>
      <c r="I201" s="2">
        <v>0.63360168374715586</v>
      </c>
      <c r="J201" s="2">
        <v>0.90970901386124536</v>
      </c>
      <c r="K201" s="2">
        <v>1.2697110744298109E-2</v>
      </c>
      <c r="L201" s="2">
        <v>0.88819369269000603</v>
      </c>
      <c r="M201" s="2">
        <v>7.4360687936533676</v>
      </c>
      <c r="N201" s="2">
        <v>0.81055813707728919</v>
      </c>
      <c r="O201" s="2">
        <v>0.9134010108659083</v>
      </c>
      <c r="P201" s="2">
        <v>1.274684173285171E-2</v>
      </c>
      <c r="Q201" s="2">
        <v>0.64525578996892397</v>
      </c>
      <c r="V201" s="2" t="s">
        <v>228</v>
      </c>
    </row>
    <row r="202" spans="1:22" x14ac:dyDescent="0.2">
      <c r="A202" s="2">
        <v>12</v>
      </c>
      <c r="B202" s="2" t="s">
        <v>204</v>
      </c>
      <c r="C202" s="2" t="str">
        <f t="shared" si="24"/>
        <v>20220228_NeomaMSMS_SrF_LA_Chicago_Run2_RbSr_export_processed</v>
      </c>
      <c r="D202" s="2">
        <v>338071902.60653287</v>
      </c>
      <c r="E202" s="2">
        <v>55041.752999999997</v>
      </c>
      <c r="F202" s="2">
        <v>52009.248</v>
      </c>
      <c r="G202" s="2">
        <v>1383.44</v>
      </c>
      <c r="H202" s="2">
        <v>4.9892865800399795</v>
      </c>
      <c r="I202" s="2">
        <v>0.46510375819675759</v>
      </c>
      <c r="J202" s="2">
        <v>0.80063144763979677</v>
      </c>
      <c r="K202" s="2">
        <v>5.2191866744059501E-3</v>
      </c>
      <c r="L202" s="2">
        <v>0.92751697997086435</v>
      </c>
      <c r="M202" s="2">
        <v>4.6463242731297072</v>
      </c>
      <c r="N202" s="2">
        <v>0.55514348107209477</v>
      </c>
      <c r="O202" s="2">
        <v>0.8038807601798349</v>
      </c>
      <c r="P202" s="2">
        <v>5.23697677813997E-3</v>
      </c>
      <c r="Q202" s="2">
        <v>0.72140036530671903</v>
      </c>
      <c r="V202" s="2" t="s">
        <v>228</v>
      </c>
    </row>
    <row r="203" spans="1:22" x14ac:dyDescent="0.2">
      <c r="A203" s="2">
        <v>13</v>
      </c>
      <c r="B203" s="2" t="s">
        <v>205</v>
      </c>
      <c r="C203" s="2" t="str">
        <f t="shared" si="24"/>
        <v>20220228_NeomaMSMS_SrF_LA_Chicago_Run2_RbSr_export_processed</v>
      </c>
      <c r="D203" s="2">
        <v>290446184.04476893</v>
      </c>
      <c r="E203" s="2">
        <v>54972.908000000003</v>
      </c>
      <c r="F203" s="2">
        <v>52079.12</v>
      </c>
      <c r="G203" s="2">
        <v>1383.44</v>
      </c>
      <c r="H203" s="2">
        <v>0.21855664108212436</v>
      </c>
      <c r="I203" s="2">
        <v>1.5968839633273609E-2</v>
      </c>
      <c r="J203" s="2">
        <v>0.72386020465336265</v>
      </c>
      <c r="K203" s="2">
        <v>3.2286032986147532E-3</v>
      </c>
      <c r="L203" s="2">
        <v>-4.6895009872476627E-2</v>
      </c>
      <c r="M203" s="2">
        <v>0.20353311244459213</v>
      </c>
      <c r="N203" s="2">
        <v>2.1272800567504867E-2</v>
      </c>
      <c r="O203" s="2">
        <v>0.72679794591639735</v>
      </c>
      <c r="P203" s="2">
        <v>3.2372230431210996E-3</v>
      </c>
      <c r="Q203" s="2">
        <v>-3.7398231398448716E-2</v>
      </c>
      <c r="V203" s="2" t="s">
        <v>228</v>
      </c>
    </row>
    <row r="204" spans="1:22" x14ac:dyDescent="0.2">
      <c r="A204" s="2">
        <v>14</v>
      </c>
      <c r="B204" s="2" t="s">
        <v>206</v>
      </c>
      <c r="C204" s="2" t="str">
        <f t="shared" si="24"/>
        <v>20220228_NeomaMSMS_SrF_LA_Chicago_Run2_RbSr_export_processed</v>
      </c>
      <c r="D204" s="2">
        <v>263357277.90993643</v>
      </c>
      <c r="E204" s="2">
        <v>53921.355000000003</v>
      </c>
      <c r="F204" s="2">
        <v>53582.552000000003</v>
      </c>
      <c r="G204" s="2">
        <v>1372.19</v>
      </c>
      <c r="H204" s="2">
        <v>8.1702205914915336</v>
      </c>
      <c r="I204" s="2">
        <v>0.69126340944899201</v>
      </c>
      <c r="J204" s="2">
        <v>0.97952159748827805</v>
      </c>
      <c r="K204" s="2">
        <v>2.4595370068844113E-2</v>
      </c>
      <c r="L204" s="2">
        <v>0.97702790780415449</v>
      </c>
      <c r="M204" s="2">
        <v>7.6086016792338835</v>
      </c>
      <c r="N204" s="2">
        <v>0.85892665772729615</v>
      </c>
      <c r="O204" s="2">
        <v>0.98349692448716053</v>
      </c>
      <c r="P204" s="2">
        <v>2.4694111898586755E-2</v>
      </c>
      <c r="Q204" s="2">
        <v>0.73154171743704988</v>
      </c>
      <c r="V204" s="2" t="s">
        <v>228</v>
      </c>
    </row>
    <row r="205" spans="1:22" x14ac:dyDescent="0.2">
      <c r="A205" s="2">
        <v>17</v>
      </c>
      <c r="B205" s="2" t="s">
        <v>207</v>
      </c>
      <c r="C205" s="2" t="str">
        <f t="shared" si="24"/>
        <v>20220228_NeomaMSMS_SrF_LA_Chicago_Run2_RbSr_export_processed</v>
      </c>
      <c r="D205" s="2">
        <v>236437857.91284436</v>
      </c>
      <c r="E205" s="2">
        <v>54037.964999999997</v>
      </c>
      <c r="F205" s="2">
        <v>53573.84</v>
      </c>
      <c r="G205" s="2">
        <v>1372.19</v>
      </c>
      <c r="H205" s="2">
        <v>0.33795359167353572</v>
      </c>
      <c r="I205" s="2">
        <v>8.0899193320256704E-2</v>
      </c>
      <c r="J205" s="2">
        <v>0.72973415813301734</v>
      </c>
      <c r="K205" s="2">
        <v>2.4796562463279331E-3</v>
      </c>
      <c r="L205" s="2">
        <v>0.68939303077318548</v>
      </c>
      <c r="M205" s="2">
        <v>0.3167172616862341</v>
      </c>
      <c r="N205" s="2">
        <v>7.9434539663421108E-2</v>
      </c>
      <c r="O205" s="2">
        <v>0.73246537697038561</v>
      </c>
      <c r="P205" s="2">
        <v>2.4813254738817328E-3</v>
      </c>
      <c r="Q205" s="2">
        <v>0.65885724946725366</v>
      </c>
      <c r="V205" s="2" t="s">
        <v>228</v>
      </c>
    </row>
    <row r="206" spans="1:22" x14ac:dyDescent="0.2">
      <c r="A206" s="2">
        <v>18</v>
      </c>
      <c r="B206" s="2" t="s">
        <v>208</v>
      </c>
      <c r="C206" s="2" t="str">
        <f t="shared" si="24"/>
        <v>20220228_NeomaMSMS_SrF_LA_Chicago_Run2_RbSr_export_processed</v>
      </c>
      <c r="D206" s="2">
        <v>484408849.43150753</v>
      </c>
      <c r="E206" s="2">
        <v>49768.245000000003</v>
      </c>
      <c r="F206" s="2">
        <v>55238.044999999998</v>
      </c>
      <c r="G206" s="2">
        <v>1230.31</v>
      </c>
      <c r="H206" s="2">
        <v>2.4663256636818836</v>
      </c>
      <c r="I206" s="2">
        <v>0.59810856493029552</v>
      </c>
      <c r="J206" s="2">
        <v>0.77572646426338909</v>
      </c>
      <c r="K206" s="2">
        <v>1.0355982871483987E-2</v>
      </c>
      <c r="L206" s="2">
        <v>0.99341858369594394</v>
      </c>
      <c r="M206" s="2">
        <v>2.3113466756180601</v>
      </c>
      <c r="N206" s="2">
        <v>0.58660898058622712</v>
      </c>
      <c r="O206" s="2">
        <v>0.77862982120266366</v>
      </c>
      <c r="P206" s="2">
        <v>1.039268627101507E-2</v>
      </c>
      <c r="Q206" s="2">
        <v>0.94914510678827413</v>
      </c>
      <c r="V206" s="2" t="s">
        <v>228</v>
      </c>
    </row>
    <row r="207" spans="1:22" x14ac:dyDescent="0.2">
      <c r="A207" s="2">
        <v>19</v>
      </c>
      <c r="B207" s="2" t="s">
        <v>209</v>
      </c>
      <c r="C207" s="2" t="str">
        <f t="shared" si="24"/>
        <v>20220228_NeomaMSMS_SrF_LA_Chicago_Run2_RbSr_export_processed</v>
      </c>
      <c r="D207" s="2">
        <v>337963075.23227048</v>
      </c>
      <c r="E207" s="2">
        <v>49728.385000000002</v>
      </c>
      <c r="F207" s="2">
        <v>55083.921999999999</v>
      </c>
      <c r="G207" s="2">
        <v>1230.31</v>
      </c>
      <c r="H207" s="2">
        <v>0.30235649861899305</v>
      </c>
      <c r="I207" s="2">
        <v>2.1666266348581757E-2</v>
      </c>
      <c r="J207" s="2">
        <v>0.72229941054305313</v>
      </c>
      <c r="K207" s="2">
        <v>2.0156114664109308E-3</v>
      </c>
      <c r="L207" s="2">
        <v>5.150210505090963E-2</v>
      </c>
      <c r="M207" s="2">
        <v>0.28335701899612015</v>
      </c>
      <c r="N207" s="2">
        <v>2.9359741879988101E-2</v>
      </c>
      <c r="O207" s="2">
        <v>0.72500280291451946</v>
      </c>
      <c r="P207" s="2">
        <v>2.0139745492486951E-3</v>
      </c>
      <c r="Q207" s="2">
        <v>3.2395585485150556E-2</v>
      </c>
      <c r="V207" s="2" t="s">
        <v>228</v>
      </c>
    </row>
    <row r="208" spans="1:22" x14ac:dyDescent="0.2">
      <c r="A208" s="2">
        <v>20</v>
      </c>
      <c r="B208" s="2" t="s">
        <v>210</v>
      </c>
      <c r="C208" s="2" t="str">
        <f t="shared" si="24"/>
        <v>20220228_NeomaMSMS_SrF_LA_Chicago_Run2_RbSr_export_processed</v>
      </c>
      <c r="D208" s="2">
        <v>351783493.33573544</v>
      </c>
      <c r="E208" s="2">
        <v>49433.536</v>
      </c>
      <c r="F208" s="2">
        <v>55599.370999999999</v>
      </c>
      <c r="G208" s="2">
        <v>1218.1300000000001</v>
      </c>
      <c r="H208" s="2">
        <v>2.8869465042904432</v>
      </c>
      <c r="I208" s="2">
        <v>7.3018410354722146E-2</v>
      </c>
      <c r="J208" s="2">
        <v>0.77116955884150862</v>
      </c>
      <c r="K208" s="2">
        <v>1.943367406865168E-3</v>
      </c>
      <c r="L208" s="2">
        <v>0.22610295668121672</v>
      </c>
      <c r="M208" s="2">
        <v>2.7055365411141303</v>
      </c>
      <c r="N208" s="2">
        <v>0.2137321993564264</v>
      </c>
      <c r="O208" s="2">
        <v>0.77405586038356833</v>
      </c>
      <c r="P208" s="2">
        <v>1.9397810871720289E-3</v>
      </c>
      <c r="Q208" s="2">
        <v>6.7874690694736867E-2</v>
      </c>
      <c r="V208" s="2" t="s">
        <v>228</v>
      </c>
    </row>
    <row r="209" spans="1:22" x14ac:dyDescent="0.2">
      <c r="A209" s="2">
        <v>21</v>
      </c>
      <c r="B209" s="2" t="s">
        <v>211</v>
      </c>
      <c r="C209" s="2" t="str">
        <f t="shared" si="24"/>
        <v>20220228_NeomaMSMS_SrF_LA_Chicago_Run2_RbSr_export_processed</v>
      </c>
      <c r="D209" s="2">
        <v>186774841.4712739</v>
      </c>
      <c r="E209" s="2">
        <v>49470.881000000001</v>
      </c>
      <c r="F209" s="2">
        <v>55713.553</v>
      </c>
      <c r="G209" s="2">
        <v>1218.1300000000001</v>
      </c>
      <c r="H209" s="2">
        <v>1.5194857737978755</v>
      </c>
      <c r="I209" s="2">
        <v>0.2620462144577177</v>
      </c>
      <c r="J209" s="2">
        <v>0.7463396362001663</v>
      </c>
      <c r="K209" s="2">
        <v>4.4059666408312768E-3</v>
      </c>
      <c r="L209" s="2">
        <v>-0.58574065612824888</v>
      </c>
      <c r="M209" s="2">
        <v>1.4240043168806982</v>
      </c>
      <c r="N209" s="2">
        <v>0.26770696406908179</v>
      </c>
      <c r="O209" s="2">
        <v>0.74913300533431726</v>
      </c>
      <c r="P209" s="2">
        <v>4.417980791715949E-3</v>
      </c>
      <c r="Q209" s="2">
        <v>-0.53874968070101248</v>
      </c>
      <c r="V209" s="2" t="s">
        <v>228</v>
      </c>
    </row>
    <row r="210" spans="1:22" x14ac:dyDescent="0.2">
      <c r="A210" s="2">
        <v>24</v>
      </c>
      <c r="B210" s="2" t="s">
        <v>212</v>
      </c>
      <c r="C210" s="2" t="str">
        <f t="shared" si="24"/>
        <v>20220228_NeomaMSMS_SrF_LA_Chicago_Run2_RbSr_export_processed</v>
      </c>
      <c r="D210" s="2">
        <v>349277820.14838719</v>
      </c>
      <c r="E210" s="2">
        <v>49587.826999999997</v>
      </c>
      <c r="F210" s="2">
        <v>55822.491999999998</v>
      </c>
      <c r="G210" s="2">
        <v>1218.1300000000001</v>
      </c>
      <c r="H210" s="2">
        <v>0.55705499774180134</v>
      </c>
      <c r="I210" s="2">
        <v>0.213303781250573</v>
      </c>
      <c r="J210" s="2">
        <v>0.7288267454911791</v>
      </c>
      <c r="K210" s="2">
        <v>3.8167601630383335E-3</v>
      </c>
      <c r="L210" s="2">
        <v>0.95034064615998204</v>
      </c>
      <c r="M210" s="2">
        <v>0.5167962153104082</v>
      </c>
      <c r="N210" s="2">
        <v>0.20133125250528916</v>
      </c>
      <c r="O210" s="2">
        <v>0.73167025628847537</v>
      </c>
      <c r="P210" s="2">
        <v>3.8299704808458877E-3</v>
      </c>
      <c r="Q210" s="2">
        <v>0.92954700201476714</v>
      </c>
      <c r="V210" s="2" t="s">
        <v>228</v>
      </c>
    </row>
    <row r="211" spans="1:22" x14ac:dyDescent="0.2">
      <c r="A211" s="2">
        <v>25</v>
      </c>
      <c r="B211" s="2" t="s">
        <v>213</v>
      </c>
      <c r="C211" s="2" t="str">
        <f t="shared" si="24"/>
        <v>20220228_NeomaMSMS_SrF_LA_Chicago_Run2_RbSr_export_processed</v>
      </c>
      <c r="D211" s="2">
        <v>448223356.95557892</v>
      </c>
      <c r="E211" s="2">
        <v>49324.754999999997</v>
      </c>
      <c r="F211" s="2">
        <v>55870.322999999997</v>
      </c>
      <c r="G211" s="2">
        <v>1218.1300000000001</v>
      </c>
      <c r="H211" s="2">
        <v>2.4146224324574654</v>
      </c>
      <c r="I211" s="2">
        <v>0.12760531451578536</v>
      </c>
      <c r="J211" s="2">
        <v>0.76016495551549679</v>
      </c>
      <c r="K211" s="2">
        <v>3.1464795591737505E-3</v>
      </c>
      <c r="L211" s="2">
        <v>0.91307558234875064</v>
      </c>
      <c r="M211" s="2">
        <v>2.2401158584991725</v>
      </c>
      <c r="N211" s="2">
        <v>0.19960192294387935</v>
      </c>
      <c r="O211" s="2">
        <v>0.7631307320489551</v>
      </c>
      <c r="P211" s="2">
        <v>3.1565373544803848E-3</v>
      </c>
      <c r="Q211" s="2">
        <v>0.51452725978568825</v>
      </c>
      <c r="V211" s="2" t="s">
        <v>228</v>
      </c>
    </row>
    <row r="212" spans="1:22" x14ac:dyDescent="0.2">
      <c r="A212" s="2">
        <v>26</v>
      </c>
      <c r="B212" s="2" t="s">
        <v>214</v>
      </c>
      <c r="C212" s="2" t="str">
        <f t="shared" si="24"/>
        <v>20220228_NeomaMSMS_SrF_LA_Chicago_Run2_RbSr_export_processed</v>
      </c>
      <c r="D212" s="2">
        <v>591872759.85973787</v>
      </c>
      <c r="E212" s="2">
        <v>49853.7</v>
      </c>
      <c r="F212" s="2">
        <v>56155.017</v>
      </c>
      <c r="G212" s="2">
        <v>1218.1300000000001</v>
      </c>
      <c r="H212" s="2">
        <v>2.8571443468335636</v>
      </c>
      <c r="I212" s="2">
        <v>0.53771872037113899</v>
      </c>
      <c r="J212" s="2">
        <v>0.78104147523789602</v>
      </c>
      <c r="K212" s="2">
        <v>8.410477404050579E-3</v>
      </c>
      <c r="L212" s="2">
        <v>0.90153817123997493</v>
      </c>
      <c r="M212" s="2">
        <v>2.6506563822689362</v>
      </c>
      <c r="N212" s="2">
        <v>0.53387145739297182</v>
      </c>
      <c r="O212" s="2">
        <v>0.78408870131969743</v>
      </c>
      <c r="P212" s="2">
        <v>8.4424150122212813E-3</v>
      </c>
      <c r="Q212" s="2">
        <v>0.83784218252555442</v>
      </c>
      <c r="V212" s="2" t="s">
        <v>228</v>
      </c>
    </row>
    <row r="213" spans="1:22" x14ac:dyDescent="0.2">
      <c r="A213" s="2">
        <v>27</v>
      </c>
      <c r="B213" s="2" t="s">
        <v>215</v>
      </c>
      <c r="C213" s="2" t="str">
        <f t="shared" si="24"/>
        <v>20220228_NeomaMSMS_SrF_LA_Chicago_Run2_RbSr_export_processed</v>
      </c>
      <c r="D213" s="2">
        <v>431927817.24754113</v>
      </c>
      <c r="E213" s="2">
        <v>49954.677000000003</v>
      </c>
      <c r="F213" s="2">
        <v>56136.415999999997</v>
      </c>
      <c r="G213" s="2">
        <v>1218.1300000000001</v>
      </c>
      <c r="H213" s="2">
        <v>1.5328063888961583</v>
      </c>
      <c r="I213" s="2">
        <v>0.39252541107531447</v>
      </c>
      <c r="J213" s="2">
        <v>0.75062857999492505</v>
      </c>
      <c r="K213" s="2">
        <v>8.0401601227207305E-3</v>
      </c>
      <c r="L213" s="2">
        <v>0.95117179884336667</v>
      </c>
      <c r="M213" s="2">
        <v>1.4220293216942184</v>
      </c>
      <c r="N213" s="2">
        <v>0.37817703422513699</v>
      </c>
      <c r="O213" s="2">
        <v>0.75355715044761384</v>
      </c>
      <c r="P213" s="2">
        <v>8.0706825604319587E-3</v>
      </c>
      <c r="Q213" s="2">
        <v>0.91246125292344071</v>
      </c>
      <c r="V213" s="2" t="s">
        <v>228</v>
      </c>
    </row>
    <row r="214" spans="1:22" x14ac:dyDescent="0.2">
      <c r="A214" s="2">
        <v>28</v>
      </c>
      <c r="B214" s="2" t="s">
        <v>216</v>
      </c>
      <c r="C214" s="2" t="str">
        <f t="shared" si="24"/>
        <v>20220228_NeomaMSMS_SrF_LA_Chicago_Run2_RbSr_export_processed</v>
      </c>
      <c r="D214" s="2">
        <v>529002544.29010743</v>
      </c>
      <c r="E214" s="2">
        <v>46477.203000000001</v>
      </c>
      <c r="F214" s="2">
        <v>56318.991000000002</v>
      </c>
      <c r="G214" s="2">
        <v>1099.3800000000001</v>
      </c>
      <c r="H214" s="2">
        <v>1.7062424952233672</v>
      </c>
      <c r="I214" s="2">
        <v>0.41128761771039563</v>
      </c>
      <c r="J214" s="2">
        <v>0.75015084382544683</v>
      </c>
      <c r="K214" s="2">
        <v>8.5372566540187992E-3</v>
      </c>
      <c r="L214" s="2">
        <v>0.9463064230223629</v>
      </c>
      <c r="M214" s="2">
        <v>1.5829310705546062</v>
      </c>
      <c r="N214" s="2">
        <v>0.39810360372356612</v>
      </c>
      <c r="O214" s="2">
        <v>0.75307755039489488</v>
      </c>
      <c r="P214" s="2">
        <v>8.5697687979182889E-3</v>
      </c>
      <c r="Q214" s="2">
        <v>0.90354646826967366</v>
      </c>
      <c r="V214" s="2" t="s">
        <v>228</v>
      </c>
    </row>
    <row r="215" spans="1:22" x14ac:dyDescent="0.2">
      <c r="A215" s="2">
        <v>31</v>
      </c>
      <c r="B215" s="2" t="s">
        <v>217</v>
      </c>
      <c r="C215" s="2" t="str">
        <f t="shared" si="24"/>
        <v>20220228_NeomaMSMS_SrF_LA_Chicago_Run2_RbSr_export_processed</v>
      </c>
      <c r="D215" s="2">
        <v>438885152.45969319</v>
      </c>
      <c r="E215" s="2">
        <v>46593.885000000002</v>
      </c>
      <c r="F215" s="2">
        <v>56363.188000000002</v>
      </c>
      <c r="G215" s="2">
        <v>1099.3800000000001</v>
      </c>
      <c r="H215" s="2">
        <v>2.6864507363796735</v>
      </c>
      <c r="I215" s="2">
        <v>0.23094449902922537</v>
      </c>
      <c r="J215" s="2">
        <v>0.77119974701747529</v>
      </c>
      <c r="K215" s="2">
        <v>3.5278932320387552E-3</v>
      </c>
      <c r="L215" s="2">
        <v>0.95858015928046392</v>
      </c>
      <c r="M215" s="2">
        <v>2.5046508560272422</v>
      </c>
      <c r="N215" s="2">
        <v>0.27018261217136047</v>
      </c>
      <c r="O215" s="2">
        <v>0.77422096429148146</v>
      </c>
      <c r="P215" s="2">
        <v>3.5468818511813489E-3</v>
      </c>
      <c r="Q215" s="2">
        <v>0.72684578864929728</v>
      </c>
      <c r="V215" s="2" t="s">
        <v>228</v>
      </c>
    </row>
    <row r="216" spans="1:22" x14ac:dyDescent="0.2">
      <c r="A216" s="2">
        <v>32</v>
      </c>
      <c r="B216" s="2" t="s">
        <v>218</v>
      </c>
      <c r="C216" s="2" t="str">
        <f t="shared" si="24"/>
        <v>20220228_NeomaMSMS_SrF_LA_Chicago_Run2_RbSr_export_processed</v>
      </c>
      <c r="D216" s="2">
        <v>629832652.6420697</v>
      </c>
      <c r="E216" s="2">
        <v>46505.571000000004</v>
      </c>
      <c r="F216" s="2">
        <v>56414.508000000002</v>
      </c>
      <c r="G216" s="2">
        <v>1099.3800000000001</v>
      </c>
      <c r="H216" s="2">
        <v>5.9183222807289591</v>
      </c>
      <c r="I216" s="2">
        <v>0.56056650296204258</v>
      </c>
      <c r="J216" s="2">
        <v>0.82851476446629535</v>
      </c>
      <c r="K216" s="2">
        <v>7.7326670545052861E-3</v>
      </c>
      <c r="L216" s="2">
        <v>0.82217019721532625</v>
      </c>
      <c r="M216" s="2">
        <v>5.5178123186614503</v>
      </c>
      <c r="N216" s="2">
        <v>0.634369902977169</v>
      </c>
      <c r="O216" s="2">
        <v>0.83176051646226679</v>
      </c>
      <c r="P216" s="2">
        <v>7.7656829522670659E-3</v>
      </c>
      <c r="Q216" s="2">
        <v>0.66055904766903906</v>
      </c>
      <c r="V216" s="2" t="s">
        <v>228</v>
      </c>
    </row>
    <row r="217" spans="1:22" x14ac:dyDescent="0.2">
      <c r="A217" s="2">
        <v>33</v>
      </c>
      <c r="B217" s="2" t="s">
        <v>219</v>
      </c>
      <c r="C217" s="2" t="str">
        <f t="shared" si="24"/>
        <v>20220228_NeomaMSMS_SrF_LA_Chicago_Run2_RbSr_export_processed</v>
      </c>
      <c r="D217" s="2">
        <v>162500342.37658077</v>
      </c>
      <c r="E217" s="2">
        <v>49525.59</v>
      </c>
      <c r="F217" s="2">
        <v>59810.372000000003</v>
      </c>
      <c r="G217" s="2">
        <v>1288.1300000000001</v>
      </c>
      <c r="H217" s="2">
        <v>2.6368520819795798</v>
      </c>
      <c r="I217" s="2">
        <v>0.13870407562534279</v>
      </c>
      <c r="J217" s="2">
        <v>0.78793170693750769</v>
      </c>
      <c r="K217" s="2">
        <v>7.9791103754185948E-3</v>
      </c>
      <c r="L217" s="2">
        <v>-0.22588063360661512</v>
      </c>
      <c r="M217" s="2">
        <v>2.4584086858215062</v>
      </c>
      <c r="N217" s="2">
        <v>0.20587922815835175</v>
      </c>
      <c r="O217" s="2">
        <v>0.79101847258148383</v>
      </c>
      <c r="P217" s="2">
        <v>8.0127555292976681E-3</v>
      </c>
      <c r="Q217" s="2">
        <v>-0.1627871552113106</v>
      </c>
      <c r="V217" s="2" t="s">
        <v>228</v>
      </c>
    </row>
    <row r="218" spans="1:22" x14ac:dyDescent="0.2">
      <c r="A218" s="2">
        <v>34</v>
      </c>
      <c r="B218" s="2" t="s">
        <v>220</v>
      </c>
      <c r="C218" s="2" t="str">
        <f t="shared" si="24"/>
        <v>20220228_NeomaMSMS_SrF_LA_Chicago_Run2_RbSr_export_processed</v>
      </c>
      <c r="D218" s="2">
        <v>301872436.6661371</v>
      </c>
      <c r="E218" s="2">
        <v>49513.214999999997</v>
      </c>
      <c r="F218" s="2">
        <v>59923.517999999996</v>
      </c>
      <c r="G218" s="2">
        <v>1288.1300000000001</v>
      </c>
      <c r="H218" s="2">
        <v>8.4743010059662396</v>
      </c>
      <c r="I218" s="2">
        <v>0.37784657726149512</v>
      </c>
      <c r="J218" s="2">
        <v>0.90431243812751583</v>
      </c>
      <c r="K218" s="2">
        <v>5.4799651467866764E-3</v>
      </c>
      <c r="L218" s="2">
        <v>0.72411913141797579</v>
      </c>
      <c r="M218" s="2">
        <v>7.9008205813702768</v>
      </c>
      <c r="N218" s="2">
        <v>0.62382752591916169</v>
      </c>
      <c r="O218" s="2">
        <v>0.90785513166409404</v>
      </c>
      <c r="P218" s="2">
        <v>5.5060092681787709E-3</v>
      </c>
      <c r="Q218" s="2">
        <v>0.3714613846326229</v>
      </c>
      <c r="V218" s="2" t="s">
        <v>228</v>
      </c>
    </row>
    <row r="219" spans="1:22" x14ac:dyDescent="0.2">
      <c r="A219" s="2">
        <v>35</v>
      </c>
      <c r="B219" s="2" t="s">
        <v>221</v>
      </c>
      <c r="C219" s="2" t="str">
        <f t="shared" si="24"/>
        <v>20220228_NeomaMSMS_SrF_LA_Chicago_Run2_RbSr_export_processed</v>
      </c>
      <c r="D219" s="2">
        <v>648270641.56466424</v>
      </c>
      <c r="E219" s="2">
        <v>44439.063000000002</v>
      </c>
      <c r="F219" s="2">
        <v>55468.737999999998</v>
      </c>
      <c r="G219" s="2">
        <v>988.44</v>
      </c>
      <c r="H219" s="2">
        <v>3.997821133844861</v>
      </c>
      <c r="I219" s="2">
        <v>0.29482753960564245</v>
      </c>
      <c r="J219" s="2">
        <v>0.80423535815310021</v>
      </c>
      <c r="K219" s="2">
        <v>1.0500279622400688E-2</v>
      </c>
      <c r="L219" s="2">
        <v>0.94176871856654099</v>
      </c>
      <c r="M219" s="2">
        <v>3.7272770311888501</v>
      </c>
      <c r="N219" s="2">
        <v>0.36680749550304081</v>
      </c>
      <c r="O219" s="2">
        <v>0.80738599424422375</v>
      </c>
      <c r="P219" s="2">
        <v>1.0543304510649894E-2</v>
      </c>
      <c r="Q219" s="2">
        <v>0.69178160739481842</v>
      </c>
      <c r="V219" s="2" t="s">
        <v>228</v>
      </c>
    </row>
    <row r="220" spans="1:22" x14ac:dyDescent="0.2">
      <c r="A220" s="2">
        <v>38</v>
      </c>
      <c r="B220" s="2" t="s">
        <v>222</v>
      </c>
      <c r="C220" s="2" t="str">
        <f t="shared" si="24"/>
        <v>20220228_NeomaMSMS_SrF_LA_Chicago_Run2_RbSr_export_processed</v>
      </c>
      <c r="D220" s="2">
        <v>76802411.695188761</v>
      </c>
      <c r="E220" s="2">
        <v>45023.906000000003</v>
      </c>
      <c r="F220" s="2">
        <v>44574.76</v>
      </c>
      <c r="G220" s="2">
        <v>930</v>
      </c>
      <c r="H220" s="2">
        <v>26.381904626192615</v>
      </c>
      <c r="I220" s="2">
        <v>2.8302605066734703</v>
      </c>
      <c r="J220" s="2">
        <v>1.2498596364887657</v>
      </c>
      <c r="K220" s="2">
        <v>1.7669820407646319E-2</v>
      </c>
      <c r="L220" s="2">
        <v>8.9847846869359232E-2</v>
      </c>
      <c r="M220" s="2">
        <v>25.005796410412358</v>
      </c>
      <c r="N220" s="2">
        <v>2.9640483870071965</v>
      </c>
      <c r="O220" s="2">
        <v>1.2545081070402775</v>
      </c>
      <c r="P220" s="2">
        <v>1.7734431143264812E-2</v>
      </c>
      <c r="Q220" s="2">
        <v>7.6283092405649955E-2</v>
      </c>
      <c r="V220" s="2" t="s">
        <v>228</v>
      </c>
    </row>
    <row r="221" spans="1:22" x14ac:dyDescent="0.2">
      <c r="A221" s="2">
        <v>39</v>
      </c>
      <c r="B221" s="2" t="s">
        <v>223</v>
      </c>
      <c r="C221" s="2" t="str">
        <f t="shared" si="24"/>
        <v>20220228_NeomaMSMS_SrF_LA_Chicago_Run2_RbSr_export_processed</v>
      </c>
      <c r="D221" s="2">
        <v>53864169.32015565</v>
      </c>
      <c r="E221" s="2">
        <v>45149.161999999997</v>
      </c>
      <c r="F221" s="2">
        <v>44511.442999999999</v>
      </c>
      <c r="G221" s="2">
        <v>930</v>
      </c>
      <c r="H221" s="2">
        <v>39.509083289294267</v>
      </c>
      <c r="I221" s="2">
        <v>1.1949020171937175</v>
      </c>
      <c r="J221" s="2">
        <v>1.5641374710679683</v>
      </c>
      <c r="K221" s="2">
        <v>2.7936227888373542E-2</v>
      </c>
      <c r="L221" s="2">
        <v>0.33122597428735651</v>
      </c>
      <c r="M221" s="2">
        <v>37.448247467063084</v>
      </c>
      <c r="N221" s="2">
        <v>2.2015052530053119</v>
      </c>
      <c r="O221" s="2">
        <v>1.5699548018789713</v>
      </c>
      <c r="P221" s="2">
        <v>2.8039031818776497E-2</v>
      </c>
      <c r="Q221" s="2">
        <v>0.16236475921944171</v>
      </c>
      <c r="V221" s="2" t="s">
        <v>228</v>
      </c>
    </row>
    <row r="222" spans="1:22" x14ac:dyDescent="0.2">
      <c r="A222" s="2">
        <v>40</v>
      </c>
      <c r="B222" s="2" t="s">
        <v>224</v>
      </c>
      <c r="C222" s="2" t="str">
        <f t="shared" si="24"/>
        <v>20220228_NeomaMSMS_SrF_LA_Chicago_Run2_RbSr_export_processed</v>
      </c>
      <c r="D222" s="2">
        <v>72707276.644914627</v>
      </c>
      <c r="E222" s="2">
        <v>45238.631000000001</v>
      </c>
      <c r="F222" s="2">
        <v>44430.233</v>
      </c>
      <c r="G222" s="2">
        <v>930</v>
      </c>
      <c r="H222" s="2">
        <v>25.564307311223786</v>
      </c>
      <c r="I222" s="2">
        <v>1.0749414072128691</v>
      </c>
      <c r="J222" s="2">
        <v>1.39584869839587</v>
      </c>
      <c r="K222" s="2">
        <v>1.9835024866784508E-2</v>
      </c>
      <c r="L222" s="2">
        <v>-0.22891623619066248</v>
      </c>
      <c r="M222" s="2">
        <v>24.230845841319919</v>
      </c>
      <c r="N222" s="2">
        <v>1.5906617266813354</v>
      </c>
      <c r="O222" s="2">
        <v>1.4010401306010793</v>
      </c>
      <c r="P222" s="2">
        <v>1.9907565456566915E-2</v>
      </c>
      <c r="Q222" s="2">
        <v>-0.15569033552963463</v>
      </c>
      <c r="V222" s="2" t="s">
        <v>228</v>
      </c>
    </row>
    <row r="223" spans="1:22" x14ac:dyDescent="0.2">
      <c r="A223" s="2">
        <v>41</v>
      </c>
      <c r="B223" s="2" t="s">
        <v>225</v>
      </c>
      <c r="C223" s="2" t="str">
        <f t="shared" si="24"/>
        <v>20220228_NeomaMSMS_SrF_LA_Chicago_Run2_RbSr_export_processed</v>
      </c>
      <c r="D223" s="2">
        <v>183992362.33879158</v>
      </c>
      <c r="E223" s="2">
        <v>45278.548000000003</v>
      </c>
      <c r="F223" s="2">
        <v>44309.106</v>
      </c>
      <c r="G223" s="2">
        <v>930</v>
      </c>
      <c r="H223" s="2">
        <v>10.604697237899709</v>
      </c>
      <c r="I223" s="2">
        <v>0.6764342213975183</v>
      </c>
      <c r="J223" s="2">
        <v>0.92929493609545133</v>
      </c>
      <c r="K223" s="2">
        <v>1.1231182946391714E-2</v>
      </c>
      <c r="L223" s="2">
        <v>0.81564390013928889</v>
      </c>
      <c r="M223" s="2">
        <v>10.05154494652013</v>
      </c>
      <c r="N223" s="2">
        <v>0.81721152488187709</v>
      </c>
      <c r="O223" s="2">
        <v>0.93462424259828603</v>
      </c>
      <c r="P223" s="2">
        <v>1.1294626826096443E-2</v>
      </c>
      <c r="Q223" s="2">
        <v>0.63138082236091775</v>
      </c>
      <c r="V223" s="2" t="s">
        <v>228</v>
      </c>
    </row>
    <row r="224" spans="1:22" x14ac:dyDescent="0.2">
      <c r="A224" s="2">
        <v>42</v>
      </c>
      <c r="B224" s="2" t="s">
        <v>226</v>
      </c>
      <c r="C224" s="2" t="str">
        <f t="shared" si="24"/>
        <v>20220228_NeomaMSMS_SrF_LA_Chicago_Run2_RbSr_export_processed</v>
      </c>
      <c r="D224" s="2">
        <v>495646534.84255564</v>
      </c>
      <c r="E224" s="2">
        <v>46155.154000000002</v>
      </c>
      <c r="F224" s="2">
        <v>44256.671000000002</v>
      </c>
      <c r="G224" s="2">
        <v>930</v>
      </c>
      <c r="H224" s="2">
        <v>2.1693777515590789</v>
      </c>
      <c r="I224" s="2">
        <v>6.6988817709538045E-2</v>
      </c>
      <c r="J224" s="2">
        <v>0.75883623783808163</v>
      </c>
      <c r="K224" s="2">
        <v>2.5115151429915294E-3</v>
      </c>
      <c r="L224" s="2">
        <v>0.46836955815935505</v>
      </c>
      <c r="M224" s="2">
        <v>2.056220699809014</v>
      </c>
      <c r="N224" s="2">
        <v>0.12155844428415417</v>
      </c>
      <c r="O224" s="2">
        <v>0.76165849707586264</v>
      </c>
      <c r="P224" s="2">
        <v>2.5179841456445663E-3</v>
      </c>
      <c r="Q224" s="2">
        <v>0.20171918427675112</v>
      </c>
      <c r="V224" s="2" t="s">
        <v>228</v>
      </c>
    </row>
    <row r="225" spans="1:23" x14ac:dyDescent="0.2">
      <c r="A225" s="2">
        <v>43</v>
      </c>
      <c r="B225" s="2" t="s">
        <v>227</v>
      </c>
      <c r="C225" s="2" t="str">
        <f t="shared" si="24"/>
        <v>20220228_NeomaMSMS_SrF_LA_Chicago_Run2_RbSr_export_processed</v>
      </c>
      <c r="D225" s="2">
        <v>462282051.0672363</v>
      </c>
      <c r="E225" s="2">
        <v>51485.343999999997</v>
      </c>
      <c r="F225" s="2">
        <v>46492.703999999998</v>
      </c>
      <c r="G225" s="2">
        <v>1187.5</v>
      </c>
      <c r="H225" s="2">
        <v>0.47039513636378794</v>
      </c>
      <c r="I225" s="2">
        <v>0.41970285957679593</v>
      </c>
      <c r="J225" s="2">
        <v>0.73125171965793612</v>
      </c>
      <c r="K225" s="2">
        <v>1.8201741792639402E-3</v>
      </c>
      <c r="L225" s="2">
        <v>0.90103359989094711</v>
      </c>
      <c r="M225" s="2">
        <v>0.44585882554828243</v>
      </c>
      <c r="N225" s="2">
        <v>0.41109397025802108</v>
      </c>
      <c r="O225" s="2">
        <v>0.73397138671920836</v>
      </c>
      <c r="P225" s="2">
        <v>1.8229791315212513E-3</v>
      </c>
      <c r="Q225" s="2">
        <v>0.85616869226740588</v>
      </c>
      <c r="V225" s="2" t="s">
        <v>228</v>
      </c>
    </row>
    <row r="226" spans="1:23" x14ac:dyDescent="0.2">
      <c r="A226" s="2">
        <v>4</v>
      </c>
      <c r="B226" s="2" t="s">
        <v>229</v>
      </c>
      <c r="C226" s="2" t="str">
        <f t="shared" si="24"/>
        <v>20220228_NeomaMSMS_SrF_LA_Chicago_Run3_Sr_export_processed</v>
      </c>
      <c r="D226" s="2">
        <v>78893218.199247867</v>
      </c>
      <c r="J226" s="2">
        <v>0.69378039135151015</v>
      </c>
      <c r="K226" s="2">
        <v>4.4942326841180252E-3</v>
      </c>
      <c r="O226" s="2">
        <v>0.69559957581761722</v>
      </c>
      <c r="P226" s="2">
        <v>4.5083506090682042E-3</v>
      </c>
      <c r="V226" s="2" t="s">
        <v>236</v>
      </c>
      <c r="W226" s="4"/>
    </row>
    <row r="227" spans="1:23" x14ac:dyDescent="0.2">
      <c r="A227" s="2">
        <v>5</v>
      </c>
      <c r="B227" s="2" t="s">
        <v>230</v>
      </c>
      <c r="C227" s="2" t="str">
        <f t="shared" si="24"/>
        <v>20220228_NeomaMSMS_SrF_LA_Chicago_Run3_Sr_export_processed</v>
      </c>
      <c r="D227" s="2">
        <v>89950534.749559522</v>
      </c>
      <c r="J227" s="2">
        <v>0.70271703715186906</v>
      </c>
      <c r="K227" s="2">
        <v>3.1418933745242959E-3</v>
      </c>
      <c r="O227" s="2">
        <v>0.70455965469193127</v>
      </c>
      <c r="P227" s="2">
        <v>3.1535552229213994E-3</v>
      </c>
      <c r="V227" s="2" t="s">
        <v>236</v>
      </c>
      <c r="W227" s="4"/>
    </row>
    <row r="228" spans="1:23" x14ac:dyDescent="0.2">
      <c r="A228" s="2">
        <v>6</v>
      </c>
      <c r="B228" s="2" t="s">
        <v>231</v>
      </c>
      <c r="C228" s="2" t="str">
        <f t="shared" si="24"/>
        <v>20220228_NeomaMSMS_SrF_LA_Chicago_Run3_Sr_export_processed</v>
      </c>
      <c r="D228" s="2">
        <v>99224000.778727084</v>
      </c>
      <c r="J228" s="2">
        <v>0.70440869714579757</v>
      </c>
      <c r="K228" s="2">
        <v>2.7426995668683326E-3</v>
      </c>
      <c r="O228" s="2">
        <v>0.70625575044337208</v>
      </c>
      <c r="P228" s="2">
        <v>2.7538311650140432E-3</v>
      </c>
      <c r="V228" s="2" t="s">
        <v>236</v>
      </c>
      <c r="W228" s="4"/>
    </row>
    <row r="229" spans="1:23" x14ac:dyDescent="0.2">
      <c r="A229" s="2">
        <v>7</v>
      </c>
      <c r="B229" s="2" t="s">
        <v>232</v>
      </c>
      <c r="C229" s="2" t="str">
        <f t="shared" si="24"/>
        <v>20220228_NeomaMSMS_SrF_LA_Chicago_Run3_Sr_export_processed</v>
      </c>
      <c r="D229" s="2">
        <v>108681647.59123552</v>
      </c>
      <c r="J229" s="2">
        <v>0.69671598564969206</v>
      </c>
      <c r="K229" s="2">
        <v>2.7620747480151596E-3</v>
      </c>
      <c r="O229" s="2">
        <v>0.69854286763451345</v>
      </c>
      <c r="P229" s="2">
        <v>2.7731446272596934E-3</v>
      </c>
      <c r="V229" s="2" t="s">
        <v>236</v>
      </c>
      <c r="W229" s="4"/>
    </row>
    <row r="230" spans="1:23" x14ac:dyDescent="0.2">
      <c r="A230" s="2">
        <v>8</v>
      </c>
      <c r="B230" s="2" t="s">
        <v>233</v>
      </c>
      <c r="C230" s="2" t="str">
        <f t="shared" si="24"/>
        <v>20220228_NeomaMSMS_SrF_LA_Chicago_Run3_Sr_export_processed</v>
      </c>
      <c r="D230" s="2">
        <v>116663904.65572309</v>
      </c>
      <c r="J230" s="2">
        <v>0.69908168549481942</v>
      </c>
      <c r="K230" s="2">
        <v>2.7001499937899199E-3</v>
      </c>
      <c r="O230" s="2">
        <v>0.70091477065929741</v>
      </c>
      <c r="P230" s="2">
        <v>2.7111717611238563E-3</v>
      </c>
      <c r="V230" s="2" t="s">
        <v>236</v>
      </c>
      <c r="W230" s="4"/>
    </row>
    <row r="231" spans="1:23" x14ac:dyDescent="0.2">
      <c r="A231" s="2">
        <v>9</v>
      </c>
      <c r="B231" s="2" t="s">
        <v>234</v>
      </c>
      <c r="C231" s="2" t="str">
        <f t="shared" si="24"/>
        <v>20220228_NeomaMSMS_SrF_LA_Chicago_Run3_Sr_export_processed</v>
      </c>
      <c r="D231" s="2">
        <v>99552195.957333386</v>
      </c>
      <c r="J231" s="2">
        <v>0.70684970466894448</v>
      </c>
      <c r="K231" s="2">
        <v>2.3374481494627961E-3</v>
      </c>
      <c r="O231" s="2">
        <v>0.7087031586129241</v>
      </c>
      <c r="P231" s="2">
        <v>2.3482310038630558E-3</v>
      </c>
      <c r="V231" s="2" t="s">
        <v>236</v>
      </c>
      <c r="W231" s="4"/>
    </row>
    <row r="232" spans="1:23" x14ac:dyDescent="0.2">
      <c r="A232" s="2">
        <v>10</v>
      </c>
      <c r="B232" s="2" t="s">
        <v>235</v>
      </c>
      <c r="C232" s="2" t="str">
        <f t="shared" si="24"/>
        <v>20220228_NeomaMSMS_SrF_LA_Chicago_Run3_Sr_export_processed</v>
      </c>
      <c r="D232" s="2">
        <v>45277706.052857608</v>
      </c>
      <c r="E232" s="4"/>
      <c r="F232" s="4"/>
      <c r="J232" s="2">
        <v>0.69269123995293258</v>
      </c>
      <c r="K232" s="2">
        <v>6.3917825980851217E-3</v>
      </c>
      <c r="O232" s="2">
        <v>0.69450756851920414</v>
      </c>
      <c r="P232" s="2">
        <v>6.4101784797933378E-3</v>
      </c>
      <c r="V232" s="2" t="s">
        <v>236</v>
      </c>
      <c r="W232" s="4"/>
    </row>
    <row r="233" spans="1:23" x14ac:dyDescent="0.2">
      <c r="A233" s="2">
        <v>3</v>
      </c>
      <c r="B233" s="2" t="s">
        <v>237</v>
      </c>
      <c r="C233" s="2" t="str">
        <f t="shared" si="24"/>
        <v>20220228_NeomaMSMS_SrF_LA_Chicago_Run4_Sr_export_processed</v>
      </c>
      <c r="D233" s="2">
        <v>3180705.5591775877</v>
      </c>
      <c r="J233" s="2">
        <v>8.1026597242029084</v>
      </c>
      <c r="K233" s="2">
        <v>0.11984798248954193</v>
      </c>
      <c r="O233" s="2">
        <v>8.1258765398914008</v>
      </c>
      <c r="P233" s="2">
        <v>0.12021469246721951</v>
      </c>
      <c r="V233" s="2" t="s">
        <v>268</v>
      </c>
    </row>
    <row r="234" spans="1:23" x14ac:dyDescent="0.2">
      <c r="A234" s="2">
        <v>4</v>
      </c>
      <c r="B234" s="2" t="s">
        <v>238</v>
      </c>
      <c r="C234" s="2" t="str">
        <f t="shared" si="24"/>
        <v>20220228_NeomaMSMS_SrF_LA_Chicago_Run4_Sr_export_processed</v>
      </c>
      <c r="D234" s="2">
        <v>4297265.5065542357</v>
      </c>
      <c r="J234" s="2">
        <v>5.0977242729806926</v>
      </c>
      <c r="K234" s="2">
        <v>0.25701164867518955</v>
      </c>
      <c r="O234" s="2">
        <v>5.1123309489247681</v>
      </c>
      <c r="P234" s="2">
        <v>0.25775237459493999</v>
      </c>
      <c r="V234" s="2" t="s">
        <v>268</v>
      </c>
    </row>
    <row r="235" spans="1:23" x14ac:dyDescent="0.2">
      <c r="A235" s="2">
        <v>5</v>
      </c>
      <c r="B235" s="2" t="s">
        <v>239</v>
      </c>
      <c r="C235" s="2" t="str">
        <f t="shared" si="24"/>
        <v>20220228_NeomaMSMS_SrF_LA_Chicago_Run4_Sr_export_processed</v>
      </c>
      <c r="D235" s="2">
        <v>4057822.4492524937</v>
      </c>
      <c r="J235" s="2">
        <v>6.810666176128616</v>
      </c>
      <c r="K235" s="2">
        <v>0.28952905664605716</v>
      </c>
      <c r="O235" s="2">
        <v>6.8301810004837247</v>
      </c>
      <c r="P235" s="2">
        <v>0.29036547019929909</v>
      </c>
      <c r="V235" s="2" t="s">
        <v>268</v>
      </c>
    </row>
    <row r="236" spans="1:23" x14ac:dyDescent="0.2">
      <c r="A236" s="2">
        <v>8</v>
      </c>
      <c r="B236" s="2" t="s">
        <v>240</v>
      </c>
      <c r="C236" s="2" t="str">
        <f t="shared" si="24"/>
        <v>20220228_NeomaMSMS_SrF_LA_Chicago_Run4_Sr_export_processed</v>
      </c>
      <c r="D236" s="4">
        <v>1154462238.3510537</v>
      </c>
      <c r="E236" s="4">
        <v>14720.974</v>
      </c>
      <c r="F236" s="4">
        <v>56025.188000000002</v>
      </c>
      <c r="G236" s="4">
        <v>1349.69</v>
      </c>
      <c r="J236" s="2">
        <v>0.70529023891055032</v>
      </c>
      <c r="K236" s="2">
        <v>3.2543000806150684E-4</v>
      </c>
      <c r="O236" s="2">
        <v>0.70705311409795357</v>
      </c>
      <c r="P236" s="2">
        <v>4.6093093065455154E-4</v>
      </c>
      <c r="V236" s="2" t="s">
        <v>268</v>
      </c>
    </row>
    <row r="237" spans="1:23" x14ac:dyDescent="0.2">
      <c r="A237" s="2">
        <v>9</v>
      </c>
      <c r="B237" s="2" t="s">
        <v>241</v>
      </c>
      <c r="C237" s="2" t="str">
        <f t="shared" si="24"/>
        <v>20220228_NeomaMSMS_SrF_LA_Chicago_Run4_Sr_export_processed</v>
      </c>
      <c r="D237" s="4">
        <v>1165508819.7143509</v>
      </c>
      <c r="E237" s="4">
        <v>14863.985000000001</v>
      </c>
      <c r="F237" s="4">
        <v>55989.434999999998</v>
      </c>
      <c r="G237" s="4">
        <v>1349.69</v>
      </c>
      <c r="J237" s="2">
        <v>0.70536016921815814</v>
      </c>
      <c r="K237" s="2">
        <v>3.5989097072059074E-4</v>
      </c>
      <c r="O237" s="2">
        <v>0.70712321919658683</v>
      </c>
      <c r="P237" s="2">
        <v>4.8601787747485839E-4</v>
      </c>
      <c r="V237" s="2" t="s">
        <v>268</v>
      </c>
    </row>
    <row r="238" spans="1:23" x14ac:dyDescent="0.2">
      <c r="A238" s="2">
        <v>10</v>
      </c>
      <c r="B238" s="2" t="s">
        <v>242</v>
      </c>
      <c r="C238" s="2" t="str">
        <f t="shared" si="24"/>
        <v>20220228_NeomaMSMS_SrF_LA_Chicago_Run4_Sr_export_processed</v>
      </c>
      <c r="D238" s="4">
        <v>961281302.69076216</v>
      </c>
      <c r="E238" s="4">
        <v>15034.406000000001</v>
      </c>
      <c r="F238" s="4">
        <v>55982</v>
      </c>
      <c r="G238" s="4">
        <v>1349.69</v>
      </c>
      <c r="J238" s="2">
        <v>0.70525068716932582</v>
      </c>
      <c r="K238" s="2">
        <v>3.8102113468900962E-4</v>
      </c>
      <c r="O238" s="2">
        <v>0.70701346349702654</v>
      </c>
      <c r="P238" s="2">
        <v>5.0191076427807068E-4</v>
      </c>
      <c r="V238" s="2" t="s">
        <v>268</v>
      </c>
    </row>
    <row r="239" spans="1:23" x14ac:dyDescent="0.2">
      <c r="A239" s="2">
        <v>11</v>
      </c>
      <c r="B239" s="2" t="s">
        <v>243</v>
      </c>
      <c r="C239" s="2" t="str">
        <f t="shared" si="24"/>
        <v>20220228_NeomaMSMS_SrF_LA_Chicago_Run4_Sr_export_processed</v>
      </c>
      <c r="D239" s="4">
        <v>978452289.38597393</v>
      </c>
      <c r="E239" s="4">
        <v>15219.843000000001</v>
      </c>
      <c r="F239" s="4">
        <v>55923.781000000003</v>
      </c>
      <c r="G239" s="4">
        <v>1349.69</v>
      </c>
      <c r="J239" s="2">
        <v>0.7057523890897317</v>
      </c>
      <c r="K239" s="2">
        <v>3.5863287347732064E-4</v>
      </c>
      <c r="O239" s="2">
        <v>0.70751641942297239</v>
      </c>
      <c r="P239" s="2">
        <v>4.8520392094839916E-4</v>
      </c>
      <c r="V239" s="2" t="s">
        <v>268</v>
      </c>
    </row>
    <row r="240" spans="1:23" x14ac:dyDescent="0.2">
      <c r="A240" s="2">
        <v>12</v>
      </c>
      <c r="B240" s="2" t="s">
        <v>244</v>
      </c>
      <c r="C240" s="2" t="str">
        <f t="shared" si="24"/>
        <v>20220228_NeomaMSMS_SrF_LA_Chicago_Run4_Sr_export_processed</v>
      </c>
      <c r="D240" s="4">
        <v>901952972.52352107</v>
      </c>
      <c r="E240" s="4">
        <v>15370.75</v>
      </c>
      <c r="F240" s="4">
        <v>55880.813000000002</v>
      </c>
      <c r="G240" s="4">
        <v>1349.69</v>
      </c>
      <c r="J240" s="2">
        <v>0.70555466571919989</v>
      </c>
      <c r="K240" s="2">
        <v>4.1957042444336985E-4</v>
      </c>
      <c r="O240" s="2">
        <v>0.70731820184224936</v>
      </c>
      <c r="P240" s="2">
        <v>5.3199861856766529E-4</v>
      </c>
      <c r="V240" s="2" t="s">
        <v>268</v>
      </c>
    </row>
    <row r="241" spans="1:22" x14ac:dyDescent="0.2">
      <c r="A241" s="2">
        <v>15</v>
      </c>
      <c r="B241" s="2" t="s">
        <v>245</v>
      </c>
      <c r="C241" s="2" t="str">
        <f t="shared" si="24"/>
        <v>20220228_NeomaMSMS_SrF_LA_Chicago_Run4_Sr_export_processed</v>
      </c>
      <c r="D241" s="4">
        <v>988300596.08260691</v>
      </c>
      <c r="E241" s="4">
        <v>15536.78</v>
      </c>
      <c r="F241" s="4">
        <v>55852.781000000003</v>
      </c>
      <c r="G241" s="4">
        <v>1349.69</v>
      </c>
      <c r="J241" s="2">
        <v>0.70554501815623971</v>
      </c>
      <c r="K241" s="2">
        <v>3.754642809729477E-4</v>
      </c>
      <c r="O241" s="2">
        <v>0.70733665707105964</v>
      </c>
      <c r="P241" s="2">
        <v>5.2398575635774491E-4</v>
      </c>
      <c r="V241" s="2" t="s">
        <v>268</v>
      </c>
    </row>
    <row r="242" spans="1:22" x14ac:dyDescent="0.2">
      <c r="A242" s="2">
        <v>16</v>
      </c>
      <c r="B242" s="2" t="s">
        <v>246</v>
      </c>
      <c r="C242" s="2" t="str">
        <f t="shared" si="24"/>
        <v>20220228_NeomaMSMS_SrF_LA_Chicago_Run4_Sr_export_processed</v>
      </c>
      <c r="D242" s="4">
        <v>1009948015.7877209</v>
      </c>
      <c r="E242" s="4">
        <v>15674.625</v>
      </c>
      <c r="F242" s="4">
        <v>55820.5</v>
      </c>
      <c r="G242" s="4">
        <v>1349.69</v>
      </c>
      <c r="J242" s="2">
        <v>0.70534191808601476</v>
      </c>
      <c r="K242" s="2">
        <v>3.9328175590911562E-4</v>
      </c>
      <c r="O242" s="2">
        <v>0.7071330412548793</v>
      </c>
      <c r="P242" s="2">
        <v>5.3689044731381722E-4</v>
      </c>
      <c r="V242" s="2" t="s">
        <v>268</v>
      </c>
    </row>
    <row r="243" spans="1:22" x14ac:dyDescent="0.2">
      <c r="A243" s="2">
        <v>17</v>
      </c>
      <c r="B243" s="2" t="s">
        <v>247</v>
      </c>
      <c r="C243" s="2" t="str">
        <f t="shared" si="24"/>
        <v>20220228_NeomaMSMS_SrF_LA_Chicago_Run4_Sr_export_processed</v>
      </c>
      <c r="D243" s="2">
        <v>76066286.289708361</v>
      </c>
      <c r="E243" s="2">
        <v>79199.217999999993</v>
      </c>
      <c r="F243" s="2">
        <v>22143.530999999999</v>
      </c>
      <c r="G243" s="2">
        <v>1349.69</v>
      </c>
      <c r="J243" s="2">
        <v>0.70693241474567925</v>
      </c>
      <c r="K243" s="2">
        <v>3.3611832346244251E-3</v>
      </c>
      <c r="O243" s="2">
        <v>0.70872757677193221</v>
      </c>
      <c r="P243" s="2">
        <v>3.3894537515729074E-3</v>
      </c>
      <c r="V243" s="2" t="s">
        <v>268</v>
      </c>
    </row>
    <row r="244" spans="1:22" x14ac:dyDescent="0.2">
      <c r="A244" s="2">
        <v>18</v>
      </c>
      <c r="B244" s="2" t="s">
        <v>248</v>
      </c>
      <c r="C244" s="2" t="str">
        <f t="shared" si="24"/>
        <v>20220228_NeomaMSMS_SrF_LA_Chicago_Run4_Sr_export_processed</v>
      </c>
      <c r="D244" s="2">
        <v>596667684.27039492</v>
      </c>
      <c r="E244" s="2">
        <v>79268.217999999993</v>
      </c>
      <c r="F244" s="2">
        <v>22221.155999999999</v>
      </c>
      <c r="G244" s="2">
        <v>1349.69</v>
      </c>
      <c r="J244" s="2">
        <v>0.70539322753713352</v>
      </c>
      <c r="K244" s="2">
        <v>5.2473446411592951E-4</v>
      </c>
      <c r="O244" s="2">
        <v>0.70718448099961095</v>
      </c>
      <c r="P244" s="2">
        <v>6.3996878819028873E-4</v>
      </c>
      <c r="V244" s="2" t="s">
        <v>268</v>
      </c>
    </row>
    <row r="245" spans="1:22" x14ac:dyDescent="0.2">
      <c r="A245" s="2">
        <v>19</v>
      </c>
      <c r="B245" s="2" t="s">
        <v>249</v>
      </c>
      <c r="C245" s="2" t="str">
        <f t="shared" si="24"/>
        <v>20220228_NeomaMSMS_SrF_LA_Chicago_Run4_Sr_export_processed</v>
      </c>
      <c r="D245" s="2">
        <v>814981759.15804756</v>
      </c>
      <c r="E245" s="2">
        <v>79371.717999999993</v>
      </c>
      <c r="F245" s="2">
        <v>22333.279999999999</v>
      </c>
      <c r="G245" s="2">
        <v>1349.69</v>
      </c>
      <c r="J245" s="2">
        <v>0.70597083796971738</v>
      </c>
      <c r="K245" s="2">
        <v>4.024493156001526E-4</v>
      </c>
      <c r="O245" s="2">
        <v>0.70776355819803105</v>
      </c>
      <c r="P245" s="2">
        <v>5.4389362818869848E-4</v>
      </c>
      <c r="V245" s="2" t="s">
        <v>268</v>
      </c>
    </row>
    <row r="246" spans="1:22" x14ac:dyDescent="0.2">
      <c r="A246" s="2">
        <v>22</v>
      </c>
      <c r="B246" s="2" t="s">
        <v>250</v>
      </c>
      <c r="C246" s="2" t="str">
        <f t="shared" si="24"/>
        <v>20220228_NeomaMSMS_SrF_LA_Chicago_Run4_Sr_export_processed</v>
      </c>
      <c r="D246" s="2">
        <v>938773932.38034832</v>
      </c>
      <c r="E246" s="2">
        <v>79451.375</v>
      </c>
      <c r="F246" s="2">
        <v>22445.469000000001</v>
      </c>
      <c r="G246" s="2">
        <v>1349.69</v>
      </c>
      <c r="J246" s="2">
        <v>0.70548597269681201</v>
      </c>
      <c r="K246" s="2">
        <v>4.5747140383790039E-4</v>
      </c>
      <c r="O246" s="2">
        <v>0.70738086922569876</v>
      </c>
      <c r="P246" s="2">
        <v>5.6873601088086427E-4</v>
      </c>
      <c r="V246" s="2" t="s">
        <v>268</v>
      </c>
    </row>
    <row r="247" spans="1:22" x14ac:dyDescent="0.2">
      <c r="A247" s="2">
        <v>23</v>
      </c>
      <c r="B247" s="2" t="s">
        <v>251</v>
      </c>
      <c r="C247" s="2" t="str">
        <f t="shared" si="24"/>
        <v>20220228_NeomaMSMS_SrF_LA_Chicago_Run4_Sr_export_processed</v>
      </c>
      <c r="D247" s="2">
        <v>973473815.87065041</v>
      </c>
      <c r="E247" s="2">
        <v>79557.031000000003</v>
      </c>
      <c r="F247" s="2">
        <v>22542.499</v>
      </c>
      <c r="G247" s="2">
        <v>1349.69</v>
      </c>
      <c r="J247" s="2">
        <v>0.70588667173985253</v>
      </c>
      <c r="K247" s="2">
        <v>3.6756471010392804E-4</v>
      </c>
      <c r="O247" s="2">
        <v>0.70778264452433504</v>
      </c>
      <c r="P247" s="2">
        <v>4.9901286584031293E-4</v>
      </c>
      <c r="V247" s="2" t="s">
        <v>268</v>
      </c>
    </row>
    <row r="248" spans="1:22" x14ac:dyDescent="0.2">
      <c r="A248" s="2">
        <v>24</v>
      </c>
      <c r="B248" s="2" t="s">
        <v>252</v>
      </c>
      <c r="C248" s="2" t="str">
        <f t="shared" si="24"/>
        <v>20220228_NeomaMSMS_SrF_LA_Chicago_Run4_Sr_export_processed</v>
      </c>
      <c r="D248" s="2">
        <v>966811966.25188768</v>
      </c>
      <c r="E248" s="2">
        <v>79656.217999999993</v>
      </c>
      <c r="F248" s="2">
        <v>22648.154999999999</v>
      </c>
      <c r="G248" s="2">
        <v>1349.69</v>
      </c>
      <c r="J248" s="2">
        <v>0.70591859981227334</v>
      </c>
      <c r="K248" s="2">
        <v>3.6000973495786958E-4</v>
      </c>
      <c r="O248" s="2">
        <v>0.70781465835380275</v>
      </c>
      <c r="P248" s="2">
        <v>4.934548657996949E-4</v>
      </c>
      <c r="V248" s="2" t="s">
        <v>268</v>
      </c>
    </row>
    <row r="249" spans="1:22" x14ac:dyDescent="0.2">
      <c r="A249" s="2">
        <v>25</v>
      </c>
      <c r="B249" s="2" t="s">
        <v>253</v>
      </c>
      <c r="C249" s="2" t="str">
        <f t="shared" si="24"/>
        <v>20220228_NeomaMSMS_SrF_LA_Chicago_Run4_Sr_export_processed</v>
      </c>
      <c r="D249" s="2">
        <v>745246544.76387537</v>
      </c>
      <c r="E249" s="2">
        <v>79746.781000000003</v>
      </c>
      <c r="F249" s="2">
        <v>22725.812000000002</v>
      </c>
      <c r="G249" s="2">
        <v>1349.69</v>
      </c>
      <c r="J249" s="2">
        <v>0.70613442171948715</v>
      </c>
      <c r="K249" s="2">
        <v>4.7231718191661863E-4</v>
      </c>
      <c r="O249" s="2">
        <v>0.70803105994679161</v>
      </c>
      <c r="P249" s="2">
        <v>5.8098731475174402E-4</v>
      </c>
      <c r="V249" s="2" t="s">
        <v>268</v>
      </c>
    </row>
    <row r="250" spans="1:22" x14ac:dyDescent="0.2">
      <c r="A250" s="2">
        <v>26</v>
      </c>
      <c r="B250" s="2" t="s">
        <v>254</v>
      </c>
      <c r="C250" s="2" t="str">
        <f t="shared" si="24"/>
        <v>20220228_NeomaMSMS_SrF_LA_Chicago_Run4_Sr_export_processed</v>
      </c>
      <c r="D250" s="2">
        <v>948081995.2367754</v>
      </c>
      <c r="E250" s="2">
        <v>79835.187000000005</v>
      </c>
      <c r="F250" s="2">
        <v>22801.279999999999</v>
      </c>
      <c r="G250" s="2">
        <v>1349.69</v>
      </c>
      <c r="J250" s="2">
        <v>0.705367702901185</v>
      </c>
      <c r="K250" s="2">
        <v>4.6103565431349211E-4</v>
      </c>
      <c r="O250" s="2">
        <v>0.70726228176390415</v>
      </c>
      <c r="P250" s="2">
        <v>5.7158914162095916E-4</v>
      </c>
      <c r="V250" s="2" t="s">
        <v>268</v>
      </c>
    </row>
    <row r="251" spans="1:22" x14ac:dyDescent="0.2">
      <c r="A251" s="2">
        <v>29</v>
      </c>
      <c r="B251" s="2" t="s">
        <v>255</v>
      </c>
      <c r="C251" s="2" t="str">
        <f t="shared" si="24"/>
        <v>20220228_NeomaMSMS_SrF_LA_Chicago_Run4_Sr_export_processed</v>
      </c>
      <c r="D251" s="2">
        <v>913500910.29229176</v>
      </c>
      <c r="E251" s="2">
        <v>79919.28</v>
      </c>
      <c r="F251" s="2">
        <v>22878.904999999999</v>
      </c>
      <c r="G251" s="2">
        <v>1349.69</v>
      </c>
      <c r="J251" s="2">
        <v>0.7059680961893795</v>
      </c>
      <c r="K251" s="2">
        <v>4.3711054448268029E-4</v>
      </c>
      <c r="O251" s="2">
        <v>0.70758093066993855</v>
      </c>
      <c r="P251" s="2">
        <v>5.9458073773736039E-4</v>
      </c>
      <c r="V251" s="2" t="s">
        <v>268</v>
      </c>
    </row>
    <row r="252" spans="1:22" x14ac:dyDescent="0.2">
      <c r="A252" s="2">
        <v>30</v>
      </c>
      <c r="B252" s="2" t="s">
        <v>256</v>
      </c>
      <c r="C252" s="2" t="str">
        <f t="shared" si="24"/>
        <v>20220228_NeomaMSMS_SrF_LA_Chicago_Run4_Sr_export_processed</v>
      </c>
      <c r="D252" s="2">
        <v>845999509.58226812</v>
      </c>
      <c r="E252" s="2">
        <v>79984.062999999995</v>
      </c>
      <c r="F252" s="2">
        <v>22982.530999999999</v>
      </c>
      <c r="G252" s="2">
        <v>1349.69</v>
      </c>
      <c r="J252" s="2">
        <v>0.70566391709209086</v>
      </c>
      <c r="K252" s="2">
        <v>4.6193524894011555E-4</v>
      </c>
      <c r="O252" s="2">
        <v>0.70727605665380144</v>
      </c>
      <c r="P252" s="2">
        <v>6.1303154721770625E-4</v>
      </c>
      <c r="V252" s="2" t="s">
        <v>268</v>
      </c>
    </row>
    <row r="253" spans="1:22" x14ac:dyDescent="0.2">
      <c r="A253" s="2">
        <v>31</v>
      </c>
      <c r="B253" s="2" t="s">
        <v>257</v>
      </c>
      <c r="C253" s="2" t="str">
        <f t="shared" si="24"/>
        <v>20220228_NeomaMSMS_SrF_LA_Chicago_Run4_Sr_export_processed</v>
      </c>
      <c r="D253" s="2">
        <v>505604671.01519871</v>
      </c>
      <c r="E253" s="2">
        <v>79799.850000000006</v>
      </c>
      <c r="F253" s="2">
        <v>21901.592000000001</v>
      </c>
      <c r="G253" s="2">
        <v>1349.69</v>
      </c>
      <c r="J253" s="2">
        <v>0.70584665086750764</v>
      </c>
      <c r="K253" s="2">
        <v>6.3246718917728273E-4</v>
      </c>
      <c r="O253" s="2">
        <v>0.70745920789756456</v>
      </c>
      <c r="P253" s="2">
        <v>7.5058349984595963E-4</v>
      </c>
      <c r="V253" s="2" t="s">
        <v>268</v>
      </c>
    </row>
    <row r="254" spans="1:22" x14ac:dyDescent="0.2">
      <c r="A254" s="2">
        <v>32</v>
      </c>
      <c r="B254" s="2" t="s">
        <v>258</v>
      </c>
      <c r="C254" s="2" t="str">
        <f t="shared" si="24"/>
        <v>20220228_NeomaMSMS_SrF_LA_Chicago_Run4_Sr_export_processed</v>
      </c>
      <c r="D254" s="2">
        <v>909141118.67546153</v>
      </c>
      <c r="E254" s="2">
        <v>79726.426999999996</v>
      </c>
      <c r="F254" s="2">
        <v>22056.166000000001</v>
      </c>
      <c r="G254" s="2">
        <v>1349.69</v>
      </c>
      <c r="J254" s="2">
        <v>0.7057138835475717</v>
      </c>
      <c r="K254" s="2">
        <v>4.5115680254181363E-4</v>
      </c>
      <c r="O254" s="2">
        <v>0.7073261372612144</v>
      </c>
      <c r="P254" s="2">
        <v>6.0493289615119977E-4</v>
      </c>
      <c r="V254" s="2" t="s">
        <v>268</v>
      </c>
    </row>
    <row r="255" spans="1:22" x14ac:dyDescent="0.2">
      <c r="A255" s="2">
        <v>33</v>
      </c>
      <c r="B255" s="2" t="s">
        <v>259</v>
      </c>
      <c r="C255" s="2" t="str">
        <f t="shared" si="24"/>
        <v>20220228_NeomaMSMS_SrF_LA_Chicago_Run4_Sr_export_processed</v>
      </c>
      <c r="D255" s="2">
        <v>184499336.86527845</v>
      </c>
      <c r="E255" s="2">
        <v>79668.460999999996</v>
      </c>
      <c r="F255" s="2">
        <v>22191.419000000002</v>
      </c>
      <c r="G255" s="2">
        <v>1349.69</v>
      </c>
      <c r="J255" s="2">
        <v>0.70537574808965597</v>
      </c>
      <c r="K255" s="2">
        <v>1.5980741659972434E-3</v>
      </c>
      <c r="O255" s="2">
        <v>0.70698722930872204</v>
      </c>
      <c r="P255" s="2">
        <v>1.6513142669573552E-3</v>
      </c>
      <c r="V255" s="2" t="s">
        <v>268</v>
      </c>
    </row>
    <row r="256" spans="1:22" x14ac:dyDescent="0.2">
      <c r="A256" s="2">
        <v>36</v>
      </c>
      <c r="B256" s="2" t="s">
        <v>260</v>
      </c>
      <c r="C256" s="2" t="str">
        <f t="shared" si="24"/>
        <v>20220228_NeomaMSMS_SrF_LA_Chicago_Run4_Sr_export_processed</v>
      </c>
      <c r="D256" s="2">
        <v>172820930.81513494</v>
      </c>
      <c r="E256" s="2">
        <v>79610.495999999999</v>
      </c>
      <c r="F256" s="2">
        <v>22284.164000000001</v>
      </c>
      <c r="G256" s="2">
        <v>1349.69</v>
      </c>
      <c r="J256" s="2">
        <v>0.70659182266804132</v>
      </c>
      <c r="K256" s="2">
        <v>1.9293122869690491E-3</v>
      </c>
      <c r="O256" s="2">
        <v>0.70843312985936502</v>
      </c>
      <c r="P256" s="2">
        <v>1.9796348655772562E-3</v>
      </c>
      <c r="V256" s="2" t="s">
        <v>268</v>
      </c>
    </row>
    <row r="257" spans="1:23" x14ac:dyDescent="0.2">
      <c r="A257" s="2">
        <v>37</v>
      </c>
      <c r="B257" s="2" t="s">
        <v>261</v>
      </c>
      <c r="C257" s="2" t="str">
        <f t="shared" si="24"/>
        <v>20220228_NeomaMSMS_SrF_LA_Chicago_Run4_Sr_export_processed</v>
      </c>
      <c r="D257" s="2">
        <v>941717165.03693902</v>
      </c>
      <c r="E257" s="2">
        <v>79378.491999999998</v>
      </c>
      <c r="F257" s="2">
        <v>22566.34</v>
      </c>
      <c r="G257" s="2">
        <v>1349.69</v>
      </c>
      <c r="J257" s="2">
        <v>0.70543763477545862</v>
      </c>
      <c r="K257" s="2">
        <v>3.5755181184352644E-4</v>
      </c>
      <c r="O257" s="2">
        <v>0.7072759342692706</v>
      </c>
      <c r="P257" s="2">
        <v>5.5246284037393384E-4</v>
      </c>
      <c r="V257" s="2" t="s">
        <v>268</v>
      </c>
    </row>
    <row r="258" spans="1:23" x14ac:dyDescent="0.2">
      <c r="A258" s="2">
        <v>38</v>
      </c>
      <c r="B258" s="2" t="s">
        <v>262</v>
      </c>
      <c r="C258" s="2" t="str">
        <f t="shared" si="24"/>
        <v>20220228_NeomaMSMS_SrF_LA_Chicago_Run4_Sr_export_processed</v>
      </c>
      <c r="D258" s="2">
        <v>940527489.31104195</v>
      </c>
      <c r="E258" s="2">
        <v>79216.188999999998</v>
      </c>
      <c r="F258" s="2">
        <v>22686.135999999999</v>
      </c>
      <c r="G258" s="2">
        <v>1349.69</v>
      </c>
      <c r="J258" s="2">
        <v>0.70538647395217502</v>
      </c>
      <c r="K258" s="2">
        <v>3.8649453670060825E-4</v>
      </c>
      <c r="O258" s="2">
        <v>0.70722464012602948</v>
      </c>
      <c r="P258" s="2">
        <v>5.7169630931063777E-4</v>
      </c>
      <c r="V258" s="2" t="s">
        <v>268</v>
      </c>
    </row>
    <row r="259" spans="1:23" x14ac:dyDescent="0.2">
      <c r="A259" s="2">
        <v>39</v>
      </c>
      <c r="B259" s="2" t="s">
        <v>263</v>
      </c>
      <c r="C259" s="2" t="str">
        <f t="shared" si="24"/>
        <v>20220228_NeomaMSMS_SrF_LA_Chicago_Run4_Sr_export_processed</v>
      </c>
      <c r="D259" s="2">
        <v>936249858.38441753</v>
      </c>
      <c r="E259" s="2">
        <v>79107.986999999994</v>
      </c>
      <c r="F259" s="2">
        <v>22782.744999999999</v>
      </c>
      <c r="G259" s="2">
        <v>1349.69</v>
      </c>
      <c r="J259" s="2">
        <v>0.70543574088321925</v>
      </c>
      <c r="K259" s="2">
        <v>3.9304257939371548E-4</v>
      </c>
      <c r="O259" s="2">
        <v>0.70727403544173884</v>
      </c>
      <c r="P259" s="2">
        <v>5.761878436382023E-4</v>
      </c>
      <c r="V259" s="2" t="s">
        <v>268</v>
      </c>
    </row>
    <row r="260" spans="1:23" x14ac:dyDescent="0.2">
      <c r="A260" s="2">
        <v>40</v>
      </c>
      <c r="B260" s="2" t="s">
        <v>264</v>
      </c>
      <c r="C260" s="2" t="str">
        <f t="shared" si="24"/>
        <v>20220228_NeomaMSMS_SrF_LA_Chicago_Run4_Sr_export_processed</v>
      </c>
      <c r="D260" s="2">
        <v>886010866.26088905</v>
      </c>
      <c r="E260" s="2">
        <v>78957.395000000004</v>
      </c>
      <c r="F260" s="2">
        <v>22906.577000000001</v>
      </c>
      <c r="G260" s="2">
        <v>1349.69</v>
      </c>
      <c r="J260" s="2">
        <v>0.70563730376651479</v>
      </c>
      <c r="K260" s="2">
        <v>3.501732523162212E-4</v>
      </c>
      <c r="O260" s="2">
        <v>0.70747612357762646</v>
      </c>
      <c r="P260" s="2">
        <v>5.4778279562487666E-4</v>
      </c>
      <c r="V260" s="2" t="s">
        <v>268</v>
      </c>
    </row>
    <row r="261" spans="1:23" x14ac:dyDescent="0.2">
      <c r="A261" s="2">
        <v>43</v>
      </c>
      <c r="B261" s="2" t="s">
        <v>265</v>
      </c>
      <c r="C261" s="2" t="str">
        <f t="shared" ref="C261:C263" si="25">V261</f>
        <v>20220228_NeomaMSMS_SrF_LA_Chicago_Run4_Sr_export_processed</v>
      </c>
      <c r="D261" s="2">
        <v>889002096.97807634</v>
      </c>
      <c r="E261" s="2">
        <v>78818.278000000006</v>
      </c>
      <c r="F261" s="2">
        <v>23018.644</v>
      </c>
      <c r="G261" s="2">
        <v>1349.69</v>
      </c>
      <c r="J261" s="2">
        <v>0.70530759690663913</v>
      </c>
      <c r="K261" s="2">
        <v>3.6596626365537375E-4</v>
      </c>
      <c r="O261" s="2">
        <v>0.70733374969179474</v>
      </c>
      <c r="P261" s="2">
        <v>5.8275401658011738E-4</v>
      </c>
      <c r="V261" s="2" t="s">
        <v>268</v>
      </c>
    </row>
    <row r="262" spans="1:23" x14ac:dyDescent="0.2">
      <c r="A262" s="2">
        <v>44</v>
      </c>
      <c r="B262" s="2" t="s">
        <v>266</v>
      </c>
      <c r="C262" s="2" t="str">
        <f t="shared" si="25"/>
        <v>20220228_NeomaMSMS_SrF_LA_Chicago_Run4_Sr_export_processed</v>
      </c>
      <c r="D262" s="2">
        <v>760502047.99442875</v>
      </c>
      <c r="E262" s="2">
        <v>78686.89</v>
      </c>
      <c r="F262" s="2">
        <v>23076.609</v>
      </c>
      <c r="G262" s="2">
        <v>1349.69</v>
      </c>
      <c r="J262" s="2">
        <v>0.70517743213062001</v>
      </c>
      <c r="K262" s="2">
        <v>4.2600128922519546E-4</v>
      </c>
      <c r="O262" s="2">
        <v>0.70720321098853511</v>
      </c>
      <c r="P262" s="2">
        <v>6.2237125441323021E-4</v>
      </c>
      <c r="V262" s="2" t="s">
        <v>268</v>
      </c>
    </row>
    <row r="263" spans="1:23" x14ac:dyDescent="0.2">
      <c r="A263" s="1">
        <v>45</v>
      </c>
      <c r="B263" s="1" t="s">
        <v>267</v>
      </c>
      <c r="C263" s="2" t="str">
        <f t="shared" si="25"/>
        <v>20220228_NeomaMSMS_SrF_LA_Chicago_Run4_Sr_export_processed</v>
      </c>
      <c r="D263" s="2">
        <v>788499405.5280844</v>
      </c>
      <c r="E263" s="1">
        <v>78551.637000000002</v>
      </c>
      <c r="F263" s="1">
        <v>23161.625</v>
      </c>
      <c r="G263" s="1">
        <v>1349.69</v>
      </c>
      <c r="H263" s="1"/>
      <c r="I263" s="1"/>
      <c r="J263" s="1">
        <v>0.70531387658420508</v>
      </c>
      <c r="K263" s="1">
        <v>4.618217599557232E-4</v>
      </c>
      <c r="L263" s="1"/>
      <c r="M263" s="1"/>
      <c r="N263" s="1"/>
      <c r="O263" s="1">
        <v>0.70734004740912981</v>
      </c>
      <c r="P263" s="1">
        <v>6.4761907697417388E-4</v>
      </c>
      <c r="Q263" s="1"/>
      <c r="R263" s="1"/>
      <c r="S263" s="1"/>
      <c r="T263" s="1"/>
      <c r="U263" s="1"/>
      <c r="V263" s="1" t="s">
        <v>268</v>
      </c>
      <c r="W263" s="1"/>
    </row>
    <row r="264" spans="1:23" ht="17" x14ac:dyDescent="0.2">
      <c r="A264" s="6" t="s">
        <v>276</v>
      </c>
    </row>
    <row r="265" spans="1:23" ht="17" x14ac:dyDescent="0.2">
      <c r="A265" s="6" t="s">
        <v>277</v>
      </c>
    </row>
    <row r="266" spans="1:23" ht="17" x14ac:dyDescent="0.2">
      <c r="A266" s="6" t="s">
        <v>278</v>
      </c>
    </row>
    <row r="267" spans="1:23" ht="17" x14ac:dyDescent="0.2">
      <c r="A267" s="6" t="s">
        <v>272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0313-F68A-634F-B278-B3FE08A9EE9A}">
  <dimension ref="A1:Z190"/>
  <sheetViews>
    <sheetView topLeftCell="S16" workbookViewId="0">
      <selection activeCell="G51" sqref="G51"/>
    </sheetView>
  </sheetViews>
  <sheetFormatPr baseColWidth="10" defaultColWidth="11" defaultRowHeight="16" x14ac:dyDescent="0.2"/>
  <cols>
    <col min="2" max="2" width="10.83203125" style="40"/>
    <col min="3" max="3" width="30.1640625" customWidth="1"/>
    <col min="4" max="4" width="18.83203125" style="43" customWidth="1"/>
    <col min="5" max="6" width="11.6640625" bestFit="1" customWidth="1"/>
    <col min="12" max="13" width="12.6640625" bestFit="1" customWidth="1"/>
    <col min="16" max="16" width="20.6640625" customWidth="1"/>
    <col min="18" max="18" width="25" customWidth="1"/>
    <col min="19" max="19" width="39.5" style="40" customWidth="1"/>
  </cols>
  <sheetData>
    <row r="1" spans="1:26" s="2" customFormat="1" x14ac:dyDescent="0.2">
      <c r="A1" s="1"/>
      <c r="B1" s="38"/>
      <c r="C1" s="1"/>
      <c r="D1" s="4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8"/>
      <c r="T1" s="1"/>
      <c r="U1" s="1"/>
      <c r="Z1" s="1"/>
    </row>
    <row r="2" spans="1:26" s="2" customFormat="1" x14ac:dyDescent="0.2">
      <c r="B2" s="38"/>
      <c r="D2" s="25"/>
      <c r="E2" s="2" t="s">
        <v>11</v>
      </c>
      <c r="J2" s="2" t="s">
        <v>9</v>
      </c>
      <c r="S2" s="38"/>
    </row>
    <row r="3" spans="1:26" s="2" customFormat="1" ht="20" thickBot="1" x14ac:dyDescent="0.25">
      <c r="A3" s="3" t="s">
        <v>5</v>
      </c>
      <c r="B3" s="38"/>
      <c r="C3" s="3" t="s">
        <v>6</v>
      </c>
      <c r="D3" s="26" t="s">
        <v>285</v>
      </c>
      <c r="E3" s="3" t="s">
        <v>293</v>
      </c>
      <c r="F3" s="3" t="s">
        <v>8</v>
      </c>
      <c r="G3" s="3" t="s">
        <v>286</v>
      </c>
      <c r="H3" s="3" t="s">
        <v>8</v>
      </c>
      <c r="I3" s="3" t="s">
        <v>275</v>
      </c>
      <c r="J3" s="3" t="s">
        <v>293</v>
      </c>
      <c r="K3" s="3" t="s">
        <v>8</v>
      </c>
      <c r="L3" s="3" t="s">
        <v>286</v>
      </c>
      <c r="M3" s="3" t="s">
        <v>8</v>
      </c>
      <c r="N3" s="3" t="s">
        <v>275</v>
      </c>
      <c r="O3" s="3" t="s">
        <v>294</v>
      </c>
      <c r="P3" s="3"/>
      <c r="Q3" s="3" t="s">
        <v>295</v>
      </c>
      <c r="R3" s="3"/>
      <c r="S3" s="38"/>
      <c r="T3" s="3" t="s">
        <v>12</v>
      </c>
      <c r="U3" s="3"/>
      <c r="Z3" s="3"/>
    </row>
    <row r="4" spans="1:26" ht="17" thickTop="1" x14ac:dyDescent="0.2">
      <c r="A4" s="16">
        <v>6</v>
      </c>
      <c r="B4" s="39"/>
      <c r="C4" s="16" t="s">
        <v>0</v>
      </c>
      <c r="D4" s="27">
        <v>408758919.5</v>
      </c>
      <c r="E4" s="16"/>
      <c r="F4" s="16"/>
      <c r="G4" s="16"/>
      <c r="H4" s="16"/>
      <c r="I4" s="16"/>
      <c r="J4" s="16"/>
      <c r="K4" s="16"/>
      <c r="L4" s="47">
        <v>0.70844333999999998</v>
      </c>
      <c r="M4" s="47">
        <v>7.8810000000000002E-4</v>
      </c>
      <c r="N4" s="16"/>
      <c r="S4" s="39"/>
      <c r="T4" s="16" t="s">
        <v>21</v>
      </c>
      <c r="U4" s="16"/>
      <c r="Z4" s="16" t="s">
        <v>21</v>
      </c>
    </row>
    <row r="5" spans="1:26" x14ac:dyDescent="0.2">
      <c r="A5" s="16">
        <v>7</v>
      </c>
      <c r="B5" s="39"/>
      <c r="C5" s="16" t="s">
        <v>1</v>
      </c>
      <c r="D5" s="27">
        <v>408652377.5</v>
      </c>
      <c r="E5" s="16"/>
      <c r="F5" s="16"/>
      <c r="G5" s="16"/>
      <c r="H5" s="16"/>
      <c r="I5" s="16"/>
      <c r="J5" s="16"/>
      <c r="K5" s="16"/>
      <c r="L5" s="47">
        <v>0.71144717000000002</v>
      </c>
      <c r="M5" s="47">
        <v>8.0121999999999995E-4</v>
      </c>
      <c r="N5" s="16"/>
      <c r="S5" s="39"/>
      <c r="T5" s="16" t="s">
        <v>21</v>
      </c>
      <c r="U5" s="16"/>
      <c r="Z5" s="16" t="s">
        <v>21</v>
      </c>
    </row>
    <row r="6" spans="1:26" x14ac:dyDescent="0.2">
      <c r="A6" s="16">
        <v>8</v>
      </c>
      <c r="B6" s="39"/>
      <c r="C6" s="16" t="s">
        <v>2</v>
      </c>
      <c r="D6" s="27">
        <v>413585510.5</v>
      </c>
      <c r="E6" s="16"/>
      <c r="F6" s="16"/>
      <c r="G6" s="16"/>
      <c r="H6" s="16"/>
      <c r="I6" s="16"/>
      <c r="J6" s="16"/>
      <c r="K6" s="16"/>
      <c r="L6" s="47">
        <v>0.71047556999999995</v>
      </c>
      <c r="M6" s="47">
        <v>7.9045999999999999E-4</v>
      </c>
      <c r="N6" s="16"/>
      <c r="S6" s="39"/>
      <c r="T6" s="16" t="s">
        <v>21</v>
      </c>
      <c r="U6" s="16"/>
      <c r="Z6" s="16" t="s">
        <v>21</v>
      </c>
    </row>
    <row r="7" spans="1:26" x14ac:dyDescent="0.2">
      <c r="A7" s="16">
        <v>9</v>
      </c>
      <c r="B7" s="39"/>
      <c r="C7" s="16" t="s">
        <v>3</v>
      </c>
      <c r="D7" s="27">
        <v>409162956.19999999</v>
      </c>
      <c r="E7" s="16"/>
      <c r="F7" s="16"/>
      <c r="G7" s="16"/>
      <c r="H7" s="16"/>
      <c r="I7" s="16"/>
      <c r="J7" s="16"/>
      <c r="K7" s="16"/>
      <c r="L7" s="47">
        <v>0.70973244000000002</v>
      </c>
      <c r="M7" s="47">
        <v>8.4727999999999995E-4</v>
      </c>
      <c r="N7" s="16"/>
      <c r="S7" s="39"/>
      <c r="T7" s="16" t="s">
        <v>21</v>
      </c>
      <c r="U7" s="16"/>
      <c r="Z7" s="16" t="s">
        <v>21</v>
      </c>
    </row>
    <row r="8" spans="1:26" x14ac:dyDescent="0.2">
      <c r="A8" s="16">
        <v>10</v>
      </c>
      <c r="B8" s="39"/>
      <c r="C8" s="16" t="s">
        <v>4</v>
      </c>
      <c r="D8" s="27">
        <v>389593653.19999999</v>
      </c>
      <c r="E8" s="16"/>
      <c r="F8" s="16"/>
      <c r="G8" s="16"/>
      <c r="H8" s="16"/>
      <c r="I8" s="16"/>
      <c r="J8" s="16"/>
      <c r="K8" s="16"/>
      <c r="L8" s="47">
        <v>0.71029936000000005</v>
      </c>
      <c r="M8" s="47">
        <v>8.1475000000000004E-4</v>
      </c>
      <c r="N8" s="16"/>
      <c r="S8" s="39"/>
      <c r="T8" s="16" t="s">
        <v>21</v>
      </c>
      <c r="U8" s="16"/>
      <c r="Z8" s="16" t="s">
        <v>21</v>
      </c>
    </row>
    <row r="9" spans="1:26" x14ac:dyDescent="0.2">
      <c r="A9" s="16">
        <v>6</v>
      </c>
      <c r="B9" s="39"/>
      <c r="C9" s="16" t="s">
        <v>0</v>
      </c>
      <c r="D9" s="27">
        <v>1039307160</v>
      </c>
      <c r="E9" s="16"/>
      <c r="F9" s="16"/>
      <c r="G9" s="16"/>
      <c r="H9" s="16"/>
      <c r="I9" s="16"/>
      <c r="J9" s="48">
        <v>1.200464038</v>
      </c>
      <c r="K9" s="48">
        <v>0.13414416000000001</v>
      </c>
      <c r="L9" s="47">
        <v>0.71129575</v>
      </c>
      <c r="M9" s="47">
        <v>1.13065E-3</v>
      </c>
      <c r="N9" s="16"/>
      <c r="S9" s="39"/>
      <c r="T9" s="16" t="s">
        <v>22</v>
      </c>
      <c r="U9" s="16"/>
      <c r="Z9" s="16" t="s">
        <v>22</v>
      </c>
    </row>
    <row r="10" spans="1:26" x14ac:dyDescent="0.2">
      <c r="A10" s="16">
        <v>7</v>
      </c>
      <c r="B10" s="39"/>
      <c r="C10" s="16" t="s">
        <v>1</v>
      </c>
      <c r="D10" s="27">
        <v>884551334.70000005</v>
      </c>
      <c r="E10" s="16"/>
      <c r="F10" s="16"/>
      <c r="G10" s="16"/>
      <c r="H10" s="16"/>
      <c r="I10" s="16"/>
      <c r="J10" s="48">
        <v>1.1512363619999999</v>
      </c>
      <c r="K10" s="48">
        <v>0.11906118</v>
      </c>
      <c r="L10" s="47">
        <v>0.71149929000000001</v>
      </c>
      <c r="M10" s="47">
        <v>1.47525E-3</v>
      </c>
      <c r="N10" s="16"/>
      <c r="S10" s="39"/>
      <c r="T10" s="16" t="s">
        <v>22</v>
      </c>
      <c r="U10" s="16"/>
      <c r="Z10" s="16" t="s">
        <v>22</v>
      </c>
    </row>
    <row r="11" spans="1:26" x14ac:dyDescent="0.2">
      <c r="A11" s="16">
        <v>8</v>
      </c>
      <c r="B11" s="39"/>
      <c r="C11" s="16" t="s">
        <v>2</v>
      </c>
      <c r="D11" s="27">
        <v>1042001030</v>
      </c>
      <c r="E11" s="16"/>
      <c r="F11" s="16"/>
      <c r="G11" s="16"/>
      <c r="H11" s="16"/>
      <c r="I11" s="16"/>
      <c r="J11" s="48">
        <v>1.1556743869999999</v>
      </c>
      <c r="K11" s="48">
        <v>0.11838203999999999</v>
      </c>
      <c r="L11" s="47">
        <v>0.71150186000000004</v>
      </c>
      <c r="M11" s="47">
        <v>9.1060999999999996E-4</v>
      </c>
      <c r="N11" s="16"/>
      <c r="S11" s="39"/>
      <c r="T11" s="16" t="s">
        <v>22</v>
      </c>
      <c r="U11" s="16"/>
      <c r="Z11" s="16" t="s">
        <v>22</v>
      </c>
    </row>
    <row r="12" spans="1:26" x14ac:dyDescent="0.2">
      <c r="A12" s="16">
        <v>9</v>
      </c>
      <c r="B12" s="39"/>
      <c r="C12" s="16" t="s">
        <v>3</v>
      </c>
      <c r="D12" s="27">
        <v>1055551644</v>
      </c>
      <c r="E12" s="16"/>
      <c r="F12" s="16"/>
      <c r="G12" s="16"/>
      <c r="H12" s="16"/>
      <c r="I12" s="16"/>
      <c r="J12" s="48">
        <v>1.177168854</v>
      </c>
      <c r="K12" s="48">
        <v>0.12754375000000001</v>
      </c>
      <c r="L12" s="47">
        <v>0.71026378999999995</v>
      </c>
      <c r="M12" s="47">
        <v>3.4621000000000001E-4</v>
      </c>
      <c r="N12" s="16"/>
      <c r="S12" s="39"/>
      <c r="T12" s="16" t="s">
        <v>22</v>
      </c>
      <c r="U12" s="16"/>
      <c r="Z12" s="16" t="s">
        <v>22</v>
      </c>
    </row>
    <row r="13" spans="1:26" x14ac:dyDescent="0.2">
      <c r="A13" s="16">
        <v>10</v>
      </c>
      <c r="B13" s="39"/>
      <c r="C13" s="16" t="s">
        <v>4</v>
      </c>
      <c r="D13" s="27">
        <v>1045989662</v>
      </c>
      <c r="E13" s="16"/>
      <c r="F13" s="16"/>
      <c r="G13" s="16"/>
      <c r="H13" s="16"/>
      <c r="I13" s="16"/>
      <c r="J13" s="48">
        <v>1.1667563359999999</v>
      </c>
      <c r="K13" s="48">
        <v>4.7497999999999998E-6</v>
      </c>
      <c r="L13" s="47">
        <v>0.71068770999999997</v>
      </c>
      <c r="M13" s="47">
        <v>9.1825999999999995E-4</v>
      </c>
      <c r="N13" s="16"/>
      <c r="S13" s="39"/>
      <c r="T13" s="16" t="s">
        <v>22</v>
      </c>
      <c r="U13" s="16"/>
      <c r="Z13" s="16" t="s">
        <v>22</v>
      </c>
    </row>
    <row r="14" spans="1:26" s="60" customFormat="1" x14ac:dyDescent="0.2">
      <c r="A14" s="55"/>
      <c r="B14" s="56"/>
      <c r="C14" s="55" t="s">
        <v>306</v>
      </c>
      <c r="D14" s="57"/>
      <c r="E14" s="55"/>
      <c r="F14" s="55"/>
      <c r="G14" s="55"/>
      <c r="H14" s="55"/>
      <c r="I14" s="55"/>
      <c r="J14" s="58">
        <f>AVERAGE(J9:J13)</f>
        <v>1.1702599953999999</v>
      </c>
      <c r="K14" s="58">
        <f>TINV(0.05,COUNT(J9:J13)-1)*STDEV(J9:J13)/COUNT(J9:J13)^0.5</f>
        <v>2.4417968492887975E-2</v>
      </c>
      <c r="L14" s="87">
        <f>AVERAGE(L4:L13)</f>
        <v>0.71056462799999998</v>
      </c>
      <c r="M14" s="87">
        <f>TINV(0.05,COUNT(L4:L13)-1)*STDEV(L4:L13)/COUNT(L4:L13)^0.5</f>
        <v>6.9281648103866535E-4</v>
      </c>
      <c r="N14" s="55"/>
      <c r="O14" s="58">
        <v>1.1576630990000001</v>
      </c>
      <c r="P14" s="55" t="s">
        <v>270</v>
      </c>
      <c r="Q14" s="59">
        <v>0.709063</v>
      </c>
      <c r="R14" s="55" t="s">
        <v>269</v>
      </c>
      <c r="S14" s="56"/>
      <c r="T14" s="55"/>
      <c r="U14" s="55"/>
      <c r="Z14" s="55"/>
    </row>
    <row r="15" spans="1:26" s="60" customFormat="1" x14ac:dyDescent="0.2">
      <c r="A15" s="55"/>
      <c r="B15" s="56"/>
      <c r="C15" s="55"/>
      <c r="D15" s="57"/>
      <c r="E15" s="55"/>
      <c r="F15" s="55"/>
      <c r="G15" s="55"/>
      <c r="H15" s="55"/>
      <c r="I15" s="55"/>
      <c r="J15" s="58"/>
      <c r="K15" s="58"/>
      <c r="L15" s="59"/>
      <c r="M15" s="59"/>
      <c r="N15" s="55"/>
      <c r="O15" s="58"/>
      <c r="P15" s="55"/>
      <c r="Q15" s="58"/>
      <c r="R15" s="55"/>
      <c r="S15" s="56"/>
      <c r="T15" s="55"/>
      <c r="U15" s="55"/>
      <c r="Z15" s="55"/>
    </row>
    <row r="16" spans="1:26" x14ac:dyDescent="0.2">
      <c r="A16" s="16">
        <v>11</v>
      </c>
      <c r="B16" s="39"/>
      <c r="C16" s="16" t="s">
        <v>13</v>
      </c>
      <c r="D16" s="27">
        <v>4338621288</v>
      </c>
      <c r="E16" s="16"/>
      <c r="F16" s="16"/>
      <c r="G16" s="16"/>
      <c r="H16" s="16"/>
      <c r="I16" s="16"/>
      <c r="J16" s="16"/>
      <c r="K16" s="16"/>
      <c r="L16" s="47">
        <v>0.70609007999999995</v>
      </c>
      <c r="M16" s="47">
        <v>1.108E-4</v>
      </c>
      <c r="N16" s="16"/>
      <c r="O16" s="16"/>
      <c r="P16" s="16"/>
      <c r="Q16" s="48"/>
      <c r="R16" s="16"/>
      <c r="S16" s="39"/>
      <c r="T16" s="16" t="s">
        <v>21</v>
      </c>
      <c r="U16" s="16"/>
      <c r="Z16" s="16" t="s">
        <v>21</v>
      </c>
    </row>
    <row r="17" spans="1:26" x14ac:dyDescent="0.2">
      <c r="A17" s="16">
        <v>12</v>
      </c>
      <c r="B17" s="39"/>
      <c r="C17" s="16" t="s">
        <v>14</v>
      </c>
      <c r="D17" s="27">
        <v>4480489550</v>
      </c>
      <c r="E17" s="16"/>
      <c r="F17" s="16"/>
      <c r="G17" s="16"/>
      <c r="H17" s="16"/>
      <c r="I17" s="16"/>
      <c r="J17" s="16"/>
      <c r="K17" s="16"/>
      <c r="L17" s="47">
        <v>0.70627768999999996</v>
      </c>
      <c r="M17" s="47">
        <v>1.2520000000000001E-4</v>
      </c>
      <c r="N17" s="16"/>
      <c r="O17" s="16"/>
      <c r="P17" s="16"/>
      <c r="Q17" s="48"/>
      <c r="R17" s="16"/>
      <c r="S17" s="39"/>
      <c r="T17" s="16" t="s">
        <v>21</v>
      </c>
      <c r="U17" s="16"/>
      <c r="Z17" s="16" t="s">
        <v>21</v>
      </c>
    </row>
    <row r="18" spans="1:26" x14ac:dyDescent="0.2">
      <c r="A18" s="16">
        <v>13</v>
      </c>
      <c r="B18" s="39"/>
      <c r="C18" s="16" t="s">
        <v>15</v>
      </c>
      <c r="D18" s="27">
        <v>4629841027</v>
      </c>
      <c r="E18" s="16"/>
      <c r="F18" s="16"/>
      <c r="G18" s="16"/>
      <c r="H18" s="16"/>
      <c r="I18" s="16"/>
      <c r="J18" s="16"/>
      <c r="K18" s="16"/>
      <c r="L18" s="47">
        <v>0.70627857000000005</v>
      </c>
      <c r="M18" s="47">
        <v>1.1177E-4</v>
      </c>
      <c r="N18" s="16"/>
      <c r="O18" s="16"/>
      <c r="P18" s="16"/>
      <c r="Q18" s="48"/>
      <c r="R18" s="16"/>
      <c r="S18" s="39"/>
      <c r="T18" s="16" t="s">
        <v>21</v>
      </c>
      <c r="U18" s="16"/>
      <c r="Z18" s="16" t="s">
        <v>21</v>
      </c>
    </row>
    <row r="19" spans="1:26" x14ac:dyDescent="0.2">
      <c r="A19" s="16">
        <v>14</v>
      </c>
      <c r="B19" s="39"/>
      <c r="C19" s="16" t="s">
        <v>16</v>
      </c>
      <c r="D19" s="27">
        <v>4556190736</v>
      </c>
      <c r="E19" s="16"/>
      <c r="F19" s="16"/>
      <c r="G19" s="16"/>
      <c r="H19" s="16"/>
      <c r="I19" s="16"/>
      <c r="J19" s="16"/>
      <c r="K19" s="16"/>
      <c r="L19" s="47">
        <v>0.70643389999999995</v>
      </c>
      <c r="M19" s="47">
        <v>1.0170000000000001E-4</v>
      </c>
      <c r="N19" s="16"/>
      <c r="O19" s="16"/>
      <c r="P19" s="16"/>
      <c r="Q19" s="48"/>
      <c r="R19" s="16"/>
      <c r="S19" s="39"/>
      <c r="T19" s="16" t="s">
        <v>21</v>
      </c>
      <c r="U19" s="16"/>
      <c r="Z19" s="16" t="s">
        <v>21</v>
      </c>
    </row>
    <row r="20" spans="1:26" x14ac:dyDescent="0.2">
      <c r="A20" s="16">
        <v>15</v>
      </c>
      <c r="B20" s="39"/>
      <c r="C20" s="16" t="s">
        <v>17</v>
      </c>
      <c r="D20" s="27">
        <v>4831671748</v>
      </c>
      <c r="E20" s="16"/>
      <c r="F20" s="16"/>
      <c r="G20" s="16"/>
      <c r="H20" s="16"/>
      <c r="I20" s="16"/>
      <c r="J20" s="16"/>
      <c r="K20" s="16"/>
      <c r="L20" s="47">
        <v>0.70608473000000005</v>
      </c>
      <c r="M20" s="47">
        <v>1.1413000000000001E-4</v>
      </c>
      <c r="N20" s="16"/>
      <c r="O20" s="16"/>
      <c r="P20" s="16"/>
      <c r="Q20" s="48"/>
      <c r="R20" s="16"/>
      <c r="S20" s="39"/>
      <c r="T20" s="16" t="s">
        <v>21</v>
      </c>
      <c r="U20" s="16"/>
      <c r="Z20" s="16" t="s">
        <v>21</v>
      </c>
    </row>
    <row r="21" spans="1:26" x14ac:dyDescent="0.2">
      <c r="A21" s="16">
        <v>11</v>
      </c>
      <c r="B21" s="39"/>
      <c r="C21" s="16" t="s">
        <v>13</v>
      </c>
      <c r="D21" s="27">
        <v>11012847024</v>
      </c>
      <c r="E21" s="16"/>
      <c r="F21" s="16"/>
      <c r="G21" s="16"/>
      <c r="H21" s="16"/>
      <c r="I21" s="16"/>
      <c r="J21" s="48">
        <v>-4.6050100000000001E-5</v>
      </c>
      <c r="K21" s="48">
        <v>4.0840999999999997E-5</v>
      </c>
      <c r="L21" s="47">
        <v>0.70542937999999999</v>
      </c>
      <c r="M21" s="47">
        <v>1.9667E-4</v>
      </c>
      <c r="N21" s="16"/>
      <c r="O21" s="49"/>
      <c r="P21" s="16"/>
      <c r="Q21" s="48"/>
      <c r="R21" s="16"/>
      <c r="S21" s="39"/>
      <c r="T21" s="16" t="s">
        <v>22</v>
      </c>
      <c r="U21" s="16"/>
      <c r="Z21" s="16" t="s">
        <v>22</v>
      </c>
    </row>
    <row r="22" spans="1:26" x14ac:dyDescent="0.2">
      <c r="A22" s="16">
        <v>12</v>
      </c>
      <c r="B22" s="39"/>
      <c r="C22" s="16" t="s">
        <v>14</v>
      </c>
      <c r="D22" s="27">
        <v>10580335198</v>
      </c>
      <c r="E22" s="16"/>
      <c r="F22" s="16"/>
      <c r="G22" s="16"/>
      <c r="H22" s="16"/>
      <c r="I22" s="16"/>
      <c r="J22" s="48">
        <v>5.9553499999999998E-5</v>
      </c>
      <c r="K22" s="48">
        <v>6.6204999999999994E-5</v>
      </c>
      <c r="L22" s="47">
        <v>0.70548966000000002</v>
      </c>
      <c r="M22" s="47">
        <v>2.1238999999999999E-4</v>
      </c>
      <c r="N22" s="16"/>
      <c r="O22" s="49"/>
      <c r="P22" s="16"/>
      <c r="Q22" s="48"/>
      <c r="R22" s="16"/>
      <c r="S22" s="39"/>
      <c r="T22" s="16" t="s">
        <v>22</v>
      </c>
      <c r="U22" s="16"/>
      <c r="Z22" s="16" t="s">
        <v>22</v>
      </c>
    </row>
    <row r="23" spans="1:26" x14ac:dyDescent="0.2">
      <c r="A23" s="16">
        <v>13</v>
      </c>
      <c r="B23" s="39"/>
      <c r="C23" s="16" t="s">
        <v>15</v>
      </c>
      <c r="D23" s="27">
        <v>9803358275</v>
      </c>
      <c r="E23" s="16"/>
      <c r="F23" s="16"/>
      <c r="G23" s="16"/>
      <c r="H23" s="16"/>
      <c r="I23" s="16"/>
      <c r="J23" s="48">
        <v>6.5115099999999996E-5</v>
      </c>
      <c r="K23" s="48">
        <v>4.6118999999999997E-5</v>
      </c>
      <c r="L23" s="47">
        <v>0.70536113</v>
      </c>
      <c r="M23" s="47">
        <v>2.2007999999999999E-4</v>
      </c>
      <c r="N23" s="16"/>
      <c r="O23" s="49"/>
      <c r="P23" s="16"/>
      <c r="Q23" s="48"/>
      <c r="R23" s="16"/>
      <c r="S23" s="39"/>
      <c r="T23" s="16" t="s">
        <v>22</v>
      </c>
      <c r="U23" s="16"/>
      <c r="Z23" s="16" t="s">
        <v>22</v>
      </c>
    </row>
    <row r="24" spans="1:26" x14ac:dyDescent="0.2">
      <c r="A24" s="16">
        <v>14</v>
      </c>
      <c r="B24" s="39"/>
      <c r="C24" s="16" t="s">
        <v>16</v>
      </c>
      <c r="D24" s="27">
        <v>8826602296</v>
      </c>
      <c r="E24" s="16"/>
      <c r="F24" s="16"/>
      <c r="G24" s="16"/>
      <c r="H24" s="16"/>
      <c r="I24" s="16"/>
      <c r="J24" s="48">
        <v>2.1226400000000001E-4</v>
      </c>
      <c r="K24" s="48">
        <v>1.1175000000000001E-4</v>
      </c>
      <c r="L24" s="47">
        <v>0.70545248999999999</v>
      </c>
      <c r="M24" s="47">
        <v>2.4175999999999999E-4</v>
      </c>
      <c r="N24" s="16"/>
      <c r="O24" s="49"/>
      <c r="P24" s="16"/>
      <c r="Q24" s="48"/>
      <c r="R24" s="16"/>
      <c r="S24" s="39"/>
      <c r="T24" s="16" t="s">
        <v>22</v>
      </c>
      <c r="U24" s="16"/>
      <c r="Z24" s="16" t="s">
        <v>22</v>
      </c>
    </row>
    <row r="25" spans="1:26" x14ac:dyDescent="0.2">
      <c r="A25" s="16">
        <v>15</v>
      </c>
      <c r="B25" s="39"/>
      <c r="C25" s="16" t="s">
        <v>17</v>
      </c>
      <c r="D25" s="27">
        <v>9094536766</v>
      </c>
      <c r="E25" s="16"/>
      <c r="F25" s="16"/>
      <c r="G25" s="16"/>
      <c r="H25" s="16"/>
      <c r="I25" s="16"/>
      <c r="J25" s="48">
        <v>-4.6050100000000001E-5</v>
      </c>
      <c r="K25" s="48">
        <v>1.4600999999999999E-4</v>
      </c>
      <c r="L25" s="47">
        <v>0.70542937999999999</v>
      </c>
      <c r="M25" s="47">
        <v>1.8246000000000001E-4</v>
      </c>
      <c r="N25" s="16"/>
      <c r="O25" s="49"/>
      <c r="P25" s="16"/>
      <c r="Q25" s="48"/>
      <c r="R25" s="16"/>
      <c r="S25" s="39"/>
      <c r="T25" s="16" t="s">
        <v>22</v>
      </c>
      <c r="U25" s="16"/>
      <c r="Z25" s="16" t="s">
        <v>22</v>
      </c>
    </row>
    <row r="26" spans="1:26" s="60" customFormat="1" x14ac:dyDescent="0.2">
      <c r="A26" s="55"/>
      <c r="B26" s="56"/>
      <c r="C26" s="55" t="s">
        <v>307</v>
      </c>
      <c r="D26" s="57"/>
      <c r="E26" s="55"/>
      <c r="F26" s="55"/>
      <c r="G26" s="55"/>
      <c r="H26" s="55"/>
      <c r="I26" s="55"/>
      <c r="J26" s="58">
        <f>AVERAGE(J21:J25)</f>
        <v>4.8966480000000005E-5</v>
      </c>
      <c r="K26" s="58">
        <f>TINV(0.05,COUNT(J21:J25)-1)*STDEV(J21:J25)/COUNT(J21:J25)^0.5</f>
        <v>1.3183765313945142E-4</v>
      </c>
      <c r="L26" s="87">
        <f>AVERAGE(L16:L25)</f>
        <v>0.70583270100000006</v>
      </c>
      <c r="M26" s="87">
        <f>TINV(0.05,COUNT(L16:L25)-1)*STDEV(L16:L25)/COUNT(L16:L25)^0.5</f>
        <v>3.1071804220795385E-4</v>
      </c>
      <c r="N26" s="55"/>
      <c r="O26" s="86">
        <v>0</v>
      </c>
      <c r="P26" s="55"/>
      <c r="Q26" s="58">
        <v>0.70633000000000001</v>
      </c>
      <c r="R26" s="55" t="s">
        <v>271</v>
      </c>
      <c r="S26" s="56"/>
      <c r="T26" s="55"/>
      <c r="U26" s="55"/>
      <c r="Z26" s="55"/>
    </row>
    <row r="27" spans="1:26" s="60" customFormat="1" x14ac:dyDescent="0.2">
      <c r="A27" s="55"/>
      <c r="B27" s="56"/>
      <c r="C27" s="55"/>
      <c r="D27" s="57"/>
      <c r="E27" s="55"/>
      <c r="F27" s="55"/>
      <c r="G27" s="55"/>
      <c r="H27" s="55"/>
      <c r="I27" s="55"/>
      <c r="J27" s="58"/>
      <c r="K27" s="58"/>
      <c r="L27" s="59"/>
      <c r="M27" s="59"/>
      <c r="N27" s="55"/>
      <c r="O27" s="61"/>
      <c r="P27" s="55"/>
      <c r="Q27" s="58"/>
      <c r="R27" s="55"/>
      <c r="S27" s="56"/>
      <c r="T27" s="55"/>
      <c r="U27" s="55"/>
      <c r="Z27" s="55"/>
    </row>
    <row r="28" spans="1:26" s="2" customFormat="1" x14ac:dyDescent="0.2">
      <c r="A28" s="2">
        <v>181</v>
      </c>
      <c r="B28" s="38"/>
      <c r="C28" s="2" t="s">
        <v>296</v>
      </c>
      <c r="D28" s="42">
        <v>1672376136.168767</v>
      </c>
      <c r="E28" s="45">
        <v>0.87752098964841097</v>
      </c>
      <c r="F28" s="45">
        <v>4.4489746578940344E-2</v>
      </c>
      <c r="G28" s="5">
        <v>0.70378430249493429</v>
      </c>
      <c r="H28" s="5">
        <v>3.7889667640089958E-4</v>
      </c>
      <c r="I28" s="46">
        <v>-4.9908596978680421E-2</v>
      </c>
      <c r="J28" s="45">
        <v>0.73363543277074716</v>
      </c>
      <c r="K28" s="45">
        <v>6.1214310810302132E-2</v>
      </c>
      <c r="L28" s="44">
        <v>0.70521557307720639</v>
      </c>
      <c r="M28" s="44">
        <v>4.4012550934585041E-4</v>
      </c>
      <c r="N28" s="46">
        <v>0.22114419489800002</v>
      </c>
      <c r="O28" s="45"/>
      <c r="Q28" s="45"/>
      <c r="S28" s="38"/>
      <c r="T28" s="2" t="s">
        <v>196</v>
      </c>
      <c r="Z28" s="2" t="str">
        <f t="shared" ref="Z28:Z39" si="0">T28</f>
        <v>20220223_NeomaMSMS_SrF_LA_Chicago_Run1_RbSr_export_processed</v>
      </c>
    </row>
    <row r="29" spans="1:26" s="2" customFormat="1" x14ac:dyDescent="0.2">
      <c r="A29" s="2">
        <v>182</v>
      </c>
      <c r="B29" s="38"/>
      <c r="C29" s="2" t="s">
        <v>297</v>
      </c>
      <c r="D29" s="42">
        <v>1552062024.6070786</v>
      </c>
      <c r="E29" s="45">
        <v>0.87517010611067647</v>
      </c>
      <c r="F29" s="45">
        <v>3.7567148514602293E-2</v>
      </c>
      <c r="G29" s="5">
        <v>0.70378847286965651</v>
      </c>
      <c r="H29" s="5">
        <v>3.4203851153643601E-4</v>
      </c>
      <c r="I29" s="46">
        <v>0.15210354314270189</v>
      </c>
      <c r="J29" s="45">
        <v>0.73167001942799581</v>
      </c>
      <c r="K29" s="45">
        <v>5.7771169289534706E-2</v>
      </c>
      <c r="L29" s="44">
        <v>0.70521975193312747</v>
      </c>
      <c r="M29" s="44">
        <v>4.0869366799662228E-4</v>
      </c>
      <c r="N29" s="46">
        <v>0.35078749170034379</v>
      </c>
      <c r="O29" s="45"/>
      <c r="Q29" s="45"/>
      <c r="S29" s="38"/>
      <c r="T29" s="2" t="s">
        <v>196</v>
      </c>
      <c r="Z29" s="2" t="str">
        <f t="shared" si="0"/>
        <v>20220223_NeomaMSMS_SrF_LA_Chicago_Run1_RbSr_export_processed</v>
      </c>
    </row>
    <row r="30" spans="1:26" s="2" customFormat="1" x14ac:dyDescent="0.2">
      <c r="A30" s="2">
        <v>183</v>
      </c>
      <c r="B30" s="38"/>
      <c r="C30" s="2" t="s">
        <v>298</v>
      </c>
      <c r="D30" s="42">
        <v>1485011950.1577373</v>
      </c>
      <c r="E30" s="45">
        <v>0.86899674135880578</v>
      </c>
      <c r="F30" s="45">
        <v>3.3722166925350218E-2</v>
      </c>
      <c r="G30" s="5">
        <v>0.70401919165708926</v>
      </c>
      <c r="H30" s="5">
        <v>7.5598805394544509E-4</v>
      </c>
      <c r="I30" s="46">
        <v>-0.37590048107903595</v>
      </c>
      <c r="J30" s="45">
        <v>0.72650889032132349</v>
      </c>
      <c r="K30" s="45">
        <v>5.5793100596125259E-2</v>
      </c>
      <c r="L30" s="44">
        <v>0.70545093992825936</v>
      </c>
      <c r="M30" s="44">
        <v>7.8958293780039598E-4</v>
      </c>
      <c r="N30" s="46">
        <v>-3.2408145638845677E-2</v>
      </c>
      <c r="O30" s="45"/>
      <c r="Q30" s="45"/>
      <c r="S30" s="38"/>
      <c r="T30" s="2" t="s">
        <v>196</v>
      </c>
      <c r="Z30" s="2" t="str">
        <f t="shared" si="0"/>
        <v>20220223_NeomaMSMS_SrF_LA_Chicago_Run1_RbSr_export_processed</v>
      </c>
    </row>
    <row r="31" spans="1:26" s="2" customFormat="1" x14ac:dyDescent="0.2">
      <c r="A31" s="2">
        <v>184</v>
      </c>
      <c r="B31" s="38"/>
      <c r="C31" s="2" t="s">
        <v>300</v>
      </c>
      <c r="D31" s="42">
        <v>1600415837.3040042</v>
      </c>
      <c r="E31" s="45">
        <v>0.87635033403957219</v>
      </c>
      <c r="F31" s="45">
        <v>4.1103954369814705E-2</v>
      </c>
      <c r="G31" s="5">
        <v>0.70441054185542162</v>
      </c>
      <c r="H31" s="5">
        <v>5.4108831677101806E-4</v>
      </c>
      <c r="I31" s="46">
        <v>0.21613781666051513</v>
      </c>
      <c r="J31" s="45">
        <v>0.73265672748124755</v>
      </c>
      <c r="K31" s="45">
        <v>5.948388170252801E-2</v>
      </c>
      <c r="L31" s="44">
        <v>0.7058430860068412</v>
      </c>
      <c r="M31" s="44">
        <v>5.8619118545187284E-4</v>
      </c>
      <c r="N31" s="46">
        <v>0.30648900030142695</v>
      </c>
      <c r="O31" s="45"/>
      <c r="Q31" s="45"/>
      <c r="S31" s="38"/>
      <c r="T31" s="2" t="s">
        <v>196</v>
      </c>
      <c r="Z31" s="2" t="str">
        <f t="shared" si="0"/>
        <v>20220223_NeomaMSMS_SrF_LA_Chicago_Run1_RbSr_export_processed</v>
      </c>
    </row>
    <row r="32" spans="1:26" s="2" customFormat="1" x14ac:dyDescent="0.2">
      <c r="A32" s="2">
        <v>185</v>
      </c>
      <c r="B32" s="38"/>
      <c r="C32" s="2" t="s">
        <v>301</v>
      </c>
      <c r="D32" s="42">
        <v>1416104565.8425357</v>
      </c>
      <c r="E32" s="45">
        <v>0.85957272825189746</v>
      </c>
      <c r="F32" s="45">
        <v>2.7240967015655398E-2</v>
      </c>
      <c r="G32" s="5">
        <v>0.70462832274450149</v>
      </c>
      <c r="H32" s="5">
        <v>5.7954874741510576E-4</v>
      </c>
      <c r="I32" s="46">
        <v>0.52601645126656371</v>
      </c>
      <c r="J32" s="45">
        <v>0.71863011589235626</v>
      </c>
      <c r="K32" s="45">
        <v>5.2789213804794129E-2</v>
      </c>
      <c r="L32" s="44">
        <v>0.70606130979210224</v>
      </c>
      <c r="M32" s="44">
        <v>6.2203414539611685E-4</v>
      </c>
      <c r="N32" s="46">
        <v>0.41086117944376721</v>
      </c>
      <c r="O32" s="45"/>
      <c r="Q32" s="45"/>
      <c r="S32" s="38"/>
      <c r="T32" s="2" t="s">
        <v>196</v>
      </c>
      <c r="Z32" s="2" t="str">
        <f t="shared" si="0"/>
        <v>20220223_NeomaMSMS_SrF_LA_Chicago_Run1_RbSr_export_processed</v>
      </c>
    </row>
    <row r="33" spans="1:26" s="62" customFormat="1" x14ac:dyDescent="0.2">
      <c r="B33" s="63"/>
      <c r="C33" s="62" t="s">
        <v>308</v>
      </c>
      <c r="D33" s="64"/>
      <c r="E33" s="58">
        <f>AVERAGE(E28:E32)</f>
        <v>0.87152217988187242</v>
      </c>
      <c r="F33" s="58">
        <f>TINV(0.05,COUNT(E28:E32)-1)*STDEV(E28:E32)/COUNT(E28:E32)^0.5</f>
        <v>9.245424438982467E-3</v>
      </c>
      <c r="G33" s="58">
        <f>AVERAGE(G28:G32)</f>
        <v>0.70412616632432068</v>
      </c>
      <c r="H33" s="58">
        <f>TINV(0.05,COUNT(G28:G32)-1)*STDEV(G28:G32)/COUNT(G28:G32)^0.5</f>
        <v>4.7092545772650283E-4</v>
      </c>
      <c r="I33" s="67"/>
      <c r="J33" s="58">
        <f>AVERAGE(J28:J32)</f>
        <v>0.72862023717873403</v>
      </c>
      <c r="K33" s="58">
        <f>TINV(0.05,COUNT(J28:J32)-1)*STDEV(J28:J32)/COUNT(J28:J32)^0.5</f>
        <v>7.729468627479464E-3</v>
      </c>
      <c r="L33" s="58">
        <f>AVERAGE(L28:L32)</f>
        <v>0.7055581321475074</v>
      </c>
      <c r="M33" s="58">
        <f>TINV(0.05,COUNT(L28:L32)-1)*STDEV(L28:L32)/COUNT(L28:L32)^0.5</f>
        <v>4.7188316842241272E-4</v>
      </c>
      <c r="N33" s="67"/>
      <c r="O33" s="65">
        <f t="shared" ref="O33" si="1">(0.2845)*(87.62/85.4678)*(27.8/9.86)</f>
        <v>0.82233897731585592</v>
      </c>
      <c r="P33" s="62" t="s">
        <v>273</v>
      </c>
      <c r="Q33" s="65">
        <f t="shared" ref="Q33" si="2">0.7041365</f>
        <v>0.70413650000000005</v>
      </c>
      <c r="R33" s="62" t="s">
        <v>274</v>
      </c>
      <c r="S33" s="63"/>
    </row>
    <row r="34" spans="1:26" s="62" customFormat="1" x14ac:dyDescent="0.2">
      <c r="B34" s="63"/>
      <c r="D34" s="64"/>
      <c r="E34" s="65"/>
      <c r="F34" s="65"/>
      <c r="G34" s="66"/>
      <c r="H34" s="66"/>
      <c r="I34" s="67"/>
      <c r="J34" s="65"/>
      <c r="K34" s="65"/>
      <c r="L34" s="68"/>
      <c r="M34" s="68"/>
      <c r="N34" s="67"/>
      <c r="O34" s="65"/>
      <c r="Q34" s="65"/>
      <c r="S34" s="63"/>
    </row>
    <row r="35" spans="1:26" s="2" customFormat="1" x14ac:dyDescent="0.2">
      <c r="A35" s="2">
        <v>188</v>
      </c>
      <c r="B35" s="38"/>
      <c r="C35" s="2" t="s">
        <v>302</v>
      </c>
      <c r="D35" s="42">
        <v>6077010924.1681433</v>
      </c>
      <c r="E35" s="45">
        <v>0.1209687124850182</v>
      </c>
      <c r="F35" s="45">
        <v>4.2293178243663241E-3</v>
      </c>
      <c r="G35" s="5">
        <v>0.70435189639458162</v>
      </c>
      <c r="H35" s="5">
        <v>2.6755300840452048E-4</v>
      </c>
      <c r="I35" s="46">
        <v>-7.3000882901104208E-2</v>
      </c>
      <c r="J35" s="45">
        <v>0.10199204168841773</v>
      </c>
      <c r="K35" s="45">
        <v>9.1668485657914519E-3</v>
      </c>
      <c r="L35" s="44">
        <v>0.70609236581689716</v>
      </c>
      <c r="M35" s="44">
        <v>4.1834791154777266E-4</v>
      </c>
      <c r="N35" s="46">
        <v>-8.4806317727103828E-2</v>
      </c>
      <c r="O35" s="45"/>
      <c r="Q35" s="45"/>
      <c r="S35" s="38"/>
      <c r="T35" s="2" t="s">
        <v>196</v>
      </c>
      <c r="Z35" s="2" t="str">
        <f t="shared" si="0"/>
        <v>20220223_NeomaMSMS_SrF_LA_Chicago_Run1_RbSr_export_processed</v>
      </c>
    </row>
    <row r="36" spans="1:26" s="2" customFormat="1" x14ac:dyDescent="0.2">
      <c r="A36" s="2">
        <v>189</v>
      </c>
      <c r="B36" s="38"/>
      <c r="C36" s="2" t="s">
        <v>299</v>
      </c>
      <c r="D36" s="42">
        <v>6324281095.373745</v>
      </c>
      <c r="E36" s="45">
        <v>0.11531965329146328</v>
      </c>
      <c r="F36" s="45">
        <v>6.1184599398747316E-3</v>
      </c>
      <c r="G36" s="5">
        <v>0.70434427679349598</v>
      </c>
      <c r="H36" s="5">
        <v>2.9010051568377542E-4</v>
      </c>
      <c r="I36" s="46">
        <v>1.5490133203681323E-2</v>
      </c>
      <c r="J36" s="45">
        <v>9.722916483428283E-2</v>
      </c>
      <c r="K36" s="45">
        <v>9.561496683292996E-3</v>
      </c>
      <c r="L36" s="44">
        <v>0.7060847273876053</v>
      </c>
      <c r="M36" s="44">
        <v>4.3318432384021086E-4</v>
      </c>
      <c r="N36" s="46">
        <v>-5.3173562863804869E-2</v>
      </c>
      <c r="O36" s="45"/>
      <c r="Q36" s="45"/>
      <c r="S36" s="38"/>
      <c r="T36" s="2" t="s">
        <v>196</v>
      </c>
      <c r="Z36" s="2" t="str">
        <f t="shared" si="0"/>
        <v>20220223_NeomaMSMS_SrF_LA_Chicago_Run1_RbSr_export_processed</v>
      </c>
    </row>
    <row r="37" spans="1:26" s="2" customFormat="1" x14ac:dyDescent="0.2">
      <c r="A37" s="2">
        <v>190</v>
      </c>
      <c r="B37" s="38"/>
      <c r="C37" s="2" t="s">
        <v>303</v>
      </c>
      <c r="D37" s="42">
        <v>5360805098.4254913</v>
      </c>
      <c r="E37" s="45">
        <v>0.11761428734545404</v>
      </c>
      <c r="F37" s="45">
        <v>3.0036382897739998E-3</v>
      </c>
      <c r="G37" s="5">
        <v>0.7044153608560374</v>
      </c>
      <c r="H37" s="5">
        <v>3.6708144070155251E-4</v>
      </c>
      <c r="I37" s="46">
        <v>2.8401391549393043E-2</v>
      </c>
      <c r="J37" s="45">
        <v>9.916383378534134E-2</v>
      </c>
      <c r="K37" s="45">
        <v>8.5923691581005299E-3</v>
      </c>
      <c r="L37" s="44">
        <v>0.70615598710046856</v>
      </c>
      <c r="M37" s="44">
        <v>4.8837513103156113E-4</v>
      </c>
      <c r="N37" s="46">
        <v>-5.287513504186532E-2</v>
      </c>
      <c r="O37" s="45"/>
      <c r="Q37" s="45"/>
      <c r="S37" s="38"/>
      <c r="T37" s="2" t="s">
        <v>196</v>
      </c>
      <c r="Z37" s="2" t="str">
        <f t="shared" si="0"/>
        <v>20220223_NeomaMSMS_SrF_LA_Chicago_Run1_RbSr_export_processed</v>
      </c>
    </row>
    <row r="38" spans="1:26" s="2" customFormat="1" x14ac:dyDescent="0.2">
      <c r="A38" s="2">
        <v>191</v>
      </c>
      <c r="B38" s="38"/>
      <c r="C38" s="2" t="s">
        <v>304</v>
      </c>
      <c r="D38" s="42">
        <v>6107228167.748353</v>
      </c>
      <c r="E38" s="45">
        <v>0.11949942408489356</v>
      </c>
      <c r="F38" s="45">
        <v>5.6312997316802513E-3</v>
      </c>
      <c r="G38" s="5">
        <v>0.70464224963287214</v>
      </c>
      <c r="H38" s="5">
        <v>3.5739571599689913E-4</v>
      </c>
      <c r="I38" s="46">
        <v>0.35750673985752335</v>
      </c>
      <c r="J38" s="45">
        <v>0.10075324431115062</v>
      </c>
      <c r="K38" s="45">
        <v>9.5987759308621256E-3</v>
      </c>
      <c r="L38" s="44">
        <v>0.70638343652458824</v>
      </c>
      <c r="M38" s="44">
        <v>4.8117032746516398E-4</v>
      </c>
      <c r="N38" s="46">
        <v>7.7021674424616063E-2</v>
      </c>
      <c r="O38" s="45"/>
      <c r="Q38" s="45"/>
      <c r="S38" s="38"/>
      <c r="T38" s="2" t="s">
        <v>196</v>
      </c>
      <c r="Z38" s="2" t="str">
        <f t="shared" si="0"/>
        <v>20220223_NeomaMSMS_SrF_LA_Chicago_Run1_RbSr_export_processed</v>
      </c>
    </row>
    <row r="39" spans="1:26" s="38" customFormat="1" x14ac:dyDescent="0.2">
      <c r="A39" s="38">
        <v>192</v>
      </c>
      <c r="C39" s="38" t="s">
        <v>305</v>
      </c>
      <c r="D39" s="50">
        <v>5930103926.6763878</v>
      </c>
      <c r="E39" s="51">
        <v>0.1176052209288104</v>
      </c>
      <c r="F39" s="51">
        <v>5.7021439206070236E-3</v>
      </c>
      <c r="G39" s="52">
        <v>0.70444912375520419</v>
      </c>
      <c r="H39" s="52">
        <v>3.4082954736564566E-4</v>
      </c>
      <c r="I39" s="53">
        <v>0.14328028440712942</v>
      </c>
      <c r="J39" s="51">
        <v>9.9156189640625864E-2</v>
      </c>
      <c r="K39" s="51">
        <v>9.514118838084137E-3</v>
      </c>
      <c r="L39" s="54">
        <v>0.70618983342852082</v>
      </c>
      <c r="M39" s="54">
        <v>4.6887545401614255E-4</v>
      </c>
      <c r="N39" s="53">
        <v>-2.9104614823758307E-3</v>
      </c>
      <c r="O39" s="51"/>
      <c r="Q39" s="51"/>
      <c r="T39" s="38" t="s">
        <v>196</v>
      </c>
      <c r="Z39" s="38" t="str">
        <f t="shared" si="0"/>
        <v>20220223_NeomaMSMS_SrF_LA_Chicago_Run1_RbSr_export_processed</v>
      </c>
    </row>
    <row r="40" spans="1:26" s="69" customFormat="1" x14ac:dyDescent="0.2">
      <c r="C40" s="69" t="s">
        <v>309</v>
      </c>
      <c r="D40" s="70"/>
      <c r="E40" s="88">
        <f>AVERAGE(E35:E39)</f>
        <v>0.11820145962712789</v>
      </c>
      <c r="F40" s="88">
        <f>TINV(0.05,COUNT(E35:E39)-1)*STDEV(E35:E39)/COUNT(E35:E39)^0.5</f>
        <v>2.6592691893205368E-3</v>
      </c>
      <c r="G40" s="88">
        <f>AVERAGE(G35:G39)</f>
        <v>0.70444058148643829</v>
      </c>
      <c r="H40" s="88">
        <f>TINV(0.05,COUNT(G35:G39)-1)*STDEV(G35:G39)/COUNT(G35:G39)^0.5</f>
        <v>1.5018326583235523E-4</v>
      </c>
      <c r="I40" s="72"/>
      <c r="J40" s="88">
        <f>AVERAGE(J35:J39)</f>
        <v>9.9658894851963692E-2</v>
      </c>
      <c r="K40" s="88">
        <f>TINV(0.05,COUNT(J35:J39)-1)*STDEV(J35:J39)/COUNT(J35:J39)^0.5</f>
        <v>2.2421028416872322E-3</v>
      </c>
      <c r="L40" s="88">
        <f>AVERAGE(L35:L39)</f>
        <v>0.70618127005161602</v>
      </c>
      <c r="M40" s="88">
        <f>TINV(0.05,COUNT(L35:L39)-1)*STDEV(L35:L39)/COUNT(L35:L39)^0.5</f>
        <v>1.5055437206954307E-4</v>
      </c>
      <c r="N40" s="72"/>
      <c r="O40" s="71">
        <f t="shared" ref="O40" si="3">(0.0365)*(87.62/85.4678)*(27.8/9.86)</f>
        <v>0.10550218865387959</v>
      </c>
      <c r="P40" s="69" t="s">
        <v>274</v>
      </c>
      <c r="Q40" s="71">
        <f t="shared" ref="Q40" si="4">AVERAGE(0.704312,0.704357)</f>
        <v>0.70433450000000009</v>
      </c>
      <c r="R40" s="69" t="s">
        <v>274</v>
      </c>
    </row>
    <row r="48" spans="1:26" x14ac:dyDescent="0.2">
      <c r="H48" t="s">
        <v>335</v>
      </c>
      <c r="M48" t="s">
        <v>11</v>
      </c>
    </row>
    <row r="49" spans="3:16" x14ac:dyDescent="0.2">
      <c r="C49" t="s">
        <v>6</v>
      </c>
      <c r="D49" t="s">
        <v>19</v>
      </c>
      <c r="F49" t="s">
        <v>20</v>
      </c>
      <c r="H49" t="s">
        <v>7</v>
      </c>
      <c r="I49" t="s">
        <v>8</v>
      </c>
      <c r="J49" t="s">
        <v>10</v>
      </c>
      <c r="K49" t="s">
        <v>8</v>
      </c>
      <c r="M49" t="s">
        <v>7</v>
      </c>
      <c r="N49" t="s">
        <v>8</v>
      </c>
      <c r="O49" t="s">
        <v>10</v>
      </c>
      <c r="P49" t="s">
        <v>8</v>
      </c>
    </row>
    <row r="50" spans="3:16" x14ac:dyDescent="0.2">
      <c r="C50" t="s">
        <v>306</v>
      </c>
      <c r="D50" s="98">
        <v>1.1576630990000001</v>
      </c>
      <c r="E50" t="s">
        <v>270</v>
      </c>
      <c r="F50">
        <v>0.709063</v>
      </c>
      <c r="G50" t="s">
        <v>269</v>
      </c>
      <c r="H50">
        <v>1.1702599953999999</v>
      </c>
      <c r="I50">
        <v>2.4417968492887975E-2</v>
      </c>
      <c r="J50">
        <v>0.71056462799999998</v>
      </c>
      <c r="K50">
        <v>6.9281648103866535E-4</v>
      </c>
    </row>
    <row r="51" spans="3:16" x14ac:dyDescent="0.2">
      <c r="C51" t="s">
        <v>307</v>
      </c>
      <c r="D51">
        <v>0</v>
      </c>
      <c r="F51">
        <v>0.70633000000000001</v>
      </c>
      <c r="G51" t="s">
        <v>271</v>
      </c>
      <c r="H51">
        <v>4.8966480000000005E-5</v>
      </c>
      <c r="I51">
        <v>1.3183765313945142E-4</v>
      </c>
      <c r="J51">
        <v>0.70583270100000006</v>
      </c>
      <c r="K51">
        <v>3.1071804220795385E-4</v>
      </c>
    </row>
    <row r="52" spans="3:16" x14ac:dyDescent="0.2">
      <c r="C52" t="s">
        <v>308</v>
      </c>
      <c r="D52" s="98">
        <v>0.82233897731585592</v>
      </c>
      <c r="E52" t="s">
        <v>274</v>
      </c>
      <c r="F52">
        <v>0.70413650000000005</v>
      </c>
      <c r="G52" t="s">
        <v>274</v>
      </c>
      <c r="H52">
        <v>0.72862023717873403</v>
      </c>
      <c r="I52">
        <v>7.729468627479464E-3</v>
      </c>
      <c r="J52">
        <v>0.7055581321475074</v>
      </c>
      <c r="K52">
        <v>4.7188316842241272E-4</v>
      </c>
      <c r="M52">
        <v>0.87152217988187242</v>
      </c>
      <c r="N52">
        <v>9.245424438982467E-3</v>
      </c>
      <c r="O52">
        <v>0.70412616632432068</v>
      </c>
      <c r="P52">
        <v>4.7092545772650283E-4</v>
      </c>
    </row>
    <row r="53" spans="3:16" x14ac:dyDescent="0.2">
      <c r="C53" t="s">
        <v>309</v>
      </c>
      <c r="D53" s="98">
        <v>0.10550218865387959</v>
      </c>
      <c r="E53" t="s">
        <v>274</v>
      </c>
      <c r="F53">
        <v>0.70433450000000009</v>
      </c>
      <c r="G53" t="s">
        <v>274</v>
      </c>
      <c r="H53">
        <v>9.9658894851963692E-2</v>
      </c>
      <c r="I53">
        <v>2.2421028416872322E-3</v>
      </c>
      <c r="J53">
        <v>0.70618127005161602</v>
      </c>
      <c r="K53">
        <v>1.5055437206954307E-4</v>
      </c>
      <c r="M53">
        <v>0.11820145962712789</v>
      </c>
      <c r="N53">
        <v>2.6592691893205368E-3</v>
      </c>
      <c r="O53">
        <v>0.70444058148643829</v>
      </c>
      <c r="P53">
        <v>1.5018326583235523E-4</v>
      </c>
    </row>
    <row r="75" spans="13:14" x14ac:dyDescent="0.2">
      <c r="M75">
        <v>0.70299999999999996</v>
      </c>
      <c r="N75">
        <v>0.70299999999999996</v>
      </c>
    </row>
    <row r="76" spans="13:14" x14ac:dyDescent="0.2">
      <c r="M76">
        <v>0.71199999999999997</v>
      </c>
      <c r="N76">
        <v>0.71199999999999997</v>
      </c>
    </row>
    <row r="79" spans="13:14" x14ac:dyDescent="0.2">
      <c r="M79">
        <v>0</v>
      </c>
      <c r="N79">
        <v>0</v>
      </c>
    </row>
    <row r="80" spans="13:14" x14ac:dyDescent="0.2">
      <c r="M80">
        <v>1.4</v>
      </c>
      <c r="N80">
        <v>1.4</v>
      </c>
    </row>
    <row r="189" spans="19:19" x14ac:dyDescent="0.2">
      <c r="S189" s="40">
        <f>AVERAGE(275,215,185)</f>
        <v>225</v>
      </c>
    </row>
    <row r="190" spans="19:19" x14ac:dyDescent="0.2">
      <c r="S190" s="40">
        <f>AVERAGE(290,220)</f>
        <v>255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14F8E-9EA9-654D-815C-21D0BF6A6D5B}">
  <sheetPr>
    <pageSetUpPr fitToPage="1"/>
  </sheetPr>
  <dimension ref="B2:O39"/>
  <sheetViews>
    <sheetView topLeftCell="A2" workbookViewId="0">
      <selection activeCell="L28" sqref="L28"/>
    </sheetView>
  </sheetViews>
  <sheetFormatPr baseColWidth="10" defaultColWidth="11" defaultRowHeight="16" x14ac:dyDescent="0.2"/>
  <cols>
    <col min="4" max="4" width="16.83203125" customWidth="1"/>
    <col min="5" max="8" width="11.6640625" bestFit="1" customWidth="1"/>
    <col min="12" max="12" width="48.1640625" customWidth="1"/>
  </cols>
  <sheetData>
    <row r="2" spans="2:15" s="2" customFormat="1" x14ac:dyDescent="0.2">
      <c r="C2" s="1"/>
      <c r="D2" s="1"/>
      <c r="E2" s="1"/>
      <c r="F2" s="1"/>
      <c r="G2" s="1"/>
      <c r="H2" s="1"/>
      <c r="I2"/>
      <c r="J2"/>
      <c r="K2" s="1"/>
      <c r="L2" s="1"/>
      <c r="M2"/>
      <c r="N2" s="1"/>
      <c r="O2" s="1"/>
    </row>
    <row r="3" spans="2:15" s="2" customFormat="1" x14ac:dyDescent="0.2">
      <c r="D3" s="25"/>
      <c r="E3" s="29" t="s">
        <v>11</v>
      </c>
      <c r="F3" s="25"/>
      <c r="G3" s="29" t="s">
        <v>9</v>
      </c>
      <c r="H3" s="25"/>
      <c r="I3"/>
      <c r="J3"/>
      <c r="M3"/>
    </row>
    <row r="4" spans="2:15" s="2" customFormat="1" ht="20" thickBot="1" x14ac:dyDescent="0.25">
      <c r="C4" s="3" t="s">
        <v>6</v>
      </c>
      <c r="D4" s="26" t="s">
        <v>285</v>
      </c>
      <c r="E4" s="26" t="s">
        <v>286</v>
      </c>
      <c r="F4" s="26" t="s">
        <v>8</v>
      </c>
      <c r="G4" s="26" t="s">
        <v>286</v>
      </c>
      <c r="H4" s="26" t="s">
        <v>8</v>
      </c>
      <c r="I4"/>
      <c r="J4"/>
      <c r="K4" s="3" t="s">
        <v>5</v>
      </c>
      <c r="L4" s="3"/>
      <c r="M4"/>
      <c r="N4" s="3" t="s">
        <v>12</v>
      </c>
      <c r="O4" s="3"/>
    </row>
    <row r="5" spans="2:15" ht="17" thickTop="1" x14ac:dyDescent="0.2">
      <c r="B5">
        <v>1</v>
      </c>
      <c r="C5" s="105" t="s">
        <v>348</v>
      </c>
      <c r="D5" s="27">
        <v>78893218.200000003</v>
      </c>
      <c r="E5" s="30">
        <v>0.69378039000000002</v>
      </c>
      <c r="F5" s="30">
        <v>4.4942300000000001E-3</v>
      </c>
      <c r="G5" s="30">
        <v>0.69559958</v>
      </c>
      <c r="H5" s="30">
        <v>4.5083500000000004E-3</v>
      </c>
      <c r="K5" s="16">
        <v>4</v>
      </c>
      <c r="L5" s="16" t="s">
        <v>236</v>
      </c>
      <c r="N5" s="16" t="s">
        <v>236</v>
      </c>
      <c r="O5" s="16"/>
    </row>
    <row r="6" spans="2:15" x14ac:dyDescent="0.2">
      <c r="B6">
        <f>B5+1</f>
        <v>2</v>
      </c>
      <c r="C6" s="105" t="s">
        <v>349</v>
      </c>
      <c r="D6" s="27">
        <v>89950534.75</v>
      </c>
      <c r="E6" s="30">
        <v>0.70271704000000001</v>
      </c>
      <c r="F6" s="30">
        <v>3.14189E-3</v>
      </c>
      <c r="G6" s="30">
        <v>0.70455964999999998</v>
      </c>
      <c r="H6" s="30">
        <v>3.1535600000000001E-3</v>
      </c>
      <c r="K6" s="16">
        <v>5</v>
      </c>
      <c r="L6" s="16" t="s">
        <v>236</v>
      </c>
      <c r="N6" s="16" t="s">
        <v>236</v>
      </c>
      <c r="O6" s="16"/>
    </row>
    <row r="7" spans="2:15" x14ac:dyDescent="0.2">
      <c r="B7">
        <f t="shared" ref="B7:B11" si="0">B6+1</f>
        <v>3</v>
      </c>
      <c r="C7" s="105" t="s">
        <v>350</v>
      </c>
      <c r="D7" s="27">
        <v>99224000.780000001</v>
      </c>
      <c r="E7" s="30">
        <v>0.7044087</v>
      </c>
      <c r="F7" s="30">
        <v>2.7426999999999998E-3</v>
      </c>
      <c r="G7" s="30">
        <v>0.70625574999999996</v>
      </c>
      <c r="H7" s="30">
        <v>2.7538300000000001E-3</v>
      </c>
      <c r="K7" s="16">
        <v>6</v>
      </c>
      <c r="L7" s="16" t="s">
        <v>236</v>
      </c>
      <c r="N7" s="16" t="s">
        <v>236</v>
      </c>
      <c r="O7" s="16"/>
    </row>
    <row r="8" spans="2:15" x14ac:dyDescent="0.2">
      <c r="B8">
        <f t="shared" si="0"/>
        <v>4</v>
      </c>
      <c r="C8" s="105" t="s">
        <v>351</v>
      </c>
      <c r="D8" s="27">
        <v>108681647.59999999</v>
      </c>
      <c r="E8" s="30">
        <v>0.69671598999999995</v>
      </c>
      <c r="F8" s="30">
        <v>2.7620700000000002E-3</v>
      </c>
      <c r="G8" s="30">
        <v>0.69854287000000004</v>
      </c>
      <c r="H8" s="30">
        <v>2.7731399999999999E-3</v>
      </c>
      <c r="K8" s="16">
        <v>7</v>
      </c>
      <c r="L8" s="16" t="s">
        <v>236</v>
      </c>
      <c r="N8" s="16" t="s">
        <v>236</v>
      </c>
      <c r="O8" s="16"/>
    </row>
    <row r="9" spans="2:15" x14ac:dyDescent="0.2">
      <c r="B9">
        <f t="shared" si="0"/>
        <v>5</v>
      </c>
      <c r="C9" s="105" t="s">
        <v>352</v>
      </c>
      <c r="D9" s="27">
        <v>116663904.7</v>
      </c>
      <c r="E9" s="30">
        <v>0.69908168999999998</v>
      </c>
      <c r="F9" s="30">
        <v>2.7001500000000001E-3</v>
      </c>
      <c r="G9" s="30">
        <v>0.70091477000000002</v>
      </c>
      <c r="H9" s="30">
        <v>2.7111700000000002E-3</v>
      </c>
      <c r="K9" s="16">
        <v>8</v>
      </c>
      <c r="L9" s="16" t="s">
        <v>236</v>
      </c>
      <c r="N9" s="16" t="s">
        <v>236</v>
      </c>
      <c r="O9" s="16"/>
    </row>
    <row r="10" spans="2:15" x14ac:dyDescent="0.2">
      <c r="B10">
        <f t="shared" si="0"/>
        <v>6</v>
      </c>
      <c r="C10" s="105" t="s">
        <v>353</v>
      </c>
      <c r="D10" s="27">
        <v>99552195.959999993</v>
      </c>
      <c r="E10" s="30">
        <v>0.70684970000000003</v>
      </c>
      <c r="F10" s="30">
        <v>2.33745E-3</v>
      </c>
      <c r="G10" s="30">
        <v>0.70870316</v>
      </c>
      <c r="H10" s="30">
        <v>2.3482300000000002E-3</v>
      </c>
      <c r="K10" s="16">
        <v>9</v>
      </c>
      <c r="L10" s="16" t="s">
        <v>236</v>
      </c>
      <c r="N10" s="16" t="s">
        <v>236</v>
      </c>
      <c r="O10" s="16"/>
    </row>
    <row r="11" spans="2:15" x14ac:dyDescent="0.2">
      <c r="B11">
        <f t="shared" si="0"/>
        <v>7</v>
      </c>
      <c r="C11" s="106" t="s">
        <v>354</v>
      </c>
      <c r="D11" s="28">
        <v>45277706.049999997</v>
      </c>
      <c r="E11" s="31">
        <v>0.69269124000000004</v>
      </c>
      <c r="F11" s="31">
        <v>6.3917799999999997E-3</v>
      </c>
      <c r="G11" s="31">
        <v>0.69450756999999996</v>
      </c>
      <c r="H11" s="31">
        <v>6.4101799999999997E-3</v>
      </c>
      <c r="K11" s="16">
        <v>10</v>
      </c>
      <c r="L11" s="16" t="s">
        <v>236</v>
      </c>
      <c r="N11" s="16" t="s">
        <v>236</v>
      </c>
      <c r="O11" s="16"/>
    </row>
    <row r="12" spans="2:15" x14ac:dyDescent="0.2">
      <c r="C12" s="33" t="s">
        <v>287</v>
      </c>
      <c r="D12" s="34"/>
      <c r="E12" s="35">
        <v>0.69989999999999997</v>
      </c>
      <c r="F12" s="35">
        <v>3.5999999999999999E-3</v>
      </c>
      <c r="G12" s="35">
        <v>0.70169999999999999</v>
      </c>
      <c r="H12" s="35">
        <v>3.5999999999999999E-3</v>
      </c>
    </row>
    <row r="13" spans="2:15" x14ac:dyDescent="0.2">
      <c r="C13" s="32" t="s">
        <v>288</v>
      </c>
    </row>
    <row r="14" spans="2:15" ht="19" x14ac:dyDescent="0.2">
      <c r="C14" s="32" t="s">
        <v>292</v>
      </c>
      <c r="J14">
        <f>G10/0.69876</f>
        <v>1.0142297212204476</v>
      </c>
    </row>
    <row r="15" spans="2:15" x14ac:dyDescent="0.2">
      <c r="C15" s="32" t="s">
        <v>291</v>
      </c>
      <c r="J15">
        <f>(J14-1)*100</f>
        <v>1.4229721220447633</v>
      </c>
    </row>
    <row r="19" spans="4:4" x14ac:dyDescent="0.2">
      <c r="D19">
        <f>1</f>
        <v>1</v>
      </c>
    </row>
    <row r="35" spans="3:12" x14ac:dyDescent="0.2">
      <c r="J35">
        <v>0</v>
      </c>
      <c r="K35">
        <v>0.69876000000000005</v>
      </c>
      <c r="L35">
        <v>0.69882999999999995</v>
      </c>
    </row>
    <row r="36" spans="3:12" x14ac:dyDescent="0.2">
      <c r="J36">
        <v>8</v>
      </c>
      <c r="K36">
        <v>0.69876000000000005</v>
      </c>
      <c r="L36">
        <f>L35</f>
        <v>0.69882999999999995</v>
      </c>
    </row>
    <row r="38" spans="3:12" x14ac:dyDescent="0.2">
      <c r="C38" s="36" t="s">
        <v>289</v>
      </c>
    </row>
    <row r="39" spans="3:12" x14ac:dyDescent="0.2">
      <c r="C39" s="37" t="s">
        <v>290</v>
      </c>
    </row>
  </sheetData>
  <pageMargins left="0.7" right="0.7" top="0.75" bottom="0.75" header="0.3" footer="0.3"/>
  <pageSetup scale="45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F80A-FAA0-0F4F-9494-F5805EE9ED9E}">
  <sheetPr>
    <pageSetUpPr fitToPage="1"/>
  </sheetPr>
  <dimension ref="A1:AR221"/>
  <sheetViews>
    <sheetView topLeftCell="A69" workbookViewId="0">
      <selection activeCell="P71" sqref="P71"/>
    </sheetView>
  </sheetViews>
  <sheetFormatPr baseColWidth="10" defaultColWidth="10.83203125" defaultRowHeight="16" x14ac:dyDescent="0.2"/>
  <cols>
    <col min="1" max="1" width="10.83203125" style="2"/>
    <col min="2" max="2" width="11" style="2" bestFit="1" customWidth="1"/>
    <col min="3" max="4" width="32.83203125" style="2" customWidth="1"/>
    <col min="5" max="5" width="76.83203125" style="2" customWidth="1"/>
    <col min="6" max="6" width="17.83203125" style="14" customWidth="1"/>
    <col min="7" max="7" width="8.33203125" style="2" customWidth="1"/>
    <col min="8" max="8" width="7.33203125" style="2" customWidth="1"/>
    <col min="9" max="9" width="9" style="2" customWidth="1"/>
    <col min="10" max="10" width="23.6640625" style="2" customWidth="1"/>
    <col min="11" max="15" width="10.83203125" style="8"/>
    <col min="16" max="16" width="12.83203125" style="11" bestFit="1" customWidth="1"/>
    <col min="17" max="19" width="11" style="11" bestFit="1" customWidth="1"/>
    <col min="20" max="20" width="10.83203125" style="11"/>
    <col min="21" max="22" width="26.33203125" style="2" customWidth="1"/>
    <col min="23" max="23" width="21.6640625" style="2" customWidth="1"/>
    <col min="24" max="24" width="26.5" style="2" customWidth="1"/>
    <col min="25" max="25" width="10.83203125" style="2"/>
    <col min="26" max="26" width="61.5" style="2" customWidth="1"/>
    <col min="27" max="39" width="10.83203125" style="2"/>
    <col min="40" max="40" width="21.1640625" style="2" customWidth="1"/>
    <col min="41" max="41" width="13.5" style="2" customWidth="1"/>
    <col min="42" max="16384" width="10.83203125" style="2"/>
  </cols>
  <sheetData>
    <row r="1" spans="2:43" x14ac:dyDescent="0.2">
      <c r="B1" s="1"/>
      <c r="C1" s="1"/>
      <c r="D1" s="1"/>
      <c r="E1" s="1"/>
      <c r="F1" s="13"/>
      <c r="G1" s="1"/>
      <c r="H1" s="1"/>
      <c r="I1" s="1"/>
      <c r="J1" s="1"/>
      <c r="K1" s="7"/>
      <c r="L1" s="7"/>
      <c r="M1" s="7"/>
      <c r="N1" s="7"/>
      <c r="O1" s="7"/>
      <c r="P1" s="10"/>
      <c r="Q1" s="10"/>
      <c r="R1" s="10"/>
      <c r="S1" s="10"/>
      <c r="T1" s="10"/>
      <c r="U1" s="1"/>
      <c r="V1" s="1"/>
      <c r="W1" s="1"/>
      <c r="X1" s="1"/>
      <c r="Y1" s="1"/>
      <c r="Z1" s="1"/>
    </row>
    <row r="2" spans="2:43" x14ac:dyDescent="0.2">
      <c r="K2" s="8" t="s">
        <v>11</v>
      </c>
      <c r="P2" s="11" t="s">
        <v>9</v>
      </c>
    </row>
    <row r="3" spans="2:43" ht="17" thickBot="1" x14ac:dyDescent="0.25">
      <c r="B3" s="3" t="s">
        <v>5</v>
      </c>
      <c r="C3" s="3" t="s">
        <v>6</v>
      </c>
      <c r="D3" s="3" t="s">
        <v>320</v>
      </c>
      <c r="E3" s="3"/>
      <c r="F3" s="15" t="s">
        <v>18</v>
      </c>
      <c r="G3" s="3" t="s">
        <v>57</v>
      </c>
      <c r="H3" s="3" t="s">
        <v>58</v>
      </c>
      <c r="I3" s="3" t="s">
        <v>59</v>
      </c>
      <c r="J3" s="3" t="s">
        <v>322</v>
      </c>
      <c r="K3" s="9" t="s">
        <v>7</v>
      </c>
      <c r="L3" s="9" t="s">
        <v>8</v>
      </c>
      <c r="M3" s="9" t="s">
        <v>10</v>
      </c>
      <c r="N3" s="9" t="s">
        <v>8</v>
      </c>
      <c r="O3" s="9" t="s">
        <v>275</v>
      </c>
      <c r="P3" s="12" t="s">
        <v>7</v>
      </c>
      <c r="Q3" s="12" t="s">
        <v>8</v>
      </c>
      <c r="R3" s="12" t="s">
        <v>10</v>
      </c>
      <c r="S3" s="12" t="s">
        <v>8</v>
      </c>
      <c r="T3" s="12" t="s">
        <v>275</v>
      </c>
      <c r="U3" s="3" t="s">
        <v>19</v>
      </c>
      <c r="V3" s="3"/>
      <c r="W3" s="3" t="s">
        <v>20</v>
      </c>
      <c r="X3" s="3"/>
      <c r="Y3" s="3" t="s">
        <v>12</v>
      </c>
      <c r="Z3" s="3"/>
      <c r="AO3" s="2" t="s">
        <v>326</v>
      </c>
      <c r="AP3" s="2" t="s">
        <v>7</v>
      </c>
      <c r="AQ3" s="2" t="s">
        <v>10</v>
      </c>
    </row>
    <row r="4" spans="2:43" ht="17" thickTop="1" x14ac:dyDescent="0.2">
      <c r="B4" s="2">
        <v>2</v>
      </c>
      <c r="C4" s="2" t="s">
        <v>23</v>
      </c>
      <c r="E4" s="2" t="str">
        <f t="shared" ref="E4:E48" si="0">Y4</f>
        <v>20220223_NeomaMSMS_SrF_LA_Megacryst_Shap_Sr_export_processed</v>
      </c>
      <c r="F4" s="14">
        <v>6136974100.4167538</v>
      </c>
      <c r="R4" s="11">
        <v>0.70983692369226314</v>
      </c>
      <c r="S4" s="11">
        <v>1.0131443319015383E-4</v>
      </c>
      <c r="W4" s="2">
        <f>0.710863</f>
        <v>0.71086300000000002</v>
      </c>
      <c r="X4" s="2" t="s">
        <v>273</v>
      </c>
      <c r="Y4" s="2" t="s">
        <v>39</v>
      </c>
      <c r="AN4" s="2" t="s">
        <v>327</v>
      </c>
      <c r="AO4" s="2">
        <v>0.22957597271546035</v>
      </c>
      <c r="AP4" s="2">
        <v>1.2226535999999999</v>
      </c>
      <c r="AQ4" s="2">
        <v>0.71481899999999998</v>
      </c>
    </row>
    <row r="5" spans="2:43" x14ac:dyDescent="0.2">
      <c r="B5" s="2">
        <v>3</v>
      </c>
      <c r="C5" s="2" t="s">
        <v>24</v>
      </c>
      <c r="E5" s="2" t="str">
        <f t="shared" si="0"/>
        <v>20220223_NeomaMSMS_SrF_LA_Megacryst_Shap_Sr_export_processed</v>
      </c>
      <c r="F5" s="14">
        <v>7221853608.2591791</v>
      </c>
      <c r="R5" s="11">
        <v>0.71006613669342045</v>
      </c>
      <c r="S5" s="11">
        <v>1.1781699087266324E-4</v>
      </c>
      <c r="W5" s="2">
        <f t="shared" ref="W5:W10" si="1">0.710863</f>
        <v>0.71086300000000002</v>
      </c>
      <c r="X5" s="2" t="s">
        <v>273</v>
      </c>
      <c r="Y5" s="2" t="s">
        <v>39</v>
      </c>
      <c r="AN5" s="2" t="s">
        <v>323</v>
      </c>
      <c r="AO5" s="2">
        <v>12.529191215747966</v>
      </c>
      <c r="AP5" s="2">
        <v>1.456129</v>
      </c>
      <c r="AQ5" s="2">
        <v>0.71553500000000003</v>
      </c>
    </row>
    <row r="6" spans="2:43" x14ac:dyDescent="0.2">
      <c r="B6" s="2">
        <v>4</v>
      </c>
      <c r="C6" s="2" t="s">
        <v>25</v>
      </c>
      <c r="E6" s="2" t="str">
        <f t="shared" si="0"/>
        <v>20220223_NeomaMSMS_SrF_LA_Megacryst_Shap_Sr_export_processed</v>
      </c>
      <c r="F6" s="14">
        <v>6434562101.9687204</v>
      </c>
      <c r="R6" s="11">
        <v>0.71054279259414233</v>
      </c>
      <c r="S6" s="11">
        <v>1.4321969652479646E-4</v>
      </c>
      <c r="W6" s="2">
        <f t="shared" si="1"/>
        <v>0.71086300000000002</v>
      </c>
      <c r="X6" s="2" t="s">
        <v>273</v>
      </c>
      <c r="Y6" s="2" t="s">
        <v>39</v>
      </c>
      <c r="AN6" s="2" t="s">
        <v>324</v>
      </c>
      <c r="AO6" s="2">
        <v>14.319349166235924</v>
      </c>
      <c r="AP6" s="2">
        <v>0.2403064</v>
      </c>
      <c r="AQ6" s="2">
        <v>0.70851900000000001</v>
      </c>
    </row>
    <row r="7" spans="2:43" x14ac:dyDescent="0.2">
      <c r="B7" s="2">
        <v>6</v>
      </c>
      <c r="C7" s="2" t="s">
        <v>23</v>
      </c>
      <c r="E7" s="2" t="str">
        <f t="shared" si="0"/>
        <v>20220223_NeomaMSMS_SrF_LA_Megacryst_Shap_Sr_export_processed</v>
      </c>
      <c r="F7" s="14">
        <v>2992646997.0280252</v>
      </c>
      <c r="R7" s="11">
        <v>0.71002564553972913</v>
      </c>
      <c r="S7" s="11">
        <v>1.8891012553646179E-4</v>
      </c>
      <c r="W7" s="2">
        <f t="shared" si="1"/>
        <v>0.71086300000000002</v>
      </c>
      <c r="X7" s="2" t="s">
        <v>273</v>
      </c>
      <c r="Y7" s="2" t="s">
        <v>39</v>
      </c>
      <c r="AN7" s="2" t="s">
        <v>325</v>
      </c>
      <c r="AO7" s="2">
        <v>15.353308983617278</v>
      </c>
      <c r="AP7" s="2">
        <v>0.64250870000000004</v>
      </c>
      <c r="AQ7" s="2">
        <v>0.71086300000000002</v>
      </c>
    </row>
    <row r="8" spans="2:43" x14ac:dyDescent="0.2">
      <c r="B8" s="2">
        <v>7</v>
      </c>
      <c r="C8" s="2" t="s">
        <v>24</v>
      </c>
      <c r="E8" s="2" t="str">
        <f t="shared" si="0"/>
        <v>20220223_NeomaMSMS_SrF_LA_Megacryst_Shap_Sr_export_processed</v>
      </c>
      <c r="F8" s="14">
        <v>4762195217.5965929</v>
      </c>
      <c r="R8" s="11">
        <v>0.70982283745881769</v>
      </c>
      <c r="S8" s="11">
        <v>1.7869106080283464E-4</v>
      </c>
      <c r="W8" s="2">
        <f t="shared" si="1"/>
        <v>0.71086300000000002</v>
      </c>
      <c r="X8" s="2" t="s">
        <v>273</v>
      </c>
      <c r="Y8" s="2" t="s">
        <v>39</v>
      </c>
    </row>
    <row r="9" spans="2:43" x14ac:dyDescent="0.2">
      <c r="B9" s="2">
        <v>8</v>
      </c>
      <c r="C9" s="2" t="s">
        <v>25</v>
      </c>
      <c r="E9" s="2" t="str">
        <f t="shared" si="0"/>
        <v>20220223_NeomaMSMS_SrF_LA_Megacryst_Shap_Sr_export_processed</v>
      </c>
      <c r="F9" s="14">
        <v>1925198353.1255379</v>
      </c>
      <c r="R9" s="11">
        <v>0.70939293746851029</v>
      </c>
      <c r="S9" s="11">
        <v>2.4784637295138058E-4</v>
      </c>
      <c r="W9" s="2">
        <f t="shared" si="1"/>
        <v>0.71086300000000002</v>
      </c>
      <c r="X9" s="2" t="s">
        <v>273</v>
      </c>
      <c r="Y9" s="2" t="s">
        <v>39</v>
      </c>
    </row>
    <row r="10" spans="2:43" x14ac:dyDescent="0.2">
      <c r="B10" s="2">
        <v>9</v>
      </c>
      <c r="C10" s="2" t="s">
        <v>26</v>
      </c>
      <c r="E10" s="2" t="str">
        <f t="shared" si="0"/>
        <v>20220223_NeomaMSMS_SrF_LA_Megacryst_Shap_Sr_export_processed</v>
      </c>
      <c r="F10" s="14">
        <v>5525080957.6157093</v>
      </c>
      <c r="R10" s="11">
        <v>0.71068829929601507</v>
      </c>
      <c r="S10" s="11">
        <v>2.3958350194380922E-4</v>
      </c>
      <c r="W10" s="2">
        <f t="shared" si="1"/>
        <v>0.71086300000000002</v>
      </c>
      <c r="X10" s="2" t="s">
        <v>273</v>
      </c>
      <c r="Y10" s="2" t="s">
        <v>39</v>
      </c>
    </row>
    <row r="11" spans="2:43" x14ac:dyDescent="0.2">
      <c r="B11" s="2">
        <v>11</v>
      </c>
      <c r="C11" s="2" t="s">
        <v>27</v>
      </c>
      <c r="E11" s="2" t="str">
        <f t="shared" si="0"/>
        <v>20220223_NeomaMSMS_SrF_LA_Megacryst_Shap_Sr_export_processed</v>
      </c>
      <c r="F11" s="14">
        <v>7785816887.1595039</v>
      </c>
      <c r="R11" s="11">
        <v>0.70998109817267152</v>
      </c>
      <c r="S11" s="11">
        <v>1.4104591491318161E-4</v>
      </c>
      <c r="W11" s="2">
        <f>0.708519</f>
        <v>0.70851900000000001</v>
      </c>
      <c r="X11" s="2" t="s">
        <v>273</v>
      </c>
      <c r="Y11" s="2" t="s">
        <v>39</v>
      </c>
    </row>
    <row r="12" spans="2:43" x14ac:dyDescent="0.2">
      <c r="B12" s="2">
        <v>12</v>
      </c>
      <c r="C12" s="2" t="s">
        <v>28</v>
      </c>
      <c r="E12" s="2" t="str">
        <f t="shared" si="0"/>
        <v>20220223_NeomaMSMS_SrF_LA_Megacryst_Shap_Sr_export_processed</v>
      </c>
      <c r="F12" s="14">
        <v>6820521648.6744061</v>
      </c>
      <c r="R12" s="11">
        <v>0.70951891881123264</v>
      </c>
      <c r="S12" s="11">
        <v>1.1599208936883172E-4</v>
      </c>
      <c r="W12" s="2">
        <f t="shared" ref="W12:W13" si="2">0.708519</f>
        <v>0.70851900000000001</v>
      </c>
      <c r="X12" s="2" t="s">
        <v>273</v>
      </c>
      <c r="Y12" s="2" t="s">
        <v>39</v>
      </c>
    </row>
    <row r="13" spans="2:43" x14ac:dyDescent="0.2">
      <c r="B13" s="2">
        <v>13</v>
      </c>
      <c r="C13" s="2" t="s">
        <v>29</v>
      </c>
      <c r="E13" s="2" t="str">
        <f t="shared" si="0"/>
        <v>20220223_NeomaMSMS_SrF_LA_Megacryst_Shap_Sr_export_processed</v>
      </c>
      <c r="F13" s="14">
        <v>7232340352.4956722</v>
      </c>
      <c r="R13" s="11">
        <v>0.7102708329599694</v>
      </c>
      <c r="S13" s="11">
        <v>2.4534212061636765E-4</v>
      </c>
      <c r="W13" s="2">
        <f t="shared" si="2"/>
        <v>0.70851900000000001</v>
      </c>
      <c r="X13" s="2" t="s">
        <v>273</v>
      </c>
      <c r="Y13" s="2" t="s">
        <v>39</v>
      </c>
    </row>
    <row r="14" spans="2:43" x14ac:dyDescent="0.2">
      <c r="B14" s="2">
        <v>14</v>
      </c>
      <c r="C14" s="2" t="s">
        <v>30</v>
      </c>
      <c r="E14" s="2" t="str">
        <f t="shared" si="0"/>
        <v>20220223_NeomaMSMS_SrF_LA_Megacryst_Shap_Sr_export_processed</v>
      </c>
      <c r="F14" s="14">
        <v>9105885973.3173161</v>
      </c>
      <c r="R14" s="11">
        <v>0.70954756358084314</v>
      </c>
      <c r="S14" s="11">
        <v>1.0074671467008722E-4</v>
      </c>
      <c r="W14" s="2">
        <f>0.708519</f>
        <v>0.70851900000000001</v>
      </c>
      <c r="X14" s="2" t="s">
        <v>273</v>
      </c>
      <c r="Y14" s="2" t="s">
        <v>39</v>
      </c>
      <c r="AP14" s="2">
        <v>1</v>
      </c>
    </row>
    <row r="15" spans="2:43" x14ac:dyDescent="0.2">
      <c r="B15" s="2">
        <v>16</v>
      </c>
      <c r="C15" s="2" t="s">
        <v>31</v>
      </c>
      <c r="E15" s="2" t="str">
        <f t="shared" si="0"/>
        <v>20220223_NeomaMSMS_SrF_LA_Megacryst_Shap_Sr_export_processed</v>
      </c>
      <c r="F15" s="14">
        <v>7692291503.7775402</v>
      </c>
      <c r="R15" s="11">
        <v>0.71419461995145006</v>
      </c>
      <c r="S15" s="11">
        <v>1.108667282586713E-4</v>
      </c>
      <c r="W15" s="2">
        <f>0.715535</f>
        <v>0.71553500000000003</v>
      </c>
      <c r="X15" s="2" t="s">
        <v>273</v>
      </c>
      <c r="Y15" s="2" t="s">
        <v>39</v>
      </c>
      <c r="AJ15" s="2">
        <f>397/284</f>
        <v>1.397887323943662</v>
      </c>
      <c r="AP15" s="2">
        <v>2</v>
      </c>
    </row>
    <row r="16" spans="2:43" x14ac:dyDescent="0.2">
      <c r="B16" s="2">
        <v>17</v>
      </c>
      <c r="C16" s="2" t="s">
        <v>32</v>
      </c>
      <c r="E16" s="2" t="str">
        <f t="shared" si="0"/>
        <v>20220223_NeomaMSMS_SrF_LA_Megacryst_Shap_Sr_export_processed</v>
      </c>
      <c r="F16" s="14">
        <v>7410881389.9715071</v>
      </c>
      <c r="R16" s="11">
        <v>0.714872940886772</v>
      </c>
      <c r="S16" s="11">
        <v>1.253438940125052E-4</v>
      </c>
      <c r="W16" s="2">
        <f t="shared" ref="W16:W17" si="3">0.715535</f>
        <v>0.71553500000000003</v>
      </c>
      <c r="X16" s="2" t="s">
        <v>273</v>
      </c>
      <c r="Y16" s="2" t="s">
        <v>39</v>
      </c>
      <c r="AP16" s="2">
        <v>3</v>
      </c>
      <c r="AQ16" s="2">
        <v>1.1805012471336076</v>
      </c>
    </row>
    <row r="17" spans="2:44" x14ac:dyDescent="0.2">
      <c r="B17" s="2">
        <v>18</v>
      </c>
      <c r="C17" s="2" t="s">
        <v>33</v>
      </c>
      <c r="E17" s="2" t="str">
        <f t="shared" si="0"/>
        <v>20220223_NeomaMSMS_SrF_LA_Megacryst_Shap_Sr_export_processed</v>
      </c>
      <c r="F17" s="14">
        <v>7048559528.2202349</v>
      </c>
      <c r="R17" s="11">
        <v>0.71564039770527432</v>
      </c>
      <c r="S17" s="11">
        <v>1.1089594758961547E-4</v>
      </c>
      <c r="W17" s="2">
        <f t="shared" si="3"/>
        <v>0.71553500000000003</v>
      </c>
      <c r="X17" s="2" t="s">
        <v>273</v>
      </c>
      <c r="Y17" s="2" t="s">
        <v>39</v>
      </c>
      <c r="AP17" s="2">
        <v>4</v>
      </c>
      <c r="AQ17" s="2">
        <v>1.7739081753377195</v>
      </c>
    </row>
    <row r="18" spans="2:44" x14ac:dyDescent="0.2">
      <c r="B18" s="2">
        <v>19</v>
      </c>
      <c r="C18" s="2" t="s">
        <v>34</v>
      </c>
      <c r="E18" s="2" t="str">
        <f t="shared" si="0"/>
        <v>20220223_NeomaMSMS_SrF_LA_Megacryst_Shap_Sr_export_processed</v>
      </c>
      <c r="F18" s="14">
        <v>6562120979.6430397</v>
      </c>
      <c r="R18" s="11">
        <v>0.7198848212868435</v>
      </c>
      <c r="S18" s="11">
        <v>1.0407263078869289E-4</v>
      </c>
      <c r="W18" s="2">
        <f>0.715535</f>
        <v>0.71553500000000003</v>
      </c>
      <c r="X18" s="2" t="s">
        <v>273</v>
      </c>
      <c r="Y18" s="2" t="s">
        <v>39</v>
      </c>
      <c r="AP18" s="2">
        <v>5</v>
      </c>
      <c r="AQ18" s="2">
        <v>2.5360794504283555</v>
      </c>
    </row>
    <row r="19" spans="2:44" x14ac:dyDescent="0.2">
      <c r="B19" s="2">
        <v>21</v>
      </c>
      <c r="C19" s="2" t="s">
        <v>35</v>
      </c>
      <c r="E19" s="2" t="str">
        <f t="shared" si="0"/>
        <v>20220223_NeomaMSMS_SrF_LA_Megacryst_Shap_Sr_export_processed</v>
      </c>
      <c r="F19" s="14">
        <v>6151534929.7710238</v>
      </c>
      <c r="R19" s="11">
        <v>0.71758137118761345</v>
      </c>
      <c r="S19" s="11">
        <v>1.0279178444816695E-4</v>
      </c>
      <c r="W19" s="2">
        <f>0.714819</f>
        <v>0.71481899999999998</v>
      </c>
      <c r="X19" s="2" t="s">
        <v>273</v>
      </c>
      <c r="Y19" s="2" t="s">
        <v>39</v>
      </c>
      <c r="AP19" s="2">
        <v>6</v>
      </c>
      <c r="AQ19" s="2">
        <v>3.3187256971171917</v>
      </c>
    </row>
    <row r="20" spans="2:44" x14ac:dyDescent="0.2">
      <c r="B20" s="2">
        <v>22</v>
      </c>
      <c r="C20" s="2" t="s">
        <v>36</v>
      </c>
      <c r="E20" s="2" t="str">
        <f t="shared" si="0"/>
        <v>20220223_NeomaMSMS_SrF_LA_Megacryst_Shap_Sr_export_processed</v>
      </c>
      <c r="F20" s="14">
        <v>6504826952.2069006</v>
      </c>
      <c r="R20" s="11">
        <v>0.7180455362160868</v>
      </c>
      <c r="S20" s="11">
        <v>1.1046388138547893E-4</v>
      </c>
      <c r="W20" s="2">
        <f t="shared" ref="W20:W21" si="4">0.714819</f>
        <v>0.71481899999999998</v>
      </c>
      <c r="X20" s="2" t="s">
        <v>273</v>
      </c>
      <c r="Y20" s="2" t="s">
        <v>39</v>
      </c>
      <c r="AP20" s="2">
        <v>7</v>
      </c>
      <c r="AQ20" s="2">
        <v>3.9840583137301069</v>
      </c>
    </row>
    <row r="21" spans="2:44" x14ac:dyDescent="0.2">
      <c r="B21" s="2">
        <v>23</v>
      </c>
      <c r="C21" s="2" t="s">
        <v>37</v>
      </c>
      <c r="E21" s="2" t="str">
        <f t="shared" si="0"/>
        <v>20220223_NeomaMSMS_SrF_LA_Megacryst_Shap_Sr_export_processed</v>
      </c>
      <c r="F21" s="14">
        <v>6834482228.9752073</v>
      </c>
      <c r="R21" s="11">
        <v>0.71705373231838709</v>
      </c>
      <c r="S21" s="11">
        <v>9.4030573325883763E-5</v>
      </c>
      <c r="W21" s="2">
        <f t="shared" si="4"/>
        <v>0.71481899999999998</v>
      </c>
      <c r="X21" s="2" t="s">
        <v>273</v>
      </c>
      <c r="Y21" s="2" t="s">
        <v>39</v>
      </c>
      <c r="AB21" s="2" t="s">
        <v>283</v>
      </c>
      <c r="AH21" s="2" t="s">
        <v>284</v>
      </c>
      <c r="AP21" s="2">
        <v>8</v>
      </c>
      <c r="AQ21" s="2">
        <v>4.7933295897060928</v>
      </c>
    </row>
    <row r="22" spans="2:44" x14ac:dyDescent="0.2">
      <c r="B22" s="2">
        <v>24</v>
      </c>
      <c r="C22" s="2" t="s">
        <v>38</v>
      </c>
      <c r="E22" s="2" t="str">
        <f t="shared" si="0"/>
        <v>20220223_NeomaMSMS_SrF_LA_Megacryst_Shap_Sr_export_processed</v>
      </c>
      <c r="F22" s="14">
        <v>6990841227.179019</v>
      </c>
      <c r="R22" s="11">
        <v>0.71603644221094931</v>
      </c>
      <c r="S22" s="11">
        <v>1.3210309218848062E-4</v>
      </c>
      <c r="W22" s="2">
        <f>0.714819</f>
        <v>0.71481899999999998</v>
      </c>
      <c r="X22" s="2" t="s">
        <v>273</v>
      </c>
      <c r="Y22" s="2" t="s">
        <v>39</v>
      </c>
      <c r="AB22" s="2">
        <v>1.21</v>
      </c>
      <c r="AH22" s="2">
        <v>1.39</v>
      </c>
      <c r="AP22" s="2">
        <v>9</v>
      </c>
      <c r="AQ22" s="2">
        <v>5.6076222603048098</v>
      </c>
    </row>
    <row r="23" spans="2:44" x14ac:dyDescent="0.2">
      <c r="B23" s="2">
        <v>2</v>
      </c>
      <c r="C23" s="2" t="s">
        <v>40</v>
      </c>
      <c r="E23" s="2" t="str">
        <f t="shared" si="0"/>
        <v>20220223_NeomaMSMS_SrF_LA_Megacryst_Shap_RbSr_export_processed</v>
      </c>
      <c r="F23" s="14">
        <v>1634975356.7767847</v>
      </c>
      <c r="P23" s="11">
        <v>1.4050712524613347</v>
      </c>
      <c r="Q23" s="11">
        <v>0.26211970902622816</v>
      </c>
      <c r="R23" s="11">
        <v>0.71471690319348113</v>
      </c>
      <c r="S23" s="11">
        <v>1.6296277382330622E-3</v>
      </c>
      <c r="T23" s="11">
        <v>0.36358331271751704</v>
      </c>
      <c r="U23" s="2">
        <f>0.6425087</f>
        <v>0.64250870000000004</v>
      </c>
      <c r="V23" s="2" t="s">
        <v>273</v>
      </c>
      <c r="W23" s="2">
        <f>0.710863</f>
        <v>0.71086300000000002</v>
      </c>
      <c r="X23" s="2" t="s">
        <v>273</v>
      </c>
      <c r="Y23" s="2" t="s">
        <v>56</v>
      </c>
      <c r="AB23" s="2">
        <f>P23/$AB$22</f>
        <v>1.1612159111250699</v>
      </c>
      <c r="AC23" s="2">
        <f>Q23/$AB$22</f>
        <v>0.21662785869936213</v>
      </c>
      <c r="AD23" s="2">
        <f>R23</f>
        <v>0.71471690319348113</v>
      </c>
      <c r="AE23" s="2">
        <f t="shared" ref="AE23:AF23" si="5">S23</f>
        <v>1.6296277382330622E-3</v>
      </c>
      <c r="AF23" s="2">
        <f t="shared" si="5"/>
        <v>0.36358331271751704</v>
      </c>
      <c r="AP23" s="2">
        <v>10</v>
      </c>
      <c r="AQ23" s="2">
        <v>6.6612929338251599</v>
      </c>
    </row>
    <row r="24" spans="2:44" x14ac:dyDescent="0.2">
      <c r="B24" s="2">
        <v>3</v>
      </c>
      <c r="C24" s="2" t="s">
        <v>41</v>
      </c>
      <c r="E24" s="2" t="str">
        <f t="shared" si="0"/>
        <v>20220223_NeomaMSMS_SrF_LA_Megacryst_Shap_RbSr_export_processed</v>
      </c>
      <c r="F24" s="14">
        <v>9498985095.1159592</v>
      </c>
      <c r="P24" s="11">
        <v>0.57847681563125597</v>
      </c>
      <c r="Q24" s="11">
        <v>6.5307208658910848E-2</v>
      </c>
      <c r="R24" s="11">
        <v>0.71170894135074481</v>
      </c>
      <c r="S24" s="11">
        <v>4.2713363588945747E-4</v>
      </c>
      <c r="T24" s="11">
        <v>0.22693259019920364</v>
      </c>
      <c r="U24" s="2">
        <f t="shared" ref="U24:U25" si="6">0.6425087</f>
        <v>0.64250870000000004</v>
      </c>
      <c r="V24" s="2" t="s">
        <v>273</v>
      </c>
      <c r="W24" s="2">
        <f t="shared" ref="W24:W25" si="7">0.710863</f>
        <v>0.71086300000000002</v>
      </c>
      <c r="X24" s="2" t="s">
        <v>273</v>
      </c>
      <c r="Y24" s="2" t="s">
        <v>56</v>
      </c>
      <c r="AB24" s="2">
        <f t="shared" ref="AB24:AB77" si="8">P24/$AB$22</f>
        <v>0.47808001291839336</v>
      </c>
      <c r="AC24" s="2">
        <f t="shared" ref="AC24:AC77" si="9">Q24/$AB$22</f>
        <v>5.397289971810814E-2</v>
      </c>
      <c r="AD24" s="2">
        <f t="shared" ref="AD24:AD77" si="10">R24</f>
        <v>0.71170894135074481</v>
      </c>
      <c r="AE24" s="2">
        <f t="shared" ref="AE24:AE77" si="11">S24</f>
        <v>4.2713363588945747E-4</v>
      </c>
      <c r="AF24" s="2">
        <f t="shared" ref="AF24:AF77" si="12">T24</f>
        <v>0.22693259019920364</v>
      </c>
      <c r="AP24" s="2">
        <v>11</v>
      </c>
      <c r="AQ24" s="2">
        <v>7.6071681667681057</v>
      </c>
    </row>
    <row r="25" spans="2:44" x14ac:dyDescent="0.2">
      <c r="B25" s="2">
        <v>4</v>
      </c>
      <c r="C25" s="2" t="s">
        <v>42</v>
      </c>
      <c r="E25" s="2" t="str">
        <f t="shared" si="0"/>
        <v>20220223_NeomaMSMS_SrF_LA_Megacryst_Shap_RbSr_export_processed</v>
      </c>
      <c r="F25" s="14">
        <v>9411167324.7085018</v>
      </c>
      <c r="P25" s="11">
        <v>0.16865110733852948</v>
      </c>
      <c r="Q25" s="11">
        <v>4.3970052454649779E-2</v>
      </c>
      <c r="R25" s="11">
        <v>0.70956399976743356</v>
      </c>
      <c r="S25" s="11">
        <v>1.3845484797901439E-4</v>
      </c>
      <c r="T25" s="11">
        <v>0.2024190674839052</v>
      </c>
      <c r="U25" s="2">
        <f t="shared" si="6"/>
        <v>0.64250870000000004</v>
      </c>
      <c r="V25" s="2" t="s">
        <v>273</v>
      </c>
      <c r="W25" s="2">
        <f t="shared" si="7"/>
        <v>0.71086300000000002</v>
      </c>
      <c r="X25" s="2" t="s">
        <v>273</v>
      </c>
      <c r="Y25" s="2" t="s">
        <v>56</v>
      </c>
      <c r="AB25" s="2">
        <f t="shared" si="8"/>
        <v>0.1393810804450657</v>
      </c>
      <c r="AC25" s="2">
        <f t="shared" si="9"/>
        <v>3.6338886326156845E-2</v>
      </c>
      <c r="AD25" s="2">
        <f t="shared" si="10"/>
        <v>0.70956399976743356</v>
      </c>
      <c r="AE25" s="2">
        <f t="shared" si="11"/>
        <v>1.3845484797901439E-4</v>
      </c>
      <c r="AF25" s="2">
        <f t="shared" si="12"/>
        <v>0.2024190674839052</v>
      </c>
      <c r="AP25" s="2">
        <v>12</v>
      </c>
      <c r="AQ25" s="2">
        <v>8.6222388282220521</v>
      </c>
    </row>
    <row r="26" spans="2:44" x14ac:dyDescent="0.2">
      <c r="B26" s="2">
        <v>5</v>
      </c>
      <c r="C26" s="2" t="s">
        <v>43</v>
      </c>
      <c r="E26" s="2" t="str">
        <f t="shared" si="0"/>
        <v>20220223_NeomaMSMS_SrF_LA_Megacryst_Shap_RbSr_export_processed</v>
      </c>
      <c r="F26" s="14">
        <v>8660658657.133873</v>
      </c>
      <c r="P26" s="11">
        <v>0.46878005236240494</v>
      </c>
      <c r="Q26" s="11">
        <v>6.4737750104017472E-2</v>
      </c>
      <c r="R26" s="11">
        <v>0.71105701020856116</v>
      </c>
      <c r="S26" s="11">
        <v>3.1599734397186633E-4</v>
      </c>
      <c r="T26" s="11">
        <v>0.70591017192972427</v>
      </c>
      <c r="U26" s="2">
        <f>0.6425087</f>
        <v>0.64250870000000004</v>
      </c>
      <c r="V26" s="2" t="s">
        <v>273</v>
      </c>
      <c r="W26" s="2">
        <f>0.710863</f>
        <v>0.71086300000000002</v>
      </c>
      <c r="X26" s="2" t="s">
        <v>273</v>
      </c>
      <c r="Y26" s="2" t="s">
        <v>56</v>
      </c>
      <c r="AB26" s="2">
        <f t="shared" si="8"/>
        <v>0.38742153087802061</v>
      </c>
      <c r="AC26" s="2">
        <f t="shared" si="9"/>
        <v>5.3502272813237585E-2</v>
      </c>
      <c r="AD26" s="2">
        <f t="shared" si="10"/>
        <v>0.71105701020856116</v>
      </c>
      <c r="AE26" s="2">
        <f t="shared" si="11"/>
        <v>3.1599734397186633E-4</v>
      </c>
      <c r="AF26" s="2">
        <f t="shared" si="12"/>
        <v>0.70591017192972427</v>
      </c>
      <c r="AP26" s="2">
        <v>13</v>
      </c>
      <c r="AQ26" s="2">
        <v>9.6955001058937622</v>
      </c>
    </row>
    <row r="27" spans="2:44" x14ac:dyDescent="0.2">
      <c r="B27" s="2">
        <v>7</v>
      </c>
      <c r="C27" s="2" t="s">
        <v>44</v>
      </c>
      <c r="E27" s="2" t="str">
        <f t="shared" si="0"/>
        <v>20220223_NeomaMSMS_SrF_LA_Megacryst_Shap_RbSr_export_processed</v>
      </c>
      <c r="F27" s="14">
        <v>8268953943.8950357</v>
      </c>
      <c r="P27" s="11">
        <v>0.28512231669944454</v>
      </c>
      <c r="Q27" s="11">
        <v>0.18683916876507209</v>
      </c>
      <c r="R27" s="11">
        <v>0.71015635479071237</v>
      </c>
      <c r="S27" s="11">
        <v>1.0239327467693403E-3</v>
      </c>
      <c r="T27" s="11">
        <v>0.97447762689588835</v>
      </c>
      <c r="U27" s="2">
        <f>0.2403064</f>
        <v>0.2403064</v>
      </c>
      <c r="V27" s="2" t="s">
        <v>273</v>
      </c>
      <c r="W27" s="2">
        <f>0.708519</f>
        <v>0.70851900000000001</v>
      </c>
      <c r="X27" s="2" t="s">
        <v>273</v>
      </c>
      <c r="Y27" s="2" t="s">
        <v>56</v>
      </c>
      <c r="AB27" s="2">
        <f t="shared" si="8"/>
        <v>0.23563827826400377</v>
      </c>
      <c r="AC27" s="2">
        <f t="shared" si="9"/>
        <v>0.15441253616948106</v>
      </c>
      <c r="AD27" s="2">
        <f t="shared" si="10"/>
        <v>0.71015635479071237</v>
      </c>
      <c r="AE27" s="2">
        <f t="shared" si="11"/>
        <v>1.0239327467693403E-3</v>
      </c>
      <c r="AF27" s="2">
        <f t="shared" si="12"/>
        <v>0.97447762689588835</v>
      </c>
      <c r="AP27" s="2">
        <v>14</v>
      </c>
      <c r="AQ27" s="2">
        <v>10.621570210011797</v>
      </c>
    </row>
    <row r="28" spans="2:44" x14ac:dyDescent="0.2">
      <c r="B28" s="2">
        <v>8</v>
      </c>
      <c r="C28" s="2" t="s">
        <v>45</v>
      </c>
      <c r="E28" s="2" t="str">
        <f t="shared" si="0"/>
        <v>20220223_NeomaMSMS_SrF_LA_Megacryst_Shap_RbSr_export_processed</v>
      </c>
      <c r="F28" s="14">
        <v>9102745056.1290569</v>
      </c>
      <c r="P28" s="11">
        <v>0.29255181900813232</v>
      </c>
      <c r="Q28" s="11">
        <v>6.8286965081935408E-2</v>
      </c>
      <c r="R28" s="11">
        <v>0.71016365186882369</v>
      </c>
      <c r="S28" s="11">
        <v>3.2113614903381905E-4</v>
      </c>
      <c r="T28" s="11">
        <v>0.82529582487737974</v>
      </c>
      <c r="U28" s="2">
        <f t="shared" ref="U28:U30" si="13">0.2403064</f>
        <v>0.2403064</v>
      </c>
      <c r="V28" s="2" t="s">
        <v>273</v>
      </c>
      <c r="W28" s="2">
        <f t="shared" ref="W28:W30" si="14">0.708519</f>
        <v>0.70851900000000001</v>
      </c>
      <c r="X28" s="2" t="s">
        <v>273</v>
      </c>
      <c r="Y28" s="2" t="s">
        <v>56</v>
      </c>
      <c r="AB28" s="2">
        <f t="shared" si="8"/>
        <v>0.24177836281663828</v>
      </c>
      <c r="AC28" s="2">
        <f t="shared" si="9"/>
        <v>5.6435508332178023E-2</v>
      </c>
      <c r="AD28" s="2">
        <f t="shared" si="10"/>
        <v>0.71016365186882369</v>
      </c>
      <c r="AE28" s="2">
        <f t="shared" si="11"/>
        <v>3.2113614903381905E-4</v>
      </c>
      <c r="AF28" s="2">
        <f t="shared" si="12"/>
        <v>0.82529582487737974</v>
      </c>
      <c r="AP28" s="2">
        <v>15</v>
      </c>
      <c r="AQ28" s="2">
        <v>11.638456787221278</v>
      </c>
    </row>
    <row r="29" spans="2:44" x14ac:dyDescent="0.2">
      <c r="B29" s="2">
        <v>9</v>
      </c>
      <c r="C29" s="2" t="s">
        <v>46</v>
      </c>
      <c r="E29" s="2" t="str">
        <f t="shared" si="0"/>
        <v>20220223_NeomaMSMS_SrF_LA_Megacryst_Shap_RbSr_export_processed</v>
      </c>
      <c r="F29" s="14">
        <v>5940650661.657095</v>
      </c>
      <c r="P29" s="11">
        <v>5.6273386388906388E-2</v>
      </c>
      <c r="Q29" s="11">
        <v>2.0754856322215874E-2</v>
      </c>
      <c r="R29" s="11">
        <v>0.70898755240329148</v>
      </c>
      <c r="S29" s="11">
        <v>2.3932052211449758E-4</v>
      </c>
      <c r="T29" s="11">
        <v>0.78125405215473398</v>
      </c>
      <c r="U29" s="2">
        <f t="shared" si="13"/>
        <v>0.2403064</v>
      </c>
      <c r="V29" s="2" t="s">
        <v>273</v>
      </c>
      <c r="W29" s="2">
        <f t="shared" si="14"/>
        <v>0.70851900000000001</v>
      </c>
      <c r="X29" s="2" t="s">
        <v>273</v>
      </c>
      <c r="Y29" s="2" t="s">
        <v>56</v>
      </c>
      <c r="AB29" s="2">
        <f t="shared" si="8"/>
        <v>4.6506930899922638E-2</v>
      </c>
      <c r="AC29" s="2">
        <f t="shared" si="9"/>
        <v>1.715277382001312E-2</v>
      </c>
      <c r="AD29" s="2">
        <f t="shared" si="10"/>
        <v>0.70898755240329148</v>
      </c>
      <c r="AE29" s="2">
        <f t="shared" si="11"/>
        <v>2.3932052211449758E-4</v>
      </c>
      <c r="AF29" s="2">
        <f t="shared" si="12"/>
        <v>0.78125405215473398</v>
      </c>
      <c r="AP29" s="2">
        <v>16</v>
      </c>
    </row>
    <row r="30" spans="2:44" x14ac:dyDescent="0.2">
      <c r="B30" s="2">
        <v>10</v>
      </c>
      <c r="C30" s="2" t="s">
        <v>47</v>
      </c>
      <c r="E30" s="2" t="str">
        <f t="shared" si="0"/>
        <v>20220223_NeomaMSMS_SrF_LA_Megacryst_Shap_RbSr_export_processed</v>
      </c>
      <c r="F30" s="14">
        <v>12529440434.31712</v>
      </c>
      <c r="P30" s="11">
        <v>5.5805403311266245E-2</v>
      </c>
      <c r="Q30" s="11">
        <v>7.1203153554762217E-3</v>
      </c>
      <c r="R30" s="11">
        <v>0.70898420653269278</v>
      </c>
      <c r="S30" s="11">
        <v>1.4251339511578545E-4</v>
      </c>
      <c r="T30" s="11">
        <v>0.49851560397897748</v>
      </c>
      <c r="U30" s="2">
        <f t="shared" si="13"/>
        <v>0.2403064</v>
      </c>
      <c r="V30" s="2" t="s">
        <v>273</v>
      </c>
      <c r="W30" s="2">
        <f t="shared" si="14"/>
        <v>0.70851900000000001</v>
      </c>
      <c r="X30" s="2" t="s">
        <v>273</v>
      </c>
      <c r="Y30" s="2" t="s">
        <v>56</v>
      </c>
      <c r="AB30" s="2">
        <f t="shared" si="8"/>
        <v>4.6120168025839875E-2</v>
      </c>
      <c r="AC30" s="2">
        <f t="shared" si="9"/>
        <v>5.8845581450216707E-3</v>
      </c>
      <c r="AD30" s="2">
        <f t="shared" si="10"/>
        <v>0.70898420653269278</v>
      </c>
      <c r="AE30" s="2">
        <f t="shared" si="11"/>
        <v>1.4251339511578545E-4</v>
      </c>
      <c r="AF30" s="2">
        <f t="shared" si="12"/>
        <v>0.49851560397897748</v>
      </c>
      <c r="AP30" s="2">
        <v>17</v>
      </c>
      <c r="AQ30" s="2">
        <v>13.216807479536952</v>
      </c>
    </row>
    <row r="31" spans="2:44" x14ac:dyDescent="0.2">
      <c r="B31" s="2">
        <v>12</v>
      </c>
      <c r="C31" s="2" t="s">
        <v>48</v>
      </c>
      <c r="E31" s="2" t="str">
        <f t="shared" si="0"/>
        <v>20220223_NeomaMSMS_SrF_LA_Megacryst_Shap_RbSr_export_processed</v>
      </c>
      <c r="F31" s="14">
        <v>7089003282.7914181</v>
      </c>
      <c r="P31" s="11">
        <v>1.2797881695695363</v>
      </c>
      <c r="Q31" s="11">
        <v>0.11417700094169854</v>
      </c>
      <c r="R31" s="11">
        <v>0.7150005012745807</v>
      </c>
      <c r="S31" s="11">
        <v>2.7334667122383394E-4</v>
      </c>
      <c r="T31" s="11">
        <v>0.27336849576724159</v>
      </c>
      <c r="U31" s="2">
        <f>1.456129</f>
        <v>1.456129</v>
      </c>
      <c r="V31" s="2" t="s">
        <v>273</v>
      </c>
      <c r="W31" s="2">
        <f>0.715535</f>
        <v>0.71553500000000003</v>
      </c>
      <c r="X31" s="2" t="s">
        <v>273</v>
      </c>
      <c r="Y31" s="2" t="s">
        <v>56</v>
      </c>
      <c r="AB31" s="2">
        <f t="shared" si="8"/>
        <v>1.057676173197964</v>
      </c>
      <c r="AC31" s="2">
        <f t="shared" si="9"/>
        <v>9.436115780305665E-2</v>
      </c>
      <c r="AD31" s="2">
        <f t="shared" si="10"/>
        <v>0.7150005012745807</v>
      </c>
      <c r="AE31" s="2">
        <f t="shared" si="11"/>
        <v>2.7334667122383394E-4</v>
      </c>
      <c r="AF31" s="2">
        <f t="shared" si="12"/>
        <v>0.27336849576724159</v>
      </c>
      <c r="AP31" s="2">
        <v>18</v>
      </c>
      <c r="AQ31" s="2">
        <v>14.076137094065434</v>
      </c>
      <c r="AR31" s="2">
        <f>AVERAGE(AQ31:AQ32)</f>
        <v>14.319349166235924</v>
      </c>
    </row>
    <row r="32" spans="2:44" x14ac:dyDescent="0.2">
      <c r="B32" s="2">
        <v>13</v>
      </c>
      <c r="C32" s="2" t="s">
        <v>49</v>
      </c>
      <c r="E32" s="2" t="str">
        <f t="shared" si="0"/>
        <v>20220223_NeomaMSMS_SrF_LA_Megacryst_Shap_RbSr_export_processed</v>
      </c>
      <c r="F32" s="14">
        <v>7772152038.9286604</v>
      </c>
      <c r="P32" s="11">
        <v>1.0878941393601347</v>
      </c>
      <c r="Q32" s="11">
        <v>0.10229360505204191</v>
      </c>
      <c r="R32" s="11">
        <v>0.71406362984823635</v>
      </c>
      <c r="S32" s="11">
        <v>1.6327319252400666E-4</v>
      </c>
      <c r="T32" s="11">
        <v>0.51161969800856777</v>
      </c>
      <c r="U32" s="2">
        <f t="shared" ref="U32:U34" si="15">1.456129</f>
        <v>1.456129</v>
      </c>
      <c r="V32" s="2" t="s">
        <v>273</v>
      </c>
      <c r="W32" s="2">
        <f t="shared" ref="W32:W34" si="16">0.715535</f>
        <v>0.71553500000000003</v>
      </c>
      <c r="X32" s="2" t="s">
        <v>273</v>
      </c>
      <c r="Y32" s="2" t="s">
        <v>56</v>
      </c>
      <c r="AB32" s="2">
        <f t="shared" si="8"/>
        <v>0.89908606558688819</v>
      </c>
      <c r="AC32" s="2">
        <f t="shared" si="9"/>
        <v>8.4540169464497453E-2</v>
      </c>
      <c r="AD32" s="2">
        <f t="shared" si="10"/>
        <v>0.71406362984823635</v>
      </c>
      <c r="AE32" s="2">
        <f t="shared" si="11"/>
        <v>1.6327319252400666E-4</v>
      </c>
      <c r="AF32" s="2">
        <f t="shared" si="12"/>
        <v>0.51161969800856777</v>
      </c>
      <c r="AP32" s="2">
        <v>19</v>
      </c>
      <c r="AQ32" s="2">
        <v>14.562561238406412</v>
      </c>
    </row>
    <row r="33" spans="1:44" x14ac:dyDescent="0.2">
      <c r="B33" s="2">
        <v>14</v>
      </c>
      <c r="C33" s="2" t="s">
        <v>50</v>
      </c>
      <c r="E33" s="2" t="str">
        <f t="shared" si="0"/>
        <v>20220223_NeomaMSMS_SrF_LA_Megacryst_Shap_RbSr_export_processed</v>
      </c>
      <c r="F33" s="14">
        <v>5364556303.7883492</v>
      </c>
      <c r="P33" s="11">
        <v>1.3184901932955058</v>
      </c>
      <c r="Q33" s="11">
        <v>0.14176214723775241</v>
      </c>
      <c r="R33" s="11">
        <v>0.71510608827820465</v>
      </c>
      <c r="S33" s="11">
        <v>3.9225244004576751E-4</v>
      </c>
      <c r="T33" s="11">
        <v>0.70109120026012617</v>
      </c>
      <c r="U33" s="2">
        <f t="shared" si="15"/>
        <v>1.456129</v>
      </c>
      <c r="V33" s="2" t="s">
        <v>273</v>
      </c>
      <c r="W33" s="2">
        <f t="shared" si="16"/>
        <v>0.71553500000000003</v>
      </c>
      <c r="X33" s="2" t="s">
        <v>273</v>
      </c>
      <c r="Y33" s="2" t="s">
        <v>56</v>
      </c>
      <c r="AB33" s="2">
        <f t="shared" si="8"/>
        <v>1.0896613167731453</v>
      </c>
      <c r="AC33" s="2">
        <f t="shared" si="9"/>
        <v>0.11715879937004331</v>
      </c>
      <c r="AD33" s="2">
        <f t="shared" si="10"/>
        <v>0.71510608827820465</v>
      </c>
      <c r="AE33" s="2">
        <f t="shared" si="11"/>
        <v>3.9225244004576751E-4</v>
      </c>
      <c r="AF33" s="2">
        <f t="shared" si="12"/>
        <v>0.70109120026012617</v>
      </c>
      <c r="AP33" s="2">
        <v>20</v>
      </c>
      <c r="AQ33" s="2">
        <v>14.859366429634949</v>
      </c>
    </row>
    <row r="34" spans="1:44" x14ac:dyDescent="0.2">
      <c r="B34" s="2">
        <v>15</v>
      </c>
      <c r="C34" s="2" t="s">
        <v>51</v>
      </c>
      <c r="E34" s="2" t="str">
        <f t="shared" si="0"/>
        <v>20220223_NeomaMSMS_SrF_LA_Megacryst_Shap_RbSr_export_processed</v>
      </c>
      <c r="F34" s="14">
        <v>6798133319.5140524</v>
      </c>
      <c r="P34" s="11">
        <v>1.1285661312372552</v>
      </c>
      <c r="Q34" s="11">
        <v>0.11578910491507258</v>
      </c>
      <c r="R34" s="11">
        <v>0.71412138806602898</v>
      </c>
      <c r="S34" s="11">
        <v>1.9394197607455586E-4</v>
      </c>
      <c r="T34" s="11">
        <v>0.50496689187452148</v>
      </c>
      <c r="U34" s="2">
        <f t="shared" si="15"/>
        <v>1.456129</v>
      </c>
      <c r="V34" s="2" t="s">
        <v>273</v>
      </c>
      <c r="W34" s="2">
        <f t="shared" si="16"/>
        <v>0.71553500000000003</v>
      </c>
      <c r="X34" s="2" t="s">
        <v>273</v>
      </c>
      <c r="Y34" s="2" t="s">
        <v>56</v>
      </c>
      <c r="AB34" s="2">
        <f t="shared" si="8"/>
        <v>0.93269928201426056</v>
      </c>
      <c r="AC34" s="2">
        <f t="shared" si="9"/>
        <v>9.5693475136423622E-2</v>
      </c>
      <c r="AD34" s="2">
        <f t="shared" si="10"/>
        <v>0.71412138806602898</v>
      </c>
      <c r="AE34" s="2">
        <f t="shared" si="11"/>
        <v>1.9394197607455586E-4</v>
      </c>
      <c r="AF34" s="2">
        <f t="shared" si="12"/>
        <v>0.50496689187452148</v>
      </c>
      <c r="AP34" s="2">
        <v>21</v>
      </c>
      <c r="AQ34" s="2">
        <v>15.222588103454976</v>
      </c>
      <c r="AR34" s="2">
        <f>AVERAGE(AQ34:AQ35)</f>
        <v>15.353308983617278</v>
      </c>
    </row>
    <row r="35" spans="1:44" x14ac:dyDescent="0.2">
      <c r="B35" s="2">
        <v>17</v>
      </c>
      <c r="C35" s="2" t="s">
        <v>52</v>
      </c>
      <c r="E35" s="2" t="str">
        <f t="shared" si="0"/>
        <v>20220223_NeomaMSMS_SrF_LA_Megacryst_Shap_RbSr_export_processed</v>
      </c>
      <c r="F35" s="14">
        <v>7037248027.08076</v>
      </c>
      <c r="P35" s="11">
        <v>1.3438052034849408</v>
      </c>
      <c r="Q35" s="11">
        <v>0.13054614199757278</v>
      </c>
      <c r="R35" s="11">
        <v>0.7150887095020716</v>
      </c>
      <c r="S35" s="11">
        <v>1.6264187712741445E-4</v>
      </c>
      <c r="T35" s="11">
        <v>0.30792068233321374</v>
      </c>
      <c r="U35" s="2">
        <f t="shared" ref="U35:U38" si="17">1.3336536</f>
        <v>1.3336536000000001</v>
      </c>
      <c r="V35" s="2" t="s">
        <v>273</v>
      </c>
      <c r="W35" s="2">
        <f t="shared" ref="W35:W38" si="18">0.714819</f>
        <v>0.71481899999999998</v>
      </c>
      <c r="X35" s="2" t="s">
        <v>273</v>
      </c>
      <c r="Y35" s="2" t="s">
        <v>56</v>
      </c>
      <c r="AB35" s="2">
        <f t="shared" si="8"/>
        <v>1.1105828127974717</v>
      </c>
      <c r="AC35" s="2">
        <f t="shared" si="9"/>
        <v>0.10788937355171305</v>
      </c>
      <c r="AD35" s="2">
        <f t="shared" si="10"/>
        <v>0.7150887095020716</v>
      </c>
      <c r="AE35" s="2">
        <f t="shared" si="11"/>
        <v>1.6264187712741445E-4</v>
      </c>
      <c r="AF35" s="2">
        <f t="shared" si="12"/>
        <v>0.30792068233321374</v>
      </c>
      <c r="AP35" s="2">
        <v>22</v>
      </c>
      <c r="AQ35" s="2">
        <v>15.484029863779583</v>
      </c>
    </row>
    <row r="36" spans="1:44" x14ac:dyDescent="0.2">
      <c r="B36" s="2">
        <v>18</v>
      </c>
      <c r="C36" s="2" t="s">
        <v>53</v>
      </c>
      <c r="E36" s="2" t="str">
        <f t="shared" si="0"/>
        <v>20220223_NeomaMSMS_SrF_LA_Megacryst_Shap_RbSr_export_processed</v>
      </c>
      <c r="F36" s="14">
        <v>6289686688.7771721</v>
      </c>
      <c r="P36" s="11">
        <v>1.3659916129453418</v>
      </c>
      <c r="Q36" s="11">
        <v>0.20096789922157662</v>
      </c>
      <c r="R36" s="11">
        <v>0.71533909102177029</v>
      </c>
      <c r="S36" s="11">
        <v>3.3009870879120875E-4</v>
      </c>
      <c r="T36" s="11">
        <v>0.77203150909496021</v>
      </c>
      <c r="U36" s="2">
        <f t="shared" si="17"/>
        <v>1.3336536000000001</v>
      </c>
      <c r="V36" s="2" t="s">
        <v>273</v>
      </c>
      <c r="W36" s="2">
        <f t="shared" si="18"/>
        <v>0.71481899999999998</v>
      </c>
      <c r="X36" s="2" t="s">
        <v>273</v>
      </c>
      <c r="Y36" s="2" t="s">
        <v>56</v>
      </c>
      <c r="AB36" s="2">
        <f t="shared" si="8"/>
        <v>1.1289186883845801</v>
      </c>
      <c r="AC36" s="2">
        <f t="shared" si="9"/>
        <v>0.16608917291039391</v>
      </c>
      <c r="AD36" s="2">
        <f t="shared" si="10"/>
        <v>0.71533909102177029</v>
      </c>
      <c r="AE36" s="2">
        <f t="shared" si="11"/>
        <v>3.3009870879120875E-4</v>
      </c>
      <c r="AF36" s="2">
        <f t="shared" si="12"/>
        <v>0.77203150909496021</v>
      </c>
      <c r="AP36" s="2">
        <v>23</v>
      </c>
      <c r="AQ36" s="2">
        <v>15.732602912049487</v>
      </c>
    </row>
    <row r="37" spans="1:44" x14ac:dyDescent="0.2">
      <c r="B37" s="2">
        <v>19</v>
      </c>
      <c r="C37" s="2" t="s">
        <v>54</v>
      </c>
      <c r="E37" s="2" t="str">
        <f t="shared" si="0"/>
        <v>20220223_NeomaMSMS_SrF_LA_Megacryst_Shap_RbSr_export_processed</v>
      </c>
      <c r="F37" s="14">
        <v>6290346762.270009</v>
      </c>
      <c r="P37" s="11">
        <v>1.3836333904791782</v>
      </c>
      <c r="Q37" s="11">
        <v>0.14900474609707751</v>
      </c>
      <c r="R37" s="11">
        <v>0.71524608244670107</v>
      </c>
      <c r="S37" s="11">
        <v>1.6978073567844759E-4</v>
      </c>
      <c r="T37" s="11">
        <v>0.29829677113119668</v>
      </c>
      <c r="U37" s="2">
        <f t="shared" si="17"/>
        <v>1.3336536000000001</v>
      </c>
      <c r="V37" s="2" t="s">
        <v>273</v>
      </c>
      <c r="W37" s="2">
        <f t="shared" si="18"/>
        <v>0.71481899999999998</v>
      </c>
      <c r="X37" s="2" t="s">
        <v>273</v>
      </c>
      <c r="Y37" s="2" t="s">
        <v>56</v>
      </c>
      <c r="AB37" s="2">
        <f t="shared" si="8"/>
        <v>1.1434986698175027</v>
      </c>
      <c r="AC37" s="2">
        <f t="shared" si="9"/>
        <v>0.12314441826204753</v>
      </c>
      <c r="AD37" s="2">
        <f t="shared" si="10"/>
        <v>0.71524608244670107</v>
      </c>
      <c r="AE37" s="2">
        <f t="shared" si="11"/>
        <v>1.6978073567844759E-4</v>
      </c>
      <c r="AF37" s="2">
        <f t="shared" si="12"/>
        <v>0.29829677113119668</v>
      </c>
      <c r="AP37" s="2">
        <v>24</v>
      </c>
      <c r="AQ37" s="2">
        <v>16.014041975372894</v>
      </c>
    </row>
    <row r="38" spans="1:44" x14ac:dyDescent="0.2">
      <c r="B38" s="2">
        <v>20</v>
      </c>
      <c r="C38" s="2" t="s">
        <v>55</v>
      </c>
      <c r="E38" s="2" t="str">
        <f t="shared" si="0"/>
        <v>20220223_NeomaMSMS_SrF_LA_Megacryst_Shap_RbSr_export_processed</v>
      </c>
      <c r="F38" s="14">
        <v>6468501170.5376158</v>
      </c>
      <c r="P38" s="11">
        <v>1.2287882330007751</v>
      </c>
      <c r="Q38" s="11">
        <v>0.12785531647601223</v>
      </c>
      <c r="R38" s="11">
        <v>0.71456296376411832</v>
      </c>
      <c r="S38" s="11">
        <v>2.8873992302086372E-4</v>
      </c>
      <c r="T38" s="11">
        <v>-5.1724750084241995E-2</v>
      </c>
      <c r="U38" s="2">
        <f t="shared" si="17"/>
        <v>1.3336536000000001</v>
      </c>
      <c r="V38" s="2" t="s">
        <v>273</v>
      </c>
      <c r="W38" s="2">
        <f t="shared" si="18"/>
        <v>0.71481899999999998</v>
      </c>
      <c r="X38" s="2" t="s">
        <v>273</v>
      </c>
      <c r="Y38" s="2" t="s">
        <v>56</v>
      </c>
      <c r="AB38" s="2">
        <f t="shared" si="8"/>
        <v>1.0155274652898969</v>
      </c>
      <c r="AC38" s="2">
        <f t="shared" si="9"/>
        <v>0.10566555080662168</v>
      </c>
      <c r="AD38" s="2">
        <f t="shared" si="10"/>
        <v>0.71456296376411832</v>
      </c>
      <c r="AE38" s="2">
        <f t="shared" si="11"/>
        <v>2.8873992302086372E-4</v>
      </c>
      <c r="AF38" s="2">
        <f t="shared" si="12"/>
        <v>-5.1724750084241995E-2</v>
      </c>
    </row>
    <row r="39" spans="1:44" s="75" customFormat="1" x14ac:dyDescent="0.2">
      <c r="A39" s="75">
        <v>1</v>
      </c>
      <c r="B39" s="75">
        <v>3</v>
      </c>
      <c r="C39" s="75" t="s">
        <v>60</v>
      </c>
      <c r="E39" s="75" t="str">
        <f t="shared" si="0"/>
        <v>20220223_NeomaMSMS_SrF_LA_Chicago_Run1_RbSr_export_processed</v>
      </c>
      <c r="F39" s="76">
        <v>888293838.74890208</v>
      </c>
      <c r="G39" s="75">
        <v>56939.957999999999</v>
      </c>
      <c r="H39" s="75">
        <v>20163.712</v>
      </c>
      <c r="I39" s="75">
        <v>1431.25</v>
      </c>
      <c r="J39" s="75">
        <f>(1/1000)*((G39-$G$39)^2+(H39-$H$39)^2)^0.5</f>
        <v>0</v>
      </c>
      <c r="K39" s="77">
        <v>1.940501674573796</v>
      </c>
      <c r="L39" s="77">
        <v>0.1077264256578843</v>
      </c>
      <c r="M39" s="77">
        <v>0.71558988887383301</v>
      </c>
      <c r="N39" s="77">
        <v>8.1947998175777308E-4</v>
      </c>
      <c r="O39" s="77">
        <v>0.18757517776473914</v>
      </c>
      <c r="P39" s="78">
        <v>1.771883434043203</v>
      </c>
      <c r="Q39" s="78">
        <v>0.16952590219351005</v>
      </c>
      <c r="R39" s="78">
        <v>0.71630727663476934</v>
      </c>
      <c r="S39" s="78">
        <v>8.0551295579882169E-4</v>
      </c>
      <c r="T39" s="78">
        <v>0.30341739285273966</v>
      </c>
      <c r="Y39" s="75" t="s">
        <v>196</v>
      </c>
      <c r="AB39" s="75">
        <f t="shared" si="8"/>
        <v>1.4643664744158704</v>
      </c>
      <c r="AC39" s="75">
        <f t="shared" si="9"/>
        <v>0.14010405139959509</v>
      </c>
      <c r="AD39" s="75">
        <f t="shared" si="10"/>
        <v>0.71630727663476934</v>
      </c>
      <c r="AE39" s="75">
        <f t="shared" si="11"/>
        <v>8.0551295579882169E-4</v>
      </c>
      <c r="AF39" s="75">
        <f t="shared" si="12"/>
        <v>0.30341739285273966</v>
      </c>
      <c r="AH39" s="75">
        <f>K39/$AJ$15</f>
        <v>1.3881674447832697</v>
      </c>
      <c r="AI39" s="75">
        <f>L39/$AJ$15</f>
        <v>7.7063740269116221E-2</v>
      </c>
      <c r="AJ39" s="75">
        <f>M39</f>
        <v>0.71558988887383301</v>
      </c>
      <c r="AK39" s="75">
        <f t="shared" ref="AK39:AL39" si="19">N39</f>
        <v>8.1947998175777308E-4</v>
      </c>
      <c r="AL39" s="75">
        <f t="shared" si="19"/>
        <v>0.18757517776473914</v>
      </c>
    </row>
    <row r="40" spans="1:44" s="75" customFormat="1" x14ac:dyDescent="0.2">
      <c r="A40" s="75">
        <f>A39+1</f>
        <v>2</v>
      </c>
      <c r="B40" s="75">
        <v>4</v>
      </c>
      <c r="C40" s="75" t="s">
        <v>61</v>
      </c>
      <c r="E40" s="75" t="str">
        <f t="shared" si="0"/>
        <v>20220223_NeomaMSMS_SrF_LA_Chicago_Run1_RbSr_export_processed</v>
      </c>
      <c r="F40" s="76">
        <v>417023725.93201911</v>
      </c>
      <c r="G40" s="75">
        <v>56535.445</v>
      </c>
      <c r="H40" s="75">
        <v>20380.944</v>
      </c>
      <c r="I40" s="75">
        <v>1431.25</v>
      </c>
      <c r="J40" s="75">
        <f t="shared" ref="J40:J62" si="20">(1/1000)*((G40-$G$39)^2+(H40-$H$39)^2)^0.5</f>
        <v>0.45915194543092069</v>
      </c>
      <c r="K40" s="77">
        <v>3.806121686664635</v>
      </c>
      <c r="L40" s="77">
        <v>0.55425007325323283</v>
      </c>
      <c r="M40" s="77">
        <v>0.72143652741802256</v>
      </c>
      <c r="N40" s="77">
        <v>1.4464621607575871E-3</v>
      </c>
      <c r="O40" s="77">
        <v>0.78344163351335849</v>
      </c>
      <c r="P40" s="78">
        <v>3.4753919838976013</v>
      </c>
      <c r="Q40" s="78">
        <v>0.57399030910573523</v>
      </c>
      <c r="R40" s="78">
        <v>0.72215977650679397</v>
      </c>
      <c r="S40" s="78">
        <v>1.4394484874642706E-3</v>
      </c>
      <c r="T40" s="78">
        <v>0.75776392963070494</v>
      </c>
      <c r="Y40" s="75" t="s">
        <v>196</v>
      </c>
      <c r="AB40" s="75">
        <f t="shared" si="8"/>
        <v>2.8722247800806624</v>
      </c>
      <c r="AC40" s="75">
        <f t="shared" si="9"/>
        <v>0.47437215628573159</v>
      </c>
      <c r="AD40" s="75">
        <f t="shared" si="10"/>
        <v>0.72215977650679397</v>
      </c>
      <c r="AE40" s="75">
        <f t="shared" si="11"/>
        <v>1.4394484874642706E-3</v>
      </c>
      <c r="AF40" s="75">
        <f t="shared" si="12"/>
        <v>0.75776392963070494</v>
      </c>
      <c r="AH40" s="75">
        <f t="shared" ref="AH40:AH64" si="21">K40/$AJ$15</f>
        <v>2.7227671511656331</v>
      </c>
      <c r="AI40" s="75">
        <f t="shared" ref="AI40:AI64" si="22">L40/$AJ$15</f>
        <v>0.39649123628190963</v>
      </c>
      <c r="AJ40" s="75">
        <f t="shared" ref="AJ40:AJ64" si="23">M40</f>
        <v>0.72143652741802256</v>
      </c>
      <c r="AK40" s="75">
        <f t="shared" ref="AK40:AK65" si="24">N40</f>
        <v>1.4464621607575871E-3</v>
      </c>
      <c r="AL40" s="75">
        <f t="shared" ref="AL40:AL65" si="25">O40</f>
        <v>0.78344163351335849</v>
      </c>
    </row>
    <row r="41" spans="1:44" s="75" customFormat="1" x14ac:dyDescent="0.2">
      <c r="A41" s="75">
        <f t="shared" ref="A41:A63" si="26">A40+1</f>
        <v>3</v>
      </c>
      <c r="B41" s="75">
        <v>5</v>
      </c>
      <c r="C41" s="75" t="s">
        <v>62</v>
      </c>
      <c r="E41" s="75" t="str">
        <f t="shared" si="0"/>
        <v>20220223_NeomaMSMS_SrF_LA_Chicago_Run1_RbSr_export_processed</v>
      </c>
      <c r="F41" s="76">
        <v>764204445.38418269</v>
      </c>
      <c r="G41" s="75">
        <v>55926.38</v>
      </c>
      <c r="H41" s="75">
        <v>20768.892</v>
      </c>
      <c r="I41" s="75">
        <v>1431.25</v>
      </c>
      <c r="J41" s="75">
        <f t="shared" si="20"/>
        <v>1.1805012471336076</v>
      </c>
      <c r="K41" s="77">
        <v>1.9911499450464614</v>
      </c>
      <c r="L41" s="77">
        <v>0.20248628408131064</v>
      </c>
      <c r="M41" s="77">
        <v>0.71557944690848563</v>
      </c>
      <c r="N41" s="77">
        <v>1.4449581000298539E-3</v>
      </c>
      <c r="O41" s="77">
        <v>0.21438609688577681</v>
      </c>
      <c r="P41" s="78">
        <v>1.8181306661839156</v>
      </c>
      <c r="Q41" s="78">
        <v>0.23292955771353482</v>
      </c>
      <c r="R41" s="78">
        <v>0.71629682420122187</v>
      </c>
      <c r="S41" s="78">
        <v>1.4380714681164605E-3</v>
      </c>
      <c r="T41" s="78">
        <v>0.25171495044367903</v>
      </c>
      <c r="Y41" s="75" t="s">
        <v>196</v>
      </c>
      <c r="AB41" s="75">
        <f t="shared" si="8"/>
        <v>1.5025873274247237</v>
      </c>
      <c r="AC41" s="75">
        <f t="shared" si="9"/>
        <v>0.19250376670540068</v>
      </c>
      <c r="AD41" s="75">
        <f t="shared" si="10"/>
        <v>0.71629682420122187</v>
      </c>
      <c r="AE41" s="75">
        <f t="shared" si="11"/>
        <v>1.4380714681164605E-3</v>
      </c>
      <c r="AF41" s="75">
        <f t="shared" si="12"/>
        <v>0.25171495044367903</v>
      </c>
      <c r="AH41" s="75">
        <f t="shared" si="21"/>
        <v>1.4243994569098111</v>
      </c>
      <c r="AI41" s="75">
        <f t="shared" si="22"/>
        <v>0.14485164906572348</v>
      </c>
      <c r="AJ41" s="75">
        <f t="shared" si="23"/>
        <v>0.71557944690848563</v>
      </c>
      <c r="AK41" s="75">
        <f t="shared" si="24"/>
        <v>1.4449581000298539E-3</v>
      </c>
      <c r="AL41" s="75">
        <f t="shared" si="25"/>
        <v>0.21438609688577681</v>
      </c>
    </row>
    <row r="42" spans="1:44" s="75" customFormat="1" x14ac:dyDescent="0.2">
      <c r="A42" s="75">
        <f t="shared" si="26"/>
        <v>4</v>
      </c>
      <c r="B42" s="75">
        <v>6</v>
      </c>
      <c r="C42" s="75" t="s">
        <v>63</v>
      </c>
      <c r="E42" s="75" t="str">
        <f t="shared" si="0"/>
        <v>20220223_NeomaMSMS_SrF_LA_Chicago_Run1_RbSr_export_processed</v>
      </c>
      <c r="F42" s="76">
        <v>735679632.07197189</v>
      </c>
      <c r="G42" s="75">
        <v>55390.807000000001</v>
      </c>
      <c r="H42" s="75">
        <v>21027.935000000001</v>
      </c>
      <c r="I42" s="75">
        <v>1431.25</v>
      </c>
      <c r="J42" s="75">
        <f t="shared" si="20"/>
        <v>1.7739081753377195</v>
      </c>
      <c r="K42" s="77">
        <v>1.7814994111783471</v>
      </c>
      <c r="L42" s="77">
        <v>0.14581303999352571</v>
      </c>
      <c r="M42" s="77">
        <v>0.71373842298872536</v>
      </c>
      <c r="N42" s="77">
        <v>6.3156313499252283E-4</v>
      </c>
      <c r="O42" s="77">
        <v>0.4023574592638538</v>
      </c>
      <c r="P42" s="78">
        <v>1.6266975369232493</v>
      </c>
      <c r="Q42" s="78">
        <v>0.18383193016609159</v>
      </c>
      <c r="R42" s="78">
        <v>0.7144539546320916</v>
      </c>
      <c r="S42" s="78">
        <v>6.1298689671528399E-4</v>
      </c>
      <c r="T42" s="78">
        <v>0.51424054849124357</v>
      </c>
      <c r="Y42" s="75" t="s">
        <v>196</v>
      </c>
      <c r="AB42" s="75">
        <f t="shared" si="8"/>
        <v>1.3443781296886357</v>
      </c>
      <c r="AC42" s="75">
        <f t="shared" si="9"/>
        <v>0.15192721501329884</v>
      </c>
      <c r="AD42" s="75">
        <f t="shared" si="10"/>
        <v>0.7144539546320916</v>
      </c>
      <c r="AE42" s="75">
        <f t="shared" si="11"/>
        <v>6.1298689671528399E-4</v>
      </c>
      <c r="AF42" s="75">
        <f t="shared" si="12"/>
        <v>0.51424054849124357</v>
      </c>
      <c r="AH42" s="75">
        <f t="shared" si="21"/>
        <v>1.2744227525809837</v>
      </c>
      <c r="AI42" s="75">
        <f t="shared" si="22"/>
        <v>0.10430958024725769</v>
      </c>
      <c r="AJ42" s="75">
        <f t="shared" si="23"/>
        <v>0.71373842298872536</v>
      </c>
      <c r="AK42" s="75">
        <f t="shared" si="24"/>
        <v>6.3156313499252283E-4</v>
      </c>
      <c r="AL42" s="75">
        <f t="shared" si="25"/>
        <v>0.4023574592638538</v>
      </c>
    </row>
    <row r="43" spans="1:44" s="75" customFormat="1" x14ac:dyDescent="0.2">
      <c r="A43" s="75">
        <f t="shared" si="26"/>
        <v>5</v>
      </c>
      <c r="B43" s="75">
        <v>7</v>
      </c>
      <c r="C43" s="75" t="s">
        <v>64</v>
      </c>
      <c r="E43" s="75" t="str">
        <f t="shared" si="0"/>
        <v>20220223_NeomaMSMS_SrF_LA_Chicago_Run1_RbSr_export_processed</v>
      </c>
      <c r="F43" s="76">
        <v>835912067.35092115</v>
      </c>
      <c r="G43" s="75">
        <v>54725.559000000001</v>
      </c>
      <c r="H43" s="75">
        <v>21399.89</v>
      </c>
      <c r="I43" s="75">
        <v>1431.25</v>
      </c>
      <c r="J43" s="75">
        <f t="shared" si="20"/>
        <v>2.5360794504283555</v>
      </c>
      <c r="K43" s="77">
        <v>1.4041600319393917</v>
      </c>
      <c r="L43" s="77">
        <v>0.13282200963974478</v>
      </c>
      <c r="M43" s="77">
        <v>0.71257603166718553</v>
      </c>
      <c r="N43" s="77">
        <v>4.9312304671245697E-4</v>
      </c>
      <c r="O43" s="77">
        <v>0.21186323485652686</v>
      </c>
      <c r="P43" s="78">
        <v>1.2821467417107173</v>
      </c>
      <c r="Q43" s="78">
        <v>0.15713245855934271</v>
      </c>
      <c r="R43" s="78">
        <v>0.71329039799879923</v>
      </c>
      <c r="S43" s="78">
        <v>4.6884622754384209E-4</v>
      </c>
      <c r="T43" s="78">
        <v>0.42937740645430011</v>
      </c>
      <c r="Y43" s="75" t="s">
        <v>196</v>
      </c>
      <c r="AB43" s="75">
        <f t="shared" si="8"/>
        <v>1.0596254063724937</v>
      </c>
      <c r="AC43" s="75">
        <f t="shared" si="9"/>
        <v>0.1298615359994568</v>
      </c>
      <c r="AD43" s="75">
        <f t="shared" si="10"/>
        <v>0.71329039799879923</v>
      </c>
      <c r="AE43" s="75">
        <f t="shared" si="11"/>
        <v>4.6884622754384209E-4</v>
      </c>
      <c r="AF43" s="75">
        <f t="shared" si="12"/>
        <v>0.42937740645430011</v>
      </c>
      <c r="AH43" s="75">
        <f t="shared" si="21"/>
        <v>1.0044872772563911</v>
      </c>
      <c r="AI43" s="75">
        <f t="shared" si="22"/>
        <v>9.5016248709540341E-2</v>
      </c>
      <c r="AJ43" s="75">
        <f t="shared" si="23"/>
        <v>0.71257603166718553</v>
      </c>
      <c r="AK43" s="75">
        <f t="shared" si="24"/>
        <v>4.9312304671245697E-4</v>
      </c>
      <c r="AL43" s="75">
        <f t="shared" si="25"/>
        <v>0.21186323485652686</v>
      </c>
    </row>
    <row r="44" spans="1:44" s="75" customFormat="1" x14ac:dyDescent="0.2">
      <c r="A44" s="75">
        <f t="shared" si="26"/>
        <v>6</v>
      </c>
      <c r="B44" s="75">
        <v>10</v>
      </c>
      <c r="C44" s="75" t="s">
        <v>65</v>
      </c>
      <c r="E44" s="75" t="str">
        <f t="shared" si="0"/>
        <v>20220223_NeomaMSMS_SrF_LA_Chicago_Run1_RbSr_export_processed</v>
      </c>
      <c r="F44" s="76">
        <v>710123803.64671445</v>
      </c>
      <c r="G44" s="75">
        <v>54030.949000000001</v>
      </c>
      <c r="H44" s="75">
        <v>21761.087</v>
      </c>
      <c r="I44" s="75">
        <v>1431.25</v>
      </c>
      <c r="J44" s="75">
        <f t="shared" si="20"/>
        <v>3.3187256971171917</v>
      </c>
      <c r="K44" s="77">
        <v>1.6696286342853301</v>
      </c>
      <c r="L44" s="77">
        <v>0.10769471364461555</v>
      </c>
      <c r="M44" s="77">
        <v>0.71454257329505044</v>
      </c>
      <c r="N44" s="77">
        <v>8.7571516386154163E-4</v>
      </c>
      <c r="O44" s="77">
        <v>0.33503958251762167</v>
      </c>
      <c r="P44" s="78">
        <v>1.4879709745295118</v>
      </c>
      <c r="Q44" s="78">
        <v>0.16177995806340001</v>
      </c>
      <c r="R44" s="78">
        <v>0.71592382434460833</v>
      </c>
      <c r="S44" s="78">
        <v>9.2285054592863803E-4</v>
      </c>
      <c r="T44" s="78">
        <v>0.23972998434506523</v>
      </c>
      <c r="Y44" s="75" t="s">
        <v>196</v>
      </c>
      <c r="AB44" s="75">
        <f t="shared" si="8"/>
        <v>1.2297280781235636</v>
      </c>
      <c r="AC44" s="75">
        <f t="shared" si="9"/>
        <v>0.13370244468049589</v>
      </c>
      <c r="AD44" s="75">
        <f t="shared" si="10"/>
        <v>0.71592382434460833</v>
      </c>
      <c r="AE44" s="75">
        <f t="shared" si="11"/>
        <v>9.2285054592863803E-4</v>
      </c>
      <c r="AF44" s="75">
        <f t="shared" si="12"/>
        <v>0.23972998434506523</v>
      </c>
      <c r="AH44" s="75">
        <f t="shared" si="21"/>
        <v>1.1943942874988256</v>
      </c>
      <c r="AI44" s="75">
        <f t="shared" si="22"/>
        <v>7.7041054597155711E-2</v>
      </c>
      <c r="AJ44" s="75">
        <f t="shared" si="23"/>
        <v>0.71454257329505044</v>
      </c>
      <c r="AK44" s="75">
        <f t="shared" si="24"/>
        <v>8.7571516386154163E-4</v>
      </c>
      <c r="AL44" s="75">
        <f t="shared" si="25"/>
        <v>0.33503958251762167</v>
      </c>
    </row>
    <row r="45" spans="1:44" s="75" customFormat="1" x14ac:dyDescent="0.2">
      <c r="A45" s="75">
        <f t="shared" si="26"/>
        <v>7</v>
      </c>
      <c r="B45" s="75">
        <v>11</v>
      </c>
      <c r="C45" s="75" t="s">
        <v>66</v>
      </c>
      <c r="E45" s="75" t="str">
        <f t="shared" si="0"/>
        <v>20220223_NeomaMSMS_SrF_LA_Chicago_Run1_RbSr_export_processed</v>
      </c>
      <c r="F45" s="76">
        <v>735548647.07137465</v>
      </c>
      <c r="G45" s="75">
        <v>53400.307000000001</v>
      </c>
      <c r="H45" s="75">
        <v>21992.260999999999</v>
      </c>
      <c r="I45" s="75">
        <v>1431.25</v>
      </c>
      <c r="J45" s="75">
        <f t="shared" si="20"/>
        <v>3.9840583137301069</v>
      </c>
      <c r="K45" s="77">
        <v>2.1929884553005676</v>
      </c>
      <c r="L45" s="77">
        <v>0.21189336860020752</v>
      </c>
      <c r="M45" s="77">
        <v>0.71625223061965837</v>
      </c>
      <c r="N45" s="77">
        <v>7.8568230198229865E-4</v>
      </c>
      <c r="O45" s="77">
        <v>0.59149512556223904</v>
      </c>
      <c r="P45" s="78">
        <v>1.954388599930964</v>
      </c>
      <c r="Q45" s="78">
        <v>0.25479609288745381</v>
      </c>
      <c r="R45" s="78">
        <v>0.71763678653314211</v>
      </c>
      <c r="S45" s="78">
        <v>8.3778628280789763E-4</v>
      </c>
      <c r="T45" s="78">
        <v>0.45864517686300044</v>
      </c>
      <c r="Y45" s="75" t="s">
        <v>196</v>
      </c>
      <c r="AB45" s="75">
        <f t="shared" si="8"/>
        <v>1.6151971900255901</v>
      </c>
      <c r="AC45" s="75">
        <f t="shared" si="9"/>
        <v>0.210575283378061</v>
      </c>
      <c r="AD45" s="75">
        <f t="shared" si="10"/>
        <v>0.71763678653314211</v>
      </c>
      <c r="AE45" s="75">
        <f t="shared" si="11"/>
        <v>8.3778628280789763E-4</v>
      </c>
      <c r="AF45" s="75">
        <f t="shared" si="12"/>
        <v>0.45864517686300044</v>
      </c>
      <c r="AH45" s="75">
        <f t="shared" si="21"/>
        <v>1.5687877110966277</v>
      </c>
      <c r="AI45" s="75">
        <f t="shared" si="22"/>
        <v>0.15158115033364972</v>
      </c>
      <c r="AJ45" s="75">
        <f t="shared" si="23"/>
        <v>0.71625223061965837</v>
      </c>
      <c r="AK45" s="75">
        <f t="shared" si="24"/>
        <v>7.8568230198229865E-4</v>
      </c>
      <c r="AL45" s="75">
        <f t="shared" si="25"/>
        <v>0.59149512556223904</v>
      </c>
    </row>
    <row r="46" spans="1:44" s="75" customFormat="1" x14ac:dyDescent="0.2">
      <c r="A46" s="75">
        <f t="shared" si="26"/>
        <v>8</v>
      </c>
      <c r="B46" s="75">
        <v>12</v>
      </c>
      <c r="C46" s="75" t="s">
        <v>67</v>
      </c>
      <c r="E46" s="75" t="str">
        <f t="shared" si="0"/>
        <v>20220223_NeomaMSMS_SrF_LA_Chicago_Run1_RbSr_export_processed</v>
      </c>
      <c r="F46" s="76">
        <v>380680193.88271934</v>
      </c>
      <c r="G46" s="75">
        <v>52725.082000000002</v>
      </c>
      <c r="H46" s="75">
        <v>22446.436000000002</v>
      </c>
      <c r="I46" s="75">
        <v>1431.25</v>
      </c>
      <c r="J46" s="75">
        <f t="shared" si="20"/>
        <v>4.7933295897060928</v>
      </c>
      <c r="K46" s="77">
        <v>3.9072570128045077</v>
      </c>
      <c r="L46" s="77">
        <v>0.72348815459201121</v>
      </c>
      <c r="M46" s="77">
        <v>0.72284339413149046</v>
      </c>
      <c r="N46" s="77">
        <v>2.3110492852379781E-3</v>
      </c>
      <c r="O46" s="77">
        <v>0.34196418691466635</v>
      </c>
      <c r="P46" s="78">
        <v>3.4821426188396525</v>
      </c>
      <c r="Q46" s="78">
        <v>0.71317478656788158</v>
      </c>
      <c r="R46" s="78">
        <v>0.72424069113537071</v>
      </c>
      <c r="S46" s="78">
        <v>2.3335247204925931E-3</v>
      </c>
      <c r="T46" s="78">
        <v>0.31755819706826638</v>
      </c>
      <c r="Y46" s="75" t="s">
        <v>196</v>
      </c>
      <c r="AB46" s="75">
        <f t="shared" si="8"/>
        <v>2.8778038172228535</v>
      </c>
      <c r="AC46" s="75">
        <f t="shared" si="9"/>
        <v>0.58940065005610054</v>
      </c>
      <c r="AD46" s="75">
        <f t="shared" si="10"/>
        <v>0.72424069113537071</v>
      </c>
      <c r="AE46" s="75">
        <f t="shared" si="11"/>
        <v>2.3335247204925931E-3</v>
      </c>
      <c r="AF46" s="75">
        <f t="shared" si="12"/>
        <v>0.31755819706826638</v>
      </c>
      <c r="AH46" s="75">
        <f t="shared" si="21"/>
        <v>2.7951158479508318</v>
      </c>
      <c r="AI46" s="75">
        <f t="shared" si="22"/>
        <v>0.51755827683660249</v>
      </c>
      <c r="AJ46" s="75">
        <f t="shared" si="23"/>
        <v>0.72284339413149046</v>
      </c>
      <c r="AK46" s="75">
        <f t="shared" si="24"/>
        <v>2.3110492852379781E-3</v>
      </c>
      <c r="AL46" s="75">
        <f t="shared" si="25"/>
        <v>0.34196418691466635</v>
      </c>
    </row>
    <row r="47" spans="1:44" s="75" customFormat="1" x14ac:dyDescent="0.2">
      <c r="A47" s="75">
        <f t="shared" si="26"/>
        <v>9</v>
      </c>
      <c r="B47" s="75">
        <v>13</v>
      </c>
      <c r="C47" s="75" t="s">
        <v>68</v>
      </c>
      <c r="E47" s="75" t="str">
        <f t="shared" si="0"/>
        <v>20220223_NeomaMSMS_SrF_LA_Chicago_Run1_RbSr_export_processed</v>
      </c>
      <c r="F47" s="76">
        <v>585004137.63736665</v>
      </c>
      <c r="G47" s="75">
        <v>52007.112999999998</v>
      </c>
      <c r="H47" s="75">
        <v>22830.633000000002</v>
      </c>
      <c r="I47" s="75">
        <v>1431.25</v>
      </c>
      <c r="J47" s="75">
        <f t="shared" si="20"/>
        <v>5.6076222603048098</v>
      </c>
      <c r="K47" s="77">
        <v>2.3833947149176891</v>
      </c>
      <c r="L47" s="77">
        <v>0.11310811571551474</v>
      </c>
      <c r="M47" s="77">
        <v>0.71768404755662574</v>
      </c>
      <c r="N47" s="77">
        <v>1.6504960931620629E-3</v>
      </c>
      <c r="O47" s="77">
        <v>-0.4662831064185024</v>
      </c>
      <c r="P47" s="78">
        <v>2.124078423081535</v>
      </c>
      <c r="Q47" s="78">
        <v>0.21147949511676034</v>
      </c>
      <c r="R47" s="78">
        <v>0.71907137125291354</v>
      </c>
      <c r="S47" s="78">
        <v>1.6784542465128293E-3</v>
      </c>
      <c r="T47" s="78">
        <v>-0.18836785112073498</v>
      </c>
      <c r="Y47" s="75" t="s">
        <v>196</v>
      </c>
      <c r="AB47" s="75">
        <f t="shared" si="8"/>
        <v>1.7554367132905249</v>
      </c>
      <c r="AC47" s="75">
        <f t="shared" si="9"/>
        <v>0.17477644224525649</v>
      </c>
      <c r="AD47" s="75">
        <f t="shared" si="10"/>
        <v>0.71907137125291354</v>
      </c>
      <c r="AE47" s="75">
        <f t="shared" si="11"/>
        <v>1.6784542465128293E-3</v>
      </c>
      <c r="AF47" s="75">
        <f t="shared" si="12"/>
        <v>-0.18836785112073498</v>
      </c>
      <c r="AH47" s="75">
        <f t="shared" si="21"/>
        <v>1.7049977305708406</v>
      </c>
      <c r="AI47" s="75">
        <f t="shared" si="22"/>
        <v>8.0913614265002987E-2</v>
      </c>
      <c r="AJ47" s="75">
        <f t="shared" si="23"/>
        <v>0.71768404755662574</v>
      </c>
      <c r="AK47" s="75">
        <f t="shared" si="24"/>
        <v>1.6504960931620629E-3</v>
      </c>
      <c r="AL47" s="75">
        <f t="shared" si="25"/>
        <v>-0.4662831064185024</v>
      </c>
    </row>
    <row r="48" spans="1:44" s="75" customFormat="1" x14ac:dyDescent="0.2">
      <c r="A48" s="75">
        <f t="shared" si="26"/>
        <v>10</v>
      </c>
      <c r="B48" s="75">
        <v>14</v>
      </c>
      <c r="C48" s="75" t="s">
        <v>69</v>
      </c>
      <c r="E48" s="75" t="str">
        <f t="shared" si="0"/>
        <v>20220223_NeomaMSMS_SrF_LA_Chicago_Run1_RbSr_export_processed</v>
      </c>
      <c r="F48" s="76">
        <v>810439105.3475548</v>
      </c>
      <c r="G48" s="75">
        <v>51145.347999999998</v>
      </c>
      <c r="H48" s="75">
        <v>23449.334999999999</v>
      </c>
      <c r="I48" s="75">
        <v>1431.25</v>
      </c>
      <c r="J48" s="75">
        <f t="shared" si="20"/>
        <v>6.6612929338251599</v>
      </c>
      <c r="K48" s="77">
        <v>1.619336927145977</v>
      </c>
      <c r="L48" s="77">
        <v>9.1290897321541095E-2</v>
      </c>
      <c r="M48" s="77">
        <v>0.7141074791205303</v>
      </c>
      <c r="N48" s="77">
        <v>1.0901723032891674E-3</v>
      </c>
      <c r="O48" s="77">
        <v>-0.1403925849933233</v>
      </c>
      <c r="P48" s="78">
        <v>1.4431510673080907</v>
      </c>
      <c r="Q48" s="78">
        <v>0.15024604789181567</v>
      </c>
      <c r="R48" s="78">
        <v>0.71548788910853689</v>
      </c>
      <c r="S48" s="78">
        <v>1.1290631770767068E-3</v>
      </c>
      <c r="T48" s="78">
        <v>-3.0250409832005058E-2</v>
      </c>
      <c r="Y48" s="75" t="s">
        <v>196</v>
      </c>
      <c r="AB48" s="75">
        <f t="shared" si="8"/>
        <v>1.1926868324860254</v>
      </c>
      <c r="AC48" s="75">
        <f t="shared" si="9"/>
        <v>0.12417028751389725</v>
      </c>
      <c r="AD48" s="75">
        <f t="shared" si="10"/>
        <v>0.71548788910853689</v>
      </c>
      <c r="AE48" s="75">
        <f t="shared" si="11"/>
        <v>1.1290631770767068E-3</v>
      </c>
      <c r="AF48" s="75">
        <f t="shared" si="12"/>
        <v>-3.0250409832005058E-2</v>
      </c>
      <c r="AH48" s="75">
        <f t="shared" si="21"/>
        <v>1.1584173483865428</v>
      </c>
      <c r="AI48" s="75">
        <f t="shared" si="22"/>
        <v>6.5306334607853081E-2</v>
      </c>
      <c r="AJ48" s="75">
        <f t="shared" si="23"/>
        <v>0.7141074791205303</v>
      </c>
      <c r="AK48" s="75">
        <f t="shared" si="24"/>
        <v>1.0901723032891674E-3</v>
      </c>
      <c r="AL48" s="75">
        <f t="shared" si="25"/>
        <v>-0.1403925849933233</v>
      </c>
    </row>
    <row r="49" spans="1:38" s="75" customFormat="1" x14ac:dyDescent="0.2">
      <c r="A49" s="75">
        <f t="shared" si="26"/>
        <v>11</v>
      </c>
      <c r="B49" s="75">
        <v>17</v>
      </c>
      <c r="C49" s="75" t="s">
        <v>70</v>
      </c>
      <c r="E49" s="75" t="str">
        <f t="shared" ref="E49:E77" si="27">Y49</f>
        <v>20220223_NeomaMSMS_SrF_LA_Chicago_Run1_RbSr_export_processed</v>
      </c>
      <c r="F49" s="76">
        <v>785146879.92702055</v>
      </c>
      <c r="G49" s="75">
        <v>50371.968999999997</v>
      </c>
      <c r="H49" s="75">
        <v>24001.749</v>
      </c>
      <c r="I49" s="75">
        <v>1431.25</v>
      </c>
      <c r="J49" s="75">
        <f t="shared" si="20"/>
        <v>7.6071681667681057</v>
      </c>
      <c r="K49" s="77">
        <v>1.4876071268662718</v>
      </c>
      <c r="L49" s="77">
        <v>0.14728168356781596</v>
      </c>
      <c r="M49" s="77">
        <v>0.71253249068626412</v>
      </c>
      <c r="N49" s="77">
        <v>6.2373995116072126E-4</v>
      </c>
      <c r="O49" s="77">
        <v>0.31857250961745026</v>
      </c>
      <c r="P49" s="78">
        <v>1.310621269109657</v>
      </c>
      <c r="Q49" s="78">
        <v>0.17414042677132957</v>
      </c>
      <c r="R49" s="78">
        <v>0.71409640786066675</v>
      </c>
      <c r="S49" s="78">
        <v>6.744040862717471E-4</v>
      </c>
      <c r="T49" s="78">
        <v>0.153746709975948</v>
      </c>
      <c r="Y49" s="75" t="s">
        <v>196</v>
      </c>
      <c r="AB49" s="75">
        <f t="shared" si="8"/>
        <v>1.0831580736443447</v>
      </c>
      <c r="AC49" s="75">
        <f t="shared" si="9"/>
        <v>0.14391770807547899</v>
      </c>
      <c r="AD49" s="75">
        <f t="shared" si="10"/>
        <v>0.71409640786066675</v>
      </c>
      <c r="AE49" s="75">
        <f t="shared" si="11"/>
        <v>6.744040862717471E-4</v>
      </c>
      <c r="AF49" s="75">
        <f t="shared" si="12"/>
        <v>0.153746709975948</v>
      </c>
      <c r="AH49" s="75">
        <f t="shared" si="21"/>
        <v>1.064182428287207</v>
      </c>
      <c r="AI49" s="75">
        <f t="shared" si="22"/>
        <v>0.10536019680921847</v>
      </c>
      <c r="AJ49" s="75">
        <f t="shared" si="23"/>
        <v>0.71253249068626412</v>
      </c>
      <c r="AK49" s="75">
        <f t="shared" si="24"/>
        <v>6.2373995116072126E-4</v>
      </c>
      <c r="AL49" s="75">
        <f t="shared" si="25"/>
        <v>0.31857250961745026</v>
      </c>
    </row>
    <row r="50" spans="1:38" s="75" customFormat="1" x14ac:dyDescent="0.2">
      <c r="A50" s="75">
        <f t="shared" si="26"/>
        <v>12</v>
      </c>
      <c r="B50" s="75">
        <v>18</v>
      </c>
      <c r="C50" s="75" t="s">
        <v>71</v>
      </c>
      <c r="E50" s="75" t="str">
        <f t="shared" si="27"/>
        <v>20220223_NeomaMSMS_SrF_LA_Chicago_Run1_RbSr_export_processed</v>
      </c>
      <c r="F50" s="76">
        <v>1005751276.9166632</v>
      </c>
      <c r="G50" s="75">
        <v>49532.28</v>
      </c>
      <c r="H50" s="75">
        <v>24576.116000000002</v>
      </c>
      <c r="I50" s="75">
        <v>1431.25</v>
      </c>
      <c r="J50" s="75">
        <f t="shared" si="20"/>
        <v>8.6222388282220521</v>
      </c>
      <c r="K50" s="77">
        <v>1.2882086491660478</v>
      </c>
      <c r="L50" s="77">
        <v>0.18054236202346671</v>
      </c>
      <c r="M50" s="77">
        <v>0.7120894181703401</v>
      </c>
      <c r="N50" s="77">
        <v>3.798540060336284E-4</v>
      </c>
      <c r="O50" s="77">
        <v>0.33050778390509739</v>
      </c>
      <c r="P50" s="78">
        <v>1.134945930384627</v>
      </c>
      <c r="Q50" s="78">
        <v>0.18818872094629258</v>
      </c>
      <c r="R50" s="78">
        <v>0.71365236285755629</v>
      </c>
      <c r="S50" s="78">
        <v>4.5705923475613717E-4</v>
      </c>
      <c r="T50" s="78">
        <v>0.15435417862579179</v>
      </c>
      <c r="Y50" s="75" t="s">
        <v>196</v>
      </c>
      <c r="AB50" s="75">
        <f t="shared" si="8"/>
        <v>0.93797184329308014</v>
      </c>
      <c r="AC50" s="75">
        <f t="shared" si="9"/>
        <v>0.15552786855065504</v>
      </c>
      <c r="AD50" s="75">
        <f t="shared" si="10"/>
        <v>0.71365236285755629</v>
      </c>
      <c r="AE50" s="75">
        <f t="shared" si="11"/>
        <v>4.5705923475613717E-4</v>
      </c>
      <c r="AF50" s="75">
        <f t="shared" si="12"/>
        <v>0.15435417862579179</v>
      </c>
      <c r="AH50" s="75">
        <f t="shared" si="21"/>
        <v>0.92153968857218538</v>
      </c>
      <c r="AI50" s="75">
        <f t="shared" si="22"/>
        <v>0.12915373001174948</v>
      </c>
      <c r="AJ50" s="75">
        <f t="shared" si="23"/>
        <v>0.7120894181703401</v>
      </c>
      <c r="AK50" s="75">
        <f t="shared" si="24"/>
        <v>3.798540060336284E-4</v>
      </c>
      <c r="AL50" s="75">
        <f t="shared" si="25"/>
        <v>0.33050778390509739</v>
      </c>
    </row>
    <row r="51" spans="1:38" s="75" customFormat="1" x14ac:dyDescent="0.2">
      <c r="A51" s="75">
        <f t="shared" si="26"/>
        <v>13</v>
      </c>
      <c r="B51" s="75">
        <v>19</v>
      </c>
      <c r="C51" s="75" t="s">
        <v>72</v>
      </c>
      <c r="E51" s="75" t="str">
        <f t="shared" si="27"/>
        <v>20220223_NeomaMSMS_SrF_LA_Chicago_Run1_RbSr_export_processed</v>
      </c>
      <c r="F51" s="76">
        <v>808155657.39517093</v>
      </c>
      <c r="G51" s="75">
        <v>48560.033000000003</v>
      </c>
      <c r="H51" s="75">
        <v>25040.143</v>
      </c>
      <c r="I51" s="75">
        <v>1431.25</v>
      </c>
      <c r="J51" s="75">
        <f t="shared" si="20"/>
        <v>9.6955001058937622</v>
      </c>
      <c r="K51" s="77">
        <v>1.9513455718572621</v>
      </c>
      <c r="L51" s="77">
        <v>0.10281090390437707</v>
      </c>
      <c r="M51" s="77">
        <v>0.71484144132822247</v>
      </c>
      <c r="N51" s="77">
        <v>1.1118032230342928E-3</v>
      </c>
      <c r="O51" s="77">
        <v>0.72580354802367408</v>
      </c>
      <c r="P51" s="78">
        <v>1.7191871184743108</v>
      </c>
      <c r="Q51" s="78">
        <v>0.17723364458950747</v>
      </c>
      <c r="R51" s="78">
        <v>0.71641042635231766</v>
      </c>
      <c r="S51" s="78">
        <v>1.1428097070597502E-3</v>
      </c>
      <c r="T51" s="78">
        <v>0.31108842053007951</v>
      </c>
      <c r="Y51" s="75" t="s">
        <v>196</v>
      </c>
      <c r="AB51" s="75">
        <f t="shared" si="8"/>
        <v>1.4208158003919924</v>
      </c>
      <c r="AC51" s="75">
        <f t="shared" si="9"/>
        <v>0.14647408643760948</v>
      </c>
      <c r="AD51" s="75">
        <f t="shared" si="10"/>
        <v>0.71641042635231766</v>
      </c>
      <c r="AE51" s="75">
        <f t="shared" si="11"/>
        <v>1.1428097070597502E-3</v>
      </c>
      <c r="AF51" s="75">
        <f t="shared" si="12"/>
        <v>0.31108842053007951</v>
      </c>
      <c r="AH51" s="75">
        <f t="shared" si="21"/>
        <v>1.3959247919583437</v>
      </c>
      <c r="AI51" s="75">
        <f t="shared" si="22"/>
        <v>7.3547346873660172E-2</v>
      </c>
      <c r="AJ51" s="75">
        <f t="shared" si="23"/>
        <v>0.71484144132822247</v>
      </c>
      <c r="AK51" s="75">
        <f t="shared" si="24"/>
        <v>1.1118032230342928E-3</v>
      </c>
      <c r="AL51" s="75">
        <f t="shared" si="25"/>
        <v>0.72580354802367408</v>
      </c>
    </row>
    <row r="52" spans="1:38" s="75" customFormat="1" x14ac:dyDescent="0.2">
      <c r="A52" s="75">
        <f t="shared" si="26"/>
        <v>14</v>
      </c>
      <c r="B52" s="75">
        <v>20</v>
      </c>
      <c r="C52" s="75" t="s">
        <v>73</v>
      </c>
      <c r="E52" s="75" t="str">
        <f t="shared" si="27"/>
        <v>20220223_NeomaMSMS_SrF_LA_Chicago_Run1_RbSr_export_processed</v>
      </c>
      <c r="F52" s="76">
        <v>687122858.36597264</v>
      </c>
      <c r="G52" s="75">
        <v>47720.364999999998</v>
      </c>
      <c r="H52" s="75">
        <v>25437.881000000001</v>
      </c>
      <c r="I52" s="75">
        <v>1431.25</v>
      </c>
      <c r="J52" s="75">
        <f t="shared" si="20"/>
        <v>10.621570210011797</v>
      </c>
      <c r="K52" s="77">
        <v>1.9861432109306598</v>
      </c>
      <c r="L52" s="77">
        <v>0.26145737676905412</v>
      </c>
      <c r="M52" s="77">
        <v>0.71480700553030441</v>
      </c>
      <c r="N52" s="77">
        <v>1.3844333256027538E-3</v>
      </c>
      <c r="O52" s="77">
        <v>0.29499374599965489</v>
      </c>
      <c r="P52" s="78">
        <v>1.7498447599044571</v>
      </c>
      <c r="Q52" s="78">
        <v>0.27767567617084599</v>
      </c>
      <c r="R52" s="78">
        <v>0.71637591497225217</v>
      </c>
      <c r="S52" s="78">
        <v>1.4105132950973237E-3</v>
      </c>
      <c r="T52" s="78">
        <v>0.21409937966499318</v>
      </c>
      <c r="Y52" s="75" t="s">
        <v>196</v>
      </c>
      <c r="AB52" s="75">
        <f t="shared" si="8"/>
        <v>1.4461526941359151</v>
      </c>
      <c r="AC52" s="75">
        <f t="shared" si="9"/>
        <v>0.22948402989326117</v>
      </c>
      <c r="AD52" s="75">
        <f t="shared" si="10"/>
        <v>0.71637591497225217</v>
      </c>
      <c r="AE52" s="75">
        <f t="shared" si="11"/>
        <v>1.4105132950973237E-3</v>
      </c>
      <c r="AF52" s="75">
        <f t="shared" si="12"/>
        <v>0.21409937966499318</v>
      </c>
      <c r="AH52" s="75">
        <f t="shared" si="21"/>
        <v>1.4208178133609757</v>
      </c>
      <c r="AI52" s="75">
        <f t="shared" si="22"/>
        <v>0.18703751889776163</v>
      </c>
      <c r="AJ52" s="75">
        <f t="shared" si="23"/>
        <v>0.71480700553030441</v>
      </c>
      <c r="AK52" s="75">
        <f t="shared" si="24"/>
        <v>1.3844333256027538E-3</v>
      </c>
      <c r="AL52" s="75">
        <f t="shared" si="25"/>
        <v>0.29499374599965489</v>
      </c>
    </row>
    <row r="53" spans="1:38" s="75" customFormat="1" x14ac:dyDescent="0.2">
      <c r="A53" s="75">
        <f t="shared" si="26"/>
        <v>15</v>
      </c>
      <c r="B53" s="75">
        <v>21</v>
      </c>
      <c r="C53" s="75" t="s">
        <v>74</v>
      </c>
      <c r="E53" s="75" t="str">
        <f t="shared" si="27"/>
        <v>20220223_NeomaMSMS_SrF_LA_Chicago_Run1_RbSr_export_processed</v>
      </c>
      <c r="F53" s="76">
        <v>636622007.46421552</v>
      </c>
      <c r="G53" s="75">
        <v>46814.406999999999</v>
      </c>
      <c r="H53" s="75">
        <v>25901.907999999999</v>
      </c>
      <c r="I53" s="75">
        <v>1431.25</v>
      </c>
      <c r="J53" s="75">
        <f t="shared" si="20"/>
        <v>11.638456787221278</v>
      </c>
      <c r="K53" s="77">
        <v>2.699325276177567</v>
      </c>
      <c r="L53" s="77">
        <v>0.17044692842883397</v>
      </c>
      <c r="M53" s="77">
        <v>0.71805546042630297</v>
      </c>
      <c r="N53" s="77">
        <v>1.3042107445600435E-3</v>
      </c>
      <c r="O53" s="77">
        <v>0.25766232582455756</v>
      </c>
      <c r="P53" s="78">
        <v>2.3781770437307457</v>
      </c>
      <c r="Q53" s="78">
        <v>0.25876407619838865</v>
      </c>
      <c r="R53" s="78">
        <v>0.71963149980894603</v>
      </c>
      <c r="S53" s="78">
        <v>1.3317271573010919E-3</v>
      </c>
      <c r="T53" s="78">
        <v>0.10545356835492177</v>
      </c>
      <c r="Y53" s="75" t="s">
        <v>196</v>
      </c>
      <c r="AB53" s="75">
        <f t="shared" si="8"/>
        <v>1.9654355733311948</v>
      </c>
      <c r="AC53" s="75">
        <f t="shared" si="9"/>
        <v>0.21385460842842038</v>
      </c>
      <c r="AD53" s="75">
        <f t="shared" si="10"/>
        <v>0.71963149980894603</v>
      </c>
      <c r="AE53" s="75">
        <f t="shared" si="11"/>
        <v>1.3317271573010919E-3</v>
      </c>
      <c r="AF53" s="75">
        <f t="shared" si="12"/>
        <v>0.10545356835492177</v>
      </c>
      <c r="AH53" s="75">
        <f t="shared" si="21"/>
        <v>1.9310034721270253</v>
      </c>
      <c r="AI53" s="75">
        <f t="shared" si="22"/>
        <v>0.12193180774254117</v>
      </c>
      <c r="AJ53" s="75">
        <f t="shared" si="23"/>
        <v>0.71805546042630297</v>
      </c>
      <c r="AK53" s="75">
        <f t="shared" si="24"/>
        <v>1.3042107445600435E-3</v>
      </c>
      <c r="AL53" s="75">
        <f t="shared" si="25"/>
        <v>0.25766232582455756</v>
      </c>
    </row>
    <row r="54" spans="1:38" s="75" customFormat="1" x14ac:dyDescent="0.2">
      <c r="A54" s="75">
        <f t="shared" si="26"/>
        <v>16</v>
      </c>
      <c r="B54" s="75">
        <v>24</v>
      </c>
      <c r="C54" s="75" t="s">
        <v>75</v>
      </c>
      <c r="E54" s="75" t="str">
        <f t="shared" si="27"/>
        <v>20220223_NeomaMSMS_SrF_LA_Chicago_Run1_RbSr_export_processed</v>
      </c>
      <c r="F54" s="76">
        <v>578949766.9656148</v>
      </c>
      <c r="G54" s="75">
        <v>46041.027999999998</v>
      </c>
      <c r="H54" s="75">
        <v>26343.838</v>
      </c>
      <c r="I54" s="75">
        <v>1431.25</v>
      </c>
      <c r="J54" s="75">
        <f t="shared" si="20"/>
        <v>12.529191215747966</v>
      </c>
      <c r="K54" s="77">
        <v>1.7692135702780747</v>
      </c>
      <c r="L54" s="77">
        <v>7.1980046888384164E-2</v>
      </c>
      <c r="M54" s="77">
        <v>0.71404376666427294</v>
      </c>
      <c r="N54" s="77">
        <v>1.844599066320314E-3</v>
      </c>
      <c r="O54" s="77">
        <v>0.40729957895692537</v>
      </c>
      <c r="P54" s="78">
        <v>1.5385834893966039</v>
      </c>
      <c r="Q54" s="78">
        <v>0.147424147038903</v>
      </c>
      <c r="R54" s="78">
        <v>0.71539139667515272</v>
      </c>
      <c r="S54" s="78">
        <v>1.8537555153546573E-3</v>
      </c>
      <c r="T54" s="78">
        <v>0.14120871662228907</v>
      </c>
      <c r="Y54" s="75" t="s">
        <v>196</v>
      </c>
      <c r="AB54" s="75">
        <f t="shared" si="8"/>
        <v>1.2715566028071108</v>
      </c>
      <c r="AC54" s="75">
        <f t="shared" si="9"/>
        <v>0.12183813804868017</v>
      </c>
      <c r="AD54" s="75">
        <f t="shared" si="10"/>
        <v>0.71539139667515272</v>
      </c>
      <c r="AE54" s="75">
        <f t="shared" si="11"/>
        <v>1.8537555153546573E-3</v>
      </c>
      <c r="AF54" s="75">
        <f t="shared" si="12"/>
        <v>0.14120871662228907</v>
      </c>
      <c r="AH54" s="75">
        <f t="shared" si="21"/>
        <v>1.2656338890654237</v>
      </c>
      <c r="AI54" s="75">
        <f t="shared" si="22"/>
        <v>5.1492023466753405E-2</v>
      </c>
      <c r="AJ54" s="75">
        <f t="shared" si="23"/>
        <v>0.71404376666427294</v>
      </c>
      <c r="AK54" s="75">
        <f t="shared" si="24"/>
        <v>1.844599066320314E-3</v>
      </c>
      <c r="AL54" s="75">
        <f t="shared" si="25"/>
        <v>0.40729957895692537</v>
      </c>
    </row>
    <row r="55" spans="1:38" s="75" customFormat="1" x14ac:dyDescent="0.2">
      <c r="A55" s="75">
        <f t="shared" si="26"/>
        <v>17</v>
      </c>
      <c r="B55" s="75">
        <v>25</v>
      </c>
      <c r="C55" s="75" t="s">
        <v>76</v>
      </c>
      <c r="E55" s="75" t="str">
        <f t="shared" si="27"/>
        <v>20220223_NeomaMSMS_SrF_LA_Chicago_Run1_RbSr_export_processed</v>
      </c>
      <c r="F55" s="76">
        <v>888403494.72825849</v>
      </c>
      <c r="G55" s="75">
        <v>45387.328000000001</v>
      </c>
      <c r="H55" s="75">
        <v>26584.05</v>
      </c>
      <c r="I55" s="75">
        <v>1431.25</v>
      </c>
      <c r="J55" s="75">
        <f t="shared" si="20"/>
        <v>13.216807479536952</v>
      </c>
      <c r="K55" s="77">
        <v>2.021411946306892</v>
      </c>
      <c r="L55" s="77">
        <v>0.13977373731670964</v>
      </c>
      <c r="M55" s="77">
        <v>0.71666098495487796</v>
      </c>
      <c r="N55" s="77">
        <v>6.5439155286239762E-4</v>
      </c>
      <c r="O55" s="77">
        <v>0.17966906166783203</v>
      </c>
      <c r="P55" s="78">
        <v>1.7579059408684106</v>
      </c>
      <c r="Q55" s="78">
        <v>0.19501752749071907</v>
      </c>
      <c r="R55" s="78">
        <v>0.71801355449758775</v>
      </c>
      <c r="S55" s="78">
        <v>6.7157189306053084E-4</v>
      </c>
      <c r="T55" s="78">
        <v>3.4663158558264441E-2</v>
      </c>
      <c r="Y55" s="75" t="s">
        <v>196</v>
      </c>
      <c r="AB55" s="75">
        <f t="shared" si="8"/>
        <v>1.4528148271639758</v>
      </c>
      <c r="AC55" s="75">
        <f t="shared" si="9"/>
        <v>0.16117151032290833</v>
      </c>
      <c r="AD55" s="75">
        <f t="shared" si="10"/>
        <v>0.71801355449758775</v>
      </c>
      <c r="AE55" s="75">
        <f t="shared" si="11"/>
        <v>6.7157189306053084E-4</v>
      </c>
      <c r="AF55" s="75">
        <f t="shared" si="12"/>
        <v>3.4663158558264441E-2</v>
      </c>
      <c r="AH55" s="75">
        <f t="shared" si="21"/>
        <v>1.446047840683016</v>
      </c>
      <c r="AI55" s="75">
        <f t="shared" si="22"/>
        <v>9.9989273042683971E-2</v>
      </c>
      <c r="AJ55" s="75">
        <f t="shared" si="23"/>
        <v>0.71666098495487796</v>
      </c>
      <c r="AK55" s="75">
        <f t="shared" si="24"/>
        <v>6.5439155286239762E-4</v>
      </c>
      <c r="AL55" s="75">
        <f t="shared" si="25"/>
        <v>0.17966906166783203</v>
      </c>
    </row>
    <row r="56" spans="1:38" s="75" customFormat="1" x14ac:dyDescent="0.2">
      <c r="A56" s="75">
        <f t="shared" si="26"/>
        <v>18</v>
      </c>
      <c r="B56" s="75">
        <v>26</v>
      </c>
      <c r="C56" s="75" t="s">
        <v>77</v>
      </c>
      <c r="E56" s="75" t="str">
        <f t="shared" si="27"/>
        <v>20220223_NeomaMSMS_SrF_LA_Chicago_Run1_RbSr_export_processed</v>
      </c>
      <c r="F56" s="76">
        <v>3824922552.7111244</v>
      </c>
      <c r="G56" s="75">
        <v>44626.851000000002</v>
      </c>
      <c r="H56" s="75">
        <v>26984.637999999999</v>
      </c>
      <c r="I56" s="75">
        <v>1431.25</v>
      </c>
      <c r="J56" s="75">
        <f t="shared" si="20"/>
        <v>14.076137094065434</v>
      </c>
      <c r="K56" s="77">
        <v>0.2472013993414687</v>
      </c>
      <c r="L56" s="77">
        <v>4.8447829816820456E-2</v>
      </c>
      <c r="M56" s="77">
        <v>0.70851677793457679</v>
      </c>
      <c r="N56" s="77">
        <v>2.6728512322678162E-4</v>
      </c>
      <c r="O56" s="77">
        <v>0.69455628039816275</v>
      </c>
      <c r="P56" s="78">
        <v>0.21497686767275967</v>
      </c>
      <c r="Q56" s="78">
        <v>4.6075355106886234E-2</v>
      </c>
      <c r="R56" s="78">
        <v>0.70985397674189499</v>
      </c>
      <c r="S56" s="78">
        <v>3.0396639934653297E-4</v>
      </c>
      <c r="T56" s="78">
        <v>0.47511339473292297</v>
      </c>
      <c r="Y56" s="75" t="s">
        <v>196</v>
      </c>
      <c r="AB56" s="75">
        <f t="shared" si="8"/>
        <v>0.17766683278740469</v>
      </c>
      <c r="AC56" s="75">
        <f t="shared" si="9"/>
        <v>3.8078805873459701E-2</v>
      </c>
      <c r="AD56" s="75">
        <f t="shared" si="10"/>
        <v>0.70985397674189499</v>
      </c>
      <c r="AE56" s="75">
        <f t="shared" si="11"/>
        <v>3.0396639934653297E-4</v>
      </c>
      <c r="AF56" s="75">
        <f t="shared" si="12"/>
        <v>0.47511339473292297</v>
      </c>
      <c r="AH56" s="75">
        <f t="shared" si="21"/>
        <v>0.17683928819389699</v>
      </c>
      <c r="AI56" s="75">
        <f t="shared" si="22"/>
        <v>3.465789337021917E-2</v>
      </c>
      <c r="AJ56" s="75">
        <f t="shared" si="23"/>
        <v>0.70851677793457679</v>
      </c>
      <c r="AK56" s="75">
        <f t="shared" si="24"/>
        <v>2.6728512322678162E-4</v>
      </c>
      <c r="AL56" s="75">
        <f t="shared" si="25"/>
        <v>0.69455628039816275</v>
      </c>
    </row>
    <row r="57" spans="1:38" s="75" customFormat="1" x14ac:dyDescent="0.2">
      <c r="A57" s="75">
        <f t="shared" si="26"/>
        <v>19</v>
      </c>
      <c r="B57" s="75">
        <v>27</v>
      </c>
      <c r="C57" s="75" t="s">
        <v>78</v>
      </c>
      <c r="E57" s="75" t="str">
        <f t="shared" si="27"/>
        <v>20220223_NeomaMSMS_SrF_LA_Chicago_Run1_RbSr_export_processed</v>
      </c>
      <c r="F57" s="76">
        <v>991480498.40883183</v>
      </c>
      <c r="G57" s="75">
        <v>44229.802000000003</v>
      </c>
      <c r="H57" s="75">
        <v>27271.463</v>
      </c>
      <c r="I57" s="75">
        <v>1431.25</v>
      </c>
      <c r="J57" s="75">
        <f t="shared" si="20"/>
        <v>14.562561238406412</v>
      </c>
      <c r="K57" s="77">
        <v>6.0064793255104512E-2</v>
      </c>
      <c r="L57" s="77">
        <v>2.8346407261709852E-2</v>
      </c>
      <c r="M57" s="77">
        <v>0.70696775639420351</v>
      </c>
      <c r="N57" s="77">
        <v>7.4918714961124007E-4</v>
      </c>
      <c r="O57" s="77">
        <v>0.80914011015034382</v>
      </c>
      <c r="P57" s="78">
        <v>5.2234902981102005E-2</v>
      </c>
      <c r="Q57" s="78">
        <v>2.5064277126281558E-2</v>
      </c>
      <c r="R57" s="78">
        <v>0.70830203170017247</v>
      </c>
      <c r="S57" s="78">
        <v>7.6419630398962858E-4</v>
      </c>
      <c r="T57" s="78">
        <v>0.7666839459832101</v>
      </c>
      <c r="Y57" s="75" t="s">
        <v>196</v>
      </c>
      <c r="AB57" s="75">
        <f t="shared" si="8"/>
        <v>4.316934130669587E-2</v>
      </c>
      <c r="AC57" s="75">
        <f t="shared" si="9"/>
        <v>2.071427861676162E-2</v>
      </c>
      <c r="AD57" s="75">
        <f t="shared" si="10"/>
        <v>0.70830203170017247</v>
      </c>
      <c r="AE57" s="75">
        <f t="shared" si="11"/>
        <v>7.6419630398962858E-4</v>
      </c>
      <c r="AF57" s="75">
        <f t="shared" si="12"/>
        <v>0.7666839459832101</v>
      </c>
      <c r="AH57" s="75">
        <f t="shared" si="21"/>
        <v>4.2968265200125144E-2</v>
      </c>
      <c r="AI57" s="75">
        <f t="shared" si="22"/>
        <v>2.0278034413918383E-2</v>
      </c>
      <c r="AJ57" s="75">
        <f t="shared" si="23"/>
        <v>0.70696775639420351</v>
      </c>
      <c r="AK57" s="75">
        <f t="shared" si="24"/>
        <v>7.4918714961124007E-4</v>
      </c>
      <c r="AL57" s="75">
        <f t="shared" si="25"/>
        <v>0.80914011015034382</v>
      </c>
    </row>
    <row r="58" spans="1:38" s="75" customFormat="1" x14ac:dyDescent="0.2">
      <c r="A58" s="75">
        <f t="shared" si="26"/>
        <v>20</v>
      </c>
      <c r="B58" s="75">
        <v>28</v>
      </c>
      <c r="C58" s="75" t="s">
        <v>79</v>
      </c>
      <c r="E58" s="75" t="str">
        <f t="shared" si="27"/>
        <v>20220223_NeomaMSMS_SrF_LA_Chicago_Run1_RbSr_export_processed</v>
      </c>
      <c r="F58" s="76">
        <v>1845371706.4348669</v>
      </c>
      <c r="G58" s="75">
        <v>43999.608999999997</v>
      </c>
      <c r="H58" s="75">
        <v>27467.692999999999</v>
      </c>
      <c r="I58" s="75">
        <v>1431.25</v>
      </c>
      <c r="J58" s="75">
        <f t="shared" si="20"/>
        <v>14.859366429634949</v>
      </c>
      <c r="K58" s="77">
        <v>0.27047226973162697</v>
      </c>
      <c r="L58" s="77">
        <v>1.5739832375148564E-2</v>
      </c>
      <c r="M58" s="77">
        <v>0.70873419907978186</v>
      </c>
      <c r="N58" s="77">
        <v>5.5997049625789233E-4</v>
      </c>
      <c r="O58" s="77">
        <v>-0.17940212237115605</v>
      </c>
      <c r="P58" s="78">
        <v>0.23521420790554931</v>
      </c>
      <c r="Q58" s="78">
        <v>2.4571032982996188E-2</v>
      </c>
      <c r="R58" s="78">
        <v>0.71007180823065874</v>
      </c>
      <c r="S58" s="78">
        <v>5.7917932309092693E-4</v>
      </c>
      <c r="T58" s="78">
        <v>-0.18773368351552544</v>
      </c>
      <c r="Y58" s="75" t="s">
        <v>196</v>
      </c>
      <c r="AB58" s="75">
        <f t="shared" si="8"/>
        <v>0.19439190735995812</v>
      </c>
      <c r="AC58" s="75">
        <f t="shared" si="9"/>
        <v>2.0306638828922471E-2</v>
      </c>
      <c r="AD58" s="75">
        <f t="shared" si="10"/>
        <v>0.71007180823065874</v>
      </c>
      <c r="AE58" s="75">
        <f t="shared" si="11"/>
        <v>5.7917932309092693E-4</v>
      </c>
      <c r="AF58" s="75">
        <f t="shared" si="12"/>
        <v>-0.18773368351552544</v>
      </c>
      <c r="AH58" s="75">
        <f t="shared" si="21"/>
        <v>0.19348645995914876</v>
      </c>
      <c r="AI58" s="75">
        <f t="shared" si="22"/>
        <v>1.1259728953506781E-2</v>
      </c>
      <c r="AJ58" s="75">
        <f t="shared" si="23"/>
        <v>0.70873419907978186</v>
      </c>
      <c r="AK58" s="75">
        <f t="shared" si="24"/>
        <v>5.5997049625789233E-4</v>
      </c>
      <c r="AL58" s="75">
        <f t="shared" si="25"/>
        <v>-0.17940212237115605</v>
      </c>
    </row>
    <row r="59" spans="1:38" s="75" customFormat="1" x14ac:dyDescent="0.2">
      <c r="A59" s="75">
        <f t="shared" si="26"/>
        <v>21</v>
      </c>
      <c r="B59" s="75">
        <v>31</v>
      </c>
      <c r="C59" s="75" t="s">
        <v>80</v>
      </c>
      <c r="E59" s="75" t="str">
        <f t="shared" si="27"/>
        <v>20220223_NeomaMSMS_SrF_LA_Chicago_Run1_RbSr_export_processed</v>
      </c>
      <c r="F59" s="76">
        <v>443335025.06280762</v>
      </c>
      <c r="G59" s="75">
        <v>43723.957999999999</v>
      </c>
      <c r="H59" s="75">
        <v>27717.819</v>
      </c>
      <c r="I59" s="75">
        <v>1431.25</v>
      </c>
      <c r="J59" s="75">
        <f t="shared" si="20"/>
        <v>15.222588103454976</v>
      </c>
      <c r="K59" s="77">
        <v>0.32692149200514536</v>
      </c>
      <c r="L59" s="77">
        <v>6.73832577667446E-2</v>
      </c>
      <c r="M59" s="77">
        <v>0.70933900315688792</v>
      </c>
      <c r="N59" s="77">
        <v>1.5356237775158504E-3</v>
      </c>
      <c r="O59" s="77">
        <v>0.35188859321121563</v>
      </c>
      <c r="P59" s="78">
        <v>0.28194139491324194</v>
      </c>
      <c r="Q59" s="78">
        <v>6.2349858541715146E-2</v>
      </c>
      <c r="R59" s="78">
        <v>0.71076452056543094</v>
      </c>
      <c r="S59" s="78">
        <v>1.5490509861938123E-3</v>
      </c>
      <c r="T59" s="78">
        <v>0.32616800717230338</v>
      </c>
      <c r="Y59" s="75" t="s">
        <v>196</v>
      </c>
      <c r="AB59" s="75">
        <f t="shared" si="8"/>
        <v>0.23300941728367103</v>
      </c>
      <c r="AC59" s="75">
        <f t="shared" si="9"/>
        <v>5.1528808712161277E-2</v>
      </c>
      <c r="AD59" s="75">
        <f t="shared" si="10"/>
        <v>0.71076452056543094</v>
      </c>
      <c r="AE59" s="75">
        <f t="shared" si="11"/>
        <v>1.5490509861938123E-3</v>
      </c>
      <c r="AF59" s="75">
        <f t="shared" si="12"/>
        <v>0.32616800717230338</v>
      </c>
      <c r="AH59" s="75">
        <f t="shared" si="21"/>
        <v>0.23386827135884453</v>
      </c>
      <c r="AI59" s="75">
        <f t="shared" si="22"/>
        <v>4.8203640316764398E-2</v>
      </c>
      <c r="AJ59" s="75">
        <f t="shared" si="23"/>
        <v>0.70933900315688792</v>
      </c>
      <c r="AK59" s="75">
        <f t="shared" si="24"/>
        <v>1.5356237775158504E-3</v>
      </c>
      <c r="AL59" s="75">
        <f t="shared" si="25"/>
        <v>0.35188859321121563</v>
      </c>
    </row>
    <row r="60" spans="1:38" s="75" customFormat="1" x14ac:dyDescent="0.2">
      <c r="A60" s="75">
        <f t="shared" si="26"/>
        <v>22</v>
      </c>
      <c r="B60" s="75">
        <v>32</v>
      </c>
      <c r="C60" s="75" t="s">
        <v>81</v>
      </c>
      <c r="E60" s="75" t="str">
        <f t="shared" si="27"/>
        <v>20220223_NeomaMSMS_SrF_LA_Chicago_Run1_RbSr_export_processed</v>
      </c>
      <c r="F60" s="76">
        <v>1103880733.4152596</v>
      </c>
      <c r="G60" s="75">
        <v>43490.165000000001</v>
      </c>
      <c r="H60" s="75">
        <v>27835.625</v>
      </c>
      <c r="I60" s="75">
        <v>1431.25</v>
      </c>
      <c r="J60" s="75">
        <f t="shared" si="20"/>
        <v>15.484029863779583</v>
      </c>
      <c r="K60" s="77">
        <v>0.28765546398656466</v>
      </c>
      <c r="L60" s="77">
        <v>3.0834733852462489E-2</v>
      </c>
      <c r="M60" s="77">
        <v>0.70840187635981</v>
      </c>
      <c r="N60" s="77">
        <v>8.5399958325350998E-4</v>
      </c>
      <c r="O60" s="77">
        <v>0.12676638770835758</v>
      </c>
      <c r="P60" s="78">
        <v>0.24807785585877426</v>
      </c>
      <c r="Q60" s="78">
        <v>3.3201877716932456E-2</v>
      </c>
      <c r="R60" s="78">
        <v>0.70982551047904086</v>
      </c>
      <c r="S60" s="78">
        <v>8.7412599613962598E-4</v>
      </c>
      <c r="T60" s="78">
        <v>0.10051881058693524</v>
      </c>
      <c r="Y60" s="75" t="s">
        <v>196</v>
      </c>
      <c r="AB60" s="75">
        <f t="shared" si="8"/>
        <v>0.20502302137088782</v>
      </c>
      <c r="AC60" s="75">
        <f t="shared" si="9"/>
        <v>2.7439568361101202E-2</v>
      </c>
      <c r="AD60" s="75">
        <f t="shared" si="10"/>
        <v>0.70982551047904086</v>
      </c>
      <c r="AE60" s="75">
        <f t="shared" si="11"/>
        <v>8.7412599613962598E-4</v>
      </c>
      <c r="AF60" s="75">
        <f t="shared" si="12"/>
        <v>0.10051881058693524</v>
      </c>
      <c r="AH60" s="75">
        <f t="shared" si="21"/>
        <v>0.20577871982917975</v>
      </c>
      <c r="AI60" s="75">
        <f t="shared" si="22"/>
        <v>2.2058096760955534E-2</v>
      </c>
      <c r="AJ60" s="75">
        <f t="shared" si="23"/>
        <v>0.70840187635981</v>
      </c>
      <c r="AK60" s="75">
        <f t="shared" si="24"/>
        <v>8.5399958325350998E-4</v>
      </c>
      <c r="AL60" s="75">
        <f t="shared" si="25"/>
        <v>0.12676638770835758</v>
      </c>
    </row>
    <row r="61" spans="1:38" s="75" customFormat="1" x14ac:dyDescent="0.2">
      <c r="A61" s="75">
        <f t="shared" si="26"/>
        <v>23</v>
      </c>
      <c r="B61" s="75">
        <v>33</v>
      </c>
      <c r="C61" s="75" t="s">
        <v>82</v>
      </c>
      <c r="E61" s="75" t="str">
        <f t="shared" si="27"/>
        <v>20220223_NeomaMSMS_SrF_LA_Chicago_Run1_RbSr_export_processed</v>
      </c>
      <c r="F61" s="76">
        <v>1705687100.5288618</v>
      </c>
      <c r="G61" s="75">
        <v>43290.79</v>
      </c>
      <c r="H61" s="75">
        <v>27987.714</v>
      </c>
      <c r="I61" s="75">
        <v>1431.25</v>
      </c>
      <c r="J61" s="75">
        <f t="shared" si="20"/>
        <v>15.732602912049487</v>
      </c>
      <c r="K61" s="77">
        <v>0.68283338104927938</v>
      </c>
      <c r="L61" s="77">
        <v>0.2067513847949751</v>
      </c>
      <c r="M61" s="77">
        <v>0.71087065776974478</v>
      </c>
      <c r="N61" s="77">
        <v>1.1770286291890248E-3</v>
      </c>
      <c r="O61" s="77">
        <v>0.83922594663259975</v>
      </c>
      <c r="P61" s="78">
        <v>0.58888448956218842</v>
      </c>
      <c r="Q61" s="78">
        <v>0.18444430670685225</v>
      </c>
      <c r="R61" s="78">
        <v>0.71229925325563104</v>
      </c>
      <c r="S61" s="78">
        <v>1.1929121288298161E-3</v>
      </c>
      <c r="T61" s="78">
        <v>0.80245286861451814</v>
      </c>
      <c r="Y61" s="75" t="s">
        <v>196</v>
      </c>
      <c r="AB61" s="75">
        <f t="shared" si="8"/>
        <v>0.48668139633238716</v>
      </c>
      <c r="AC61" s="75">
        <f t="shared" si="9"/>
        <v>0.15243331132797708</v>
      </c>
      <c r="AD61" s="75">
        <f t="shared" si="10"/>
        <v>0.71229925325563104</v>
      </c>
      <c r="AE61" s="75">
        <f t="shared" si="11"/>
        <v>1.1929121288298161E-3</v>
      </c>
      <c r="AF61" s="75">
        <f t="shared" si="12"/>
        <v>0.80245286861451814</v>
      </c>
      <c r="AH61" s="75">
        <f t="shared" si="21"/>
        <v>0.48847526503273386</v>
      </c>
      <c r="AI61" s="75">
        <f t="shared" si="22"/>
        <v>0.1479027538583701</v>
      </c>
      <c r="AJ61" s="75">
        <f t="shared" si="23"/>
        <v>0.71087065776974478</v>
      </c>
      <c r="AK61" s="75">
        <f t="shared" si="24"/>
        <v>1.1770286291890248E-3</v>
      </c>
      <c r="AL61" s="75">
        <f t="shared" si="25"/>
        <v>0.83922594663259975</v>
      </c>
    </row>
    <row r="62" spans="1:38" s="75" customFormat="1" x14ac:dyDescent="0.2">
      <c r="A62" s="75">
        <f t="shared" si="26"/>
        <v>24</v>
      </c>
      <c r="B62" s="75">
        <v>34</v>
      </c>
      <c r="C62" s="75" t="s">
        <v>83</v>
      </c>
      <c r="E62" s="75" t="str">
        <f t="shared" si="27"/>
        <v>20220223_NeomaMSMS_SrF_LA_Chicago_Run1_RbSr_export_processed</v>
      </c>
      <c r="F62" s="76">
        <v>1390976319.9839962</v>
      </c>
      <c r="G62" s="75">
        <v>43062.947</v>
      </c>
      <c r="H62" s="75">
        <v>28156.09</v>
      </c>
      <c r="I62" s="75">
        <v>1431.25</v>
      </c>
      <c r="J62" s="75">
        <f t="shared" si="20"/>
        <v>16.014041975372894</v>
      </c>
      <c r="K62" s="77">
        <v>0.49792393867009843</v>
      </c>
      <c r="L62" s="77">
        <v>7.0032781273186184E-2</v>
      </c>
      <c r="M62" s="77">
        <v>0.71022218195427322</v>
      </c>
      <c r="N62" s="77">
        <v>7.4334373666792896E-4</v>
      </c>
      <c r="O62" s="77">
        <v>0.73510517837182743</v>
      </c>
      <c r="P62" s="78">
        <v>0.42941615422192425</v>
      </c>
      <c r="Q62" s="78">
        <v>6.9512531809900732E-2</v>
      </c>
      <c r="R62" s="78">
        <v>0.71164947423596558</v>
      </c>
      <c r="S62" s="78">
        <v>7.6602455075701283E-4</v>
      </c>
      <c r="T62" s="78">
        <v>0.62210907881880417</v>
      </c>
      <c r="Y62" s="75" t="s">
        <v>196</v>
      </c>
      <c r="AB62" s="75">
        <f t="shared" si="8"/>
        <v>0.35488938365448286</v>
      </c>
      <c r="AC62" s="75">
        <f t="shared" si="9"/>
        <v>5.7448373396612178E-2</v>
      </c>
      <c r="AD62" s="75">
        <f t="shared" si="10"/>
        <v>0.71164947423596558</v>
      </c>
      <c r="AE62" s="75">
        <f t="shared" si="11"/>
        <v>7.6602455075701283E-4</v>
      </c>
      <c r="AF62" s="75">
        <f t="shared" si="12"/>
        <v>0.62210907881880417</v>
      </c>
      <c r="AH62" s="75">
        <f t="shared" si="21"/>
        <v>0.35619747753729963</v>
      </c>
      <c r="AI62" s="75">
        <f t="shared" si="22"/>
        <v>5.009901733396694E-2</v>
      </c>
      <c r="AJ62" s="75">
        <f t="shared" si="23"/>
        <v>0.71022218195427322</v>
      </c>
      <c r="AK62" s="75">
        <f t="shared" si="24"/>
        <v>7.4334373666792896E-4</v>
      </c>
      <c r="AL62" s="75">
        <f t="shared" si="25"/>
        <v>0.73510517837182743</v>
      </c>
    </row>
    <row r="63" spans="1:38" s="75" customFormat="1" x14ac:dyDescent="0.2">
      <c r="A63" s="75">
        <f t="shared" si="26"/>
        <v>25</v>
      </c>
      <c r="B63" s="75">
        <v>35</v>
      </c>
      <c r="C63" s="75" t="s">
        <v>84</v>
      </c>
      <c r="D63" s="75" t="s">
        <v>321</v>
      </c>
      <c r="E63" s="75" t="str">
        <f t="shared" si="27"/>
        <v>20220223_NeomaMSMS_SrF_LA_Chicago_Run1_RbSr_export_processed</v>
      </c>
      <c r="F63" s="76">
        <v>230566097.12596577</v>
      </c>
      <c r="G63" s="75">
        <v>42609.968999999997</v>
      </c>
      <c r="H63" s="75">
        <v>28386.268</v>
      </c>
      <c r="I63" s="75">
        <v>1431.25</v>
      </c>
      <c r="K63" s="82">
        <v>10.20646009375986</v>
      </c>
      <c r="L63" s="82">
        <v>0.42350727182681513</v>
      </c>
      <c r="M63" s="82">
        <v>0.7486918412595458</v>
      </c>
      <c r="N63" s="82">
        <v>5.0373654108120808E-3</v>
      </c>
      <c r="O63" s="82">
        <v>-0.2560526494267184</v>
      </c>
      <c r="P63" s="83">
        <v>8.8021854369724419</v>
      </c>
      <c r="Q63" s="83">
        <v>0.7943244610860688</v>
      </c>
      <c r="R63" s="83">
        <v>0.75019644378189354</v>
      </c>
      <c r="S63" s="83">
        <v>5.0510112386810292E-3</v>
      </c>
      <c r="T63" s="83">
        <v>-0.11734784419750553</v>
      </c>
      <c r="Y63" s="75" t="s">
        <v>196</v>
      </c>
      <c r="AB63" s="75">
        <f t="shared" si="8"/>
        <v>7.2745334189854898</v>
      </c>
      <c r="AC63" s="75">
        <f t="shared" si="9"/>
        <v>0.65646649676534619</v>
      </c>
      <c r="AD63" s="75">
        <f t="shared" si="10"/>
        <v>0.75019644378189354</v>
      </c>
      <c r="AE63" s="75">
        <f t="shared" si="11"/>
        <v>5.0510112386810292E-3</v>
      </c>
      <c r="AF63" s="75">
        <f t="shared" si="12"/>
        <v>-0.11734784419750553</v>
      </c>
      <c r="AH63" s="75">
        <f t="shared" si="21"/>
        <v>7.3013467673244339</v>
      </c>
      <c r="AI63" s="75">
        <f t="shared" si="22"/>
        <v>0.30296238085343952</v>
      </c>
      <c r="AJ63" s="75">
        <f t="shared" si="23"/>
        <v>0.7486918412595458</v>
      </c>
      <c r="AK63" s="75">
        <f t="shared" si="24"/>
        <v>5.0373654108120808E-3</v>
      </c>
      <c r="AL63" s="75">
        <f t="shared" si="25"/>
        <v>-0.2560526494267184</v>
      </c>
    </row>
    <row r="64" spans="1:38" s="79" customFormat="1" x14ac:dyDescent="0.2">
      <c r="A64" s="75">
        <f>A63+1</f>
        <v>26</v>
      </c>
      <c r="B64" s="79">
        <v>38</v>
      </c>
      <c r="C64" s="79" t="s">
        <v>85</v>
      </c>
      <c r="D64" s="75" t="s">
        <v>321</v>
      </c>
      <c r="E64" s="79" t="str">
        <f t="shared" si="27"/>
        <v>20220223_NeomaMSMS_SrF_LA_Chicago_Run1_RbSr_export_processed</v>
      </c>
      <c r="F64" s="80">
        <v>592158878.737867</v>
      </c>
      <c r="G64" s="79">
        <v>42457.902999999998</v>
      </c>
      <c r="H64" s="79">
        <v>28656.217000000001</v>
      </c>
      <c r="I64" s="79">
        <v>1431.25</v>
      </c>
      <c r="J64" s="75"/>
      <c r="K64" s="84">
        <v>5.6694760684724201</v>
      </c>
      <c r="L64" s="84">
        <v>1.4518432624866595</v>
      </c>
      <c r="M64" s="84">
        <v>0.73170132855072711</v>
      </c>
      <c r="N64" s="84">
        <v>3.8031289008129843E-3</v>
      </c>
      <c r="O64" s="84">
        <v>0.9187277066439864</v>
      </c>
      <c r="P64" s="85">
        <v>4.9375618203175495</v>
      </c>
      <c r="Q64" s="85">
        <v>1.3229225311005322</v>
      </c>
      <c r="R64" s="85">
        <v>0.73326288541063944</v>
      </c>
      <c r="S64" s="85">
        <v>3.8114112907862174E-3</v>
      </c>
      <c r="T64" s="85">
        <v>0.88368084041998807</v>
      </c>
      <c r="Y64" s="79" t="s">
        <v>196</v>
      </c>
      <c r="AB64" s="79">
        <f t="shared" si="8"/>
        <v>4.080629603568223</v>
      </c>
      <c r="AC64" s="79">
        <f t="shared" si="9"/>
        <v>1.0933244058682083</v>
      </c>
      <c r="AD64" s="79">
        <f t="shared" si="10"/>
        <v>0.73326288541063944</v>
      </c>
      <c r="AE64" s="79">
        <f t="shared" si="11"/>
        <v>3.8114112907862174E-3</v>
      </c>
      <c r="AF64" s="79">
        <f t="shared" si="12"/>
        <v>0.88368084041998807</v>
      </c>
      <c r="AH64" s="75">
        <f t="shared" si="21"/>
        <v>4.0557461043984064</v>
      </c>
      <c r="AI64" s="75">
        <f t="shared" si="22"/>
        <v>1.0385982028871821</v>
      </c>
      <c r="AJ64" s="75">
        <f t="shared" si="23"/>
        <v>0.73170132855072711</v>
      </c>
      <c r="AK64" s="75">
        <f t="shared" si="24"/>
        <v>3.8031289008129843E-3</v>
      </c>
      <c r="AL64" s="75">
        <f t="shared" si="25"/>
        <v>0.9187277066439864</v>
      </c>
    </row>
    <row r="65" spans="2:40" x14ac:dyDescent="0.2">
      <c r="B65" s="2">
        <v>40</v>
      </c>
      <c r="C65" s="2" t="s">
        <v>87</v>
      </c>
      <c r="E65" s="2" t="str">
        <f t="shared" si="27"/>
        <v>20220223_NeomaMSMS_SrF_LA_Chicago_Run1_RbSr_export_processed</v>
      </c>
      <c r="F65" s="14">
        <v>101111124.01852256</v>
      </c>
      <c r="G65" s="2">
        <v>50107.735999999997</v>
      </c>
      <c r="H65" s="2">
        <v>32462.924999999999</v>
      </c>
      <c r="I65" s="2">
        <v>1327.19</v>
      </c>
      <c r="K65" s="82">
        <v>16.14851863499895</v>
      </c>
      <c r="L65" s="82">
        <v>6.3679631078114403</v>
      </c>
      <c r="M65" s="82">
        <v>0.76995715040840651</v>
      </c>
      <c r="N65" s="82">
        <v>2.9308070748385952E-2</v>
      </c>
      <c r="O65" s="82">
        <v>0.96193239656825213</v>
      </c>
      <c r="P65" s="83">
        <v>14.063787923941417</v>
      </c>
      <c r="Q65" s="83">
        <v>5.6555183950452781</v>
      </c>
      <c r="R65" s="83">
        <v>0.77160035074595423</v>
      </c>
      <c r="S65" s="83">
        <v>2.9370642273176779E-2</v>
      </c>
      <c r="T65" s="83">
        <v>0.94379449411719873</v>
      </c>
      <c r="Y65" s="2" t="s">
        <v>196</v>
      </c>
      <c r="AB65" s="2">
        <f t="shared" si="8"/>
        <v>11.622965226397866</v>
      </c>
      <c r="AC65" s="2">
        <f t="shared" si="9"/>
        <v>4.6739821446655192</v>
      </c>
      <c r="AD65" s="2">
        <f t="shared" si="10"/>
        <v>0.77160035074595423</v>
      </c>
      <c r="AE65" s="2">
        <f t="shared" si="11"/>
        <v>2.9370642273176779E-2</v>
      </c>
      <c r="AF65" s="2">
        <f t="shared" si="12"/>
        <v>0.94379449411719873</v>
      </c>
      <c r="AH65" s="2">
        <f>K65/$AJ$15</f>
        <v>11.552088897581113</v>
      </c>
      <c r="AI65" s="2">
        <f>L65/$AJ$15</f>
        <v>4.555419452439418</v>
      </c>
      <c r="AJ65" s="2">
        <f>M65</f>
        <v>0.76995715040840651</v>
      </c>
      <c r="AK65" s="2">
        <f t="shared" si="24"/>
        <v>2.9308070748385952E-2</v>
      </c>
      <c r="AL65" s="2">
        <f t="shared" si="25"/>
        <v>0.96193239656825213</v>
      </c>
    </row>
    <row r="66" spans="2:40" x14ac:dyDescent="0.2">
      <c r="B66" s="2">
        <v>41</v>
      </c>
      <c r="C66" s="2" t="s">
        <v>88</v>
      </c>
      <c r="E66" s="2" t="str">
        <f t="shared" si="27"/>
        <v>20220223_NeomaMSMS_SrF_LA_Chicago_Run1_RbSr_export_processed</v>
      </c>
      <c r="F66" s="14">
        <v>57389839.321770146</v>
      </c>
      <c r="G66" s="2">
        <v>51285.180999999997</v>
      </c>
      <c r="H66" s="2">
        <v>32086.594000000001</v>
      </c>
      <c r="I66" s="2">
        <v>1327.19</v>
      </c>
      <c r="K66" s="82">
        <v>223.23796146291619</v>
      </c>
      <c r="L66" s="82">
        <v>29.339935625561967</v>
      </c>
      <c r="M66" s="82">
        <v>1.864344151074524</v>
      </c>
      <c r="N66" s="82">
        <v>0.11401170811790713</v>
      </c>
      <c r="O66" s="82">
        <v>0.76177397042790129</v>
      </c>
      <c r="P66" s="83">
        <v>194.41853569051315</v>
      </c>
      <c r="Q66" s="83">
        <v>29.792964210949929</v>
      </c>
      <c r="R66" s="83">
        <v>1.8683229321491932</v>
      </c>
      <c r="S66" s="83">
        <v>0.11425506159575131</v>
      </c>
      <c r="T66" s="83">
        <v>0.65417843580932356</v>
      </c>
      <c r="Y66" s="2" t="s">
        <v>196</v>
      </c>
      <c r="AB66" s="2">
        <f t="shared" si="8"/>
        <v>160.6764757772836</v>
      </c>
      <c r="AC66" s="2">
        <f t="shared" si="9"/>
        <v>24.622284471859448</v>
      </c>
      <c r="AD66" s="2">
        <f t="shared" si="10"/>
        <v>1.8683229321491932</v>
      </c>
      <c r="AE66" s="2">
        <f t="shared" si="11"/>
        <v>0.11425506159575131</v>
      </c>
      <c r="AF66" s="2">
        <f t="shared" si="12"/>
        <v>0.65417843580932356</v>
      </c>
      <c r="AH66" s="2">
        <f t="shared" ref="AH66:AH77" si="28">K66/$AJ$15</f>
        <v>159.69667772158235</v>
      </c>
      <c r="AI66" s="2">
        <f t="shared" ref="AI66:AI77" si="29">L66/$AJ$15</f>
        <v>20.988770069671531</v>
      </c>
      <c r="AJ66" s="2">
        <f t="shared" ref="AJ66:AJ77" si="30">M66</f>
        <v>1.864344151074524</v>
      </c>
      <c r="AK66" s="2">
        <f t="shared" ref="AK66:AK77" si="31">N66</f>
        <v>0.11401170811790713</v>
      </c>
      <c r="AL66" s="2">
        <f t="shared" ref="AL66:AL77" si="32">O66</f>
        <v>0.76177397042790129</v>
      </c>
      <c r="AN66" s="2" t="s">
        <v>279</v>
      </c>
    </row>
    <row r="67" spans="2:40" x14ac:dyDescent="0.2">
      <c r="B67" s="2">
        <v>42</v>
      </c>
      <c r="C67" s="2" t="s">
        <v>89</v>
      </c>
      <c r="E67" s="2" t="str">
        <f t="shared" si="27"/>
        <v>20220223_NeomaMSMS_SrF_LA_Chicago_Run1_RbSr_export_processed</v>
      </c>
      <c r="F67" s="14">
        <v>470465025.02796519</v>
      </c>
      <c r="G67" s="2">
        <v>52627.309000000001</v>
      </c>
      <c r="H67" s="2">
        <v>30704.845000000001</v>
      </c>
      <c r="I67" s="2">
        <v>1327.19</v>
      </c>
      <c r="K67" s="82">
        <v>8.6680454045875397</v>
      </c>
      <c r="L67" s="82">
        <v>7.3677583727579687</v>
      </c>
      <c r="M67" s="82">
        <v>0.7507208622495698</v>
      </c>
      <c r="N67" s="82">
        <v>3.4853103351477066E-2</v>
      </c>
      <c r="O67" s="82">
        <v>0.99591922873783045</v>
      </c>
      <c r="P67" s="83">
        <v>7.5490238479835678</v>
      </c>
      <c r="Q67" s="83">
        <v>6.444114947349834</v>
      </c>
      <c r="R67" s="83">
        <v>0.75232300955555731</v>
      </c>
      <c r="S67" s="83">
        <v>3.4927503997376083E-2</v>
      </c>
      <c r="T67" s="83">
        <v>0.99186401216921771</v>
      </c>
      <c r="Y67" s="2" t="s">
        <v>196</v>
      </c>
      <c r="AB67" s="2">
        <f t="shared" si="8"/>
        <v>6.2388626842839408</v>
      </c>
      <c r="AC67" s="2">
        <f t="shared" si="9"/>
        <v>5.3257148325205241</v>
      </c>
      <c r="AD67" s="2">
        <f t="shared" si="10"/>
        <v>0.75232300955555731</v>
      </c>
      <c r="AE67" s="2">
        <f t="shared" si="11"/>
        <v>3.4927503997376083E-2</v>
      </c>
      <c r="AF67" s="2">
        <f t="shared" si="12"/>
        <v>0.99186401216921771</v>
      </c>
      <c r="AH67" s="2">
        <f t="shared" si="28"/>
        <v>6.2008183750701793</v>
      </c>
      <c r="AI67" s="2">
        <f t="shared" si="29"/>
        <v>5.27063823139361</v>
      </c>
      <c r="AJ67" s="2">
        <f t="shared" si="30"/>
        <v>0.7507208622495698</v>
      </c>
      <c r="AK67" s="2">
        <f t="shared" si="31"/>
        <v>3.4853103351477066E-2</v>
      </c>
      <c r="AL67" s="2">
        <f t="shared" si="32"/>
        <v>0.99591922873783045</v>
      </c>
    </row>
    <row r="68" spans="2:40" x14ac:dyDescent="0.2">
      <c r="B68" s="2">
        <v>45</v>
      </c>
      <c r="C68" s="2" t="s">
        <v>90</v>
      </c>
      <c r="E68" s="2" t="str">
        <f t="shared" si="27"/>
        <v>20220223_NeomaMSMS_SrF_LA_Chicago_Run1_RbSr_export_processed</v>
      </c>
      <c r="F68" s="14">
        <v>29853650.520143583</v>
      </c>
      <c r="G68" s="2">
        <v>44135.447999999997</v>
      </c>
      <c r="H68" s="2">
        <v>31231.605</v>
      </c>
      <c r="I68" s="2">
        <v>1327.19</v>
      </c>
      <c r="K68" s="82">
        <v>340.79249079490137</v>
      </c>
      <c r="L68" s="82">
        <v>106.80335358364468</v>
      </c>
      <c r="M68" s="82">
        <v>2.2913410051795622</v>
      </c>
      <c r="N68" s="82">
        <v>0.48857842056497669</v>
      </c>
      <c r="O68" s="82">
        <v>0.99516295028767099</v>
      </c>
      <c r="P68" s="83">
        <v>304.9074396806115</v>
      </c>
      <c r="Q68" s="83">
        <v>98.965753906835772</v>
      </c>
      <c r="R68" s="83">
        <v>2.2971872924706114</v>
      </c>
      <c r="S68" s="83">
        <v>0.48982583829976184</v>
      </c>
      <c r="T68" s="83">
        <v>0.96109064533240718</v>
      </c>
      <c r="Y68" s="2" t="s">
        <v>196</v>
      </c>
      <c r="AB68" s="2">
        <f t="shared" si="8"/>
        <v>251.98961957075332</v>
      </c>
      <c r="AC68" s="2">
        <f t="shared" si="9"/>
        <v>81.789879261847744</v>
      </c>
      <c r="AD68" s="2">
        <f t="shared" si="10"/>
        <v>2.2971872924706114</v>
      </c>
      <c r="AE68" s="2">
        <f t="shared" si="11"/>
        <v>0.48982583829976184</v>
      </c>
      <c r="AF68" s="2">
        <f t="shared" si="12"/>
        <v>0.96109064533240718</v>
      </c>
      <c r="AH68" s="2">
        <f t="shared" si="28"/>
        <v>243.79110172733499</v>
      </c>
      <c r="AI68" s="2">
        <f t="shared" si="29"/>
        <v>76.403406593841538</v>
      </c>
      <c r="AJ68" s="2">
        <f t="shared" si="30"/>
        <v>2.2913410051795622</v>
      </c>
      <c r="AK68" s="2">
        <f t="shared" si="31"/>
        <v>0.48857842056497669</v>
      </c>
      <c r="AL68" s="2">
        <f t="shared" si="32"/>
        <v>0.99516295028767099</v>
      </c>
      <c r="AN68" s="2" t="s">
        <v>279</v>
      </c>
    </row>
    <row r="69" spans="2:40" x14ac:dyDescent="0.2">
      <c r="B69" s="2">
        <v>46</v>
      </c>
      <c r="C69" s="2" t="s">
        <v>91</v>
      </c>
      <c r="E69" s="2" t="str">
        <f t="shared" si="27"/>
        <v>20220223_NeomaMSMS_SrF_LA_Chicago_Run1_RbSr_export_processed</v>
      </c>
      <c r="F69" s="14">
        <v>230578055.25565183</v>
      </c>
      <c r="G69" s="2">
        <v>43738.538999999997</v>
      </c>
      <c r="H69" s="2">
        <v>31329.038</v>
      </c>
      <c r="I69" s="2">
        <v>1327.19</v>
      </c>
      <c r="K69" s="82">
        <v>10.79276712362028</v>
      </c>
      <c r="L69" s="82">
        <v>0.6115561267623334</v>
      </c>
      <c r="M69" s="82">
        <v>0.74593161681278564</v>
      </c>
      <c r="N69" s="82">
        <v>2.785669604433045E-3</v>
      </c>
      <c r="O69" s="82">
        <v>-0.26829831614704519</v>
      </c>
      <c r="P69" s="83">
        <v>9.6563013552802488</v>
      </c>
      <c r="Q69" s="83">
        <v>0.98204563687381807</v>
      </c>
      <c r="R69" s="83">
        <v>0.74783483877822254</v>
      </c>
      <c r="S69" s="83">
        <v>2.8080639271675159E-3</v>
      </c>
      <c r="T69" s="83">
        <v>-0.11140653410756422</v>
      </c>
      <c r="Y69" s="2" t="s">
        <v>196</v>
      </c>
      <c r="AB69" s="2">
        <f t="shared" si="8"/>
        <v>7.9804143432068173</v>
      </c>
      <c r="AC69" s="2">
        <f t="shared" si="9"/>
        <v>0.81160796435852733</v>
      </c>
      <c r="AD69" s="2">
        <f t="shared" si="10"/>
        <v>0.74783483877822254</v>
      </c>
      <c r="AE69" s="2">
        <f t="shared" si="11"/>
        <v>2.8080639271675159E-3</v>
      </c>
      <c r="AF69" s="2">
        <f t="shared" si="12"/>
        <v>-0.11140653410756422</v>
      </c>
      <c r="AH69" s="2">
        <f t="shared" si="28"/>
        <v>7.7207704360407039</v>
      </c>
      <c r="AI69" s="2">
        <f t="shared" si="29"/>
        <v>0.43748599496348284</v>
      </c>
      <c r="AJ69" s="2">
        <f t="shared" si="30"/>
        <v>0.74593161681278564</v>
      </c>
      <c r="AK69" s="2">
        <f t="shared" si="31"/>
        <v>2.785669604433045E-3</v>
      </c>
      <c r="AL69" s="2">
        <f t="shared" si="32"/>
        <v>-0.26829831614704519</v>
      </c>
    </row>
    <row r="70" spans="2:40" x14ac:dyDescent="0.2">
      <c r="B70" s="2">
        <v>48</v>
      </c>
      <c r="C70" s="2" t="s">
        <v>93</v>
      </c>
      <c r="E70" s="2" t="str">
        <f t="shared" si="27"/>
        <v>20220223_NeomaMSMS_SrF_LA_Chicago_Run1_RbSr_export_processed</v>
      </c>
      <c r="F70" s="14">
        <v>324717253.33096457</v>
      </c>
      <c r="G70" s="2">
        <v>46902.438000000002</v>
      </c>
      <c r="H70" s="2">
        <v>32397.932000000001</v>
      </c>
      <c r="I70" s="2">
        <v>1327.19</v>
      </c>
      <c r="K70" s="82">
        <v>21.921575471685557</v>
      </c>
      <c r="L70" s="82">
        <v>12.38932275004583</v>
      </c>
      <c r="M70" s="82">
        <v>0.82130432997883362</v>
      </c>
      <c r="N70" s="82">
        <v>5.5184450411502634E-2</v>
      </c>
      <c r="O70" s="82">
        <v>0.98755218976160897</v>
      </c>
      <c r="P70" s="83">
        <v>19.613259186686687</v>
      </c>
      <c r="Q70" s="83">
        <v>11.207813476124317</v>
      </c>
      <c r="R70" s="83">
        <v>0.82339986314285629</v>
      </c>
      <c r="S70" s="83">
        <v>5.5326189909765261E-2</v>
      </c>
      <c r="T70" s="83">
        <v>0.97706204291158649</v>
      </c>
      <c r="Y70" s="2" t="s">
        <v>196</v>
      </c>
      <c r="AB70" s="2">
        <f t="shared" si="8"/>
        <v>16.209305112964206</v>
      </c>
      <c r="AC70" s="2">
        <f t="shared" si="9"/>
        <v>9.2626557653919974</v>
      </c>
      <c r="AD70" s="2">
        <f t="shared" si="10"/>
        <v>0.82339986314285629</v>
      </c>
      <c r="AE70" s="2">
        <f t="shared" si="11"/>
        <v>5.5326189909765261E-2</v>
      </c>
      <c r="AF70" s="2">
        <f t="shared" si="12"/>
        <v>0.97706204291158649</v>
      </c>
      <c r="AH70" s="2">
        <f t="shared" si="28"/>
        <v>15.681933083019391</v>
      </c>
      <c r="AI70" s="2">
        <f t="shared" si="29"/>
        <v>8.8628908337859329</v>
      </c>
      <c r="AJ70" s="2">
        <f t="shared" si="30"/>
        <v>0.82130432997883362</v>
      </c>
      <c r="AK70" s="2">
        <f t="shared" si="31"/>
        <v>5.5184450411502634E-2</v>
      </c>
      <c r="AL70" s="2">
        <f t="shared" si="32"/>
        <v>0.98755218976160897</v>
      </c>
    </row>
    <row r="71" spans="2:40" s="102" customFormat="1" x14ac:dyDescent="0.2">
      <c r="B71" s="102">
        <v>53</v>
      </c>
      <c r="C71" s="102" t="s">
        <v>96</v>
      </c>
      <c r="E71" s="102" t="str">
        <f t="shared" si="27"/>
        <v>20220223_NeomaMSMS_SrF_LA_Chicago_Run1_RbSr_export_processed</v>
      </c>
      <c r="F71" s="104">
        <v>13590749.331385909</v>
      </c>
      <c r="G71" s="102">
        <v>40373.877</v>
      </c>
      <c r="H71" s="102">
        <v>26806.476999999999</v>
      </c>
      <c r="I71" s="102">
        <v>1327.19</v>
      </c>
      <c r="K71" s="103">
        <v>892.26021396334158</v>
      </c>
      <c r="L71" s="103">
        <v>94.644018464302064</v>
      </c>
      <c r="M71" s="103">
        <v>4.8581195728920585</v>
      </c>
      <c r="N71" s="103">
        <v>0.23782377292602433</v>
      </c>
      <c r="O71" s="103">
        <v>0.77872168225172089</v>
      </c>
      <c r="P71" s="103">
        <v>817.08080723737783</v>
      </c>
      <c r="Q71" s="103">
        <v>113.64855665169563</v>
      </c>
      <c r="R71" s="103">
        <v>4.871114255551741</v>
      </c>
      <c r="S71" s="103">
        <v>0.23846761280836551</v>
      </c>
      <c r="T71" s="103">
        <v>0.59541548960056645</v>
      </c>
      <c r="Y71" s="102" t="s">
        <v>196</v>
      </c>
      <c r="AB71" s="102">
        <f t="shared" si="8"/>
        <v>675.27339441105607</v>
      </c>
      <c r="AC71" s="102">
        <f t="shared" si="9"/>
        <v>93.924426984872426</v>
      </c>
      <c r="AD71" s="102">
        <f t="shared" si="10"/>
        <v>4.871114255551741</v>
      </c>
      <c r="AE71" s="102">
        <f t="shared" si="11"/>
        <v>0.23846761280836551</v>
      </c>
      <c r="AF71" s="102">
        <f t="shared" si="12"/>
        <v>0.59541548960056645</v>
      </c>
      <c r="AH71" s="102">
        <f t="shared" si="28"/>
        <v>638.29194147503529</v>
      </c>
      <c r="AI71" s="102">
        <f t="shared" si="29"/>
        <v>67.705040916528432</v>
      </c>
      <c r="AJ71" s="102">
        <f t="shared" si="30"/>
        <v>4.8581195728920585</v>
      </c>
      <c r="AK71" s="102">
        <f t="shared" si="31"/>
        <v>0.23782377292602433</v>
      </c>
      <c r="AL71" s="102">
        <f t="shared" si="32"/>
        <v>0.77872168225172089</v>
      </c>
      <c r="AN71" s="102" t="s">
        <v>279</v>
      </c>
    </row>
    <row r="72" spans="2:40" x14ac:dyDescent="0.2">
      <c r="B72" s="2">
        <v>54</v>
      </c>
      <c r="C72" s="2" t="s">
        <v>97</v>
      </c>
      <c r="E72" s="2" t="str">
        <f t="shared" si="27"/>
        <v>20220223_NeomaMSMS_SrF_LA_Chicago_Run1_RbSr_export_processed</v>
      </c>
      <c r="F72" s="14">
        <v>23425210.494332828</v>
      </c>
      <c r="G72" s="2">
        <v>40414.646000000001</v>
      </c>
      <c r="H72" s="2">
        <v>26464.077000000001</v>
      </c>
      <c r="I72" s="2">
        <v>1327.19</v>
      </c>
      <c r="K72" s="82">
        <v>657.58167220850032</v>
      </c>
      <c r="L72" s="82">
        <v>423.68452424345247</v>
      </c>
      <c r="M72" s="82">
        <v>3.9538060961129431</v>
      </c>
      <c r="N72" s="82">
        <v>1.6863606172878305</v>
      </c>
      <c r="O72" s="82">
        <v>0.9722948104007787</v>
      </c>
      <c r="P72" s="83">
        <v>602.17563794086311</v>
      </c>
      <c r="Q72" s="83">
        <v>391.75058475325591</v>
      </c>
      <c r="R72" s="83">
        <v>3.9643818867549836</v>
      </c>
      <c r="S72" s="83">
        <v>1.6908720779471123</v>
      </c>
      <c r="T72" s="83">
        <v>0.96298966313287149</v>
      </c>
      <c r="Y72" s="2" t="s">
        <v>196</v>
      </c>
      <c r="AB72" s="2">
        <f t="shared" si="8"/>
        <v>497.66581648005217</v>
      </c>
      <c r="AC72" s="2">
        <f t="shared" si="9"/>
        <v>323.76081384566606</v>
      </c>
      <c r="AD72" s="2">
        <f t="shared" si="10"/>
        <v>3.9643818867549836</v>
      </c>
      <c r="AE72" s="2">
        <f t="shared" si="11"/>
        <v>1.6908720779471123</v>
      </c>
      <c r="AF72" s="2">
        <f t="shared" si="12"/>
        <v>0.96298966313287149</v>
      </c>
      <c r="AH72" s="2">
        <f t="shared" si="28"/>
        <v>470.4110702952496</v>
      </c>
      <c r="AI72" s="2">
        <f t="shared" si="29"/>
        <v>303.08918107088289</v>
      </c>
      <c r="AJ72" s="2">
        <f t="shared" si="30"/>
        <v>3.9538060961129431</v>
      </c>
      <c r="AK72" s="2">
        <f t="shared" si="31"/>
        <v>1.6863606172878305</v>
      </c>
      <c r="AL72" s="2">
        <f t="shared" si="32"/>
        <v>0.9722948104007787</v>
      </c>
      <c r="AN72" s="2" t="s">
        <v>279</v>
      </c>
    </row>
    <row r="73" spans="2:40" x14ac:dyDescent="0.2">
      <c r="B73" s="2">
        <v>55</v>
      </c>
      <c r="C73" s="2" t="s">
        <v>98</v>
      </c>
      <c r="E73" s="2" t="str">
        <f t="shared" si="27"/>
        <v>20220223_NeomaMSMS_SrF_LA_Chicago_Run1_RbSr_export_processed</v>
      </c>
      <c r="F73" s="14">
        <v>38036772.51642552</v>
      </c>
      <c r="G73" s="2">
        <v>40270.387999999999</v>
      </c>
      <c r="H73" s="2">
        <v>26708.456999999999</v>
      </c>
      <c r="I73" s="2">
        <v>1327.19</v>
      </c>
      <c r="K73" s="82">
        <v>177.21868414580925</v>
      </c>
      <c r="L73" s="82">
        <v>36.685464590894291</v>
      </c>
      <c r="M73" s="82">
        <v>2.1091304753525257</v>
      </c>
      <c r="N73" s="82">
        <v>0.17014498105251966</v>
      </c>
      <c r="O73" s="82">
        <v>0.75268326531835072</v>
      </c>
      <c r="P73" s="83">
        <v>162.28672222894036</v>
      </c>
      <c r="Q73" s="83">
        <v>36.63037354079156</v>
      </c>
      <c r="R73" s="83">
        <v>2.1147720576157543</v>
      </c>
      <c r="S73" s="83">
        <v>0.17060211988614379</v>
      </c>
      <c r="T73" s="83">
        <v>0.69088104111759019</v>
      </c>
      <c r="Y73" s="2" t="s">
        <v>196</v>
      </c>
      <c r="AB73" s="2">
        <f t="shared" si="8"/>
        <v>134.12125804044658</v>
      </c>
      <c r="AC73" s="2">
        <f t="shared" si="9"/>
        <v>30.273035984125258</v>
      </c>
      <c r="AD73" s="2">
        <f t="shared" si="10"/>
        <v>2.1147720576157543</v>
      </c>
      <c r="AE73" s="2">
        <f t="shared" si="11"/>
        <v>0.17060211988614379</v>
      </c>
      <c r="AF73" s="2">
        <f t="shared" si="12"/>
        <v>0.69088104111759019</v>
      </c>
      <c r="AH73" s="2">
        <f t="shared" si="28"/>
        <v>126.77608639146052</v>
      </c>
      <c r="AI73" s="2">
        <f t="shared" si="29"/>
        <v>26.243506155702718</v>
      </c>
      <c r="AJ73" s="2">
        <f t="shared" si="30"/>
        <v>2.1091304753525257</v>
      </c>
      <c r="AK73" s="2">
        <f t="shared" si="31"/>
        <v>0.17014498105251966</v>
      </c>
      <c r="AL73" s="2">
        <f t="shared" si="32"/>
        <v>0.75268326531835072</v>
      </c>
      <c r="AN73" s="2" t="s">
        <v>279</v>
      </c>
    </row>
    <row r="74" spans="2:40" x14ac:dyDescent="0.2">
      <c r="B74" s="2">
        <v>56</v>
      </c>
      <c r="C74" s="2" t="s">
        <v>99</v>
      </c>
      <c r="E74" s="2" t="str">
        <f t="shared" si="27"/>
        <v>20220223_NeomaMSMS_SrF_LA_Chicago_Run1_RbSr_export_processed</v>
      </c>
      <c r="F74" s="14">
        <v>319112719.66456544</v>
      </c>
      <c r="G74" s="2">
        <v>40292.741999999998</v>
      </c>
      <c r="H74" s="2">
        <v>27057.121999999999</v>
      </c>
      <c r="I74" s="2">
        <v>1327.19</v>
      </c>
      <c r="K74" s="82">
        <v>8.0625488399263538</v>
      </c>
      <c r="L74" s="82">
        <v>1.0642049871790029</v>
      </c>
      <c r="M74" s="82">
        <v>0.73779073001143369</v>
      </c>
      <c r="N74" s="82">
        <v>4.2564970934916421E-3</v>
      </c>
      <c r="O74" s="82">
        <v>-0.65460721731426597</v>
      </c>
      <c r="P74" s="83">
        <v>7.3832205128317723</v>
      </c>
      <c r="Q74" s="83">
        <v>1.1794055464514384</v>
      </c>
      <c r="R74" s="83">
        <v>0.7397642006644104</v>
      </c>
      <c r="S74" s="83">
        <v>4.2777935196884331E-3</v>
      </c>
      <c r="T74" s="83">
        <v>-0.52804772777552389</v>
      </c>
      <c r="Y74" s="2" t="s">
        <v>196</v>
      </c>
      <c r="AB74" s="2">
        <f t="shared" si="8"/>
        <v>6.1018351345717132</v>
      </c>
      <c r="AC74" s="2">
        <f t="shared" si="9"/>
        <v>0.97471532764581681</v>
      </c>
      <c r="AD74" s="2">
        <f t="shared" si="10"/>
        <v>0.7397642006644104</v>
      </c>
      <c r="AE74" s="2">
        <f t="shared" si="11"/>
        <v>4.2777935196884331E-3</v>
      </c>
      <c r="AF74" s="2">
        <f t="shared" si="12"/>
        <v>-0.52804772777552389</v>
      </c>
      <c r="AH74" s="2">
        <f t="shared" si="28"/>
        <v>5.7676671801992052</v>
      </c>
      <c r="AI74" s="2">
        <f t="shared" si="29"/>
        <v>0.76129525531193154</v>
      </c>
      <c r="AJ74" s="2">
        <f t="shared" si="30"/>
        <v>0.73779073001143369</v>
      </c>
      <c r="AK74" s="2">
        <f t="shared" si="31"/>
        <v>4.2564970934916421E-3</v>
      </c>
      <c r="AL74" s="2">
        <f t="shared" si="32"/>
        <v>-0.65460721731426597</v>
      </c>
    </row>
    <row r="75" spans="2:40" x14ac:dyDescent="0.2">
      <c r="B75" s="2">
        <v>59</v>
      </c>
      <c r="C75" s="2" t="s">
        <v>100</v>
      </c>
      <c r="E75" s="2" t="str">
        <f t="shared" si="27"/>
        <v>20220223_NeomaMSMS_SrF_LA_Chicago_Run1_RbSr_export_processed</v>
      </c>
      <c r="F75" s="14">
        <v>22160436.317697078</v>
      </c>
      <c r="G75" s="2">
        <v>44375.500999999997</v>
      </c>
      <c r="H75" s="2">
        <v>31279.556</v>
      </c>
      <c r="I75" s="2">
        <v>1327.19</v>
      </c>
      <c r="K75" s="82">
        <v>570.35689168885756</v>
      </c>
      <c r="L75" s="82">
        <v>182.43672657177217</v>
      </c>
      <c r="M75" s="82">
        <v>3.3919089947119319</v>
      </c>
      <c r="N75" s="82">
        <v>0.76706520061657146</v>
      </c>
      <c r="O75" s="82">
        <v>0.93120449713688946</v>
      </c>
      <c r="P75" s="83">
        <v>526.98684946239632</v>
      </c>
      <c r="Q75" s="83">
        <v>176.40152195447516</v>
      </c>
      <c r="R75" s="83">
        <v>3.3991012690391207</v>
      </c>
      <c r="S75" s="83">
        <v>0.7686916020531519</v>
      </c>
      <c r="T75" s="83">
        <v>0.88994614943371353</v>
      </c>
      <c r="Y75" s="2" t="s">
        <v>196</v>
      </c>
      <c r="AB75" s="2">
        <f t="shared" si="8"/>
        <v>435.52632186974904</v>
      </c>
      <c r="AC75" s="2">
        <f t="shared" si="9"/>
        <v>145.78638178055797</v>
      </c>
      <c r="AD75" s="2">
        <f t="shared" si="10"/>
        <v>3.3991012690391207</v>
      </c>
      <c r="AE75" s="2">
        <f t="shared" si="11"/>
        <v>0.7686916020531519</v>
      </c>
      <c r="AF75" s="2">
        <f t="shared" si="12"/>
        <v>0.88994614943371353</v>
      </c>
      <c r="AH75" s="2">
        <f t="shared" si="28"/>
        <v>408.01349430638675</v>
      </c>
      <c r="AI75" s="2">
        <f t="shared" si="29"/>
        <v>130.50889256015944</v>
      </c>
      <c r="AJ75" s="2">
        <f t="shared" si="30"/>
        <v>3.3919089947119319</v>
      </c>
      <c r="AK75" s="2">
        <f t="shared" si="31"/>
        <v>0.76706520061657146</v>
      </c>
      <c r="AL75" s="2">
        <f t="shared" si="32"/>
        <v>0.93120449713688946</v>
      </c>
      <c r="AN75" s="2" t="s">
        <v>279</v>
      </c>
    </row>
    <row r="76" spans="2:40" x14ac:dyDescent="0.2">
      <c r="B76" s="2">
        <v>60</v>
      </c>
      <c r="C76" s="2" t="s">
        <v>101</v>
      </c>
      <c r="E76" s="2" t="str">
        <f t="shared" si="27"/>
        <v>20220223_NeomaMSMS_SrF_LA_Chicago_Run1_RbSr_export_processed</v>
      </c>
      <c r="F76" s="14">
        <v>21201928.019970261</v>
      </c>
      <c r="G76" s="2">
        <v>44476.461000000003</v>
      </c>
      <c r="H76" s="2">
        <v>31065.93</v>
      </c>
      <c r="I76" s="2">
        <v>1327.19</v>
      </c>
      <c r="K76" s="82">
        <v>579.0184048847434</v>
      </c>
      <c r="L76" s="82">
        <v>371.31033545081419</v>
      </c>
      <c r="M76" s="82">
        <v>3.3871890906679969</v>
      </c>
      <c r="N76" s="82">
        <v>1.399766309070533</v>
      </c>
      <c r="O76" s="82">
        <v>0.98798818866130689</v>
      </c>
      <c r="P76" s="83">
        <v>534.98973961273907</v>
      </c>
      <c r="Q76" s="83">
        <v>347.11290517985901</v>
      </c>
      <c r="R76" s="83">
        <v>3.394371356812556</v>
      </c>
      <c r="S76" s="83">
        <v>1.4027343482389729</v>
      </c>
      <c r="T76" s="83">
        <v>0.97652964286570365</v>
      </c>
      <c r="Y76" s="2" t="s">
        <v>196</v>
      </c>
      <c r="AB76" s="2">
        <f t="shared" si="8"/>
        <v>442.14028067168522</v>
      </c>
      <c r="AC76" s="2">
        <f t="shared" si="9"/>
        <v>286.87016957013145</v>
      </c>
      <c r="AD76" s="2">
        <f t="shared" si="10"/>
        <v>3.394371356812556</v>
      </c>
      <c r="AE76" s="2">
        <f t="shared" si="11"/>
        <v>1.4027343482389729</v>
      </c>
      <c r="AF76" s="2">
        <f t="shared" si="12"/>
        <v>0.97652964286570365</v>
      </c>
      <c r="AH76" s="2">
        <f t="shared" si="28"/>
        <v>414.20963976641593</v>
      </c>
      <c r="AI76" s="2">
        <f t="shared" si="29"/>
        <v>265.62250697237084</v>
      </c>
      <c r="AJ76" s="2">
        <f t="shared" si="30"/>
        <v>3.3871890906679969</v>
      </c>
      <c r="AK76" s="2">
        <f t="shared" si="31"/>
        <v>1.399766309070533</v>
      </c>
      <c r="AL76" s="2">
        <f t="shared" si="32"/>
        <v>0.98798818866130689</v>
      </c>
      <c r="AN76" s="2" t="s">
        <v>279</v>
      </c>
    </row>
    <row r="77" spans="2:40" x14ac:dyDescent="0.2">
      <c r="B77" s="2">
        <v>61</v>
      </c>
      <c r="C77" s="2" t="s">
        <v>102</v>
      </c>
      <c r="E77" s="2" t="str">
        <f t="shared" si="27"/>
        <v>20220223_NeomaMSMS_SrF_LA_Chicago_Run1_RbSr_export_processed</v>
      </c>
      <c r="F77" s="14">
        <v>75085960.656905115</v>
      </c>
      <c r="G77" s="2">
        <v>47948.093999999997</v>
      </c>
      <c r="H77" s="2">
        <v>30797.089</v>
      </c>
      <c r="I77" s="2">
        <v>1327.19</v>
      </c>
      <c r="K77" s="82">
        <v>22.385821641240273</v>
      </c>
      <c r="L77" s="82">
        <v>8.5120052208171053</v>
      </c>
      <c r="M77" s="82">
        <v>0.79197769540184848</v>
      </c>
      <c r="N77" s="82">
        <v>3.4454731648543402E-2</v>
      </c>
      <c r="O77" s="82">
        <v>0.92334647517246571</v>
      </c>
      <c r="P77" s="83">
        <v>20.683599674604942</v>
      </c>
      <c r="Q77" s="83">
        <v>8.1252152849804808</v>
      </c>
      <c r="R77" s="83">
        <v>0.79365702136702776</v>
      </c>
      <c r="S77" s="83">
        <v>3.4527669342541194E-2</v>
      </c>
      <c r="T77" s="83">
        <v>0.89425496013911565</v>
      </c>
      <c r="Y77" s="2" t="s">
        <v>196</v>
      </c>
      <c r="AB77" s="2">
        <f t="shared" si="8"/>
        <v>17.093884028599128</v>
      </c>
      <c r="AC77" s="2">
        <f t="shared" si="9"/>
        <v>6.7150539545293233</v>
      </c>
      <c r="AD77" s="2">
        <f t="shared" si="10"/>
        <v>0.79365702136702776</v>
      </c>
      <c r="AE77" s="2">
        <f t="shared" si="11"/>
        <v>3.4527669342541194E-2</v>
      </c>
      <c r="AF77" s="2">
        <f t="shared" si="12"/>
        <v>0.89425496013911565</v>
      </c>
      <c r="AH77" s="2">
        <f t="shared" si="28"/>
        <v>16.014038655194554</v>
      </c>
      <c r="AI77" s="2">
        <f t="shared" si="29"/>
        <v>6.089192651667652</v>
      </c>
      <c r="AJ77" s="2">
        <f t="shared" si="30"/>
        <v>0.79197769540184848</v>
      </c>
      <c r="AK77" s="2">
        <f t="shared" si="31"/>
        <v>3.4454731648543402E-2</v>
      </c>
      <c r="AL77" s="2">
        <f t="shared" si="32"/>
        <v>0.92334647517246571</v>
      </c>
    </row>
    <row r="78" spans="2:40" ht="17" x14ac:dyDescent="0.2">
      <c r="B78" s="6" t="s">
        <v>276</v>
      </c>
    </row>
    <row r="79" spans="2:40" ht="17" x14ac:dyDescent="0.2">
      <c r="B79" s="6" t="s">
        <v>277</v>
      </c>
    </row>
    <row r="80" spans="2:40" ht="17" x14ac:dyDescent="0.2">
      <c r="B80" s="6" t="s">
        <v>278</v>
      </c>
    </row>
    <row r="81" spans="2:25" ht="17" x14ac:dyDescent="0.2">
      <c r="B81" s="6" t="s">
        <v>272</v>
      </c>
    </row>
    <row r="86" spans="2:25" x14ac:dyDescent="0.2">
      <c r="B86" s="2">
        <v>47</v>
      </c>
      <c r="C86" s="2" t="s">
        <v>92</v>
      </c>
      <c r="E86" s="2" t="str">
        <f>Y86</f>
        <v>20220223_NeomaMSMS_SrF_LA_Chicago_Run1_RbSr_export_processed</v>
      </c>
      <c r="F86" s="14">
        <v>106205.34792052816</v>
      </c>
      <c r="G86" s="2">
        <v>43187.612000000001</v>
      </c>
      <c r="H86" s="2">
        <v>30822.251</v>
      </c>
      <c r="I86" s="2">
        <v>1327.19</v>
      </c>
      <c r="K86" s="8">
        <v>0.78935279804458913</v>
      </c>
      <c r="L86" s="8">
        <v>4.3027587890469396</v>
      </c>
      <c r="M86" s="8" t="e">
        <v>#VALUE!</v>
      </c>
      <c r="N86" s="8" t="e">
        <v>#VALUE!</v>
      </c>
      <c r="O86" s="8" t="e">
        <v>#VALUE!</v>
      </c>
      <c r="P86" s="11">
        <v>0.70623487065432511</v>
      </c>
      <c r="Q86" s="11">
        <v>3.8501453099907956</v>
      </c>
      <c r="R86" s="11" t="e">
        <v>#VALUE!</v>
      </c>
      <c r="S86" s="11" t="e">
        <v>#VALUE!</v>
      </c>
      <c r="T86" s="11" t="e">
        <v>#VALUE!</v>
      </c>
      <c r="Y86" s="2" t="s">
        <v>196</v>
      </c>
    </row>
    <row r="87" spans="2:25" x14ac:dyDescent="0.2">
      <c r="B87" s="2">
        <v>49</v>
      </c>
      <c r="C87" s="2" t="s">
        <v>94</v>
      </c>
      <c r="E87" s="2" t="str">
        <f>Y87</f>
        <v>20220223_NeomaMSMS_SrF_LA_Chicago_Run1_RbSr_export_processed</v>
      </c>
      <c r="F87" s="14">
        <v>307947.60264237766</v>
      </c>
      <c r="G87" s="2">
        <v>42131.707999999999</v>
      </c>
      <c r="H87" s="2">
        <v>28562.287</v>
      </c>
      <c r="I87" s="2">
        <v>1327.19</v>
      </c>
      <c r="K87" s="8">
        <v>0.4267755339957055</v>
      </c>
      <c r="L87" s="8">
        <v>0.3110914634287188</v>
      </c>
      <c r="M87" s="8" t="e">
        <v>#VALUE!</v>
      </c>
      <c r="N87" s="8" t="e">
        <v>#VALUE!</v>
      </c>
      <c r="O87" s="8" t="e">
        <v>#VALUE!</v>
      </c>
      <c r="P87" s="11">
        <v>0.38183656889103967</v>
      </c>
      <c r="Q87" s="11">
        <v>0.28019567516044674</v>
      </c>
      <c r="R87" s="11" t="e">
        <v>#VALUE!</v>
      </c>
      <c r="S87" s="11" t="e">
        <v>#VALUE!</v>
      </c>
      <c r="T87" s="11" t="e">
        <v>#VALUE!</v>
      </c>
      <c r="Y87" s="2" t="s">
        <v>196</v>
      </c>
    </row>
    <row r="88" spans="2:25" x14ac:dyDescent="0.2">
      <c r="B88" s="2">
        <v>52</v>
      </c>
      <c r="C88" s="2" t="s">
        <v>95</v>
      </c>
      <c r="E88" s="2" t="str">
        <f>Y88</f>
        <v>20220223_NeomaMSMS_SrF_LA_Chicago_Run1_RbSr_export_processed</v>
      </c>
      <c r="F88" s="14">
        <v>580335.64715333865</v>
      </c>
      <c r="G88" s="2">
        <v>41715.362000000001</v>
      </c>
      <c r="H88" s="2">
        <v>27929.512999999999</v>
      </c>
      <c r="I88" s="2">
        <v>1327.19</v>
      </c>
      <c r="K88" s="8">
        <v>5.4520795327686479E-2</v>
      </c>
      <c r="L88" s="8">
        <v>0.12276304853532052</v>
      </c>
      <c r="M88" s="8">
        <v>0.32284671038592083</v>
      </c>
      <c r="N88" s="8">
        <v>0.44604088351784793</v>
      </c>
      <c r="O88" s="8">
        <v>0.68564158225365179</v>
      </c>
      <c r="P88" s="11">
        <v>4.9927022140427046E-2</v>
      </c>
      <c r="Q88" s="11">
        <v>0.11250908002170006</v>
      </c>
      <c r="R88" s="11">
        <v>0.3237102730229125</v>
      </c>
      <c r="S88" s="11">
        <v>0.44723398873701442</v>
      </c>
      <c r="T88" s="11">
        <v>0.68509829156170543</v>
      </c>
      <c r="Y88" s="2" t="s">
        <v>196</v>
      </c>
    </row>
    <row r="89" spans="2:25" x14ac:dyDescent="0.2">
      <c r="B89" s="2">
        <v>39</v>
      </c>
      <c r="C89" s="2" t="s">
        <v>86</v>
      </c>
      <c r="E89" s="2" t="str">
        <f>Y89</f>
        <v>20220223_NeomaMSMS_SrF_LA_Chicago_Run1_RbSr_export_processed</v>
      </c>
      <c r="F89" s="14">
        <v>17490727.569870606</v>
      </c>
      <c r="G89" s="2">
        <v>47948.093999999997</v>
      </c>
      <c r="H89" s="2">
        <v>30658.462</v>
      </c>
      <c r="I89" s="2">
        <v>1327.19</v>
      </c>
      <c r="K89" s="8">
        <v>5.8989627243054903</v>
      </c>
      <c r="L89" s="8">
        <v>1.0927538548602269</v>
      </c>
      <c r="M89" s="8">
        <v>0.70580210701259871</v>
      </c>
      <c r="N89" s="8">
        <v>2.4613485162487625E-2</v>
      </c>
      <c r="O89" s="8">
        <v>0.82968157655768648</v>
      </c>
      <c r="P89" s="11">
        <v>5.1374223605912501</v>
      </c>
      <c r="Q89" s="11">
        <v>1.034206468241827</v>
      </c>
      <c r="R89" s="11">
        <v>0.70730839117382771</v>
      </c>
      <c r="S89" s="11">
        <v>2.4666037773661009E-2</v>
      </c>
      <c r="T89" s="11">
        <v>0.76459222029991858</v>
      </c>
      <c r="Y89" s="2" t="s">
        <v>196</v>
      </c>
    </row>
    <row r="103" spans="2:11" x14ac:dyDescent="0.2">
      <c r="B103"/>
      <c r="C103"/>
      <c r="D103"/>
      <c r="E103"/>
      <c r="F103"/>
      <c r="G103" s="114" t="s">
        <v>310</v>
      </c>
      <c r="H103" s="114"/>
    </row>
    <row r="104" spans="2:11" ht="17" thickBot="1" x14ac:dyDescent="0.25">
      <c r="B104" s="73" t="s">
        <v>5</v>
      </c>
      <c r="C104" s="73" t="s">
        <v>6</v>
      </c>
      <c r="D104" s="73"/>
      <c r="E104" s="73" t="s">
        <v>311</v>
      </c>
      <c r="F104" s="73" t="s">
        <v>312</v>
      </c>
      <c r="G104" s="73" t="s">
        <v>313</v>
      </c>
      <c r="H104" s="73" t="s">
        <v>314</v>
      </c>
      <c r="I104" s="38" t="s">
        <v>10</v>
      </c>
      <c r="J104" s="38"/>
      <c r="K104" s="8" t="s">
        <v>319</v>
      </c>
    </row>
    <row r="105" spans="2:11" ht="17" thickTop="1" x14ac:dyDescent="0.2">
      <c r="B105">
        <v>3</v>
      </c>
      <c r="C105" t="s">
        <v>60</v>
      </c>
      <c r="D105"/>
      <c r="E105">
        <v>56939.957999999999</v>
      </c>
      <c r="F105">
        <v>20163.712</v>
      </c>
      <c r="G105" s="74">
        <v>0</v>
      </c>
      <c r="H105" s="74">
        <v>0</v>
      </c>
      <c r="I105" s="78">
        <v>0.71630727663476934</v>
      </c>
      <c r="J105" s="78"/>
      <c r="K105" s="78">
        <v>8.0551295579882169E-4</v>
      </c>
    </row>
    <row r="106" spans="2:11" x14ac:dyDescent="0.2">
      <c r="B106">
        <v>4</v>
      </c>
      <c r="C106" t="s">
        <v>61</v>
      </c>
      <c r="D106"/>
      <c r="E106">
        <v>56535.445</v>
      </c>
      <c r="F106">
        <v>20380.944</v>
      </c>
      <c r="G106" s="74">
        <f>SQRT((E106-E$105)^2+(F106-F$105)^2)</f>
        <v>459.1519454309207</v>
      </c>
      <c r="H106" s="74">
        <v>485.02512562814076</v>
      </c>
      <c r="I106" s="78">
        <v>0.72215977650679397</v>
      </c>
      <c r="J106" s="78"/>
      <c r="K106" s="78">
        <v>1.4394484874642706E-3</v>
      </c>
    </row>
    <row r="107" spans="2:11" x14ac:dyDescent="0.2">
      <c r="B107">
        <v>5</v>
      </c>
      <c r="C107" t="s">
        <v>62</v>
      </c>
      <c r="D107"/>
      <c r="E107">
        <v>55926.38</v>
      </c>
      <c r="F107">
        <v>20768.892</v>
      </c>
      <c r="G107" s="74">
        <f t="shared" ref="G107:G130" si="33">SQRT((E107-E$105)^2+(F107-F$105)^2)</f>
        <v>1180.5012471336076</v>
      </c>
      <c r="H107" s="74">
        <v>1327.4371859296484</v>
      </c>
      <c r="I107" s="78">
        <v>0.71629682420122187</v>
      </c>
      <c r="J107" s="78"/>
      <c r="K107" s="78">
        <v>1.4380714681164605E-3</v>
      </c>
    </row>
    <row r="108" spans="2:11" x14ac:dyDescent="0.2">
      <c r="B108">
        <v>6</v>
      </c>
      <c r="C108" t="s">
        <v>63</v>
      </c>
      <c r="D108"/>
      <c r="E108">
        <v>55390.807000000001</v>
      </c>
      <c r="F108">
        <v>21027.935000000001</v>
      </c>
      <c r="G108" s="74">
        <f t="shared" si="33"/>
        <v>1773.9081753377195</v>
      </c>
      <c r="H108" s="74">
        <v>1914.5728643216082</v>
      </c>
      <c r="I108" s="78">
        <v>0.7144539546320916</v>
      </c>
      <c r="J108" s="78"/>
      <c r="K108" s="78">
        <v>6.1298689671528399E-4</v>
      </c>
    </row>
    <row r="109" spans="2:11" x14ac:dyDescent="0.2">
      <c r="B109">
        <v>7</v>
      </c>
      <c r="C109" t="s">
        <v>64</v>
      </c>
      <c r="D109"/>
      <c r="E109">
        <v>54725.559000000001</v>
      </c>
      <c r="F109">
        <v>21399.89</v>
      </c>
      <c r="G109" s="74">
        <f t="shared" si="33"/>
        <v>2536.0794504283554</v>
      </c>
      <c r="H109" s="74">
        <v>2782.5125628140709</v>
      </c>
      <c r="I109" s="78">
        <v>0.71329039799879923</v>
      </c>
      <c r="J109" s="78"/>
      <c r="K109" s="78">
        <v>4.6884622754384209E-4</v>
      </c>
    </row>
    <row r="110" spans="2:11" x14ac:dyDescent="0.2">
      <c r="B110">
        <v>10</v>
      </c>
      <c r="C110" t="s">
        <v>65</v>
      </c>
      <c r="D110"/>
      <c r="E110">
        <v>54030.949000000001</v>
      </c>
      <c r="F110">
        <v>21761.087</v>
      </c>
      <c r="G110" s="74">
        <f t="shared" si="33"/>
        <v>3318.7256971171914</v>
      </c>
      <c r="H110" s="74">
        <v>3599.3969849246232</v>
      </c>
      <c r="I110" s="78">
        <v>0.71592382434460833</v>
      </c>
      <c r="J110" s="78"/>
      <c r="K110" s="78">
        <v>9.2285054592863803E-4</v>
      </c>
    </row>
    <row r="111" spans="2:11" x14ac:dyDescent="0.2">
      <c r="B111">
        <v>11</v>
      </c>
      <c r="C111" t="s">
        <v>66</v>
      </c>
      <c r="D111"/>
      <c r="E111">
        <v>53400.307000000001</v>
      </c>
      <c r="F111">
        <v>21992.260999999999</v>
      </c>
      <c r="G111" s="74">
        <f t="shared" si="33"/>
        <v>3984.0583137301069</v>
      </c>
      <c r="H111" s="74">
        <v>4390.7537688442217</v>
      </c>
      <c r="I111" s="78">
        <v>0.71763678653314211</v>
      </c>
      <c r="J111" s="78"/>
      <c r="K111" s="78">
        <v>8.3778628280789763E-4</v>
      </c>
    </row>
    <row r="112" spans="2:11" x14ac:dyDescent="0.2">
      <c r="B112">
        <v>12</v>
      </c>
      <c r="C112" t="s">
        <v>67</v>
      </c>
      <c r="D112"/>
      <c r="E112">
        <v>52725.082000000002</v>
      </c>
      <c r="F112">
        <v>22446.436000000002</v>
      </c>
      <c r="G112" s="74">
        <f t="shared" si="33"/>
        <v>4793.3295897060925</v>
      </c>
      <c r="H112" s="74">
        <v>5258.6934673366841</v>
      </c>
      <c r="I112" s="78">
        <v>0.72424069113537071</v>
      </c>
      <c r="J112" s="78"/>
      <c r="K112" s="78">
        <v>2.3335247204925931E-3</v>
      </c>
    </row>
    <row r="113" spans="2:11" x14ac:dyDescent="0.2">
      <c r="B113">
        <v>13</v>
      </c>
      <c r="C113" t="s">
        <v>68</v>
      </c>
      <c r="D113"/>
      <c r="E113">
        <v>52007.112999999998</v>
      </c>
      <c r="F113">
        <v>22830.633000000002</v>
      </c>
      <c r="G113" s="74">
        <f t="shared" si="33"/>
        <v>5607.62226030481</v>
      </c>
      <c r="H113" s="74">
        <v>6152.1608040201018</v>
      </c>
      <c r="I113" s="78">
        <v>0.71907137125291354</v>
      </c>
      <c r="J113" s="78"/>
      <c r="K113" s="78">
        <v>1.6784542465128293E-3</v>
      </c>
    </row>
    <row r="114" spans="2:11" x14ac:dyDescent="0.2">
      <c r="B114">
        <v>14</v>
      </c>
      <c r="C114" t="s">
        <v>69</v>
      </c>
      <c r="D114"/>
      <c r="E114">
        <v>51145.347999999998</v>
      </c>
      <c r="F114">
        <v>23449.334999999999</v>
      </c>
      <c r="G114" s="74">
        <f t="shared" si="33"/>
        <v>6661.2929338251597</v>
      </c>
      <c r="H114" s="74">
        <v>7326.4321608040209</v>
      </c>
      <c r="I114" s="78">
        <v>0.71548788910853689</v>
      </c>
      <c r="J114" s="78"/>
      <c r="K114" s="78">
        <v>1.1290631770767068E-3</v>
      </c>
    </row>
    <row r="115" spans="2:11" x14ac:dyDescent="0.2">
      <c r="B115">
        <v>17</v>
      </c>
      <c r="C115" t="s">
        <v>70</v>
      </c>
      <c r="D115"/>
      <c r="E115">
        <v>50371.968999999997</v>
      </c>
      <c r="F115">
        <v>24001.749</v>
      </c>
      <c r="G115" s="74">
        <f t="shared" si="33"/>
        <v>7607.1681667681059</v>
      </c>
      <c r="H115" s="74">
        <v>8347.5376884422112</v>
      </c>
      <c r="I115" s="78">
        <v>0.71409640786066675</v>
      </c>
      <c r="J115" s="78"/>
      <c r="K115" s="78">
        <v>6.744040862717471E-4</v>
      </c>
    </row>
    <row r="116" spans="2:11" x14ac:dyDescent="0.2">
      <c r="B116">
        <v>18</v>
      </c>
      <c r="C116" t="s">
        <v>71</v>
      </c>
      <c r="D116"/>
      <c r="E116">
        <v>49532.28</v>
      </c>
      <c r="F116">
        <v>24576.116000000002</v>
      </c>
      <c r="G116" s="74">
        <f t="shared" si="33"/>
        <v>8622.2388282220527</v>
      </c>
      <c r="H116" s="74">
        <v>9470.7537688442226</v>
      </c>
      <c r="I116" s="78">
        <v>0.71365236285755629</v>
      </c>
      <c r="J116" s="78"/>
      <c r="K116" s="78">
        <v>4.5705923475613717E-4</v>
      </c>
    </row>
    <row r="117" spans="2:11" x14ac:dyDescent="0.2">
      <c r="B117">
        <v>19</v>
      </c>
      <c r="C117" t="s">
        <v>72</v>
      </c>
      <c r="D117"/>
      <c r="E117">
        <v>48560.033000000003</v>
      </c>
      <c r="F117">
        <v>25040.143</v>
      </c>
      <c r="G117" s="74">
        <f t="shared" si="33"/>
        <v>9695.5001058937614</v>
      </c>
      <c r="H117" s="74">
        <v>10619.497487437187</v>
      </c>
      <c r="I117" s="78">
        <v>0.71641042635231766</v>
      </c>
      <c r="J117" s="78"/>
      <c r="K117" s="78">
        <v>1.1428097070597502E-3</v>
      </c>
    </row>
    <row r="118" spans="2:11" x14ac:dyDescent="0.2">
      <c r="B118">
        <v>20</v>
      </c>
      <c r="C118" t="s">
        <v>73</v>
      </c>
      <c r="D118"/>
      <c r="E118">
        <v>47720.364999999998</v>
      </c>
      <c r="F118">
        <v>25437.881000000001</v>
      </c>
      <c r="G118" s="74">
        <f t="shared" si="33"/>
        <v>10621.570210011796</v>
      </c>
      <c r="H118" s="74">
        <v>11666.130653266333</v>
      </c>
      <c r="I118" s="78">
        <v>0.71637591497225217</v>
      </c>
      <c r="J118" s="78"/>
      <c r="K118" s="78">
        <v>1.4105132950973237E-3</v>
      </c>
    </row>
    <row r="119" spans="2:11" x14ac:dyDescent="0.2">
      <c r="B119">
        <v>21</v>
      </c>
      <c r="C119" t="s">
        <v>74</v>
      </c>
      <c r="D119"/>
      <c r="E119">
        <v>46814.406999999999</v>
      </c>
      <c r="F119">
        <v>25901.907999999999</v>
      </c>
      <c r="G119" s="74">
        <f t="shared" si="33"/>
        <v>11638.456787221277</v>
      </c>
      <c r="H119" s="74">
        <v>12789.346733668341</v>
      </c>
      <c r="I119" s="78">
        <v>0.71963149980894603</v>
      </c>
      <c r="J119" s="78"/>
      <c r="K119" s="78">
        <v>1.3317271573010919E-3</v>
      </c>
    </row>
    <row r="120" spans="2:11" x14ac:dyDescent="0.2">
      <c r="B120">
        <v>24</v>
      </c>
      <c r="C120" t="s">
        <v>75</v>
      </c>
      <c r="D120"/>
      <c r="E120">
        <v>46041.027999999998</v>
      </c>
      <c r="F120">
        <v>26343.838</v>
      </c>
      <c r="G120" s="74">
        <f t="shared" si="33"/>
        <v>12529.191215747966</v>
      </c>
      <c r="H120" s="74">
        <v>13708.341708542715</v>
      </c>
      <c r="I120" s="78">
        <v>0.71539139667515272</v>
      </c>
      <c r="J120" s="78"/>
      <c r="K120" s="78">
        <v>1.8537555153546573E-3</v>
      </c>
    </row>
    <row r="121" spans="2:11" x14ac:dyDescent="0.2">
      <c r="B121">
        <v>25</v>
      </c>
      <c r="C121" t="s">
        <v>76</v>
      </c>
      <c r="D121"/>
      <c r="E121">
        <v>45387.328000000001</v>
      </c>
      <c r="F121">
        <v>26584.05</v>
      </c>
      <c r="G121" s="74">
        <f t="shared" si="33"/>
        <v>13216.807479536952</v>
      </c>
      <c r="H121" s="74">
        <v>14474.170854271359</v>
      </c>
      <c r="I121" s="78">
        <v>0.71801355449758775</v>
      </c>
      <c r="J121" s="78"/>
      <c r="K121" s="78">
        <v>6.7157189306053084E-4</v>
      </c>
    </row>
    <row r="122" spans="2:11" x14ac:dyDescent="0.2">
      <c r="B122">
        <v>26</v>
      </c>
      <c r="C122" t="s">
        <v>77</v>
      </c>
      <c r="D122"/>
      <c r="E122">
        <v>44626.851000000002</v>
      </c>
      <c r="F122">
        <v>26984.637999999999</v>
      </c>
      <c r="G122" s="74">
        <f t="shared" si="33"/>
        <v>14076.137094065434</v>
      </c>
      <c r="H122" s="74">
        <v>15393.16582914573</v>
      </c>
      <c r="I122" s="78">
        <v>0.70985397674189499</v>
      </c>
      <c r="J122" s="78"/>
      <c r="K122" s="78">
        <v>3.0396639934653297E-4</v>
      </c>
    </row>
    <row r="123" spans="2:11" x14ac:dyDescent="0.2">
      <c r="B123">
        <v>27</v>
      </c>
      <c r="C123" t="s">
        <v>78</v>
      </c>
      <c r="D123"/>
      <c r="E123">
        <v>44229.802000000003</v>
      </c>
      <c r="F123">
        <v>27271.463</v>
      </c>
      <c r="G123" s="74">
        <f t="shared" si="33"/>
        <v>14562.561238406412</v>
      </c>
      <c r="H123" s="74">
        <v>15929.246231155779</v>
      </c>
      <c r="I123" s="78">
        <v>0.70830203170017247</v>
      </c>
      <c r="J123" s="78"/>
      <c r="K123" s="78">
        <v>7.6419630398962858E-4</v>
      </c>
    </row>
    <row r="124" spans="2:11" x14ac:dyDescent="0.2">
      <c r="B124">
        <v>28</v>
      </c>
      <c r="C124" t="s">
        <v>79</v>
      </c>
      <c r="D124"/>
      <c r="E124">
        <v>43999.608999999997</v>
      </c>
      <c r="F124">
        <v>27467.692999999999</v>
      </c>
      <c r="G124" s="74">
        <f t="shared" si="33"/>
        <v>14859.366429634949</v>
      </c>
      <c r="H124" s="74">
        <v>16261.105527638192</v>
      </c>
      <c r="I124" s="78">
        <v>0.71007180823065874</v>
      </c>
      <c r="J124" s="78"/>
      <c r="K124" s="78">
        <v>5.7917932309092693E-4</v>
      </c>
    </row>
    <row r="125" spans="2:11" x14ac:dyDescent="0.2">
      <c r="B125">
        <v>31</v>
      </c>
      <c r="C125" t="s">
        <v>80</v>
      </c>
      <c r="D125"/>
      <c r="E125">
        <v>43723.957999999999</v>
      </c>
      <c r="F125">
        <v>27717.819</v>
      </c>
      <c r="G125" s="74">
        <f t="shared" si="33"/>
        <v>15222.588103454977</v>
      </c>
      <c r="H125" s="74">
        <v>16644.020100502512</v>
      </c>
      <c r="I125" s="78">
        <v>0.71076452056543094</v>
      </c>
      <c r="J125" s="78"/>
      <c r="K125" s="78">
        <v>1.5490509861938123E-3</v>
      </c>
    </row>
    <row r="126" spans="2:11" x14ac:dyDescent="0.2">
      <c r="B126">
        <v>32</v>
      </c>
      <c r="C126" t="s">
        <v>81</v>
      </c>
      <c r="D126"/>
      <c r="E126">
        <v>43490.165000000001</v>
      </c>
      <c r="F126">
        <v>27835.625</v>
      </c>
      <c r="G126" s="74">
        <f t="shared" si="33"/>
        <v>15484.029863779582</v>
      </c>
      <c r="H126" s="74">
        <v>16848.24120603015</v>
      </c>
      <c r="I126" s="78">
        <v>0.70982551047904086</v>
      </c>
      <c r="J126" s="78"/>
      <c r="K126" s="78">
        <v>8.7412599613962598E-4</v>
      </c>
    </row>
    <row r="127" spans="2:11" x14ac:dyDescent="0.2">
      <c r="B127">
        <v>33</v>
      </c>
      <c r="C127" t="s">
        <v>82</v>
      </c>
      <c r="D127"/>
      <c r="E127">
        <v>43290.79</v>
      </c>
      <c r="F127">
        <v>27987.714</v>
      </c>
      <c r="G127" s="74">
        <f t="shared" si="33"/>
        <v>15732.602912049486</v>
      </c>
      <c r="H127" s="74">
        <v>17180.100502512567</v>
      </c>
      <c r="I127" s="78">
        <v>0.71229925325563104</v>
      </c>
      <c r="J127" s="78"/>
      <c r="K127" s="78">
        <v>1.1929121288298161E-3</v>
      </c>
    </row>
    <row r="128" spans="2:11" x14ac:dyDescent="0.2">
      <c r="B128">
        <v>34</v>
      </c>
      <c r="C128" t="s">
        <v>83</v>
      </c>
      <c r="D128"/>
      <c r="E128">
        <v>43062.947</v>
      </c>
      <c r="F128">
        <v>28156.09</v>
      </c>
      <c r="G128" s="74">
        <f t="shared" si="33"/>
        <v>16014.041975372895</v>
      </c>
      <c r="H128" s="74">
        <v>17537.48743718593</v>
      </c>
      <c r="I128" s="78">
        <v>0.71164947423596558</v>
      </c>
      <c r="J128" s="78"/>
      <c r="K128" s="78">
        <v>7.6602455075701283E-4</v>
      </c>
    </row>
    <row r="129" spans="2:11" x14ac:dyDescent="0.2">
      <c r="B129">
        <v>35</v>
      </c>
      <c r="C129" t="s">
        <v>84</v>
      </c>
      <c r="D129"/>
      <c r="E129">
        <v>42609.968999999997</v>
      </c>
      <c r="F129">
        <v>28386.268</v>
      </c>
      <c r="G129" s="74">
        <f t="shared" si="33"/>
        <v>16521.471239367791</v>
      </c>
      <c r="H129" s="74">
        <v>18022.51256281407</v>
      </c>
      <c r="I129" s="78">
        <v>0.75019644378189354</v>
      </c>
      <c r="J129" s="78"/>
      <c r="K129" s="78">
        <v>5.0510112386810292E-3</v>
      </c>
    </row>
    <row r="130" spans="2:11" x14ac:dyDescent="0.2">
      <c r="B130">
        <v>38</v>
      </c>
      <c r="C130" t="s">
        <v>85</v>
      </c>
      <c r="D130"/>
      <c r="E130">
        <v>42457.902999999998</v>
      </c>
      <c r="F130">
        <v>28656.217000000001</v>
      </c>
      <c r="G130" s="74">
        <f t="shared" si="33"/>
        <v>16788.465034006236</v>
      </c>
      <c r="H130" s="74">
        <v>18405.427135678394</v>
      </c>
      <c r="I130" s="81">
        <v>0.73326288541063944</v>
      </c>
      <c r="J130" s="81"/>
      <c r="K130" s="81">
        <v>3.8114112907862174E-3</v>
      </c>
    </row>
    <row r="131" spans="2:11" x14ac:dyDescent="0.2">
      <c r="B131"/>
      <c r="C131"/>
      <c r="D131"/>
      <c r="E131"/>
      <c r="F131"/>
      <c r="G131"/>
      <c r="H131"/>
    </row>
    <row r="132" spans="2:11" x14ac:dyDescent="0.2">
      <c r="B132"/>
      <c r="C132"/>
      <c r="D132"/>
      <c r="E132"/>
      <c r="F132"/>
      <c r="G132"/>
      <c r="H132"/>
    </row>
    <row r="133" spans="2:11" x14ac:dyDescent="0.2">
      <c r="B133" s="60" t="s">
        <v>315</v>
      </c>
      <c r="C133" t="s">
        <v>316</v>
      </c>
      <c r="D133"/>
      <c r="E133"/>
      <c r="F133"/>
      <c r="G133"/>
      <c r="H133"/>
    </row>
    <row r="134" spans="2:11" x14ac:dyDescent="0.2">
      <c r="B134" s="60" t="s">
        <v>317</v>
      </c>
      <c r="C134" t="s">
        <v>318</v>
      </c>
      <c r="D134"/>
      <c r="E134"/>
      <c r="F134"/>
      <c r="G134"/>
      <c r="H134"/>
    </row>
    <row r="147" spans="7:7" x14ac:dyDescent="0.2">
      <c r="G147" s="2">
        <f>397/326.59</f>
        <v>1.2155914143115223</v>
      </c>
    </row>
    <row r="176" spans="3:3" x14ac:dyDescent="0.2">
      <c r="C176" s="2" t="s">
        <v>9</v>
      </c>
    </row>
    <row r="177" spans="3:7" x14ac:dyDescent="0.2">
      <c r="C177" s="2" t="s">
        <v>7</v>
      </c>
      <c r="D177" s="2" t="s">
        <v>8</v>
      </c>
      <c r="E177" s="2" t="s">
        <v>10</v>
      </c>
      <c r="F177" s="14" t="s">
        <v>8</v>
      </c>
      <c r="G177" s="2" t="s">
        <v>275</v>
      </c>
    </row>
    <row r="178" spans="3:7" x14ac:dyDescent="0.2">
      <c r="C178" s="2">
        <v>1.4050712524613347</v>
      </c>
      <c r="D178" s="2">
        <v>0.26211970902622816</v>
      </c>
      <c r="E178" s="2">
        <v>0.71471690319348113</v>
      </c>
      <c r="F178" s="14">
        <v>1.6296277382330622E-3</v>
      </c>
      <c r="G178" s="2">
        <v>0.36358331271751704</v>
      </c>
    </row>
    <row r="179" spans="3:7" x14ac:dyDescent="0.2">
      <c r="C179" s="2">
        <v>0.57847681563125597</v>
      </c>
      <c r="D179" s="2">
        <v>6.5307208658910848E-2</v>
      </c>
      <c r="E179" s="2">
        <v>0.71170894135074481</v>
      </c>
      <c r="F179" s="14">
        <v>4.2713363588945747E-4</v>
      </c>
      <c r="G179" s="2">
        <v>0.22693259019920364</v>
      </c>
    </row>
    <row r="180" spans="3:7" x14ac:dyDescent="0.2">
      <c r="C180" s="2">
        <v>0.16865110733852948</v>
      </c>
      <c r="D180" s="2">
        <v>4.3970052454649779E-2</v>
      </c>
      <c r="E180" s="2">
        <v>0.70956399976743356</v>
      </c>
      <c r="F180" s="14">
        <v>1.3845484797901439E-4</v>
      </c>
      <c r="G180" s="2">
        <v>0.2024190674839052</v>
      </c>
    </row>
    <row r="181" spans="3:7" x14ac:dyDescent="0.2">
      <c r="C181" s="2">
        <v>0.46878005236240494</v>
      </c>
      <c r="D181" s="2">
        <v>6.4737750104017472E-2</v>
      </c>
      <c r="E181" s="2">
        <v>0.71105701020856116</v>
      </c>
      <c r="F181" s="14">
        <v>3.1599734397186633E-4</v>
      </c>
      <c r="G181" s="2">
        <v>0.70591017192972427</v>
      </c>
    </row>
    <row r="182" spans="3:7" x14ac:dyDescent="0.2">
      <c r="C182" s="2">
        <v>0.28512231669944454</v>
      </c>
      <c r="D182" s="2">
        <v>0.18683916876507209</v>
      </c>
      <c r="E182" s="2">
        <v>0.71015635479071237</v>
      </c>
      <c r="F182" s="14">
        <v>1.0239327467693403E-3</v>
      </c>
      <c r="G182" s="2">
        <v>0.97447762689588835</v>
      </c>
    </row>
    <row r="183" spans="3:7" x14ac:dyDescent="0.2">
      <c r="C183" s="2">
        <v>0.29255181900813232</v>
      </c>
      <c r="D183" s="2">
        <v>6.8286965081935408E-2</v>
      </c>
      <c r="E183" s="2">
        <v>0.71016365186882369</v>
      </c>
      <c r="F183" s="14">
        <v>3.2113614903381905E-4</v>
      </c>
      <c r="G183" s="2">
        <v>0.82529582487737974</v>
      </c>
    </row>
    <row r="184" spans="3:7" x14ac:dyDescent="0.2">
      <c r="C184" s="2">
        <v>5.6273386388906388E-2</v>
      </c>
      <c r="D184" s="2">
        <v>2.0754856322215874E-2</v>
      </c>
      <c r="E184" s="2">
        <v>0.70898755240329148</v>
      </c>
      <c r="F184" s="14">
        <v>2.3932052211449758E-4</v>
      </c>
      <c r="G184" s="2">
        <v>0.78125405215473398</v>
      </c>
    </row>
    <row r="185" spans="3:7" x14ac:dyDescent="0.2">
      <c r="C185" s="2">
        <v>5.5805403311266245E-2</v>
      </c>
      <c r="D185" s="2">
        <v>7.1203153554762217E-3</v>
      </c>
      <c r="E185" s="2">
        <v>0.70898420653269278</v>
      </c>
      <c r="F185" s="14">
        <v>1.4251339511578545E-4</v>
      </c>
      <c r="G185" s="2">
        <v>0.49851560397897748</v>
      </c>
    </row>
    <row r="186" spans="3:7" x14ac:dyDescent="0.2">
      <c r="C186" s="2">
        <v>1.2797881695695363</v>
      </c>
      <c r="D186" s="2">
        <v>0.11417700094169854</v>
      </c>
      <c r="E186" s="2">
        <v>0.7150005012745807</v>
      </c>
      <c r="F186" s="14">
        <v>2.7334667122383394E-4</v>
      </c>
      <c r="G186" s="2">
        <v>0.27336849576724159</v>
      </c>
    </row>
    <row r="187" spans="3:7" x14ac:dyDescent="0.2">
      <c r="C187" s="2">
        <v>1.0878941393601347</v>
      </c>
      <c r="D187" s="2">
        <v>0.10229360505204191</v>
      </c>
      <c r="E187" s="2">
        <v>0.71406362984823635</v>
      </c>
      <c r="F187" s="14">
        <v>1.6327319252400666E-4</v>
      </c>
      <c r="G187" s="2">
        <v>0.51161969800856777</v>
      </c>
    </row>
    <row r="188" spans="3:7" x14ac:dyDescent="0.2">
      <c r="C188" s="2">
        <v>1.3184901932955058</v>
      </c>
      <c r="D188" s="2">
        <v>0.14176214723775241</v>
      </c>
      <c r="E188" s="2">
        <v>0.71510608827820465</v>
      </c>
      <c r="F188" s="14">
        <v>3.9225244004576751E-4</v>
      </c>
      <c r="G188" s="2">
        <v>0.70109120026012617</v>
      </c>
    </row>
    <row r="189" spans="3:7" x14ac:dyDescent="0.2">
      <c r="C189" s="2">
        <v>1.1285661312372552</v>
      </c>
      <c r="D189" s="2">
        <v>0.11578910491507258</v>
      </c>
      <c r="E189" s="2">
        <v>0.71412138806602898</v>
      </c>
      <c r="F189" s="14">
        <v>1.9394197607455586E-4</v>
      </c>
      <c r="G189" s="2">
        <v>0.50496689187452148</v>
      </c>
    </row>
    <row r="190" spans="3:7" x14ac:dyDescent="0.2">
      <c r="C190" s="2">
        <v>1.3438052034849408</v>
      </c>
      <c r="D190" s="2">
        <v>0.13054614199757278</v>
      </c>
      <c r="E190" s="2">
        <v>0.7150887095020716</v>
      </c>
      <c r="F190" s="14">
        <v>1.6264187712741445E-4</v>
      </c>
      <c r="G190" s="2">
        <v>0.30792068233321374</v>
      </c>
    </row>
    <row r="191" spans="3:7" x14ac:dyDescent="0.2">
      <c r="C191" s="2">
        <v>1.3659916129453418</v>
      </c>
      <c r="D191" s="2">
        <v>0.20096789922157662</v>
      </c>
      <c r="E191" s="2">
        <v>0.71533909102177029</v>
      </c>
      <c r="F191" s="14">
        <v>3.3009870879120875E-4</v>
      </c>
      <c r="G191" s="2">
        <v>0.77203150909496021</v>
      </c>
    </row>
    <row r="192" spans="3:7" x14ac:dyDescent="0.2">
      <c r="C192" s="2">
        <v>1.3836333904791782</v>
      </c>
      <c r="D192" s="2">
        <v>0.14900474609707751</v>
      </c>
      <c r="E192" s="2">
        <v>0.71524608244670107</v>
      </c>
      <c r="F192" s="14">
        <v>1.6978073567844759E-4</v>
      </c>
      <c r="G192" s="2">
        <v>0.29829677113119668</v>
      </c>
    </row>
    <row r="193" spans="3:7" x14ac:dyDescent="0.2">
      <c r="C193" s="2">
        <v>1.2287882330007751</v>
      </c>
      <c r="D193" s="2">
        <v>0.12785531647601223</v>
      </c>
      <c r="E193" s="2">
        <v>0.71456296376411832</v>
      </c>
      <c r="F193" s="14">
        <v>2.8873992302086372E-4</v>
      </c>
      <c r="G193" s="2">
        <v>-5.1724750084241995E-2</v>
      </c>
    </row>
    <row r="194" spans="3:7" x14ac:dyDescent="0.2">
      <c r="C194" s="2">
        <v>1.771883434043203</v>
      </c>
      <c r="D194" s="2">
        <v>0.16952590219351005</v>
      </c>
      <c r="E194" s="2">
        <v>0.71630727663476934</v>
      </c>
      <c r="F194" s="14">
        <v>8.0551295579882169E-4</v>
      </c>
      <c r="G194" s="2">
        <v>0.30341739285273966</v>
      </c>
    </row>
    <row r="195" spans="3:7" x14ac:dyDescent="0.2">
      <c r="C195" s="2">
        <v>3.4753919838976013</v>
      </c>
      <c r="D195" s="2">
        <v>0.57399030910573523</v>
      </c>
      <c r="E195" s="2">
        <v>0.72215977650679397</v>
      </c>
      <c r="F195" s="14">
        <v>1.4394484874642706E-3</v>
      </c>
      <c r="G195" s="2">
        <v>0.75776392963070494</v>
      </c>
    </row>
    <row r="196" spans="3:7" x14ac:dyDescent="0.2">
      <c r="C196" s="2">
        <v>1.8181306661839156</v>
      </c>
      <c r="D196" s="2">
        <v>0.23292955771353482</v>
      </c>
      <c r="E196" s="2">
        <v>0.71629682420122187</v>
      </c>
      <c r="F196" s="14">
        <v>1.4380714681164605E-3</v>
      </c>
      <c r="G196" s="2">
        <v>0.25171495044367903</v>
      </c>
    </row>
    <row r="197" spans="3:7" x14ac:dyDescent="0.2">
      <c r="C197" s="2">
        <v>1.6266975369232493</v>
      </c>
      <c r="D197" s="2">
        <v>0.18383193016609159</v>
      </c>
      <c r="E197" s="2">
        <v>0.7144539546320916</v>
      </c>
      <c r="F197" s="14">
        <v>6.1298689671528399E-4</v>
      </c>
      <c r="G197" s="2">
        <v>0.51424054849124357</v>
      </c>
    </row>
    <row r="198" spans="3:7" x14ac:dyDescent="0.2">
      <c r="C198" s="2">
        <v>1.2821467417107173</v>
      </c>
      <c r="D198" s="2">
        <v>0.15713245855934271</v>
      </c>
      <c r="E198" s="2">
        <v>0.71329039799879923</v>
      </c>
      <c r="F198" s="14">
        <v>4.6884622754384209E-4</v>
      </c>
      <c r="G198" s="2">
        <v>0.42937740645430011</v>
      </c>
    </row>
    <row r="199" spans="3:7" x14ac:dyDescent="0.2">
      <c r="C199" s="2">
        <v>1.4879709745295118</v>
      </c>
      <c r="D199" s="2">
        <v>0.16177995806340001</v>
      </c>
      <c r="E199" s="2">
        <v>0.71592382434460833</v>
      </c>
      <c r="F199" s="14">
        <v>9.2285054592863803E-4</v>
      </c>
      <c r="G199" s="2">
        <v>0.23972998434506523</v>
      </c>
    </row>
    <row r="200" spans="3:7" x14ac:dyDescent="0.2">
      <c r="C200" s="2">
        <v>1.954388599930964</v>
      </c>
      <c r="D200" s="2">
        <v>0.25479609288745381</v>
      </c>
      <c r="E200" s="2">
        <v>0.71763678653314211</v>
      </c>
      <c r="F200" s="14">
        <v>8.3778628280789763E-4</v>
      </c>
      <c r="G200" s="2">
        <v>0.45864517686300044</v>
      </c>
    </row>
    <row r="201" spans="3:7" x14ac:dyDescent="0.2">
      <c r="C201" s="2">
        <v>3.4821426188396525</v>
      </c>
      <c r="D201" s="2">
        <v>0.71317478656788158</v>
      </c>
      <c r="E201" s="2">
        <v>0.72424069113537071</v>
      </c>
      <c r="F201" s="14">
        <v>2.3335247204925931E-3</v>
      </c>
      <c r="G201" s="2">
        <v>0.31755819706826638</v>
      </c>
    </row>
    <row r="202" spans="3:7" x14ac:dyDescent="0.2">
      <c r="C202" s="2">
        <v>2.124078423081535</v>
      </c>
      <c r="D202" s="2">
        <v>0.21147949511676034</v>
      </c>
      <c r="E202" s="2">
        <v>0.71907137125291354</v>
      </c>
      <c r="F202" s="14">
        <v>1.6784542465128293E-3</v>
      </c>
      <c r="G202" s="2">
        <v>-0.18836785112073498</v>
      </c>
    </row>
    <row r="203" spans="3:7" x14ac:dyDescent="0.2">
      <c r="C203" s="2">
        <v>1.4431510673080907</v>
      </c>
      <c r="D203" s="2">
        <v>0.15024604789181567</v>
      </c>
      <c r="E203" s="2">
        <v>0.71548788910853689</v>
      </c>
      <c r="F203" s="14">
        <v>1.1290631770767068E-3</v>
      </c>
      <c r="G203" s="2">
        <v>-3.0250409832005058E-2</v>
      </c>
    </row>
    <row r="204" spans="3:7" x14ac:dyDescent="0.2">
      <c r="C204" s="2">
        <v>1.310621269109657</v>
      </c>
      <c r="D204" s="2">
        <v>0.17414042677132957</v>
      </c>
      <c r="E204" s="2">
        <v>0.71409640786066675</v>
      </c>
      <c r="F204" s="14">
        <v>6.744040862717471E-4</v>
      </c>
      <c r="G204" s="2">
        <v>0.153746709975948</v>
      </c>
    </row>
    <row r="205" spans="3:7" x14ac:dyDescent="0.2">
      <c r="C205" s="2">
        <v>1.134945930384627</v>
      </c>
      <c r="D205" s="2">
        <v>0.18818872094629258</v>
      </c>
      <c r="E205" s="2">
        <v>0.71365236285755629</v>
      </c>
      <c r="F205" s="14">
        <v>4.5705923475613717E-4</v>
      </c>
      <c r="G205" s="2">
        <v>0.15435417862579179</v>
      </c>
    </row>
    <row r="206" spans="3:7" x14ac:dyDescent="0.2">
      <c r="C206" s="2">
        <v>1.7191871184743108</v>
      </c>
      <c r="D206" s="2">
        <v>0.17723364458950747</v>
      </c>
      <c r="E206" s="2">
        <v>0.71641042635231766</v>
      </c>
      <c r="F206" s="14">
        <v>1.1428097070597502E-3</v>
      </c>
      <c r="G206" s="2">
        <v>0.31108842053007951</v>
      </c>
    </row>
    <row r="207" spans="3:7" x14ac:dyDescent="0.2">
      <c r="C207" s="2">
        <v>1.7498447599044571</v>
      </c>
      <c r="D207" s="2">
        <v>0.27767567617084599</v>
      </c>
      <c r="E207" s="2">
        <v>0.71637591497225217</v>
      </c>
      <c r="F207" s="14">
        <v>1.4105132950973237E-3</v>
      </c>
      <c r="G207" s="2">
        <v>0.21409937966499318</v>
      </c>
    </row>
    <row r="208" spans="3:7" x14ac:dyDescent="0.2">
      <c r="C208" s="2">
        <v>2.3781770437307457</v>
      </c>
      <c r="D208" s="2">
        <v>0.25876407619838865</v>
      </c>
      <c r="E208" s="2">
        <v>0.71963149980894603</v>
      </c>
      <c r="F208" s="14">
        <v>1.3317271573010919E-3</v>
      </c>
      <c r="G208" s="2">
        <v>0.10545356835492177</v>
      </c>
    </row>
    <row r="209" spans="3:7" x14ac:dyDescent="0.2">
      <c r="C209" s="2">
        <v>1.5385834893966039</v>
      </c>
      <c r="D209" s="2">
        <v>0.147424147038903</v>
      </c>
      <c r="E209" s="2">
        <v>0.71539139667515272</v>
      </c>
      <c r="F209" s="14">
        <v>1.8537555153546573E-3</v>
      </c>
      <c r="G209" s="2">
        <v>0.14120871662228907</v>
      </c>
    </row>
    <row r="210" spans="3:7" x14ac:dyDescent="0.2">
      <c r="C210" s="2">
        <v>1.7579059408684106</v>
      </c>
      <c r="D210" s="2">
        <v>0.19501752749071907</v>
      </c>
      <c r="E210" s="2">
        <v>0.71801355449758775</v>
      </c>
      <c r="F210" s="14">
        <v>6.7157189306053084E-4</v>
      </c>
      <c r="G210" s="2">
        <v>3.4663158558264441E-2</v>
      </c>
    </row>
    <row r="211" spans="3:7" x14ac:dyDescent="0.2">
      <c r="C211" s="2">
        <v>0.21497686767275967</v>
      </c>
      <c r="D211" s="2">
        <v>4.6075355106886234E-2</v>
      </c>
      <c r="E211" s="2">
        <v>0.70985397674189499</v>
      </c>
      <c r="F211" s="14">
        <v>3.0396639934653297E-4</v>
      </c>
      <c r="G211" s="2">
        <v>0.47511339473292297</v>
      </c>
    </row>
    <row r="212" spans="3:7" x14ac:dyDescent="0.2">
      <c r="C212" s="2">
        <v>5.2234902981102005E-2</v>
      </c>
      <c r="D212" s="2">
        <v>2.5064277126281558E-2</v>
      </c>
      <c r="E212" s="2">
        <v>0.70830203170017247</v>
      </c>
      <c r="F212" s="14">
        <v>7.6419630398962858E-4</v>
      </c>
      <c r="G212" s="2">
        <v>0.7666839459832101</v>
      </c>
    </row>
    <row r="213" spans="3:7" x14ac:dyDescent="0.2">
      <c r="C213" s="2">
        <v>0.23521420790554931</v>
      </c>
      <c r="D213" s="2">
        <v>2.4571032982996188E-2</v>
      </c>
      <c r="E213" s="2">
        <v>0.71007180823065874</v>
      </c>
      <c r="F213" s="14">
        <v>5.7917932309092693E-4</v>
      </c>
      <c r="G213" s="2">
        <v>-0.18773368351552544</v>
      </c>
    </row>
    <row r="214" spans="3:7" x14ac:dyDescent="0.2">
      <c r="C214" s="2">
        <v>0.28194139491324194</v>
      </c>
      <c r="D214" s="2">
        <v>6.2349858541715146E-2</v>
      </c>
      <c r="E214" s="2">
        <v>0.71076452056543094</v>
      </c>
      <c r="F214" s="14">
        <v>1.5490509861938123E-3</v>
      </c>
      <c r="G214" s="2">
        <v>0.32616800717230338</v>
      </c>
    </row>
    <row r="215" spans="3:7" x14ac:dyDescent="0.2">
      <c r="C215" s="2">
        <v>0.24807785585877426</v>
      </c>
      <c r="D215" s="2">
        <v>3.3201877716932456E-2</v>
      </c>
      <c r="E215" s="2">
        <v>0.70982551047904086</v>
      </c>
      <c r="F215" s="14">
        <v>8.7412599613962598E-4</v>
      </c>
      <c r="G215" s="2">
        <v>0.10051881058693524</v>
      </c>
    </row>
    <row r="216" spans="3:7" x14ac:dyDescent="0.2">
      <c r="C216" s="2">
        <v>0.58888448956218842</v>
      </c>
      <c r="D216" s="2">
        <v>0.18444430670685225</v>
      </c>
      <c r="E216" s="2">
        <v>0.71229925325563104</v>
      </c>
      <c r="F216" s="14">
        <v>1.1929121288298161E-3</v>
      </c>
      <c r="G216" s="2">
        <v>0.80245286861451814</v>
      </c>
    </row>
    <row r="217" spans="3:7" x14ac:dyDescent="0.2">
      <c r="C217" s="2">
        <v>0.42941615422192425</v>
      </c>
      <c r="D217" s="2">
        <v>6.9512531809900732E-2</v>
      </c>
      <c r="E217" s="2">
        <v>0.71164947423596558</v>
      </c>
      <c r="F217" s="14">
        <v>7.6602455075701283E-4</v>
      </c>
      <c r="G217" s="2">
        <v>0.62210907881880417</v>
      </c>
    </row>
    <row r="218" spans="3:7" x14ac:dyDescent="0.2">
      <c r="C218" s="2">
        <v>8.8021854369724419</v>
      </c>
      <c r="D218" s="2">
        <v>0.7943244610860688</v>
      </c>
      <c r="E218" s="2">
        <v>0.75019644378189354</v>
      </c>
      <c r="F218" s="14">
        <v>5.0510112386810292E-3</v>
      </c>
      <c r="G218" s="2">
        <v>-0.11734784419750553</v>
      </c>
    </row>
    <row r="219" spans="3:7" x14ac:dyDescent="0.2">
      <c r="C219" s="2">
        <v>4.9375618203175495</v>
      </c>
      <c r="D219" s="2">
        <v>1.3229225311005322</v>
      </c>
      <c r="E219" s="2">
        <v>0.73326288541063944</v>
      </c>
      <c r="F219" s="14">
        <v>3.8114112907862174E-3</v>
      </c>
      <c r="G219" s="2">
        <v>0.88368084041998807</v>
      </c>
    </row>
    <row r="220" spans="3:7" x14ac:dyDescent="0.2">
      <c r="C220" s="2">
        <v>9.6563013552802488</v>
      </c>
      <c r="D220" s="2">
        <v>0.98204563687381807</v>
      </c>
      <c r="E220" s="2">
        <v>0.74783483877822254</v>
      </c>
      <c r="F220" s="14">
        <v>2.8080639271675159E-3</v>
      </c>
      <c r="G220" s="2">
        <v>-0.11140653410756422</v>
      </c>
    </row>
    <row r="221" spans="3:7" x14ac:dyDescent="0.2">
      <c r="C221" s="2">
        <v>7.3832205128317723</v>
      </c>
      <c r="D221" s="2">
        <v>1.1794055464514384</v>
      </c>
      <c r="E221" s="2">
        <v>0.7397642006644104</v>
      </c>
      <c r="F221" s="14">
        <v>4.2777935196884331E-3</v>
      </c>
      <c r="G221" s="2">
        <v>-0.52804772777552389</v>
      </c>
    </row>
  </sheetData>
  <mergeCells count="1">
    <mergeCell ref="G103:H103"/>
  </mergeCells>
  <pageMargins left="0.7" right="0.7" top="0.75" bottom="0.75" header="0.3" footer="0.3"/>
  <pageSetup scale="13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5B24-F3C4-1A4A-A738-8257FF14A020}">
  <dimension ref="A1:AQ239"/>
  <sheetViews>
    <sheetView workbookViewId="0">
      <selection activeCell="D126" sqref="D126"/>
    </sheetView>
  </sheetViews>
  <sheetFormatPr baseColWidth="10" defaultColWidth="11" defaultRowHeight="16" x14ac:dyDescent="0.2"/>
  <cols>
    <col min="2" max="2" width="17.6640625" bestFit="1" customWidth="1"/>
    <col min="3" max="3" width="19.5" customWidth="1"/>
    <col min="4" max="4" width="17.6640625" customWidth="1"/>
    <col min="5" max="5" width="63.6640625" customWidth="1"/>
    <col min="6" max="6" width="14" customWidth="1"/>
    <col min="7" max="8" width="22.83203125" customWidth="1"/>
    <col min="9" max="9" width="17.5" style="24" customWidth="1"/>
    <col min="12" max="12" width="14.5" customWidth="1"/>
    <col min="18" max="18" width="10.83203125" style="92"/>
    <col min="33" max="33" width="23" customWidth="1"/>
    <col min="34" max="34" width="15.5" customWidth="1"/>
    <col min="35" max="35" width="12.6640625" bestFit="1" customWidth="1"/>
    <col min="42" max="42" width="12.1640625" bestFit="1" customWidth="1"/>
  </cols>
  <sheetData>
    <row r="1" spans="1:42" x14ac:dyDescent="0.2">
      <c r="AJ1" t="s">
        <v>359</v>
      </c>
      <c r="AK1">
        <v>500</v>
      </c>
    </row>
    <row r="2" spans="1:42" x14ac:dyDescent="0.2">
      <c r="A2" s="17"/>
      <c r="B2" s="17"/>
      <c r="C2" s="17"/>
      <c r="D2" s="17"/>
      <c r="E2" s="17"/>
      <c r="F2" s="17"/>
      <c r="G2" s="17"/>
      <c r="H2" s="17"/>
      <c r="I2" s="20"/>
      <c r="J2" s="17"/>
      <c r="K2" s="17"/>
      <c r="L2" s="17"/>
      <c r="M2" s="17"/>
      <c r="N2" s="17"/>
      <c r="O2" s="17"/>
      <c r="P2" s="17"/>
      <c r="Q2" s="17"/>
      <c r="R2" s="89"/>
      <c r="S2" s="17"/>
      <c r="T2" s="17"/>
      <c r="U2" s="17"/>
      <c r="V2" s="17"/>
      <c r="W2">
        <v>1.43</v>
      </c>
      <c r="AB2">
        <v>1.21</v>
      </c>
      <c r="AG2" s="39"/>
      <c r="AH2" s="39"/>
      <c r="AJ2" t="s">
        <v>361</v>
      </c>
      <c r="AK2">
        <f>10*365*24*60*60</f>
        <v>315360000</v>
      </c>
      <c r="AL2" t="s">
        <v>360</v>
      </c>
    </row>
    <row r="3" spans="1:42" x14ac:dyDescent="0.2">
      <c r="A3" s="16"/>
      <c r="B3" s="16"/>
      <c r="C3" s="16" t="s">
        <v>345</v>
      </c>
      <c r="D3" s="16"/>
      <c r="E3" s="16"/>
      <c r="F3" s="16"/>
      <c r="G3" s="16"/>
      <c r="H3" s="16"/>
      <c r="I3" s="21"/>
      <c r="J3" s="16"/>
      <c r="K3" s="16"/>
      <c r="L3" s="16"/>
      <c r="M3" s="16" t="s">
        <v>11</v>
      </c>
      <c r="N3" s="16"/>
      <c r="O3" s="16"/>
      <c r="P3" s="16"/>
      <c r="Q3" s="16"/>
      <c r="R3" s="90" t="s">
        <v>9</v>
      </c>
      <c r="S3" s="16"/>
      <c r="T3" s="16"/>
      <c r="U3" s="16"/>
      <c r="V3" s="16"/>
      <c r="W3" s="16" t="s">
        <v>342</v>
      </c>
      <c r="X3" s="16"/>
      <c r="Y3" s="16"/>
      <c r="Z3" s="16"/>
      <c r="AA3" s="16"/>
      <c r="AB3" s="16" t="s">
        <v>343</v>
      </c>
      <c r="AC3" s="16"/>
      <c r="AD3" s="16"/>
      <c r="AE3" s="16"/>
      <c r="AF3" s="16"/>
      <c r="AG3" s="16" t="s">
        <v>340</v>
      </c>
      <c r="AH3" s="16"/>
      <c r="AL3" t="s">
        <v>362</v>
      </c>
    </row>
    <row r="4" spans="1:42" ht="17" thickBot="1" x14ac:dyDescent="0.25">
      <c r="A4" s="18" t="s">
        <v>5</v>
      </c>
      <c r="B4" s="18" t="s">
        <v>6</v>
      </c>
      <c r="C4" s="18" t="s">
        <v>344</v>
      </c>
      <c r="D4" s="18" t="s">
        <v>346</v>
      </c>
      <c r="E4" s="18" t="s">
        <v>337</v>
      </c>
      <c r="F4" s="18" t="s">
        <v>355</v>
      </c>
      <c r="G4" s="18" t="s">
        <v>357</v>
      </c>
      <c r="H4" s="18" t="s">
        <v>358</v>
      </c>
      <c r="I4" s="22" t="s">
        <v>18</v>
      </c>
      <c r="J4" s="18" t="s">
        <v>339</v>
      </c>
      <c r="K4" s="18" t="s">
        <v>338</v>
      </c>
      <c r="L4" s="18" t="s">
        <v>59</v>
      </c>
      <c r="M4" s="18" t="s">
        <v>7</v>
      </c>
      <c r="N4" s="18" t="s">
        <v>8</v>
      </c>
      <c r="O4" s="18" t="s">
        <v>10</v>
      </c>
      <c r="P4" s="18" t="s">
        <v>8</v>
      </c>
      <c r="Q4" s="18" t="s">
        <v>275</v>
      </c>
      <c r="R4" s="91" t="s">
        <v>7</v>
      </c>
      <c r="S4" s="18" t="s">
        <v>8</v>
      </c>
      <c r="T4" s="18" t="s">
        <v>10</v>
      </c>
      <c r="U4" s="18" t="s">
        <v>8</v>
      </c>
      <c r="V4" s="18" t="s">
        <v>275</v>
      </c>
      <c r="W4" s="18" t="s">
        <v>7</v>
      </c>
      <c r="X4" s="18" t="s">
        <v>8</v>
      </c>
      <c r="Y4" s="18" t="s">
        <v>10</v>
      </c>
      <c r="Z4" s="18" t="s">
        <v>8</v>
      </c>
      <c r="AA4" s="18" t="s">
        <v>275</v>
      </c>
      <c r="AB4" s="18" t="s">
        <v>7</v>
      </c>
      <c r="AC4" s="18" t="s">
        <v>8</v>
      </c>
      <c r="AD4" s="18" t="s">
        <v>10</v>
      </c>
      <c r="AE4" s="18" t="s">
        <v>8</v>
      </c>
      <c r="AF4" s="18" t="s">
        <v>275</v>
      </c>
      <c r="AG4" s="18" t="s">
        <v>341</v>
      </c>
      <c r="AH4" s="18" t="s">
        <v>336</v>
      </c>
      <c r="AI4" s="18" t="s">
        <v>8</v>
      </c>
    </row>
    <row r="5" spans="1:42" s="92" customFormat="1" ht="17" thickTop="1" x14ac:dyDescent="0.2">
      <c r="A5" s="90">
        <v>62</v>
      </c>
      <c r="B5" s="90" t="s">
        <v>103</v>
      </c>
      <c r="C5" s="90">
        <v>1.41296928327645</v>
      </c>
      <c r="D5" s="90">
        <v>1.7612216087130399</v>
      </c>
      <c r="E5" s="90" t="s">
        <v>196</v>
      </c>
      <c r="F5" s="90" t="s">
        <v>356</v>
      </c>
      <c r="G5" s="107">
        <v>74820.86</v>
      </c>
      <c r="H5" s="107">
        <f>2*(G5/PI())^0.5</f>
        <v>308.65008945907232</v>
      </c>
      <c r="I5" s="95">
        <v>429280513.30000001</v>
      </c>
      <c r="J5" s="90">
        <v>45592</v>
      </c>
      <c r="K5" s="90">
        <v>48685</v>
      </c>
      <c r="L5" s="90">
        <v>995.63</v>
      </c>
      <c r="M5" s="90">
        <v>4.7598378700000001</v>
      </c>
      <c r="N5" s="90">
        <v>0.32615704000000001</v>
      </c>
      <c r="O5" s="90">
        <v>0.80551499999999998</v>
      </c>
      <c r="P5" s="90">
        <v>1.408891E-2</v>
      </c>
      <c r="Q5" s="90">
        <v>0.56632581000000004</v>
      </c>
      <c r="R5" s="90">
        <v>4.397898928</v>
      </c>
      <c r="S5" s="90">
        <v>0.52830719999999998</v>
      </c>
      <c r="T5" s="90">
        <v>0.80722302999999995</v>
      </c>
      <c r="U5" s="90">
        <v>1.4118479999999999E-2</v>
      </c>
      <c r="V5" s="90">
        <v>0.32715270000000002</v>
      </c>
      <c r="W5" s="92">
        <f>M5/$W$2</f>
        <v>3.3285579510489511</v>
      </c>
      <c r="X5" s="92">
        <f>N5/$W$2</f>
        <v>0.22808184615384616</v>
      </c>
      <c r="Y5" s="92">
        <f>O5</f>
        <v>0.80551499999999998</v>
      </c>
      <c r="Z5" s="92">
        <f t="shared" ref="Z5:AA5" si="0">P5</f>
        <v>1.408891E-2</v>
      </c>
      <c r="AA5" s="92">
        <f t="shared" si="0"/>
        <v>0.56632581000000004</v>
      </c>
      <c r="AB5" s="92">
        <f>R5/$AB$2</f>
        <v>3.6346272132231405</v>
      </c>
      <c r="AC5" s="92">
        <f>S5/$AB$2</f>
        <v>0.436617520661157</v>
      </c>
      <c r="AD5" s="92">
        <f>T5</f>
        <v>0.80722302999999995</v>
      </c>
      <c r="AE5" s="92">
        <f t="shared" ref="AE5:AF5" si="1">U5</f>
        <v>1.4118479999999999E-2</v>
      </c>
      <c r="AF5" s="92">
        <f t="shared" si="1"/>
        <v>0.32715270000000002</v>
      </c>
      <c r="AG5" s="96">
        <f>(AD5-0.71188)/AB5</f>
        <v>2.6231859392108339E-2</v>
      </c>
      <c r="AH5" s="97">
        <f>LN(1+AG5)/0.000013972</f>
        <v>1853.2568731071563</v>
      </c>
      <c r="AI5" s="100">
        <f>AH5*SQRT((AC5/AB5)^2+(AE5/(AD5-0.71188))^2-2*AF5*(AC5/AB5)*(AE5/(AD5-0.71188)))</f>
        <v>291.37624657658944</v>
      </c>
      <c r="AK5" s="100">
        <f>H5</f>
        <v>308.65008945907232</v>
      </c>
    </row>
    <row r="6" spans="1:42" s="92" customFormat="1" x14ac:dyDescent="0.2">
      <c r="A6" s="90">
        <v>63</v>
      </c>
      <c r="B6" s="90" t="s">
        <v>104</v>
      </c>
      <c r="C6" s="90">
        <v>0.36126373626373598</v>
      </c>
      <c r="D6" s="90">
        <v>3.6651450183521801</v>
      </c>
      <c r="E6" s="90" t="s">
        <v>196</v>
      </c>
      <c r="F6" s="90" t="s">
        <v>356</v>
      </c>
      <c r="G6" s="107">
        <v>74820.86</v>
      </c>
      <c r="H6" s="107">
        <f t="shared" ref="H6:H7" si="2">2*(G6/PI())^0.5</f>
        <v>308.65008945907232</v>
      </c>
      <c r="I6" s="95">
        <v>259988044.5</v>
      </c>
      <c r="J6" s="90">
        <v>45544</v>
      </c>
      <c r="K6" s="90">
        <v>48867</v>
      </c>
      <c r="L6" s="90">
        <v>995.63</v>
      </c>
      <c r="M6" s="90">
        <v>7.99201461</v>
      </c>
      <c r="N6" s="90">
        <v>1.7198381599999999</v>
      </c>
      <c r="O6" s="90">
        <v>0.85306369999999998</v>
      </c>
      <c r="P6" s="90">
        <v>1.9792779999999999E-2</v>
      </c>
      <c r="Q6" s="90">
        <v>0.98346191999999999</v>
      </c>
      <c r="R6" s="90">
        <v>7.3843003549999997</v>
      </c>
      <c r="S6" s="90">
        <v>1.74812889</v>
      </c>
      <c r="T6" s="90">
        <v>0.85487254999999995</v>
      </c>
      <c r="U6" s="90">
        <v>1.9834500000000001E-2</v>
      </c>
      <c r="V6" s="90">
        <v>0.89555428999999998</v>
      </c>
      <c r="W6" s="92">
        <f t="shared" ref="W6:W69" si="3">M6/$W$2</f>
        <v>5.5888214055944054</v>
      </c>
      <c r="X6" s="92">
        <f t="shared" ref="X6:X69" si="4">N6/$W$2</f>
        <v>1.2026840279720279</v>
      </c>
      <c r="Y6" s="92">
        <f t="shared" ref="Y6:Y69" si="5">O6</f>
        <v>0.85306369999999998</v>
      </c>
      <c r="Z6" s="92">
        <f t="shared" ref="Z6:Z69" si="6">P6</f>
        <v>1.9792779999999999E-2</v>
      </c>
      <c r="AA6" s="92">
        <f t="shared" ref="AA6:AA69" si="7">Q6</f>
        <v>0.98346191999999999</v>
      </c>
      <c r="AB6" s="92">
        <f t="shared" ref="AB6:AB69" si="8">R6/$AB$2</f>
        <v>6.1027275661157026</v>
      </c>
      <c r="AC6" s="92">
        <f t="shared" ref="AC6:AC69" si="9">S6/$AB$2</f>
        <v>1.4447346198347109</v>
      </c>
      <c r="AD6" s="92">
        <f t="shared" ref="AD6:AD69" si="10">T6</f>
        <v>0.85487254999999995</v>
      </c>
      <c r="AE6" s="92">
        <f t="shared" ref="AE6:AE69" si="11">U6</f>
        <v>1.9834500000000001E-2</v>
      </c>
      <c r="AF6" s="92">
        <f t="shared" ref="AF6:AF69" si="12">V6</f>
        <v>0.89555428999999998</v>
      </c>
      <c r="AG6" s="96">
        <f t="shared" ref="AG6:AG7" si="13">(AD6-0.71188)/AB6</f>
        <v>2.3430924689140709E-2</v>
      </c>
      <c r="AH6" s="97">
        <f t="shared" ref="AH6:AH57" si="14">LN(1+AG6)/0.000013972</f>
        <v>1657.6463304948725</v>
      </c>
      <c r="AI6" s="100">
        <f t="shared" ref="AI6:AI7" si="15">AH6*SQRT((AC6/AB6)^2+(AE6/(AD6-0.71188))^2-2*AF6*(AC6/AB6)*(AE6/(AD6-0.71188)))</f>
        <v>212.72563858734628</v>
      </c>
      <c r="AK6" s="100">
        <f t="shared" ref="AK6:AK69" si="16">H6</f>
        <v>308.65008945907232</v>
      </c>
    </row>
    <row r="7" spans="1:42" s="92" customFormat="1" x14ac:dyDescent="0.2">
      <c r="A7" s="90">
        <v>66</v>
      </c>
      <c r="B7" s="90" t="s">
        <v>105</v>
      </c>
      <c r="C7" s="90">
        <v>9.5409836065573703</v>
      </c>
      <c r="D7" s="90">
        <v>1.5428067365401701</v>
      </c>
      <c r="E7" s="90" t="s">
        <v>196</v>
      </c>
      <c r="F7" s="90" t="s">
        <v>356</v>
      </c>
      <c r="G7" s="107">
        <v>74820.86</v>
      </c>
      <c r="H7" s="107">
        <f t="shared" si="2"/>
        <v>308.65008945907232</v>
      </c>
      <c r="I7" s="95">
        <v>285551014.39999998</v>
      </c>
      <c r="J7" s="90">
        <v>45652</v>
      </c>
      <c r="K7" s="90">
        <v>48780</v>
      </c>
      <c r="L7" s="90">
        <v>995.63</v>
      </c>
      <c r="M7" s="90">
        <v>9.9655989300000005</v>
      </c>
      <c r="N7" s="90">
        <v>2.8994640399999998</v>
      </c>
      <c r="O7" s="90">
        <v>0.88084912000000004</v>
      </c>
      <c r="P7" s="90">
        <v>2.146928E-2</v>
      </c>
      <c r="Q7" s="90">
        <v>0.49848350000000002</v>
      </c>
      <c r="R7" s="90">
        <v>9.1830396620000005</v>
      </c>
      <c r="S7" s="90">
        <v>2.8285060799999999</v>
      </c>
      <c r="T7" s="90">
        <v>0.88266283000000001</v>
      </c>
      <c r="U7" s="90">
        <v>2.1516199999999999E-2</v>
      </c>
      <c r="V7" s="90">
        <v>0.47520158000000001</v>
      </c>
      <c r="W7" s="92">
        <f t="shared" si="3"/>
        <v>6.9689503006993014</v>
      </c>
      <c r="X7" s="92">
        <f t="shared" si="4"/>
        <v>2.0275972307692309</v>
      </c>
      <c r="Y7" s="92">
        <f t="shared" si="5"/>
        <v>0.88084912000000004</v>
      </c>
      <c r="Z7" s="92">
        <f t="shared" si="6"/>
        <v>2.146928E-2</v>
      </c>
      <c r="AA7" s="92">
        <f t="shared" si="7"/>
        <v>0.49848350000000002</v>
      </c>
      <c r="AB7" s="92">
        <f t="shared" si="8"/>
        <v>7.5892889768595051</v>
      </c>
      <c r="AC7" s="92">
        <f t="shared" si="9"/>
        <v>2.3376083305785125</v>
      </c>
      <c r="AD7" s="92">
        <f t="shared" si="10"/>
        <v>0.88266283000000001</v>
      </c>
      <c r="AE7" s="92">
        <f t="shared" si="11"/>
        <v>2.1516199999999999E-2</v>
      </c>
      <c r="AF7" s="92">
        <f t="shared" si="12"/>
        <v>0.47520158000000001</v>
      </c>
      <c r="AG7" s="96">
        <f t="shared" si="13"/>
        <v>2.2503139690784452E-2</v>
      </c>
      <c r="AH7" s="97">
        <f t="shared" si="14"/>
        <v>1592.7340060363324</v>
      </c>
      <c r="AI7" s="100">
        <f t="shared" si="15"/>
        <v>432.87320480279055</v>
      </c>
      <c r="AK7" s="100">
        <f t="shared" si="16"/>
        <v>308.65008945907232</v>
      </c>
    </row>
    <row r="8" spans="1:42" x14ac:dyDescent="0.2">
      <c r="A8" s="16">
        <v>67</v>
      </c>
      <c r="B8" s="16" t="s">
        <v>106</v>
      </c>
      <c r="C8" s="16">
        <v>2.93378038558256E-2</v>
      </c>
      <c r="D8" s="16">
        <v>4.0678994323575302E-2</v>
      </c>
      <c r="E8" s="16" t="s">
        <v>196</v>
      </c>
      <c r="F8" s="16"/>
      <c r="G8" s="16"/>
      <c r="H8" s="16"/>
      <c r="I8" s="21">
        <v>1041136313</v>
      </c>
      <c r="J8" s="16">
        <v>46703</v>
      </c>
      <c r="K8" s="16">
        <v>48992</v>
      </c>
      <c r="L8" s="16">
        <v>1071.56</v>
      </c>
      <c r="M8" s="16">
        <v>7.0609630000000007E-2</v>
      </c>
      <c r="N8" s="16">
        <v>7.6149099999999999E-3</v>
      </c>
      <c r="O8" s="16">
        <v>0.70825651999999995</v>
      </c>
      <c r="P8" s="16">
        <v>6.6180999999999998E-4</v>
      </c>
      <c r="Q8" s="16">
        <v>-0.54605199999999998</v>
      </c>
      <c r="R8" s="90">
        <v>6.5064935000000004E-2</v>
      </c>
      <c r="S8" s="16">
        <v>9.6183899999999992E-3</v>
      </c>
      <c r="T8" s="16">
        <v>0.70971485999999995</v>
      </c>
      <c r="U8" s="16">
        <v>7.1772000000000003E-4</v>
      </c>
      <c r="V8" s="16">
        <v>-0.14720230000000001</v>
      </c>
      <c r="W8">
        <f t="shared" si="3"/>
        <v>4.9377363636363643E-2</v>
      </c>
      <c r="X8">
        <f t="shared" si="4"/>
        <v>5.3251118881118883E-3</v>
      </c>
      <c r="Y8">
        <f t="shared" si="5"/>
        <v>0.70825651999999995</v>
      </c>
      <c r="Z8">
        <f t="shared" si="6"/>
        <v>6.6180999999999998E-4</v>
      </c>
      <c r="AA8">
        <f t="shared" si="7"/>
        <v>-0.54605199999999998</v>
      </c>
      <c r="AB8">
        <f t="shared" si="8"/>
        <v>5.3772673553719015E-2</v>
      </c>
      <c r="AC8">
        <f t="shared" si="9"/>
        <v>7.9490826446280988E-3</v>
      </c>
      <c r="AD8">
        <f t="shared" si="10"/>
        <v>0.70971485999999995</v>
      </c>
      <c r="AE8">
        <f t="shared" si="11"/>
        <v>7.1772000000000003E-4</v>
      </c>
      <c r="AF8">
        <f t="shared" si="12"/>
        <v>-0.14720230000000001</v>
      </c>
      <c r="AG8" s="48"/>
      <c r="AH8" s="93"/>
      <c r="AI8" s="74"/>
      <c r="AK8" s="100">
        <f t="shared" si="16"/>
        <v>0</v>
      </c>
    </row>
    <row r="9" spans="1:42" x14ac:dyDescent="0.2">
      <c r="A9" s="16">
        <v>68</v>
      </c>
      <c r="B9" s="16" t="s">
        <v>107</v>
      </c>
      <c r="C9" s="16">
        <v>3.3834586466165398E-2</v>
      </c>
      <c r="D9" s="16">
        <v>2.7543617241441699E-2</v>
      </c>
      <c r="E9" s="16" t="s">
        <v>196</v>
      </c>
      <c r="F9" s="16"/>
      <c r="G9" s="16"/>
      <c r="H9" s="16"/>
      <c r="I9" s="21">
        <v>325115895.89999998</v>
      </c>
      <c r="J9" s="16">
        <v>46354</v>
      </c>
      <c r="K9" s="16">
        <v>49129</v>
      </c>
      <c r="L9" s="16">
        <v>1076.25</v>
      </c>
      <c r="M9" s="16">
        <v>6.6048109999999993E-2</v>
      </c>
      <c r="N9" s="16">
        <v>4.5509139999999997E-2</v>
      </c>
      <c r="O9" s="16">
        <v>0.70942695</v>
      </c>
      <c r="P9" s="16">
        <v>4.8716300000000001E-3</v>
      </c>
      <c r="Q9" s="16">
        <v>0.57946491</v>
      </c>
      <c r="R9" s="90">
        <v>6.0861608999999997E-2</v>
      </c>
      <c r="S9" s="16">
        <v>4.238455E-2</v>
      </c>
      <c r="T9" s="16">
        <v>0.71088768999999996</v>
      </c>
      <c r="U9" s="16">
        <v>4.8894000000000003E-3</v>
      </c>
      <c r="V9" s="16">
        <v>0.57931255999999998</v>
      </c>
      <c r="W9">
        <f t="shared" si="3"/>
        <v>4.618748951048951E-2</v>
      </c>
      <c r="X9">
        <f t="shared" si="4"/>
        <v>3.1824573426573424E-2</v>
      </c>
      <c r="Y9">
        <f t="shared" si="5"/>
        <v>0.70942695</v>
      </c>
      <c r="Z9">
        <f t="shared" si="6"/>
        <v>4.8716300000000001E-3</v>
      </c>
      <c r="AA9">
        <f t="shared" si="7"/>
        <v>0.57946491</v>
      </c>
      <c r="AB9">
        <f t="shared" si="8"/>
        <v>5.0298850413223142E-2</v>
      </c>
      <c r="AC9">
        <f t="shared" si="9"/>
        <v>3.5028553719008267E-2</v>
      </c>
      <c r="AD9">
        <f t="shared" si="10"/>
        <v>0.71088768999999996</v>
      </c>
      <c r="AE9">
        <f t="shared" si="11"/>
        <v>4.8894000000000003E-3</v>
      </c>
      <c r="AF9">
        <f t="shared" si="12"/>
        <v>0.57931255999999998</v>
      </c>
      <c r="AG9" s="48"/>
      <c r="AH9" s="93"/>
      <c r="AI9" s="74"/>
      <c r="AK9" s="100">
        <f t="shared" si="16"/>
        <v>0</v>
      </c>
    </row>
    <row r="10" spans="1:42" x14ac:dyDescent="0.2">
      <c r="A10" s="16">
        <v>69</v>
      </c>
      <c r="B10" s="16" t="s">
        <v>108</v>
      </c>
      <c r="C10" s="16">
        <v>4.4502617801047098E-2</v>
      </c>
      <c r="D10" s="16">
        <v>5.61624274309993E-2</v>
      </c>
      <c r="E10" s="16" t="s">
        <v>196</v>
      </c>
      <c r="F10" s="16"/>
      <c r="G10" s="16"/>
      <c r="H10" s="16"/>
      <c r="I10" s="21">
        <v>599198669.89999998</v>
      </c>
      <c r="J10" s="16">
        <v>46390</v>
      </c>
      <c r="K10" s="16">
        <v>49244</v>
      </c>
      <c r="L10" s="16">
        <v>1021.25</v>
      </c>
      <c r="M10" s="16">
        <v>8.123097E-2</v>
      </c>
      <c r="N10" s="16">
        <v>4.7189099999999998E-3</v>
      </c>
      <c r="O10" s="16">
        <v>0.71466532000000005</v>
      </c>
      <c r="P10" s="16">
        <v>9.7462999999999998E-4</v>
      </c>
      <c r="Q10" s="16">
        <v>5.6195460000000003E-2</v>
      </c>
      <c r="R10" s="90">
        <v>7.4852216999999999E-2</v>
      </c>
      <c r="S10" s="16">
        <v>8.7282699999999998E-3</v>
      </c>
      <c r="T10" s="16">
        <v>0.71613685000000005</v>
      </c>
      <c r="U10" s="16">
        <v>1.01515E-3</v>
      </c>
      <c r="V10" s="16">
        <v>0.22670665000000001</v>
      </c>
      <c r="W10">
        <f t="shared" si="3"/>
        <v>5.6804874125874129E-2</v>
      </c>
      <c r="X10">
        <f t="shared" si="4"/>
        <v>3.2999370629370629E-3</v>
      </c>
      <c r="Y10">
        <f t="shared" si="5"/>
        <v>0.71466532000000005</v>
      </c>
      <c r="Z10">
        <f t="shared" si="6"/>
        <v>9.7462999999999998E-4</v>
      </c>
      <c r="AA10">
        <f t="shared" si="7"/>
        <v>5.6195460000000003E-2</v>
      </c>
      <c r="AB10">
        <f t="shared" si="8"/>
        <v>6.1861336363636367E-2</v>
      </c>
      <c r="AC10">
        <f t="shared" si="9"/>
        <v>7.2134462809917352E-3</v>
      </c>
      <c r="AD10">
        <f t="shared" si="10"/>
        <v>0.71613685000000005</v>
      </c>
      <c r="AE10">
        <f t="shared" si="11"/>
        <v>1.01515E-3</v>
      </c>
      <c r="AF10">
        <f t="shared" si="12"/>
        <v>0.22670665000000001</v>
      </c>
      <c r="AG10" s="48"/>
      <c r="AH10" s="93"/>
      <c r="AI10" s="74"/>
      <c r="AK10" s="100">
        <f t="shared" si="16"/>
        <v>0</v>
      </c>
    </row>
    <row r="11" spans="1:42" x14ac:dyDescent="0.2">
      <c r="A11" s="16">
        <v>70</v>
      </c>
      <c r="B11" s="16" t="s">
        <v>109</v>
      </c>
      <c r="C11" s="16">
        <v>1.50645624103299E-2</v>
      </c>
      <c r="D11" s="16">
        <v>0.10040697588618799</v>
      </c>
      <c r="E11" s="16" t="s">
        <v>196</v>
      </c>
      <c r="F11" s="16"/>
      <c r="G11" s="16"/>
      <c r="H11" s="16"/>
      <c r="I11" s="21">
        <v>696377876.60000002</v>
      </c>
      <c r="J11" s="16">
        <v>46781</v>
      </c>
      <c r="K11" s="16">
        <v>49266</v>
      </c>
      <c r="L11" s="16">
        <v>1086.8800000000001</v>
      </c>
      <c r="M11" s="16">
        <v>7.4169269999999995E-2</v>
      </c>
      <c r="N11" s="16">
        <v>1.004004E-2</v>
      </c>
      <c r="O11" s="16">
        <v>0.71375792000000005</v>
      </c>
      <c r="P11" s="16">
        <v>2.46255E-3</v>
      </c>
      <c r="Q11" s="16">
        <v>0.38640306000000002</v>
      </c>
      <c r="R11" s="90">
        <v>6.8345048000000005E-2</v>
      </c>
      <c r="S11" s="16">
        <v>1.1547379999999999E-2</v>
      </c>
      <c r="T11" s="16">
        <v>0.71522757999999997</v>
      </c>
      <c r="U11" s="16">
        <v>2.48307E-3</v>
      </c>
      <c r="V11" s="16">
        <v>0.36395045999999998</v>
      </c>
      <c r="W11">
        <f t="shared" si="3"/>
        <v>5.1866622377622379E-2</v>
      </c>
      <c r="X11">
        <f t="shared" si="4"/>
        <v>7.0210069930069932E-3</v>
      </c>
      <c r="Y11">
        <f t="shared" si="5"/>
        <v>0.71375792000000005</v>
      </c>
      <c r="Z11">
        <f t="shared" si="6"/>
        <v>2.46255E-3</v>
      </c>
      <c r="AA11">
        <f t="shared" si="7"/>
        <v>0.38640306000000002</v>
      </c>
      <c r="AB11">
        <f t="shared" si="8"/>
        <v>5.648351074380166E-2</v>
      </c>
      <c r="AC11">
        <f t="shared" si="9"/>
        <v>9.5432892561983472E-3</v>
      </c>
      <c r="AD11">
        <f t="shared" si="10"/>
        <v>0.71522757999999997</v>
      </c>
      <c r="AE11">
        <f t="shared" si="11"/>
        <v>2.48307E-3</v>
      </c>
      <c r="AF11">
        <f t="shared" si="12"/>
        <v>0.36395045999999998</v>
      </c>
      <c r="AG11" s="48"/>
      <c r="AH11" s="93"/>
      <c r="AI11" s="74"/>
      <c r="AK11" s="100">
        <f t="shared" si="16"/>
        <v>0</v>
      </c>
    </row>
    <row r="12" spans="1:42" x14ac:dyDescent="0.2">
      <c r="A12" s="16">
        <v>73</v>
      </c>
      <c r="B12" s="16" t="s">
        <v>110</v>
      </c>
      <c r="C12" s="16">
        <v>2.18712029161603E-2</v>
      </c>
      <c r="D12" s="16">
        <v>1.7143635051800499E-2</v>
      </c>
      <c r="E12" s="16" t="s">
        <v>196</v>
      </c>
      <c r="F12" s="16"/>
      <c r="G12" s="16"/>
      <c r="H12" s="16"/>
      <c r="I12" s="21">
        <v>356874950.30000001</v>
      </c>
      <c r="J12" s="16">
        <v>46625</v>
      </c>
      <c r="K12" s="16">
        <v>49294</v>
      </c>
      <c r="L12" s="16">
        <v>1093.1300000000001</v>
      </c>
      <c r="M12" s="16">
        <v>8.3170019999999997E-2</v>
      </c>
      <c r="N12" s="16">
        <v>2.1399830000000002E-2</v>
      </c>
      <c r="O12" s="16">
        <v>0.71688337999999996</v>
      </c>
      <c r="P12" s="16">
        <v>6.9994000000000002E-4</v>
      </c>
      <c r="Q12" s="16">
        <v>-0.61038630000000005</v>
      </c>
      <c r="R12" s="90">
        <v>7.5044991000000005E-2</v>
      </c>
      <c r="S12" s="16">
        <v>2.051557E-2</v>
      </c>
      <c r="T12" s="16">
        <v>0.71835645000000004</v>
      </c>
      <c r="U12" s="16">
        <v>7.2033000000000004E-4</v>
      </c>
      <c r="V12" s="16">
        <v>-0.48586030000000002</v>
      </c>
      <c r="W12">
        <f t="shared" si="3"/>
        <v>5.8160853146853146E-2</v>
      </c>
      <c r="X12">
        <f t="shared" si="4"/>
        <v>1.4964916083916086E-2</v>
      </c>
      <c r="Y12">
        <f t="shared" si="5"/>
        <v>0.71688337999999996</v>
      </c>
      <c r="Z12">
        <f t="shared" si="6"/>
        <v>6.9994000000000002E-4</v>
      </c>
      <c r="AA12">
        <f t="shared" si="7"/>
        <v>-0.61038630000000005</v>
      </c>
      <c r="AB12">
        <f t="shared" si="8"/>
        <v>6.2020653719008272E-2</v>
      </c>
      <c r="AC12">
        <f t="shared" si="9"/>
        <v>1.6955016528925622E-2</v>
      </c>
      <c r="AD12">
        <f t="shared" si="10"/>
        <v>0.71835645000000004</v>
      </c>
      <c r="AE12">
        <f t="shared" si="11"/>
        <v>7.2033000000000004E-4</v>
      </c>
      <c r="AF12">
        <f t="shared" si="12"/>
        <v>-0.48586030000000002</v>
      </c>
      <c r="AG12" s="48"/>
      <c r="AH12" s="93"/>
      <c r="AI12" s="74"/>
      <c r="AK12" s="100">
        <f t="shared" si="16"/>
        <v>0</v>
      </c>
    </row>
    <row r="13" spans="1:42" x14ac:dyDescent="0.2">
      <c r="A13" s="16">
        <v>74</v>
      </c>
      <c r="B13" s="16" t="s">
        <v>111</v>
      </c>
      <c r="C13" s="16">
        <v>4.1518386714116201E-2</v>
      </c>
      <c r="D13" s="16">
        <v>9.6901004410586994E-2</v>
      </c>
      <c r="E13" s="16" t="s">
        <v>196</v>
      </c>
      <c r="F13" s="16"/>
      <c r="G13" s="16"/>
      <c r="H13" s="16"/>
      <c r="I13" s="21">
        <v>414316547</v>
      </c>
      <c r="J13" s="16">
        <v>46433</v>
      </c>
      <c r="K13" s="16">
        <v>49353</v>
      </c>
      <c r="L13" s="16">
        <v>1083.44</v>
      </c>
      <c r="M13" s="16">
        <v>9.4321920000000004E-2</v>
      </c>
      <c r="N13" s="16">
        <v>8.0188599999999992E-3</v>
      </c>
      <c r="O13" s="16">
        <v>0.71158646999999997</v>
      </c>
      <c r="P13" s="16">
        <v>1.2636100000000001E-3</v>
      </c>
      <c r="Q13" s="16">
        <v>0.22119900000000001</v>
      </c>
      <c r="R13" s="90">
        <v>8.5107442000000005E-2</v>
      </c>
      <c r="S13" s="16">
        <v>1.0683689999999999E-2</v>
      </c>
      <c r="T13" s="16">
        <v>0.71304864999999995</v>
      </c>
      <c r="U13" s="16">
        <v>1.2766399999999999E-3</v>
      </c>
      <c r="V13" s="16">
        <v>0.23825679</v>
      </c>
      <c r="W13">
        <f t="shared" si="3"/>
        <v>6.5959384615384614E-2</v>
      </c>
      <c r="X13">
        <f t="shared" si="4"/>
        <v>5.6075944055944049E-3</v>
      </c>
      <c r="Y13">
        <f t="shared" si="5"/>
        <v>0.71158646999999997</v>
      </c>
      <c r="Z13">
        <f t="shared" si="6"/>
        <v>1.2636100000000001E-3</v>
      </c>
      <c r="AA13">
        <f t="shared" si="7"/>
        <v>0.22119900000000001</v>
      </c>
      <c r="AB13">
        <f t="shared" si="8"/>
        <v>7.0336728925619846E-2</v>
      </c>
      <c r="AC13">
        <f t="shared" si="9"/>
        <v>8.8294958677685945E-3</v>
      </c>
      <c r="AD13">
        <f t="shared" si="10"/>
        <v>0.71304864999999995</v>
      </c>
      <c r="AE13">
        <f t="shared" si="11"/>
        <v>1.2766399999999999E-3</v>
      </c>
      <c r="AF13">
        <f t="shared" si="12"/>
        <v>0.23825679</v>
      </c>
      <c r="AG13" s="48"/>
      <c r="AH13" s="93"/>
      <c r="AI13" s="74"/>
      <c r="AK13" s="100">
        <f t="shared" si="16"/>
        <v>0</v>
      </c>
      <c r="AP13">
        <f>75-28</f>
        <v>47</v>
      </c>
    </row>
    <row r="14" spans="1:42" x14ac:dyDescent="0.2">
      <c r="A14" s="16">
        <v>75</v>
      </c>
      <c r="B14" s="16" t="s">
        <v>112</v>
      </c>
      <c r="C14" s="16">
        <v>2.17606330365974E-2</v>
      </c>
      <c r="D14" s="16">
        <v>5.6898174413934702E-2</v>
      </c>
      <c r="E14" s="16" t="s">
        <v>196</v>
      </c>
      <c r="F14" s="16"/>
      <c r="G14" s="16"/>
      <c r="H14" s="16"/>
      <c r="I14" s="21">
        <v>382958171.30000001</v>
      </c>
      <c r="J14" s="16">
        <v>46332</v>
      </c>
      <c r="K14" s="16">
        <v>49331</v>
      </c>
      <c r="L14" s="16">
        <v>1054.69</v>
      </c>
      <c r="M14" s="16">
        <v>7.7335459999999995E-2</v>
      </c>
      <c r="N14" s="16">
        <v>2.022728E-2</v>
      </c>
      <c r="O14" s="16">
        <v>0.71229374000000001</v>
      </c>
      <c r="P14" s="16">
        <v>1.1973000000000001E-3</v>
      </c>
      <c r="Q14" s="16">
        <v>0.26633036999999998</v>
      </c>
      <c r="R14" s="90">
        <v>6.9780414999999998E-2</v>
      </c>
      <c r="S14" s="16">
        <v>1.935576E-2</v>
      </c>
      <c r="T14" s="16">
        <v>0.71375736999999995</v>
      </c>
      <c r="U14" s="16">
        <v>1.21079E-3</v>
      </c>
      <c r="V14" s="16">
        <v>0.29167767</v>
      </c>
      <c r="W14">
        <f t="shared" si="3"/>
        <v>5.4080741258741259E-2</v>
      </c>
      <c r="X14">
        <f t="shared" si="4"/>
        <v>1.4144951048951049E-2</v>
      </c>
      <c r="Y14">
        <f t="shared" si="5"/>
        <v>0.71229374000000001</v>
      </c>
      <c r="Z14">
        <f t="shared" si="6"/>
        <v>1.1973000000000001E-3</v>
      </c>
      <c r="AA14">
        <f t="shared" si="7"/>
        <v>0.26633036999999998</v>
      </c>
      <c r="AB14">
        <f t="shared" si="8"/>
        <v>5.7669764462809921E-2</v>
      </c>
      <c r="AC14">
        <f t="shared" si="9"/>
        <v>1.5996495867768596E-2</v>
      </c>
      <c r="AD14">
        <f t="shared" si="10"/>
        <v>0.71375736999999995</v>
      </c>
      <c r="AE14">
        <f t="shared" si="11"/>
        <v>1.21079E-3</v>
      </c>
      <c r="AF14">
        <f t="shared" si="12"/>
        <v>0.29167767</v>
      </c>
      <c r="AG14" s="48"/>
      <c r="AH14" s="93"/>
      <c r="AI14" s="74"/>
      <c r="AK14" s="100">
        <f t="shared" si="16"/>
        <v>0</v>
      </c>
    </row>
    <row r="15" spans="1:42" x14ac:dyDescent="0.2">
      <c r="A15" s="16">
        <v>76</v>
      </c>
      <c r="B15" s="16" t="s">
        <v>113</v>
      </c>
      <c r="C15" s="16">
        <v>5.4858934169278901E-2</v>
      </c>
      <c r="D15" s="16">
        <v>4.7723337630902002E-2</v>
      </c>
      <c r="E15" s="16" t="s">
        <v>196</v>
      </c>
      <c r="F15" s="16"/>
      <c r="G15" s="16"/>
      <c r="H15" s="16"/>
      <c r="I15" s="21">
        <v>448635121.39999998</v>
      </c>
      <c r="J15" s="16">
        <v>46482</v>
      </c>
      <c r="K15" s="16">
        <v>49660</v>
      </c>
      <c r="L15" s="16">
        <v>1083.75</v>
      </c>
      <c r="M15" s="16">
        <v>8.2677310000000004E-2</v>
      </c>
      <c r="N15" s="16">
        <v>4.2843899999999999E-3</v>
      </c>
      <c r="O15" s="16">
        <v>0.71601619999999999</v>
      </c>
      <c r="P15" s="16">
        <v>1.0578899999999999E-3</v>
      </c>
      <c r="Q15" s="16">
        <v>-0.45123370000000002</v>
      </c>
      <c r="R15" s="90">
        <v>7.4600415000000003E-2</v>
      </c>
      <c r="S15" s="16">
        <v>7.9005700000000009E-3</v>
      </c>
      <c r="T15" s="16">
        <v>0.71748749000000001</v>
      </c>
      <c r="U15" s="16">
        <v>1.07266E-3</v>
      </c>
      <c r="V15" s="16">
        <v>-9.0905399999999997E-2</v>
      </c>
      <c r="W15">
        <f t="shared" si="3"/>
        <v>5.7816300699300702E-2</v>
      </c>
      <c r="X15">
        <f t="shared" si="4"/>
        <v>2.9960769230769234E-3</v>
      </c>
      <c r="Y15">
        <f t="shared" si="5"/>
        <v>0.71601619999999999</v>
      </c>
      <c r="Z15">
        <f t="shared" si="6"/>
        <v>1.0578899999999999E-3</v>
      </c>
      <c r="AA15">
        <f t="shared" si="7"/>
        <v>-0.45123370000000002</v>
      </c>
      <c r="AB15">
        <f t="shared" si="8"/>
        <v>6.1653235537190085E-2</v>
      </c>
      <c r="AC15">
        <f t="shared" si="9"/>
        <v>6.5293966942148772E-3</v>
      </c>
      <c r="AD15">
        <f t="shared" si="10"/>
        <v>0.71748749000000001</v>
      </c>
      <c r="AE15">
        <f t="shared" si="11"/>
        <v>1.07266E-3</v>
      </c>
      <c r="AF15">
        <f t="shared" si="12"/>
        <v>-9.0905399999999997E-2</v>
      </c>
      <c r="AG15" s="48"/>
      <c r="AH15" s="93"/>
      <c r="AI15" s="74"/>
      <c r="AK15" s="100">
        <f t="shared" si="16"/>
        <v>0</v>
      </c>
    </row>
    <row r="16" spans="1:42" x14ac:dyDescent="0.2">
      <c r="A16" s="16">
        <v>77</v>
      </c>
      <c r="B16" s="16" t="s">
        <v>114</v>
      </c>
      <c r="C16" s="16">
        <v>5.8882235528942103E-2</v>
      </c>
      <c r="D16" s="16">
        <v>7.0804058687796601E-2</v>
      </c>
      <c r="E16" s="16" t="s">
        <v>196</v>
      </c>
      <c r="F16" s="16"/>
      <c r="G16" s="16"/>
      <c r="H16" s="16"/>
      <c r="I16" s="21">
        <v>814978249</v>
      </c>
      <c r="J16" s="16">
        <v>46630</v>
      </c>
      <c r="K16" s="16">
        <v>49435</v>
      </c>
      <c r="L16" s="16">
        <v>1056.8800000000001</v>
      </c>
      <c r="M16" s="16">
        <v>6.1207360000000002E-2</v>
      </c>
      <c r="N16" s="16">
        <v>5.6700400000000003E-3</v>
      </c>
      <c r="O16" s="16">
        <v>0.71106996</v>
      </c>
      <c r="P16" s="16">
        <v>7.6798999999999997E-4</v>
      </c>
      <c r="Q16" s="16">
        <v>0.12664420000000001</v>
      </c>
      <c r="R16" s="90">
        <v>5.5227904000000001E-2</v>
      </c>
      <c r="S16" s="16">
        <v>7.2245399999999998E-3</v>
      </c>
      <c r="T16" s="16">
        <v>0.71253107999999998</v>
      </c>
      <c r="U16" s="16">
        <v>7.8660000000000004E-4</v>
      </c>
      <c r="V16" s="16">
        <v>0.22730691</v>
      </c>
      <c r="W16">
        <f t="shared" si="3"/>
        <v>4.2802349650349653E-2</v>
      </c>
      <c r="X16">
        <f t="shared" si="4"/>
        <v>3.9650629370629378E-3</v>
      </c>
      <c r="Y16">
        <f t="shared" si="5"/>
        <v>0.71106996</v>
      </c>
      <c r="Z16">
        <f t="shared" si="6"/>
        <v>7.6798999999999997E-4</v>
      </c>
      <c r="AA16">
        <f t="shared" si="7"/>
        <v>0.12664420000000001</v>
      </c>
      <c r="AB16">
        <f t="shared" si="8"/>
        <v>4.5642895867768596E-2</v>
      </c>
      <c r="AC16">
        <f t="shared" si="9"/>
        <v>5.9706942148760331E-3</v>
      </c>
      <c r="AD16">
        <f t="shared" si="10"/>
        <v>0.71253107999999998</v>
      </c>
      <c r="AE16">
        <f t="shared" si="11"/>
        <v>7.8660000000000004E-4</v>
      </c>
      <c r="AF16">
        <f t="shared" si="12"/>
        <v>0.22730691</v>
      </c>
      <c r="AG16" s="48"/>
      <c r="AH16" s="93"/>
      <c r="AI16" s="74"/>
      <c r="AK16" s="100">
        <f t="shared" si="16"/>
        <v>0</v>
      </c>
    </row>
    <row r="17" spans="1:43" x14ac:dyDescent="0.2">
      <c r="A17" s="16">
        <v>80</v>
      </c>
      <c r="B17" s="16" t="s">
        <v>115</v>
      </c>
      <c r="C17" s="16">
        <v>3.7439613526569999E-2</v>
      </c>
      <c r="D17" s="16">
        <v>9.1124344816147104E-2</v>
      </c>
      <c r="E17" s="16" t="s">
        <v>196</v>
      </c>
      <c r="F17" s="16"/>
      <c r="G17" s="16"/>
      <c r="H17" s="16"/>
      <c r="I17" s="21">
        <v>444203620.80000001</v>
      </c>
      <c r="J17" s="16">
        <v>46486</v>
      </c>
      <c r="K17" s="16">
        <v>48965</v>
      </c>
      <c r="L17" s="16">
        <v>1077.19</v>
      </c>
      <c r="M17" s="16">
        <v>0.13701199</v>
      </c>
      <c r="N17" s="16">
        <v>1.952183E-2</v>
      </c>
      <c r="O17" s="16">
        <v>0.71850592999999996</v>
      </c>
      <c r="P17" s="16">
        <v>1.3408300000000001E-3</v>
      </c>
      <c r="Q17" s="16">
        <v>-0.52210509999999999</v>
      </c>
      <c r="R17" s="90">
        <v>0.123482806</v>
      </c>
      <c r="S17" s="16">
        <v>2.080357E-2</v>
      </c>
      <c r="T17" s="16">
        <v>0.71969570999999999</v>
      </c>
      <c r="U17" s="16">
        <v>1.33581E-3</v>
      </c>
      <c r="V17" s="16">
        <v>-0.46618860000000001</v>
      </c>
      <c r="W17">
        <f t="shared" si="3"/>
        <v>9.581258041958042E-2</v>
      </c>
      <c r="X17">
        <f t="shared" si="4"/>
        <v>1.3651629370629371E-2</v>
      </c>
      <c r="Y17">
        <f t="shared" si="5"/>
        <v>0.71850592999999996</v>
      </c>
      <c r="Z17">
        <f t="shared" si="6"/>
        <v>1.3408300000000001E-3</v>
      </c>
      <c r="AA17">
        <f t="shared" si="7"/>
        <v>-0.52210509999999999</v>
      </c>
      <c r="AB17">
        <f t="shared" si="8"/>
        <v>0.10205190578512396</v>
      </c>
      <c r="AC17">
        <f t="shared" si="9"/>
        <v>1.7193033057851241E-2</v>
      </c>
      <c r="AD17">
        <f t="shared" si="10"/>
        <v>0.71969570999999999</v>
      </c>
      <c r="AE17">
        <f t="shared" si="11"/>
        <v>1.33581E-3</v>
      </c>
      <c r="AF17">
        <f t="shared" si="12"/>
        <v>-0.46618860000000001</v>
      </c>
      <c r="AG17" s="48"/>
      <c r="AH17" s="93"/>
      <c r="AI17" s="74"/>
      <c r="AK17" s="100">
        <f t="shared" si="16"/>
        <v>0</v>
      </c>
    </row>
    <row r="18" spans="1:43" x14ac:dyDescent="0.2">
      <c r="A18" s="16">
        <v>81</v>
      </c>
      <c r="B18" s="16" t="s">
        <v>116</v>
      </c>
      <c r="C18" s="16">
        <v>2.5368248772504001E-2</v>
      </c>
      <c r="D18" s="16">
        <v>5.5193670791176597E-2</v>
      </c>
      <c r="E18" s="16" t="s">
        <v>196</v>
      </c>
      <c r="F18" s="16"/>
      <c r="G18" s="16"/>
      <c r="H18" s="16"/>
      <c r="I18" s="21">
        <v>368867505</v>
      </c>
      <c r="J18" s="16">
        <v>46812</v>
      </c>
      <c r="K18" s="16">
        <v>49110</v>
      </c>
      <c r="L18" s="16">
        <v>1084.69</v>
      </c>
      <c r="M18" s="16">
        <v>0.10105603000000001</v>
      </c>
      <c r="N18" s="16">
        <v>2.200162E-2</v>
      </c>
      <c r="O18" s="16">
        <v>0.71548862999999996</v>
      </c>
      <c r="P18" s="16">
        <v>2.2606599999999998E-3</v>
      </c>
      <c r="Q18" s="16">
        <v>-0.25506879999999998</v>
      </c>
      <c r="R18" s="90">
        <v>9.1077300999999999E-2</v>
      </c>
      <c r="S18" s="16">
        <v>2.145304E-2</v>
      </c>
      <c r="T18" s="16">
        <v>0.71667342000000001</v>
      </c>
      <c r="U18" s="16">
        <v>2.2601499999999998E-3</v>
      </c>
      <c r="V18" s="16">
        <v>-0.24556410000000001</v>
      </c>
      <c r="W18">
        <f t="shared" si="3"/>
        <v>7.0668552447552449E-2</v>
      </c>
      <c r="X18">
        <f t="shared" si="4"/>
        <v>1.5385748251748252E-2</v>
      </c>
      <c r="Y18">
        <f t="shared" si="5"/>
        <v>0.71548862999999996</v>
      </c>
      <c r="Z18">
        <f t="shared" si="6"/>
        <v>2.2606599999999998E-3</v>
      </c>
      <c r="AA18">
        <f t="shared" si="7"/>
        <v>-0.25506879999999998</v>
      </c>
      <c r="AB18">
        <f t="shared" si="8"/>
        <v>7.5270496694214872E-2</v>
      </c>
      <c r="AC18">
        <f t="shared" si="9"/>
        <v>1.7729785123966942E-2</v>
      </c>
      <c r="AD18">
        <f t="shared" si="10"/>
        <v>0.71667342000000001</v>
      </c>
      <c r="AE18">
        <f t="shared" si="11"/>
        <v>2.2601499999999998E-3</v>
      </c>
      <c r="AF18">
        <f t="shared" si="12"/>
        <v>-0.24556410000000001</v>
      </c>
      <c r="AG18" s="48"/>
      <c r="AH18" s="93"/>
      <c r="AI18" s="74"/>
      <c r="AK18" s="100">
        <f t="shared" si="16"/>
        <v>0</v>
      </c>
    </row>
    <row r="19" spans="1:43" x14ac:dyDescent="0.2">
      <c r="A19" s="16">
        <v>82</v>
      </c>
      <c r="B19" s="16" t="s">
        <v>117</v>
      </c>
      <c r="C19" s="16">
        <v>4.20054200542005E-2</v>
      </c>
      <c r="D19" s="16">
        <v>3.6915274506455001E-2</v>
      </c>
      <c r="E19" s="16" t="s">
        <v>196</v>
      </c>
      <c r="F19" s="16"/>
      <c r="G19" s="16"/>
      <c r="H19" s="16"/>
      <c r="I19" s="21">
        <v>590690558.39999998</v>
      </c>
      <c r="J19" s="16">
        <v>46393</v>
      </c>
      <c r="K19" s="16">
        <v>49035</v>
      </c>
      <c r="L19" s="16">
        <v>1048.1300000000001</v>
      </c>
      <c r="M19" s="16">
        <v>6.4629930000000002E-2</v>
      </c>
      <c r="N19" s="16">
        <v>2.3500999999999999E-3</v>
      </c>
      <c r="O19" s="16">
        <v>0.71272999999999997</v>
      </c>
      <c r="P19" s="16">
        <v>9.0107000000000002E-4</v>
      </c>
      <c r="Q19" s="16">
        <v>0.54641472999999996</v>
      </c>
      <c r="R19" s="90">
        <v>5.8248081E-2</v>
      </c>
      <c r="S19" s="16">
        <v>5.64863E-3</v>
      </c>
      <c r="T19" s="16">
        <v>0.71391022000000004</v>
      </c>
      <c r="U19" s="16">
        <v>8.9192000000000004E-4</v>
      </c>
      <c r="V19" s="16">
        <v>0.14994257999999999</v>
      </c>
      <c r="W19">
        <f t="shared" si="3"/>
        <v>4.5195755244755248E-2</v>
      </c>
      <c r="X19">
        <f t="shared" si="4"/>
        <v>1.6434265734265735E-3</v>
      </c>
      <c r="Y19">
        <f t="shared" si="5"/>
        <v>0.71272999999999997</v>
      </c>
      <c r="Z19">
        <f t="shared" si="6"/>
        <v>9.0107000000000002E-4</v>
      </c>
      <c r="AA19">
        <f t="shared" si="7"/>
        <v>0.54641472999999996</v>
      </c>
      <c r="AB19">
        <f t="shared" si="8"/>
        <v>4.8138909917355373E-2</v>
      </c>
      <c r="AC19">
        <f t="shared" si="9"/>
        <v>4.6682892561983472E-3</v>
      </c>
      <c r="AD19">
        <f t="shared" si="10"/>
        <v>0.71391022000000004</v>
      </c>
      <c r="AE19">
        <f t="shared" si="11"/>
        <v>8.9192000000000004E-4</v>
      </c>
      <c r="AF19">
        <f t="shared" si="12"/>
        <v>0.14994257999999999</v>
      </c>
      <c r="AG19" s="48"/>
      <c r="AH19" s="93"/>
      <c r="AI19" s="74"/>
      <c r="AK19" s="100">
        <f t="shared" si="16"/>
        <v>0</v>
      </c>
      <c r="AP19" s="101">
        <f>15*62400000</f>
        <v>936000000</v>
      </c>
      <c r="AQ19" t="s">
        <v>347</v>
      </c>
    </row>
    <row r="20" spans="1:43" x14ac:dyDescent="0.2">
      <c r="A20" s="16">
        <v>83</v>
      </c>
      <c r="B20" s="16" t="s">
        <v>118</v>
      </c>
      <c r="C20" s="16">
        <v>1.7073170731707301E-2</v>
      </c>
      <c r="D20" s="16">
        <v>3.0163831859363999E-2</v>
      </c>
      <c r="E20" s="16" t="s">
        <v>196</v>
      </c>
      <c r="F20" s="16"/>
      <c r="G20" s="16"/>
      <c r="H20" s="16"/>
      <c r="I20" s="21">
        <v>788218450.79999995</v>
      </c>
      <c r="J20" s="16">
        <v>46538</v>
      </c>
      <c r="K20" s="16">
        <v>49212</v>
      </c>
      <c r="L20" s="16">
        <v>1078.44</v>
      </c>
      <c r="M20" s="16">
        <v>5.3225099999999997E-2</v>
      </c>
      <c r="N20" s="16">
        <v>2.7720399999999999E-3</v>
      </c>
      <c r="O20" s="16">
        <v>0.71190297999999996</v>
      </c>
      <c r="P20" s="16">
        <v>1.07526E-3</v>
      </c>
      <c r="Q20" s="16">
        <v>0.34325236999999997</v>
      </c>
      <c r="R20" s="90">
        <v>4.7969412000000003E-2</v>
      </c>
      <c r="S20" s="16">
        <v>4.9838499999999997E-3</v>
      </c>
      <c r="T20" s="16">
        <v>0.71308183000000003</v>
      </c>
      <c r="U20" s="16">
        <v>1.0681600000000001E-3</v>
      </c>
      <c r="V20" s="16">
        <v>0.12882128000000001</v>
      </c>
      <c r="W20">
        <f t="shared" si="3"/>
        <v>3.7220349650349649E-2</v>
      </c>
      <c r="X20">
        <f t="shared" si="4"/>
        <v>1.9384895104895105E-3</v>
      </c>
      <c r="Y20">
        <f t="shared" si="5"/>
        <v>0.71190297999999996</v>
      </c>
      <c r="Z20">
        <f t="shared" si="6"/>
        <v>1.07526E-3</v>
      </c>
      <c r="AA20">
        <f t="shared" si="7"/>
        <v>0.34325236999999997</v>
      </c>
      <c r="AB20">
        <f t="shared" si="8"/>
        <v>3.9644142148760331E-2</v>
      </c>
      <c r="AC20">
        <f t="shared" si="9"/>
        <v>4.1188842975206615E-3</v>
      </c>
      <c r="AD20">
        <f t="shared" si="10"/>
        <v>0.71308183000000003</v>
      </c>
      <c r="AE20">
        <f t="shared" si="11"/>
        <v>1.0681600000000001E-3</v>
      </c>
      <c r="AF20">
        <f t="shared" si="12"/>
        <v>0.12882128000000001</v>
      </c>
      <c r="AG20" s="48"/>
      <c r="AH20" s="93"/>
      <c r="AI20" s="74"/>
      <c r="AK20" s="100">
        <f t="shared" si="16"/>
        <v>0</v>
      </c>
      <c r="AP20">
        <f>(200/60)*1000*0.000001*20*(0.000000001/87.62)*0.8258*6.022E+23</f>
        <v>378373856805.9043</v>
      </c>
    </row>
    <row r="21" spans="1:43" x14ac:dyDescent="0.2">
      <c r="A21" s="16">
        <v>84</v>
      </c>
      <c r="B21" s="16" t="s">
        <v>119</v>
      </c>
      <c r="C21" s="16">
        <v>1.0752688172042999E-2</v>
      </c>
      <c r="D21" s="16">
        <v>6.5327448942620894E-2</v>
      </c>
      <c r="E21" s="16" t="s">
        <v>196</v>
      </c>
      <c r="F21" s="16"/>
      <c r="G21" s="16"/>
      <c r="H21" s="16"/>
      <c r="I21" s="21">
        <v>595695614.20000005</v>
      </c>
      <c r="J21" s="16">
        <v>46695</v>
      </c>
      <c r="K21" s="16">
        <v>49143</v>
      </c>
      <c r="L21" s="16">
        <v>1083.44</v>
      </c>
      <c r="M21" s="16">
        <v>6.6142110000000004E-2</v>
      </c>
      <c r="N21" s="16">
        <v>7.4532499999999998E-3</v>
      </c>
      <c r="O21" s="16">
        <v>0.71511868999999995</v>
      </c>
      <c r="P21" s="16">
        <v>1.04616E-3</v>
      </c>
      <c r="Q21" s="16">
        <v>0.72982365999999999</v>
      </c>
      <c r="R21" s="90">
        <v>5.9610938000000002E-2</v>
      </c>
      <c r="S21" s="16">
        <v>8.5930799999999995E-3</v>
      </c>
      <c r="T21" s="16">
        <v>0.71630285999999999</v>
      </c>
      <c r="U21" s="16">
        <v>1.0386799999999999E-3</v>
      </c>
      <c r="V21" s="16">
        <v>0.54230712000000003</v>
      </c>
      <c r="W21">
        <f t="shared" si="3"/>
        <v>4.6253223776223783E-2</v>
      </c>
      <c r="X21">
        <f t="shared" si="4"/>
        <v>5.2120629370629367E-3</v>
      </c>
      <c r="Y21">
        <f t="shared" si="5"/>
        <v>0.71511868999999995</v>
      </c>
      <c r="Z21">
        <f t="shared" si="6"/>
        <v>1.04616E-3</v>
      </c>
      <c r="AA21">
        <f t="shared" si="7"/>
        <v>0.72982365999999999</v>
      </c>
      <c r="AB21">
        <f t="shared" si="8"/>
        <v>4.9265238016528927E-2</v>
      </c>
      <c r="AC21">
        <f t="shared" si="9"/>
        <v>7.1017190082644623E-3</v>
      </c>
      <c r="AD21">
        <f t="shared" si="10"/>
        <v>0.71630285999999999</v>
      </c>
      <c r="AE21">
        <f t="shared" si="11"/>
        <v>1.0386799999999999E-3</v>
      </c>
      <c r="AF21">
        <f t="shared" si="12"/>
        <v>0.54230712000000003</v>
      </c>
      <c r="AG21" s="48"/>
      <c r="AH21" s="93"/>
      <c r="AI21" s="74"/>
      <c r="AK21" s="100">
        <f t="shared" si="16"/>
        <v>0</v>
      </c>
      <c r="AP21" s="99">
        <f>AP19/AP20</f>
        <v>2.4737438466319386E-3</v>
      </c>
    </row>
    <row r="22" spans="1:43" x14ac:dyDescent="0.2">
      <c r="A22" s="16">
        <v>87</v>
      </c>
      <c r="B22" s="16" t="s">
        <v>120</v>
      </c>
      <c r="C22" s="16">
        <v>0.108571428571428</v>
      </c>
      <c r="D22" s="16">
        <v>0.105843840245412</v>
      </c>
      <c r="E22" s="16" t="s">
        <v>196</v>
      </c>
      <c r="F22" s="16"/>
      <c r="G22" s="16"/>
      <c r="H22" s="16"/>
      <c r="I22" s="21">
        <v>781197762.5</v>
      </c>
      <c r="J22" s="16">
        <v>47401</v>
      </c>
      <c r="K22" s="16">
        <v>49447</v>
      </c>
      <c r="L22" s="16">
        <v>1115.6300000000001</v>
      </c>
      <c r="M22" s="16">
        <v>4.546037E-2</v>
      </c>
      <c r="N22" s="16">
        <v>3.46723E-3</v>
      </c>
      <c r="O22" s="16">
        <v>0.70218948999999997</v>
      </c>
      <c r="P22" s="16">
        <v>8.7573999999999996E-4</v>
      </c>
      <c r="Q22" s="16">
        <v>0.54641843000000001</v>
      </c>
      <c r="R22" s="90">
        <v>4.0344194E-2</v>
      </c>
      <c r="S22" s="16">
        <v>4.9000399999999996E-3</v>
      </c>
      <c r="T22" s="16">
        <v>0.70343064</v>
      </c>
      <c r="U22" s="16">
        <v>9.0919999999999998E-4</v>
      </c>
      <c r="V22" s="16">
        <v>0.39754507</v>
      </c>
      <c r="W22">
        <f t="shared" si="3"/>
        <v>3.1790468531468531E-2</v>
      </c>
      <c r="X22">
        <f t="shared" si="4"/>
        <v>2.4246363636363636E-3</v>
      </c>
      <c r="Y22">
        <f t="shared" si="5"/>
        <v>0.70218948999999997</v>
      </c>
      <c r="Z22">
        <f t="shared" si="6"/>
        <v>8.7573999999999996E-4</v>
      </c>
      <c r="AA22">
        <f t="shared" si="7"/>
        <v>0.54641843000000001</v>
      </c>
      <c r="AB22">
        <f t="shared" si="8"/>
        <v>3.3342309090909093E-2</v>
      </c>
      <c r="AC22">
        <f t="shared" si="9"/>
        <v>4.0496198347107432E-3</v>
      </c>
      <c r="AD22">
        <f t="shared" si="10"/>
        <v>0.70343064</v>
      </c>
      <c r="AE22">
        <f t="shared" si="11"/>
        <v>9.0919999999999998E-4</v>
      </c>
      <c r="AF22">
        <f t="shared" si="12"/>
        <v>0.39754507</v>
      </c>
      <c r="AG22" s="48"/>
      <c r="AH22" s="93"/>
      <c r="AI22" s="74"/>
      <c r="AK22" s="100">
        <f t="shared" si="16"/>
        <v>0</v>
      </c>
      <c r="AP22" s="101">
        <f>AP21*100</f>
        <v>0.24737438466319386</v>
      </c>
    </row>
    <row r="23" spans="1:43" x14ac:dyDescent="0.2">
      <c r="A23" s="16">
        <v>88</v>
      </c>
      <c r="B23" s="16" t="s">
        <v>121</v>
      </c>
      <c r="C23" s="16">
        <v>5.2946199829205801E-2</v>
      </c>
      <c r="D23" s="16">
        <v>9.6296968894737406E-2</v>
      </c>
      <c r="E23" s="16" t="s">
        <v>196</v>
      </c>
      <c r="F23" s="16"/>
      <c r="G23" s="16"/>
      <c r="H23" s="16"/>
      <c r="I23" s="21">
        <v>712408433.10000002</v>
      </c>
      <c r="J23" s="16">
        <v>47304</v>
      </c>
      <c r="K23" s="16">
        <v>49687</v>
      </c>
      <c r="L23" s="16">
        <v>1056.25</v>
      </c>
      <c r="M23" s="16">
        <v>4.6368800000000002E-2</v>
      </c>
      <c r="N23" s="16">
        <v>9.7652000000000004E-4</v>
      </c>
      <c r="O23" s="16">
        <v>0.70460033</v>
      </c>
      <c r="P23" s="16">
        <v>6.8997999999999998E-4</v>
      </c>
      <c r="Q23" s="16">
        <v>-0.1108669</v>
      </c>
      <c r="R23" s="90">
        <v>4.1150386999999997E-2</v>
      </c>
      <c r="S23" s="16">
        <v>3.9850199999999997E-3</v>
      </c>
      <c r="T23" s="16">
        <v>0.70584574</v>
      </c>
      <c r="U23" s="16">
        <v>7.3154000000000003E-4</v>
      </c>
      <c r="V23" s="16">
        <v>8.1169779999999997E-2</v>
      </c>
      <c r="W23">
        <f t="shared" si="3"/>
        <v>3.2425734265734266E-2</v>
      </c>
      <c r="X23">
        <f t="shared" si="4"/>
        <v>6.8288111888111891E-4</v>
      </c>
      <c r="Y23">
        <f t="shared" si="5"/>
        <v>0.70460033</v>
      </c>
      <c r="Z23">
        <f t="shared" si="6"/>
        <v>6.8997999999999998E-4</v>
      </c>
      <c r="AA23">
        <f t="shared" si="7"/>
        <v>-0.1108669</v>
      </c>
      <c r="AB23">
        <f t="shared" si="8"/>
        <v>3.4008584297520662E-2</v>
      </c>
      <c r="AC23">
        <f t="shared" si="9"/>
        <v>3.2934049586776856E-3</v>
      </c>
      <c r="AD23">
        <f t="shared" si="10"/>
        <v>0.70584574</v>
      </c>
      <c r="AE23">
        <f t="shared" si="11"/>
        <v>7.3154000000000003E-4</v>
      </c>
      <c r="AF23">
        <f t="shared" si="12"/>
        <v>8.1169779999999997E-2</v>
      </c>
      <c r="AG23" s="48"/>
      <c r="AH23" s="93"/>
      <c r="AI23" s="74"/>
      <c r="AK23" s="100">
        <f t="shared" si="16"/>
        <v>0</v>
      </c>
    </row>
    <row r="24" spans="1:43" x14ac:dyDescent="0.2">
      <c r="A24" s="16">
        <v>89</v>
      </c>
      <c r="B24" s="16" t="s">
        <v>122</v>
      </c>
      <c r="C24" s="16">
        <v>3.1974921630094001E-2</v>
      </c>
      <c r="D24" s="16">
        <v>5.0738317516861302E-2</v>
      </c>
      <c r="E24" s="16" t="s">
        <v>196</v>
      </c>
      <c r="F24" s="16"/>
      <c r="G24" s="16"/>
      <c r="H24" s="16"/>
      <c r="I24" s="21">
        <v>1012706590</v>
      </c>
      <c r="J24" s="16">
        <v>47895</v>
      </c>
      <c r="K24" s="16">
        <v>48606</v>
      </c>
      <c r="L24" s="16">
        <v>1074.3800000000001</v>
      </c>
      <c r="M24" s="16">
        <v>7.5820899999999997E-3</v>
      </c>
      <c r="N24" s="16">
        <v>3.4861000000000001E-4</v>
      </c>
      <c r="O24" s="16">
        <v>0.70240287000000001</v>
      </c>
      <c r="P24" s="16">
        <v>5.9161999999999995E-4</v>
      </c>
      <c r="Q24" s="16">
        <v>-0.45627309999999999</v>
      </c>
      <c r="R24" s="90">
        <v>6.7287930000000003E-3</v>
      </c>
      <c r="S24" s="16">
        <v>7.0728000000000002E-4</v>
      </c>
      <c r="T24" s="16">
        <v>0.70364439999999995</v>
      </c>
      <c r="U24" s="16">
        <v>6.3898000000000004E-4</v>
      </c>
      <c r="V24" s="16">
        <v>-7.5817499999999996E-2</v>
      </c>
      <c r="W24">
        <f t="shared" si="3"/>
        <v>5.3021608391608391E-3</v>
      </c>
      <c r="X24">
        <f t="shared" si="4"/>
        <v>2.4378321678321681E-4</v>
      </c>
      <c r="Y24">
        <f t="shared" si="5"/>
        <v>0.70240287000000001</v>
      </c>
      <c r="Z24">
        <f t="shared" si="6"/>
        <v>5.9161999999999995E-4</v>
      </c>
      <c r="AA24">
        <f t="shared" si="7"/>
        <v>-0.45627309999999999</v>
      </c>
      <c r="AB24">
        <f t="shared" si="8"/>
        <v>5.5609859504132239E-3</v>
      </c>
      <c r="AC24">
        <f t="shared" si="9"/>
        <v>5.8452892561983475E-4</v>
      </c>
      <c r="AD24">
        <f t="shared" si="10"/>
        <v>0.70364439999999995</v>
      </c>
      <c r="AE24">
        <f t="shared" si="11"/>
        <v>6.3898000000000004E-4</v>
      </c>
      <c r="AF24">
        <f t="shared" si="12"/>
        <v>-7.5817499999999996E-2</v>
      </c>
      <c r="AG24" s="48"/>
      <c r="AH24" s="93"/>
      <c r="AI24" s="74"/>
      <c r="AK24" s="100">
        <f t="shared" si="16"/>
        <v>0</v>
      </c>
    </row>
    <row r="25" spans="1:43" x14ac:dyDescent="0.2">
      <c r="A25" s="16">
        <v>90</v>
      </c>
      <c r="B25" s="16" t="s">
        <v>123</v>
      </c>
      <c r="C25" s="16">
        <v>2.14180206794682E-2</v>
      </c>
      <c r="D25" s="16">
        <v>2.8093133099661501E-2</v>
      </c>
      <c r="E25" s="16" t="s">
        <v>196</v>
      </c>
      <c r="F25" s="16"/>
      <c r="G25" s="16"/>
      <c r="H25" s="16"/>
      <c r="I25" s="21">
        <v>893885503.70000005</v>
      </c>
      <c r="J25" s="16">
        <v>47969</v>
      </c>
      <c r="K25" s="16">
        <v>48791</v>
      </c>
      <c r="L25" s="16">
        <v>1108.1300000000001</v>
      </c>
      <c r="M25" s="16">
        <v>1.012652E-2</v>
      </c>
      <c r="N25" s="16">
        <v>2.3587899999999999E-3</v>
      </c>
      <c r="O25" s="16">
        <v>0.70147903</v>
      </c>
      <c r="P25" s="16">
        <v>1.10497E-3</v>
      </c>
      <c r="Q25" s="16">
        <v>0.85597500999999998</v>
      </c>
      <c r="R25" s="90">
        <v>8.9868650000000001E-3</v>
      </c>
      <c r="S25" s="16">
        <v>2.2591199999999999E-3</v>
      </c>
      <c r="T25" s="16">
        <v>0.70271892999999996</v>
      </c>
      <c r="U25" s="16">
        <v>1.13233E-3</v>
      </c>
      <c r="V25" s="16">
        <v>0.80111922999999996</v>
      </c>
      <c r="W25">
        <f t="shared" si="3"/>
        <v>7.0814825174825178E-3</v>
      </c>
      <c r="X25">
        <f t="shared" si="4"/>
        <v>1.6495034965034966E-3</v>
      </c>
      <c r="Y25">
        <f t="shared" si="5"/>
        <v>0.70147903</v>
      </c>
      <c r="Z25">
        <f t="shared" si="6"/>
        <v>1.10497E-3</v>
      </c>
      <c r="AA25">
        <f t="shared" si="7"/>
        <v>0.85597500999999998</v>
      </c>
      <c r="AB25">
        <f t="shared" si="8"/>
        <v>7.427161157024794E-3</v>
      </c>
      <c r="AC25">
        <f t="shared" si="9"/>
        <v>1.8670413223140496E-3</v>
      </c>
      <c r="AD25">
        <f t="shared" si="10"/>
        <v>0.70271892999999996</v>
      </c>
      <c r="AE25">
        <f t="shared" si="11"/>
        <v>1.13233E-3</v>
      </c>
      <c r="AF25">
        <f t="shared" si="12"/>
        <v>0.80111922999999996</v>
      </c>
      <c r="AG25" s="48"/>
      <c r="AH25" s="93"/>
      <c r="AI25" s="74"/>
      <c r="AK25" s="100">
        <f t="shared" si="16"/>
        <v>0</v>
      </c>
    </row>
    <row r="26" spans="1:43" x14ac:dyDescent="0.2">
      <c r="A26" s="16">
        <v>91</v>
      </c>
      <c r="B26" s="16" t="s">
        <v>124</v>
      </c>
      <c r="C26" s="16">
        <v>2.33644859813084E-2</v>
      </c>
      <c r="D26" s="16">
        <v>4.4893024527158702E-2</v>
      </c>
      <c r="E26" s="16" t="s">
        <v>196</v>
      </c>
      <c r="F26" s="16"/>
      <c r="G26" s="16"/>
      <c r="H26" s="16"/>
      <c r="I26" s="21">
        <v>744120338.39999998</v>
      </c>
      <c r="J26" s="16">
        <v>48053</v>
      </c>
      <c r="K26" s="16">
        <v>48492</v>
      </c>
      <c r="L26" s="16">
        <v>1122.5</v>
      </c>
      <c r="M26" s="16">
        <v>1.590753E-2</v>
      </c>
      <c r="N26" s="16">
        <v>4.3627E-4</v>
      </c>
      <c r="O26" s="16">
        <v>0.70234227999999999</v>
      </c>
      <c r="P26" s="16">
        <v>1.84665E-3</v>
      </c>
      <c r="Q26" s="16">
        <v>0.28220724000000003</v>
      </c>
      <c r="R26" s="90">
        <v>1.4117275E-2</v>
      </c>
      <c r="S26" s="16">
        <v>1.38944E-3</v>
      </c>
      <c r="T26" s="16">
        <v>0.70358370000000003</v>
      </c>
      <c r="U26" s="16">
        <v>1.8652600000000001E-3</v>
      </c>
      <c r="V26" s="16">
        <v>0.11797599</v>
      </c>
      <c r="W26">
        <f t="shared" si="3"/>
        <v>1.1124146853146853E-2</v>
      </c>
      <c r="X26">
        <f t="shared" si="4"/>
        <v>3.0508391608391607E-4</v>
      </c>
      <c r="Y26">
        <f t="shared" si="5"/>
        <v>0.70234227999999999</v>
      </c>
      <c r="Z26">
        <f t="shared" si="6"/>
        <v>1.84665E-3</v>
      </c>
      <c r="AA26">
        <f t="shared" si="7"/>
        <v>0.28220724000000003</v>
      </c>
      <c r="AB26">
        <f t="shared" si="8"/>
        <v>1.1667169421487603E-2</v>
      </c>
      <c r="AC26">
        <f t="shared" si="9"/>
        <v>1.1482975206611571E-3</v>
      </c>
      <c r="AD26">
        <f t="shared" si="10"/>
        <v>0.70358370000000003</v>
      </c>
      <c r="AE26">
        <f t="shared" si="11"/>
        <v>1.8652600000000001E-3</v>
      </c>
      <c r="AF26">
        <f t="shared" si="12"/>
        <v>0.11797599</v>
      </c>
      <c r="AG26" s="48"/>
      <c r="AH26" s="93"/>
      <c r="AI26" s="74"/>
      <c r="AK26" s="100">
        <f t="shared" si="16"/>
        <v>0</v>
      </c>
    </row>
    <row r="27" spans="1:43" x14ac:dyDescent="0.2">
      <c r="A27" s="16">
        <v>102</v>
      </c>
      <c r="B27" s="16" t="s">
        <v>131</v>
      </c>
      <c r="C27" s="16">
        <v>3.4482758620689599E-2</v>
      </c>
      <c r="D27" s="16">
        <v>8.4552361602323101E-2</v>
      </c>
      <c r="E27" s="16" t="s">
        <v>196</v>
      </c>
      <c r="F27" s="16"/>
      <c r="G27" s="16"/>
      <c r="H27" s="16"/>
      <c r="I27" s="21">
        <v>908689299.89999998</v>
      </c>
      <c r="J27" s="16">
        <v>49086</v>
      </c>
      <c r="K27" s="16">
        <v>48278</v>
      </c>
      <c r="L27" s="16">
        <v>1147.19</v>
      </c>
      <c r="M27" s="16">
        <v>1.460792E-2</v>
      </c>
      <c r="N27" s="16">
        <v>6.8678000000000001E-4</v>
      </c>
      <c r="O27" s="16">
        <v>0.70233146000000002</v>
      </c>
      <c r="P27" s="16">
        <v>7.7254999999999999E-4</v>
      </c>
      <c r="Q27" s="16">
        <v>-0.25830900000000001</v>
      </c>
      <c r="R27" s="90">
        <v>1.3147216999999999E-2</v>
      </c>
      <c r="S27" s="16">
        <v>1.2136200000000001E-3</v>
      </c>
      <c r="T27" s="16">
        <v>0.70363777000000005</v>
      </c>
      <c r="U27" s="16">
        <v>7.8109000000000002E-4</v>
      </c>
      <c r="V27" s="16">
        <v>-4.1053199999999998E-2</v>
      </c>
      <c r="W27">
        <f t="shared" si="3"/>
        <v>1.0215328671328672E-2</v>
      </c>
      <c r="X27">
        <f t="shared" si="4"/>
        <v>4.8026573426573427E-4</v>
      </c>
      <c r="Y27">
        <f t="shared" si="5"/>
        <v>0.70233146000000002</v>
      </c>
      <c r="Z27">
        <f t="shared" si="6"/>
        <v>7.7254999999999999E-4</v>
      </c>
      <c r="AA27">
        <f t="shared" si="7"/>
        <v>-0.25830900000000001</v>
      </c>
      <c r="AB27">
        <f t="shared" si="8"/>
        <v>1.0865468595041321E-2</v>
      </c>
      <c r="AC27">
        <f t="shared" si="9"/>
        <v>1.0029917355371901E-3</v>
      </c>
      <c r="AD27">
        <f t="shared" si="10"/>
        <v>0.70363777000000005</v>
      </c>
      <c r="AE27">
        <f t="shared" si="11"/>
        <v>7.8109000000000002E-4</v>
      </c>
      <c r="AF27">
        <f t="shared" si="12"/>
        <v>-4.1053199999999998E-2</v>
      </c>
      <c r="AG27" s="48"/>
      <c r="AH27" s="93"/>
      <c r="AI27" s="74"/>
      <c r="AK27" s="100">
        <f t="shared" si="16"/>
        <v>0</v>
      </c>
    </row>
    <row r="28" spans="1:43" x14ac:dyDescent="0.2">
      <c r="A28" s="16">
        <v>103</v>
      </c>
      <c r="B28" s="16" t="s">
        <v>132</v>
      </c>
      <c r="C28" s="16">
        <v>3.6334913112164198E-2</v>
      </c>
      <c r="D28" s="16">
        <v>5.6222507753598501E-2</v>
      </c>
      <c r="E28" s="16" t="s">
        <v>196</v>
      </c>
      <c r="F28" s="16"/>
      <c r="G28" s="16"/>
      <c r="H28" s="16"/>
      <c r="I28" s="21">
        <v>708827247.60000002</v>
      </c>
      <c r="J28" s="16">
        <v>48957</v>
      </c>
      <c r="K28" s="16">
        <v>48404</v>
      </c>
      <c r="L28" s="16">
        <v>1169.3800000000001</v>
      </c>
      <c r="M28" s="16">
        <v>2.063945E-2</v>
      </c>
      <c r="N28" s="16">
        <v>1.3558000000000001E-3</v>
      </c>
      <c r="O28" s="16">
        <v>0.70115073000000006</v>
      </c>
      <c r="P28" s="16">
        <v>8.8256999999999995E-4</v>
      </c>
      <c r="Q28" s="16">
        <v>-0.1041972</v>
      </c>
      <c r="R28" s="90">
        <v>1.8575629999999999E-2</v>
      </c>
      <c r="S28" s="16">
        <v>1.91482E-3</v>
      </c>
      <c r="T28" s="16">
        <v>0.70245484999999996</v>
      </c>
      <c r="U28" s="16">
        <v>8.9041000000000001E-4</v>
      </c>
      <c r="V28" s="16">
        <v>4.1028000000000002E-3</v>
      </c>
      <c r="W28">
        <f t="shared" si="3"/>
        <v>1.4433181818181819E-2</v>
      </c>
      <c r="X28">
        <f t="shared" si="4"/>
        <v>9.4811188811188825E-4</v>
      </c>
      <c r="Y28">
        <f t="shared" si="5"/>
        <v>0.70115073000000006</v>
      </c>
      <c r="Z28">
        <f t="shared" si="6"/>
        <v>8.8256999999999995E-4</v>
      </c>
      <c r="AA28">
        <f t="shared" si="7"/>
        <v>-0.1041972</v>
      </c>
      <c r="AB28">
        <f t="shared" si="8"/>
        <v>1.5351760330578511E-2</v>
      </c>
      <c r="AC28">
        <f t="shared" si="9"/>
        <v>1.582495867768595E-3</v>
      </c>
      <c r="AD28">
        <f t="shared" si="10"/>
        <v>0.70245484999999996</v>
      </c>
      <c r="AE28">
        <f t="shared" si="11"/>
        <v>8.9041000000000001E-4</v>
      </c>
      <c r="AF28">
        <f t="shared" si="12"/>
        <v>4.1028000000000002E-3</v>
      </c>
      <c r="AG28" s="48"/>
      <c r="AH28" s="93"/>
      <c r="AI28" s="74"/>
      <c r="AK28" s="100">
        <f t="shared" si="16"/>
        <v>0</v>
      </c>
    </row>
    <row r="29" spans="1:43" x14ac:dyDescent="0.2">
      <c r="A29" s="16">
        <v>104</v>
      </c>
      <c r="B29" s="16" t="s">
        <v>133</v>
      </c>
      <c r="C29" s="16">
        <v>5.2508751458576398E-2</v>
      </c>
      <c r="D29" s="16">
        <v>5.9086314984311002E-2</v>
      </c>
      <c r="E29" s="16" t="s">
        <v>196</v>
      </c>
      <c r="F29" s="16"/>
      <c r="G29" s="16"/>
      <c r="H29" s="16"/>
      <c r="I29" s="21">
        <v>877195480.20000005</v>
      </c>
      <c r="J29" s="16">
        <v>49152</v>
      </c>
      <c r="K29" s="16">
        <v>48458</v>
      </c>
      <c r="L29" s="16">
        <v>1169.3800000000001</v>
      </c>
      <c r="M29" s="16">
        <v>3.3782659999999999E-2</v>
      </c>
      <c r="N29" s="16">
        <v>2.2010100000000002E-3</v>
      </c>
      <c r="O29" s="16">
        <v>0.70284232000000002</v>
      </c>
      <c r="P29" s="16">
        <v>1.16964E-3</v>
      </c>
      <c r="Q29" s="16">
        <v>0.43529271000000003</v>
      </c>
      <c r="R29" s="90">
        <v>3.0404602999999999E-2</v>
      </c>
      <c r="S29" s="16">
        <v>3.12379E-3</v>
      </c>
      <c r="T29" s="16">
        <v>0.70414958000000005</v>
      </c>
      <c r="U29" s="16">
        <v>1.1765199999999999E-3</v>
      </c>
      <c r="V29" s="16">
        <v>0.32824547999999998</v>
      </c>
      <c r="W29">
        <f t="shared" si="3"/>
        <v>2.3624237762237762E-2</v>
      </c>
      <c r="X29">
        <f t="shared" si="4"/>
        <v>1.5391678321678324E-3</v>
      </c>
      <c r="Y29">
        <f t="shared" si="5"/>
        <v>0.70284232000000002</v>
      </c>
      <c r="Z29">
        <f t="shared" si="6"/>
        <v>1.16964E-3</v>
      </c>
      <c r="AA29">
        <f t="shared" si="7"/>
        <v>0.43529271000000003</v>
      </c>
      <c r="AB29">
        <f t="shared" si="8"/>
        <v>2.5127771074380165E-2</v>
      </c>
      <c r="AC29">
        <f t="shared" si="9"/>
        <v>2.5816446280991735E-3</v>
      </c>
      <c r="AD29">
        <f t="shared" si="10"/>
        <v>0.70414958000000005</v>
      </c>
      <c r="AE29">
        <f t="shared" si="11"/>
        <v>1.1765199999999999E-3</v>
      </c>
      <c r="AF29">
        <f t="shared" si="12"/>
        <v>0.32824547999999998</v>
      </c>
      <c r="AG29" s="48"/>
      <c r="AH29" s="93"/>
      <c r="AI29" s="74"/>
      <c r="AK29" s="100">
        <f t="shared" si="16"/>
        <v>0</v>
      </c>
    </row>
    <row r="30" spans="1:43" x14ac:dyDescent="0.2">
      <c r="A30" s="16">
        <v>105</v>
      </c>
      <c r="B30" s="16" t="s">
        <v>134</v>
      </c>
      <c r="C30" s="16">
        <v>7.3298429319371694E-2</v>
      </c>
      <c r="D30" s="16">
        <v>8.4064246455743896E-2</v>
      </c>
      <c r="E30" s="16" t="s">
        <v>196</v>
      </c>
      <c r="F30" s="16"/>
      <c r="G30" s="16"/>
      <c r="H30" s="16"/>
      <c r="I30" s="21">
        <v>683658935.29999995</v>
      </c>
      <c r="J30" s="16">
        <v>49603</v>
      </c>
      <c r="K30" s="16">
        <v>48218</v>
      </c>
      <c r="L30" s="16">
        <v>1169.3800000000001</v>
      </c>
      <c r="M30" s="16">
        <v>5.9725390000000003E-2</v>
      </c>
      <c r="N30" s="16">
        <v>6.2771900000000002E-3</v>
      </c>
      <c r="O30" s="16">
        <v>0.70443955999999996</v>
      </c>
      <c r="P30" s="16">
        <v>9.6792000000000004E-4</v>
      </c>
      <c r="Q30" s="16">
        <v>0.51353884999999999</v>
      </c>
      <c r="R30" s="90">
        <v>5.3753222000000003E-2</v>
      </c>
      <c r="S30" s="16">
        <v>7.0817700000000003E-3</v>
      </c>
      <c r="T30" s="16">
        <v>0.70574979000000004</v>
      </c>
      <c r="U30" s="16">
        <v>9.7543E-4</v>
      </c>
      <c r="V30" s="16">
        <v>0.45754002999999999</v>
      </c>
      <c r="W30">
        <f t="shared" si="3"/>
        <v>4.1766006993006997E-2</v>
      </c>
      <c r="X30">
        <f t="shared" si="4"/>
        <v>4.3896433566433567E-3</v>
      </c>
      <c r="Y30">
        <f t="shared" si="5"/>
        <v>0.70443955999999996</v>
      </c>
      <c r="Z30">
        <f t="shared" si="6"/>
        <v>9.6792000000000004E-4</v>
      </c>
      <c r="AA30">
        <f t="shared" si="7"/>
        <v>0.51353884999999999</v>
      </c>
      <c r="AB30">
        <f t="shared" si="8"/>
        <v>4.4424150413223146E-2</v>
      </c>
      <c r="AC30">
        <f t="shared" si="9"/>
        <v>5.8527024793388433E-3</v>
      </c>
      <c r="AD30">
        <f t="shared" si="10"/>
        <v>0.70574979000000004</v>
      </c>
      <c r="AE30">
        <f t="shared" si="11"/>
        <v>9.7543E-4</v>
      </c>
      <c r="AF30">
        <f t="shared" si="12"/>
        <v>0.45754002999999999</v>
      </c>
      <c r="AG30" s="48"/>
      <c r="AH30" s="93"/>
      <c r="AI30" s="74"/>
      <c r="AK30" s="100">
        <f t="shared" si="16"/>
        <v>0</v>
      </c>
    </row>
    <row r="31" spans="1:43" x14ac:dyDescent="0.2">
      <c r="A31" s="16">
        <v>108</v>
      </c>
      <c r="B31" s="16" t="s">
        <v>135</v>
      </c>
      <c r="C31" s="16">
        <v>0.13980028530670399</v>
      </c>
      <c r="D31" s="16">
        <v>0.210121404578275</v>
      </c>
      <c r="E31" s="16" t="s">
        <v>196</v>
      </c>
      <c r="F31" s="16"/>
      <c r="G31" s="16"/>
      <c r="H31" s="16"/>
      <c r="I31" s="21">
        <v>743071215</v>
      </c>
      <c r="J31" s="16">
        <v>49623</v>
      </c>
      <c r="K31" s="16">
        <v>48389</v>
      </c>
      <c r="L31" s="16">
        <v>1169.3800000000001</v>
      </c>
      <c r="M31" s="16">
        <v>0.1137811</v>
      </c>
      <c r="N31" s="16">
        <v>7.6110600000000002E-3</v>
      </c>
      <c r="O31" s="16">
        <v>0.70513619999999999</v>
      </c>
      <c r="P31" s="16">
        <v>8.7553999999999996E-4</v>
      </c>
      <c r="Q31" s="16">
        <v>0.18964047000000001</v>
      </c>
      <c r="R31" s="90">
        <v>9.9552774999999996E-2</v>
      </c>
      <c r="S31" s="16">
        <v>1.0545240000000001E-2</v>
      </c>
      <c r="T31" s="16">
        <v>0.70671415999999998</v>
      </c>
      <c r="U31" s="16">
        <v>9.5684999999999997E-4</v>
      </c>
      <c r="V31" s="16">
        <v>0.32798786000000002</v>
      </c>
      <c r="W31">
        <f t="shared" si="3"/>
        <v>7.9567202797202793E-2</v>
      </c>
      <c r="X31">
        <f t="shared" si="4"/>
        <v>5.3224195804195806E-3</v>
      </c>
      <c r="Y31">
        <f t="shared" si="5"/>
        <v>0.70513619999999999</v>
      </c>
      <c r="Z31">
        <f t="shared" si="6"/>
        <v>8.7553999999999996E-4</v>
      </c>
      <c r="AA31">
        <f t="shared" si="7"/>
        <v>0.18964047000000001</v>
      </c>
      <c r="AB31">
        <f t="shared" si="8"/>
        <v>8.2275020661157022E-2</v>
      </c>
      <c r="AC31">
        <f t="shared" si="9"/>
        <v>8.7150743801652896E-3</v>
      </c>
      <c r="AD31">
        <f t="shared" si="10"/>
        <v>0.70671415999999998</v>
      </c>
      <c r="AE31">
        <f t="shared" si="11"/>
        <v>9.5684999999999997E-4</v>
      </c>
      <c r="AF31">
        <f t="shared" si="12"/>
        <v>0.32798786000000002</v>
      </c>
      <c r="AG31" s="48"/>
      <c r="AH31" s="93"/>
      <c r="AI31" s="74"/>
      <c r="AK31" s="100">
        <f t="shared" si="16"/>
        <v>0</v>
      </c>
    </row>
    <row r="32" spans="1:43" x14ac:dyDescent="0.2">
      <c r="A32" s="16">
        <v>109</v>
      </c>
      <c r="B32" s="16" t="s">
        <v>136</v>
      </c>
      <c r="C32" s="16">
        <v>0.20627062706270599</v>
      </c>
      <c r="D32" s="16">
        <v>1.50256143430528</v>
      </c>
      <c r="E32" s="16" t="s">
        <v>196</v>
      </c>
      <c r="F32" s="16"/>
      <c r="G32" s="16"/>
      <c r="H32" s="16"/>
      <c r="I32" s="21">
        <v>594019524.5</v>
      </c>
      <c r="J32" s="16">
        <v>49761</v>
      </c>
      <c r="K32" s="16">
        <v>48295</v>
      </c>
      <c r="L32" s="16">
        <v>1169.3800000000001</v>
      </c>
      <c r="M32" s="16">
        <v>0.20541619</v>
      </c>
      <c r="N32" s="16">
        <v>4.5373450000000003E-2</v>
      </c>
      <c r="O32" s="16">
        <v>0.71233418000000004</v>
      </c>
      <c r="P32" s="16">
        <v>8.2286000000000002E-4</v>
      </c>
      <c r="Q32" s="16">
        <v>0.16570849000000001</v>
      </c>
      <c r="R32" s="90">
        <v>0.179728899</v>
      </c>
      <c r="S32" s="16">
        <v>4.2355120000000003E-2</v>
      </c>
      <c r="T32" s="16">
        <v>0.71392825000000004</v>
      </c>
      <c r="U32" s="16">
        <v>9.1031E-4</v>
      </c>
      <c r="V32" s="16">
        <v>0.24483608000000001</v>
      </c>
      <c r="W32">
        <f t="shared" si="3"/>
        <v>0.14364768531468533</v>
      </c>
      <c r="X32">
        <f t="shared" si="4"/>
        <v>3.172968531468532E-2</v>
      </c>
      <c r="Y32">
        <f t="shared" si="5"/>
        <v>0.71233418000000004</v>
      </c>
      <c r="Z32">
        <f t="shared" si="6"/>
        <v>8.2286000000000002E-4</v>
      </c>
      <c r="AA32">
        <f t="shared" si="7"/>
        <v>0.16570849000000001</v>
      </c>
      <c r="AB32">
        <f t="shared" si="8"/>
        <v>0.14853628016528925</v>
      </c>
      <c r="AC32">
        <f t="shared" si="9"/>
        <v>3.5004231404958681E-2</v>
      </c>
      <c r="AD32">
        <f t="shared" si="10"/>
        <v>0.71392825000000004</v>
      </c>
      <c r="AE32">
        <f t="shared" si="11"/>
        <v>9.1031E-4</v>
      </c>
      <c r="AF32">
        <f t="shared" si="12"/>
        <v>0.24483608000000001</v>
      </c>
      <c r="AG32" s="48"/>
      <c r="AH32" s="93"/>
      <c r="AI32" s="74"/>
      <c r="AK32" s="100">
        <f t="shared" si="16"/>
        <v>0</v>
      </c>
    </row>
    <row r="33" spans="1:37" x14ac:dyDescent="0.2">
      <c r="A33" s="16">
        <v>110</v>
      </c>
      <c r="B33" s="16" t="s">
        <v>137</v>
      </c>
      <c r="C33" s="16">
        <v>5.6000000000000001E-2</v>
      </c>
      <c r="D33" s="16">
        <v>0.1179071191179</v>
      </c>
      <c r="E33" s="16" t="s">
        <v>196</v>
      </c>
      <c r="F33" s="16"/>
      <c r="G33" s="16"/>
      <c r="H33" s="16"/>
      <c r="I33" s="21">
        <v>232928719</v>
      </c>
      <c r="J33" s="16">
        <v>49950</v>
      </c>
      <c r="K33" s="16">
        <v>48042</v>
      </c>
      <c r="L33" s="16">
        <v>1196.56</v>
      </c>
      <c r="M33" s="16">
        <v>0.16175302999999999</v>
      </c>
      <c r="N33" s="16">
        <v>2.8315920000000001E-2</v>
      </c>
      <c r="O33" s="16">
        <v>0.72697310999999998</v>
      </c>
      <c r="P33" s="16">
        <v>1.8991800000000001E-3</v>
      </c>
      <c r="Q33" s="16">
        <v>0.78611540000000002</v>
      </c>
      <c r="R33" s="90">
        <v>0.141525816</v>
      </c>
      <c r="S33" s="16">
        <v>2.7366330000000001E-2</v>
      </c>
      <c r="T33" s="16">
        <v>0.72859993000000001</v>
      </c>
      <c r="U33" s="16">
        <v>1.94364E-3</v>
      </c>
      <c r="V33" s="16">
        <v>0.75760861000000002</v>
      </c>
      <c r="W33">
        <f t="shared" si="3"/>
        <v>0.113114006993007</v>
      </c>
      <c r="X33">
        <f t="shared" si="4"/>
        <v>1.9801342657342659E-2</v>
      </c>
      <c r="Y33">
        <f t="shared" si="5"/>
        <v>0.72697310999999998</v>
      </c>
      <c r="Z33">
        <f t="shared" si="6"/>
        <v>1.8991800000000001E-3</v>
      </c>
      <c r="AA33">
        <f t="shared" si="7"/>
        <v>0.78611540000000002</v>
      </c>
      <c r="AB33">
        <f t="shared" si="8"/>
        <v>0.11696348429752067</v>
      </c>
      <c r="AC33">
        <f t="shared" si="9"/>
        <v>2.2616801652892565E-2</v>
      </c>
      <c r="AD33">
        <f t="shared" si="10"/>
        <v>0.72859993000000001</v>
      </c>
      <c r="AE33">
        <f t="shared" si="11"/>
        <v>1.94364E-3</v>
      </c>
      <c r="AF33">
        <f t="shared" si="12"/>
        <v>0.75760861000000002</v>
      </c>
      <c r="AG33" s="48"/>
      <c r="AH33" s="93"/>
      <c r="AI33" s="74"/>
      <c r="AK33" s="100">
        <f t="shared" si="16"/>
        <v>0</v>
      </c>
    </row>
    <row r="34" spans="1:37" x14ac:dyDescent="0.2">
      <c r="A34" s="16">
        <v>111</v>
      </c>
      <c r="B34" s="16" t="s">
        <v>138</v>
      </c>
      <c r="C34" s="16">
        <v>4.1152263374485597E-2</v>
      </c>
      <c r="D34" s="16">
        <v>0.14341001067074999</v>
      </c>
      <c r="E34" s="16" t="s">
        <v>196</v>
      </c>
      <c r="F34" s="16"/>
      <c r="G34" s="16"/>
      <c r="H34" s="16"/>
      <c r="I34" s="21">
        <v>224024954.5</v>
      </c>
      <c r="J34" s="16">
        <v>50076</v>
      </c>
      <c r="K34" s="16">
        <v>47978</v>
      </c>
      <c r="L34" s="16">
        <v>1203.44</v>
      </c>
      <c r="M34" s="16">
        <v>0.17765088000000001</v>
      </c>
      <c r="N34" s="16">
        <v>1.952535E-2</v>
      </c>
      <c r="O34" s="16">
        <v>0.72922030000000004</v>
      </c>
      <c r="P34" s="16">
        <v>3.8934099999999999E-3</v>
      </c>
      <c r="Q34" s="16">
        <v>-0.12951660000000001</v>
      </c>
      <c r="R34" s="90">
        <v>0.15543563699999999</v>
      </c>
      <c r="S34" s="16">
        <v>2.13268E-2</v>
      </c>
      <c r="T34" s="16">
        <v>0.73085215999999997</v>
      </c>
      <c r="U34" s="16">
        <v>3.92202E-3</v>
      </c>
      <c r="V34" s="16">
        <v>-6.0728499999999998E-2</v>
      </c>
      <c r="W34">
        <f t="shared" si="3"/>
        <v>0.12423138461538463</v>
      </c>
      <c r="X34">
        <f t="shared" si="4"/>
        <v>1.3654090909090909E-2</v>
      </c>
      <c r="Y34">
        <f t="shared" si="5"/>
        <v>0.72922030000000004</v>
      </c>
      <c r="Z34">
        <f t="shared" si="6"/>
        <v>3.8934099999999999E-3</v>
      </c>
      <c r="AA34">
        <f t="shared" si="7"/>
        <v>-0.12951660000000001</v>
      </c>
      <c r="AB34">
        <f t="shared" si="8"/>
        <v>0.12845920413223139</v>
      </c>
      <c r="AC34">
        <f t="shared" si="9"/>
        <v>1.7625454545454545E-2</v>
      </c>
      <c r="AD34">
        <f t="shared" si="10"/>
        <v>0.73085215999999997</v>
      </c>
      <c r="AE34">
        <f t="shared" si="11"/>
        <v>3.92202E-3</v>
      </c>
      <c r="AF34">
        <f t="shared" si="12"/>
        <v>-6.0728499999999998E-2</v>
      </c>
      <c r="AG34" s="48"/>
      <c r="AH34" s="93"/>
      <c r="AI34" s="74"/>
      <c r="AK34" s="100">
        <f t="shared" si="16"/>
        <v>0</v>
      </c>
    </row>
    <row r="35" spans="1:37" x14ac:dyDescent="0.2">
      <c r="A35" s="16">
        <v>112</v>
      </c>
      <c r="B35" s="16" t="s">
        <v>139</v>
      </c>
      <c r="C35" s="16">
        <v>2.1377672209026099E-2</v>
      </c>
      <c r="D35" s="16">
        <v>0.24906604242321101</v>
      </c>
      <c r="E35" s="16" t="s">
        <v>196</v>
      </c>
      <c r="F35" s="16"/>
      <c r="G35" s="16"/>
      <c r="H35" s="16"/>
      <c r="I35" s="21">
        <v>157797113.5</v>
      </c>
      <c r="J35" s="16">
        <v>50227</v>
      </c>
      <c r="K35" s="16">
        <v>47931</v>
      </c>
      <c r="L35" s="16">
        <v>1192.19</v>
      </c>
      <c r="M35" s="16">
        <v>0.16166559</v>
      </c>
      <c r="N35" s="16">
        <v>1.946844E-2</v>
      </c>
      <c r="O35" s="16">
        <v>0.71755418999999998</v>
      </c>
      <c r="P35" s="16">
        <v>7.88581E-3</v>
      </c>
      <c r="Q35" s="16">
        <v>-0.90210760000000001</v>
      </c>
      <c r="R35" s="90">
        <v>0.141449308</v>
      </c>
      <c r="S35" s="16">
        <v>2.061851E-2</v>
      </c>
      <c r="T35" s="16">
        <v>0.71915994000000005</v>
      </c>
      <c r="U35" s="16">
        <v>7.91299E-3</v>
      </c>
      <c r="V35" s="16">
        <v>-0.7248677</v>
      </c>
      <c r="W35">
        <f t="shared" si="3"/>
        <v>0.11305286013986014</v>
      </c>
      <c r="X35">
        <f t="shared" si="4"/>
        <v>1.3614293706293707E-2</v>
      </c>
      <c r="Y35">
        <f t="shared" si="5"/>
        <v>0.71755418999999998</v>
      </c>
      <c r="Z35">
        <f t="shared" si="6"/>
        <v>7.88581E-3</v>
      </c>
      <c r="AA35">
        <f t="shared" si="7"/>
        <v>-0.90210760000000001</v>
      </c>
      <c r="AB35">
        <f t="shared" si="8"/>
        <v>0.11690025454545455</v>
      </c>
      <c r="AC35">
        <f t="shared" si="9"/>
        <v>1.7040090909090911E-2</v>
      </c>
      <c r="AD35">
        <f t="shared" si="10"/>
        <v>0.71915994000000005</v>
      </c>
      <c r="AE35">
        <f t="shared" si="11"/>
        <v>7.91299E-3</v>
      </c>
      <c r="AF35">
        <f t="shared" si="12"/>
        <v>-0.7248677</v>
      </c>
      <c r="AG35" s="48"/>
      <c r="AH35" s="93"/>
      <c r="AI35" s="74"/>
      <c r="AK35" s="100">
        <f t="shared" si="16"/>
        <v>0</v>
      </c>
    </row>
    <row r="36" spans="1:37" x14ac:dyDescent="0.2">
      <c r="A36" s="16">
        <v>115</v>
      </c>
      <c r="B36" s="16" t="s">
        <v>140</v>
      </c>
      <c r="C36" s="16">
        <v>4.3918918918918901E-2</v>
      </c>
      <c r="D36" s="16">
        <v>0.26586693122257199</v>
      </c>
      <c r="E36" s="16" t="s">
        <v>196</v>
      </c>
      <c r="F36" s="16"/>
      <c r="G36" s="16"/>
      <c r="H36" s="16"/>
      <c r="I36" s="21">
        <v>250993816.19999999</v>
      </c>
      <c r="J36" s="16">
        <v>50071</v>
      </c>
      <c r="K36" s="16">
        <v>48300</v>
      </c>
      <c r="L36" s="16">
        <v>1203.75</v>
      </c>
      <c r="M36" s="16">
        <v>0.15010978999999999</v>
      </c>
      <c r="N36" s="16">
        <v>8.6180500000000004E-3</v>
      </c>
      <c r="O36" s="16">
        <v>0.72917942999999996</v>
      </c>
      <c r="P36" s="16">
        <v>2.6606899999999998E-3</v>
      </c>
      <c r="Q36" s="16">
        <v>0.52018752000000001</v>
      </c>
      <c r="R36" s="90">
        <v>0.13052730000000001</v>
      </c>
      <c r="S36" s="16">
        <v>1.221883E-2</v>
      </c>
      <c r="T36" s="16">
        <v>0.73126214</v>
      </c>
      <c r="U36" s="16">
        <v>2.6967800000000002E-3</v>
      </c>
      <c r="V36" s="16">
        <v>0.45057142999999999</v>
      </c>
      <c r="W36">
        <f t="shared" si="3"/>
        <v>0.10497188111888112</v>
      </c>
      <c r="X36">
        <f t="shared" si="4"/>
        <v>6.0266083916083926E-3</v>
      </c>
      <c r="Y36">
        <f t="shared" si="5"/>
        <v>0.72917942999999996</v>
      </c>
      <c r="Z36">
        <f t="shared" si="6"/>
        <v>2.6606899999999998E-3</v>
      </c>
      <c r="AA36">
        <f t="shared" si="7"/>
        <v>0.52018752000000001</v>
      </c>
      <c r="AB36">
        <f t="shared" si="8"/>
        <v>0.10787380165289258</v>
      </c>
      <c r="AC36">
        <f t="shared" si="9"/>
        <v>1.0098206611570248E-2</v>
      </c>
      <c r="AD36">
        <f t="shared" si="10"/>
        <v>0.73126214</v>
      </c>
      <c r="AE36">
        <f t="shared" si="11"/>
        <v>2.6967800000000002E-3</v>
      </c>
      <c r="AF36">
        <f t="shared" si="12"/>
        <v>0.45057142999999999</v>
      </c>
      <c r="AG36" s="48"/>
      <c r="AH36" s="93"/>
      <c r="AI36" s="74"/>
      <c r="AK36" s="100">
        <f t="shared" si="16"/>
        <v>0</v>
      </c>
    </row>
    <row r="37" spans="1:37" x14ac:dyDescent="0.2">
      <c r="A37" s="16">
        <v>116</v>
      </c>
      <c r="B37" s="16" t="s">
        <v>141</v>
      </c>
      <c r="C37" s="16">
        <v>3.3457249070631898E-2</v>
      </c>
      <c r="D37" s="16">
        <v>5.0911231701831601E-2</v>
      </c>
      <c r="E37" s="16" t="s">
        <v>196</v>
      </c>
      <c r="F37" s="16"/>
      <c r="G37" s="16"/>
      <c r="H37" s="16"/>
      <c r="I37" s="21">
        <v>150843158.80000001</v>
      </c>
      <c r="J37" s="16">
        <v>50195</v>
      </c>
      <c r="K37" s="16">
        <v>48391</v>
      </c>
      <c r="L37" s="16">
        <v>1197.5</v>
      </c>
      <c r="M37" s="16">
        <v>0.15383440000000001</v>
      </c>
      <c r="N37" s="16">
        <v>4.8000200000000003E-3</v>
      </c>
      <c r="O37" s="16">
        <v>0.71548009000000001</v>
      </c>
      <c r="P37" s="16">
        <v>7.4980300000000001E-3</v>
      </c>
      <c r="Q37" s="16">
        <v>0.57541483999999998</v>
      </c>
      <c r="R37" s="90">
        <v>0.13376601399999999</v>
      </c>
      <c r="S37" s="16">
        <v>1.0735150000000001E-2</v>
      </c>
      <c r="T37" s="16">
        <v>0.71752366999999995</v>
      </c>
      <c r="U37" s="16">
        <v>7.5292199999999997E-3</v>
      </c>
      <c r="V37" s="16">
        <v>0.27873774000000001</v>
      </c>
      <c r="W37">
        <f t="shared" si="3"/>
        <v>0.10757650349650351</v>
      </c>
      <c r="X37">
        <f t="shared" si="4"/>
        <v>3.3566573426573429E-3</v>
      </c>
      <c r="Y37">
        <f t="shared" si="5"/>
        <v>0.71548009000000001</v>
      </c>
      <c r="Z37">
        <f t="shared" si="6"/>
        <v>7.4980300000000001E-3</v>
      </c>
      <c r="AA37">
        <f t="shared" si="7"/>
        <v>0.57541483999999998</v>
      </c>
      <c r="AB37">
        <f t="shared" si="8"/>
        <v>0.11055042479338842</v>
      </c>
      <c r="AC37">
        <f t="shared" si="9"/>
        <v>8.8720247933884305E-3</v>
      </c>
      <c r="AD37">
        <f t="shared" si="10"/>
        <v>0.71752366999999995</v>
      </c>
      <c r="AE37">
        <f t="shared" si="11"/>
        <v>7.5292199999999997E-3</v>
      </c>
      <c r="AF37">
        <f t="shared" si="12"/>
        <v>0.27873774000000001</v>
      </c>
      <c r="AG37" s="48"/>
      <c r="AH37" s="93"/>
      <c r="AI37" s="74"/>
      <c r="AK37" s="100">
        <f t="shared" si="16"/>
        <v>0</v>
      </c>
    </row>
    <row r="38" spans="1:37" x14ac:dyDescent="0.2">
      <c r="A38" s="16">
        <v>117</v>
      </c>
      <c r="B38" s="16" t="s">
        <v>142</v>
      </c>
      <c r="C38" s="16">
        <v>0.13586097946287501</v>
      </c>
      <c r="D38" s="16">
        <v>0.14953750518061501</v>
      </c>
      <c r="E38" s="16" t="s">
        <v>196</v>
      </c>
      <c r="F38" s="16"/>
      <c r="G38" s="16"/>
      <c r="H38" s="16"/>
      <c r="I38" s="21">
        <v>571844050.89999998</v>
      </c>
      <c r="J38" s="16">
        <v>51068</v>
      </c>
      <c r="K38" s="16">
        <v>47767</v>
      </c>
      <c r="L38" s="16">
        <v>1232.81</v>
      </c>
      <c r="M38" s="16">
        <v>0.12081177</v>
      </c>
      <c r="N38" s="16">
        <v>5.3944099999999997E-3</v>
      </c>
      <c r="O38" s="16">
        <v>0.71236927999999999</v>
      </c>
      <c r="P38" s="16">
        <v>1.09052E-3</v>
      </c>
      <c r="Q38" s="16">
        <v>0.40072082999999997</v>
      </c>
      <c r="R38" s="90">
        <v>0.10505133699999999</v>
      </c>
      <c r="S38" s="16">
        <v>9.0738599999999996E-3</v>
      </c>
      <c r="T38" s="16">
        <v>0.71440397</v>
      </c>
      <c r="U38" s="16">
        <v>1.1584200000000001E-3</v>
      </c>
      <c r="V38" s="16">
        <v>0.52810056000000005</v>
      </c>
      <c r="W38">
        <f t="shared" si="3"/>
        <v>8.4483755244755251E-2</v>
      </c>
      <c r="X38">
        <f t="shared" si="4"/>
        <v>3.7723146853146853E-3</v>
      </c>
      <c r="Y38">
        <f t="shared" si="5"/>
        <v>0.71236927999999999</v>
      </c>
      <c r="Z38">
        <f t="shared" si="6"/>
        <v>1.09052E-3</v>
      </c>
      <c r="AA38">
        <f t="shared" si="7"/>
        <v>0.40072082999999997</v>
      </c>
      <c r="AB38">
        <f t="shared" si="8"/>
        <v>8.6819286776859503E-2</v>
      </c>
      <c r="AC38">
        <f t="shared" si="9"/>
        <v>7.499057851239669E-3</v>
      </c>
      <c r="AD38">
        <f t="shared" si="10"/>
        <v>0.71440397</v>
      </c>
      <c r="AE38">
        <f t="shared" si="11"/>
        <v>1.1584200000000001E-3</v>
      </c>
      <c r="AF38">
        <f t="shared" si="12"/>
        <v>0.52810056000000005</v>
      </c>
      <c r="AG38" s="48"/>
      <c r="AH38" s="93"/>
      <c r="AI38" s="74"/>
      <c r="AK38" s="100">
        <f t="shared" si="16"/>
        <v>0</v>
      </c>
    </row>
    <row r="39" spans="1:37" x14ac:dyDescent="0.2">
      <c r="A39" s="16">
        <v>118</v>
      </c>
      <c r="B39" s="16" t="s">
        <v>143</v>
      </c>
      <c r="C39" s="16">
        <v>0</v>
      </c>
      <c r="D39" s="16">
        <v>2.44796786364096E-2</v>
      </c>
      <c r="E39" s="16" t="s">
        <v>196</v>
      </c>
      <c r="F39" s="16"/>
      <c r="G39" s="16"/>
      <c r="H39" s="16"/>
      <c r="I39" s="21">
        <v>192356339.40000001</v>
      </c>
      <c r="J39" s="16">
        <v>50883</v>
      </c>
      <c r="K39" s="16">
        <v>47530</v>
      </c>
      <c r="L39" s="16">
        <v>1211.56</v>
      </c>
      <c r="M39" s="16">
        <v>6.2726850000000001E-2</v>
      </c>
      <c r="N39" s="16">
        <v>1.1346480000000001E-2</v>
      </c>
      <c r="O39" s="16">
        <v>0.71396375000000001</v>
      </c>
      <c r="P39" s="16">
        <v>3.2983999999999999E-3</v>
      </c>
      <c r="Q39" s="16">
        <v>-0.67491489999999998</v>
      </c>
      <c r="R39" s="90">
        <v>5.4543851999999997E-2</v>
      </c>
      <c r="S39" s="16">
        <v>1.06587E-2</v>
      </c>
      <c r="T39" s="16">
        <v>0.71600299999999995</v>
      </c>
      <c r="U39" s="16">
        <v>3.3298999999999998E-3</v>
      </c>
      <c r="V39" s="16">
        <v>-0.56934810000000002</v>
      </c>
      <c r="W39">
        <f t="shared" si="3"/>
        <v>4.3864930069930072E-2</v>
      </c>
      <c r="X39">
        <f t="shared" si="4"/>
        <v>7.9346013986013996E-3</v>
      </c>
      <c r="Y39">
        <f t="shared" si="5"/>
        <v>0.71396375000000001</v>
      </c>
      <c r="Z39">
        <f t="shared" si="6"/>
        <v>3.2983999999999999E-3</v>
      </c>
      <c r="AA39">
        <f t="shared" si="7"/>
        <v>-0.67491489999999998</v>
      </c>
      <c r="AB39">
        <f t="shared" si="8"/>
        <v>4.5077563636363636E-2</v>
      </c>
      <c r="AC39">
        <f t="shared" si="9"/>
        <v>8.8088429752066124E-3</v>
      </c>
      <c r="AD39">
        <f t="shared" si="10"/>
        <v>0.71600299999999995</v>
      </c>
      <c r="AE39">
        <f t="shared" si="11"/>
        <v>3.3298999999999998E-3</v>
      </c>
      <c r="AF39">
        <f t="shared" si="12"/>
        <v>-0.56934810000000002</v>
      </c>
      <c r="AG39" s="48"/>
      <c r="AH39" s="93"/>
      <c r="AI39" s="74"/>
      <c r="AK39" s="100">
        <f t="shared" si="16"/>
        <v>0</v>
      </c>
    </row>
    <row r="40" spans="1:37" x14ac:dyDescent="0.2">
      <c r="A40" s="16">
        <v>119</v>
      </c>
      <c r="B40" s="16" t="s">
        <v>144</v>
      </c>
      <c r="C40" s="16">
        <v>0.112426035502958</v>
      </c>
      <c r="D40" s="16">
        <v>5.15952658391279E-2</v>
      </c>
      <c r="E40" s="16" t="s">
        <v>196</v>
      </c>
      <c r="F40" s="16"/>
      <c r="G40" s="16"/>
      <c r="H40" s="16"/>
      <c r="I40" s="21">
        <v>129662741.90000001</v>
      </c>
      <c r="J40" s="16">
        <v>51788</v>
      </c>
      <c r="K40" s="16">
        <v>47426</v>
      </c>
      <c r="L40" s="16">
        <v>1169.3800000000001</v>
      </c>
      <c r="M40" s="16">
        <v>8.7868429999999997E-2</v>
      </c>
      <c r="N40" s="16">
        <v>2.4816100000000001E-2</v>
      </c>
      <c r="O40" s="16">
        <v>0.71202518999999997</v>
      </c>
      <c r="P40" s="16">
        <v>6.64703E-3</v>
      </c>
      <c r="Q40" s="16">
        <v>0.38784360000000001</v>
      </c>
      <c r="R40" s="90">
        <v>7.6405603000000002E-2</v>
      </c>
      <c r="S40" s="16">
        <v>2.230598E-2</v>
      </c>
      <c r="T40" s="16">
        <v>0.71405890000000005</v>
      </c>
      <c r="U40" s="16">
        <v>6.6769400000000001E-3</v>
      </c>
      <c r="V40" s="16">
        <v>0.39164600999999999</v>
      </c>
      <c r="W40">
        <f t="shared" si="3"/>
        <v>6.1446454545454547E-2</v>
      </c>
      <c r="X40">
        <f t="shared" si="4"/>
        <v>1.7353916083916086E-2</v>
      </c>
      <c r="Y40">
        <f t="shared" si="5"/>
        <v>0.71202518999999997</v>
      </c>
      <c r="Z40">
        <f t="shared" si="6"/>
        <v>6.64703E-3</v>
      </c>
      <c r="AA40">
        <f t="shared" si="7"/>
        <v>0.38784360000000001</v>
      </c>
      <c r="AB40">
        <f t="shared" si="8"/>
        <v>6.3145126446280994E-2</v>
      </c>
      <c r="AC40">
        <f t="shared" si="9"/>
        <v>1.8434694214876032E-2</v>
      </c>
      <c r="AD40">
        <f t="shared" si="10"/>
        <v>0.71405890000000005</v>
      </c>
      <c r="AE40">
        <f t="shared" si="11"/>
        <v>6.6769400000000001E-3</v>
      </c>
      <c r="AF40">
        <f t="shared" si="12"/>
        <v>0.39164600999999999</v>
      </c>
      <c r="AG40" s="48"/>
      <c r="AH40" s="93"/>
      <c r="AI40" s="74"/>
      <c r="AK40" s="100">
        <f t="shared" si="16"/>
        <v>0</v>
      </c>
    </row>
    <row r="41" spans="1:37" x14ac:dyDescent="0.2">
      <c r="A41" s="16">
        <v>122</v>
      </c>
      <c r="B41" s="16" t="s">
        <v>145</v>
      </c>
      <c r="C41" s="16">
        <v>5.7647058823529398E-2</v>
      </c>
      <c r="D41" s="16">
        <v>5.6388585005652997E-2</v>
      </c>
      <c r="E41" s="16" t="s">
        <v>196</v>
      </c>
      <c r="F41" s="16"/>
      <c r="G41" s="16"/>
      <c r="H41" s="16"/>
      <c r="I41" s="21">
        <v>998280124.70000005</v>
      </c>
      <c r="J41" s="16">
        <v>52098</v>
      </c>
      <c r="K41" s="16">
        <v>47451</v>
      </c>
      <c r="L41" s="16">
        <v>1243.1300000000001</v>
      </c>
      <c r="M41" s="16">
        <v>2.758041E-2</v>
      </c>
      <c r="N41" s="16">
        <v>7.7244E-4</v>
      </c>
      <c r="O41" s="16">
        <v>0.70284676000000001</v>
      </c>
      <c r="P41" s="16">
        <v>6.6461999999999999E-4</v>
      </c>
      <c r="Q41" s="16">
        <v>-0.41527500000000001</v>
      </c>
      <c r="R41" s="90">
        <v>2.4019070999999999E-2</v>
      </c>
      <c r="S41" s="16">
        <v>1.7103800000000001E-3</v>
      </c>
      <c r="T41" s="16">
        <v>0.70492588</v>
      </c>
      <c r="U41" s="16">
        <v>6.6461000000000005E-4</v>
      </c>
      <c r="V41" s="16">
        <v>0.20926776999999999</v>
      </c>
      <c r="W41">
        <f t="shared" si="3"/>
        <v>1.9287000000000002E-2</v>
      </c>
      <c r="X41">
        <f t="shared" si="4"/>
        <v>5.4016783216783218E-4</v>
      </c>
      <c r="Y41">
        <f t="shared" si="5"/>
        <v>0.70284676000000001</v>
      </c>
      <c r="Z41">
        <f t="shared" si="6"/>
        <v>6.6461999999999999E-4</v>
      </c>
      <c r="AA41">
        <f t="shared" si="7"/>
        <v>-0.41527500000000001</v>
      </c>
      <c r="AB41">
        <f t="shared" si="8"/>
        <v>1.9850471900826446E-2</v>
      </c>
      <c r="AC41">
        <f t="shared" si="9"/>
        <v>1.4135371900826448E-3</v>
      </c>
      <c r="AD41">
        <f t="shared" si="10"/>
        <v>0.70492588</v>
      </c>
      <c r="AE41">
        <f t="shared" si="11"/>
        <v>6.6461000000000005E-4</v>
      </c>
      <c r="AF41">
        <f t="shared" si="12"/>
        <v>0.20926776999999999</v>
      </c>
      <c r="AG41" s="48"/>
      <c r="AH41" s="93"/>
      <c r="AI41" s="74"/>
      <c r="AK41" s="100">
        <f t="shared" si="16"/>
        <v>0</v>
      </c>
    </row>
    <row r="42" spans="1:37" x14ac:dyDescent="0.2">
      <c r="A42" s="16">
        <v>123</v>
      </c>
      <c r="B42" s="16" t="s">
        <v>146</v>
      </c>
      <c r="C42" s="16">
        <v>2.2603126765869202E-3</v>
      </c>
      <c r="D42" s="16">
        <v>2.8142749037768301E-3</v>
      </c>
      <c r="E42" s="16" t="s">
        <v>196</v>
      </c>
      <c r="F42" s="16"/>
      <c r="G42" s="16"/>
      <c r="H42" s="16"/>
      <c r="I42" s="21">
        <v>1530458390</v>
      </c>
      <c r="J42" s="16">
        <v>52487</v>
      </c>
      <c r="K42" s="16">
        <v>47601</v>
      </c>
      <c r="L42" s="16">
        <v>1284.69</v>
      </c>
      <c r="M42" s="16">
        <v>1.88269E-3</v>
      </c>
      <c r="N42" s="16">
        <v>8.3657000000000002E-4</v>
      </c>
      <c r="O42" s="16">
        <v>0.70877414000000005</v>
      </c>
      <c r="P42" s="16">
        <v>1.6365399999999999E-3</v>
      </c>
      <c r="Q42" s="16">
        <v>0.89335578000000004</v>
      </c>
      <c r="R42" s="90">
        <v>1.6395890000000001E-3</v>
      </c>
      <c r="S42" s="16">
        <v>7.3642E-4</v>
      </c>
      <c r="T42" s="16">
        <v>0.71087080000000002</v>
      </c>
      <c r="U42" s="16">
        <v>1.64057E-3</v>
      </c>
      <c r="V42" s="16">
        <v>0.90841830000000001</v>
      </c>
      <c r="W42">
        <f t="shared" si="3"/>
        <v>1.3165664335664335E-3</v>
      </c>
      <c r="X42">
        <f t="shared" si="4"/>
        <v>5.8501398601398607E-4</v>
      </c>
      <c r="Y42">
        <f t="shared" si="5"/>
        <v>0.70877414000000005</v>
      </c>
      <c r="Z42">
        <f t="shared" si="6"/>
        <v>1.6365399999999999E-3</v>
      </c>
      <c r="AA42">
        <f t="shared" si="7"/>
        <v>0.89335578000000004</v>
      </c>
      <c r="AB42">
        <f t="shared" si="8"/>
        <v>1.3550322314049587E-3</v>
      </c>
      <c r="AC42">
        <f t="shared" si="9"/>
        <v>6.0861157024793395E-4</v>
      </c>
      <c r="AD42">
        <f t="shared" si="10"/>
        <v>0.71087080000000002</v>
      </c>
      <c r="AE42">
        <f t="shared" si="11"/>
        <v>1.64057E-3</v>
      </c>
      <c r="AF42">
        <f t="shared" si="12"/>
        <v>0.90841830000000001</v>
      </c>
      <c r="AG42" s="48"/>
      <c r="AH42" s="93"/>
      <c r="AI42" s="74"/>
      <c r="AK42" s="100">
        <f t="shared" si="16"/>
        <v>0</v>
      </c>
    </row>
    <row r="43" spans="1:37" x14ac:dyDescent="0.2">
      <c r="A43" s="16">
        <v>124</v>
      </c>
      <c r="B43" s="16" t="s">
        <v>147</v>
      </c>
      <c r="C43" s="16">
        <v>0</v>
      </c>
      <c r="D43" s="16">
        <v>8.9855724044429305E-2</v>
      </c>
      <c r="E43" s="16" t="s">
        <v>196</v>
      </c>
      <c r="F43" s="16"/>
      <c r="G43" s="16"/>
      <c r="H43" s="16"/>
      <c r="I43" s="21">
        <v>1633573353</v>
      </c>
      <c r="J43" s="16">
        <v>52457</v>
      </c>
      <c r="K43" s="16">
        <v>47777</v>
      </c>
      <c r="L43" s="16">
        <v>1278.44</v>
      </c>
      <c r="M43" s="16">
        <v>5.2231600000000001E-3</v>
      </c>
      <c r="N43" s="16">
        <v>2.87017E-3</v>
      </c>
      <c r="O43" s="16">
        <v>0.70836058000000002</v>
      </c>
      <c r="P43" s="16">
        <v>5.2107E-4</v>
      </c>
      <c r="Q43" s="16">
        <v>-0.2512221</v>
      </c>
      <c r="R43" s="90">
        <v>4.5487189999999997E-3</v>
      </c>
      <c r="S43" s="16">
        <v>2.5172300000000001E-3</v>
      </c>
      <c r="T43" s="16">
        <v>0.71045601000000003</v>
      </c>
      <c r="U43" s="16">
        <v>5.2004999999999998E-4</v>
      </c>
      <c r="V43" s="16">
        <v>-0.18885540000000001</v>
      </c>
      <c r="W43">
        <f t="shared" si="3"/>
        <v>3.6525594405594406E-3</v>
      </c>
      <c r="X43">
        <f t="shared" si="4"/>
        <v>2.0071118881118881E-3</v>
      </c>
      <c r="Y43">
        <f t="shared" si="5"/>
        <v>0.70836058000000002</v>
      </c>
      <c r="Z43">
        <f t="shared" si="6"/>
        <v>5.2107E-4</v>
      </c>
      <c r="AA43">
        <f t="shared" si="7"/>
        <v>-0.2512221</v>
      </c>
      <c r="AB43">
        <f t="shared" si="8"/>
        <v>3.7592719008264462E-3</v>
      </c>
      <c r="AC43">
        <f t="shared" si="9"/>
        <v>2.0803553719008264E-3</v>
      </c>
      <c r="AD43">
        <f t="shared" si="10"/>
        <v>0.71045601000000003</v>
      </c>
      <c r="AE43">
        <f t="shared" si="11"/>
        <v>5.2004999999999998E-4</v>
      </c>
      <c r="AF43">
        <f t="shared" si="12"/>
        <v>-0.18885540000000001</v>
      </c>
      <c r="AG43" s="48"/>
      <c r="AH43" s="93"/>
      <c r="AI43" s="74"/>
      <c r="AK43" s="100">
        <f t="shared" si="16"/>
        <v>0</v>
      </c>
    </row>
    <row r="44" spans="1:37" x14ac:dyDescent="0.2">
      <c r="A44" s="16">
        <v>125</v>
      </c>
      <c r="B44" s="16" t="s">
        <v>148</v>
      </c>
      <c r="C44" s="16">
        <v>6.8100358422939003E-2</v>
      </c>
      <c r="D44" s="16">
        <v>0.4131247406304</v>
      </c>
      <c r="E44" s="16" t="s">
        <v>196</v>
      </c>
      <c r="F44" s="16"/>
      <c r="G44" s="16"/>
      <c r="H44" s="16"/>
      <c r="I44" s="21">
        <v>701177277.70000005</v>
      </c>
      <c r="J44" s="16">
        <v>53570</v>
      </c>
      <c r="K44" s="16">
        <v>50012</v>
      </c>
      <c r="L44" s="16">
        <v>1352.5</v>
      </c>
      <c r="M44" s="16">
        <v>8.0480570000000001E-2</v>
      </c>
      <c r="N44" s="16">
        <v>3.6418700000000002E-3</v>
      </c>
      <c r="O44" s="16">
        <v>0.71077548000000002</v>
      </c>
      <c r="P44" s="16">
        <v>1.1880700000000001E-3</v>
      </c>
      <c r="Q44" s="16">
        <v>0.59866050999999998</v>
      </c>
      <c r="R44" s="90">
        <v>7.0088451999999996E-2</v>
      </c>
      <c r="S44" s="16">
        <v>5.5781299999999997E-3</v>
      </c>
      <c r="T44" s="16">
        <v>0.71287805000000004</v>
      </c>
      <c r="U44" s="16">
        <v>1.19045E-3</v>
      </c>
      <c r="V44" s="16">
        <v>0.52917393000000001</v>
      </c>
      <c r="W44">
        <f t="shared" si="3"/>
        <v>5.6280118881118883E-2</v>
      </c>
      <c r="X44">
        <f t="shared" si="4"/>
        <v>2.546762237762238E-3</v>
      </c>
      <c r="Y44">
        <f t="shared" si="5"/>
        <v>0.71077548000000002</v>
      </c>
      <c r="Z44">
        <f t="shared" si="6"/>
        <v>1.1880700000000001E-3</v>
      </c>
      <c r="AA44">
        <f t="shared" si="7"/>
        <v>0.59866050999999998</v>
      </c>
      <c r="AB44">
        <f t="shared" si="8"/>
        <v>5.7924340495867768E-2</v>
      </c>
      <c r="AC44">
        <f t="shared" si="9"/>
        <v>4.6100247933884295E-3</v>
      </c>
      <c r="AD44">
        <f t="shared" si="10"/>
        <v>0.71287805000000004</v>
      </c>
      <c r="AE44">
        <f t="shared" si="11"/>
        <v>1.19045E-3</v>
      </c>
      <c r="AF44">
        <f t="shared" si="12"/>
        <v>0.52917393000000001</v>
      </c>
      <c r="AG44" s="48"/>
      <c r="AH44" s="93"/>
      <c r="AI44" s="74"/>
      <c r="AK44" s="100">
        <f t="shared" si="16"/>
        <v>0</v>
      </c>
    </row>
    <row r="45" spans="1:37" x14ac:dyDescent="0.2">
      <c r="A45" s="16">
        <v>126</v>
      </c>
      <c r="B45" s="16" t="s">
        <v>149</v>
      </c>
      <c r="C45" s="16"/>
      <c r="D45" s="16">
        <v>7.6168171900070802E-2</v>
      </c>
      <c r="E45" s="16" t="s">
        <v>196</v>
      </c>
      <c r="F45" s="16"/>
      <c r="G45" s="16"/>
      <c r="H45" s="16"/>
      <c r="I45" s="21">
        <v>524982253.80000001</v>
      </c>
      <c r="J45" s="16">
        <v>53307</v>
      </c>
      <c r="K45" s="16">
        <v>50094</v>
      </c>
      <c r="L45" s="16">
        <v>1272.5</v>
      </c>
      <c r="M45" s="16">
        <v>1.480707E-2</v>
      </c>
      <c r="N45" s="16">
        <v>4.6789800000000001E-3</v>
      </c>
      <c r="O45" s="16">
        <v>0.70106506999999996</v>
      </c>
      <c r="P45" s="16">
        <v>8.0073000000000004E-4</v>
      </c>
      <c r="Q45" s="16">
        <v>0.55151943000000003</v>
      </c>
      <c r="R45" s="90">
        <v>1.2895098000000001E-2</v>
      </c>
      <c r="S45" s="16">
        <v>4.1613400000000004E-3</v>
      </c>
      <c r="T45" s="16">
        <v>0.70313892</v>
      </c>
      <c r="U45" s="16">
        <v>8.0146999999999998E-4</v>
      </c>
      <c r="V45" s="16">
        <v>0.60924617999999997</v>
      </c>
      <c r="W45">
        <f t="shared" si="3"/>
        <v>1.0354594405594407E-2</v>
      </c>
      <c r="X45">
        <f t="shared" si="4"/>
        <v>3.2720139860139864E-3</v>
      </c>
      <c r="Y45">
        <f t="shared" si="5"/>
        <v>0.70106506999999996</v>
      </c>
      <c r="Z45">
        <f t="shared" si="6"/>
        <v>8.0073000000000004E-4</v>
      </c>
      <c r="AA45">
        <f t="shared" si="7"/>
        <v>0.55151943000000003</v>
      </c>
      <c r="AB45">
        <f t="shared" si="8"/>
        <v>1.0657105785123968E-2</v>
      </c>
      <c r="AC45">
        <f t="shared" si="9"/>
        <v>3.4391239669421493E-3</v>
      </c>
      <c r="AD45">
        <f t="shared" si="10"/>
        <v>0.70313892</v>
      </c>
      <c r="AE45">
        <f t="shared" si="11"/>
        <v>8.0146999999999998E-4</v>
      </c>
      <c r="AF45">
        <f t="shared" si="12"/>
        <v>0.60924617999999997</v>
      </c>
      <c r="AG45" s="48"/>
      <c r="AH45" s="93"/>
      <c r="AI45" s="74"/>
      <c r="AK45" s="100">
        <f t="shared" si="16"/>
        <v>0</v>
      </c>
    </row>
    <row r="46" spans="1:37" x14ac:dyDescent="0.2">
      <c r="A46" s="16">
        <v>129</v>
      </c>
      <c r="B46" s="16" t="s">
        <v>150</v>
      </c>
      <c r="C46" s="16">
        <v>6.6137566137566106E-2</v>
      </c>
      <c r="D46" s="16">
        <v>0.128539077976</v>
      </c>
      <c r="E46" s="16" t="s">
        <v>196</v>
      </c>
      <c r="F46" s="16"/>
      <c r="G46" s="16"/>
      <c r="H46" s="16"/>
      <c r="I46" s="21">
        <v>381242078.89999998</v>
      </c>
      <c r="J46" s="16">
        <v>53752</v>
      </c>
      <c r="K46" s="16">
        <v>50186</v>
      </c>
      <c r="L46" s="16">
        <v>1308.44</v>
      </c>
      <c r="M46" s="16">
        <v>0.42969811000000002</v>
      </c>
      <c r="N46" s="16">
        <v>8.4475679999999997E-2</v>
      </c>
      <c r="O46" s="16">
        <v>0.73209645999999995</v>
      </c>
      <c r="P46" s="16">
        <v>2.6735800000000001E-3</v>
      </c>
      <c r="Q46" s="16">
        <v>0.82633783000000005</v>
      </c>
      <c r="R46" s="90">
        <v>0.37199841300000003</v>
      </c>
      <c r="S46" s="16">
        <v>7.9155779999999995E-2</v>
      </c>
      <c r="T46" s="16">
        <v>0.73385968999999995</v>
      </c>
      <c r="U46" s="16">
        <v>2.68921E-3</v>
      </c>
      <c r="V46" s="16">
        <v>0.78665448999999998</v>
      </c>
      <c r="W46">
        <f t="shared" si="3"/>
        <v>0.30048818881118883</v>
      </c>
      <c r="X46">
        <f t="shared" si="4"/>
        <v>5.9073902097902101E-2</v>
      </c>
      <c r="Y46">
        <f t="shared" si="5"/>
        <v>0.73209645999999995</v>
      </c>
      <c r="Z46">
        <f t="shared" si="6"/>
        <v>2.6735800000000001E-3</v>
      </c>
      <c r="AA46">
        <f t="shared" si="7"/>
        <v>0.82633783000000005</v>
      </c>
      <c r="AB46">
        <f t="shared" si="8"/>
        <v>0.3074367049586777</v>
      </c>
      <c r="AC46">
        <f t="shared" si="9"/>
        <v>6.5418000000000004E-2</v>
      </c>
      <c r="AD46">
        <f t="shared" si="10"/>
        <v>0.73385968999999995</v>
      </c>
      <c r="AE46">
        <f t="shared" si="11"/>
        <v>2.68921E-3</v>
      </c>
      <c r="AF46">
        <f t="shared" si="12"/>
        <v>0.78665448999999998</v>
      </c>
      <c r="AG46" s="48"/>
      <c r="AH46" s="93"/>
      <c r="AI46" s="74"/>
      <c r="AK46" s="100">
        <f t="shared" si="16"/>
        <v>0</v>
      </c>
    </row>
    <row r="47" spans="1:37" x14ac:dyDescent="0.2">
      <c r="A47" s="16">
        <v>130</v>
      </c>
      <c r="B47" s="16" t="s">
        <v>151</v>
      </c>
      <c r="C47" s="16">
        <v>6.4344746162927902E-2</v>
      </c>
      <c r="D47" s="16">
        <v>3.6618262633800698E-2</v>
      </c>
      <c r="E47" s="16" t="s">
        <v>196</v>
      </c>
      <c r="F47" s="16"/>
      <c r="G47" s="16"/>
      <c r="H47" s="16"/>
      <c r="I47" s="21">
        <v>758299971.60000002</v>
      </c>
      <c r="J47" s="16">
        <v>53223</v>
      </c>
      <c r="K47" s="16">
        <v>50868</v>
      </c>
      <c r="L47" s="16">
        <v>1349.69</v>
      </c>
      <c r="M47" s="16">
        <v>2.4043060000000002E-2</v>
      </c>
      <c r="N47" s="16">
        <v>5.3978000000000001E-4</v>
      </c>
      <c r="O47" s="16">
        <v>0.70277919</v>
      </c>
      <c r="P47" s="16">
        <v>6.2292000000000001E-4</v>
      </c>
      <c r="Q47" s="16">
        <v>6.0334949999999998E-2</v>
      </c>
      <c r="R47" s="90">
        <v>2.0814570000000001E-2</v>
      </c>
      <c r="S47" s="16">
        <v>1.7579099999999999E-3</v>
      </c>
      <c r="T47" s="16">
        <v>0.70447181999999997</v>
      </c>
      <c r="U47" s="16">
        <v>6.5983999999999997E-4</v>
      </c>
      <c r="V47" s="16">
        <v>0.26956880999999999</v>
      </c>
      <c r="W47">
        <f t="shared" si="3"/>
        <v>1.6813328671328672E-2</v>
      </c>
      <c r="X47">
        <f t="shared" si="4"/>
        <v>3.7746853146853151E-4</v>
      </c>
      <c r="Y47">
        <f t="shared" si="5"/>
        <v>0.70277919</v>
      </c>
      <c r="Z47">
        <f t="shared" si="6"/>
        <v>6.2292000000000001E-4</v>
      </c>
      <c r="AA47">
        <f t="shared" si="7"/>
        <v>6.0334949999999998E-2</v>
      </c>
      <c r="AB47">
        <f t="shared" si="8"/>
        <v>1.7202123966942151E-2</v>
      </c>
      <c r="AC47">
        <f t="shared" si="9"/>
        <v>1.4528181818181819E-3</v>
      </c>
      <c r="AD47">
        <f t="shared" si="10"/>
        <v>0.70447181999999997</v>
      </c>
      <c r="AE47">
        <f t="shared" si="11"/>
        <v>6.5983999999999997E-4</v>
      </c>
      <c r="AF47">
        <f t="shared" si="12"/>
        <v>0.26956880999999999</v>
      </c>
      <c r="AG47" s="48"/>
      <c r="AH47" s="93"/>
      <c r="AI47" s="74"/>
      <c r="AK47" s="100">
        <f t="shared" si="16"/>
        <v>0</v>
      </c>
    </row>
    <row r="48" spans="1:37" x14ac:dyDescent="0.2">
      <c r="A48" s="16">
        <v>131</v>
      </c>
      <c r="B48" s="16" t="s">
        <v>152</v>
      </c>
      <c r="C48" s="16">
        <v>4.6536796536796501E-2</v>
      </c>
      <c r="D48" s="16">
        <v>3.7739889205542103E-2</v>
      </c>
      <c r="E48" s="16" t="s">
        <v>196</v>
      </c>
      <c r="F48" s="16"/>
      <c r="G48" s="16"/>
      <c r="H48" s="16"/>
      <c r="I48" s="21">
        <v>831307786.39999998</v>
      </c>
      <c r="J48" s="16">
        <v>52861</v>
      </c>
      <c r="K48" s="16">
        <v>50965</v>
      </c>
      <c r="L48" s="16">
        <v>1349.69</v>
      </c>
      <c r="M48" s="16">
        <v>2.8643040000000002E-2</v>
      </c>
      <c r="N48" s="16">
        <v>2.0179400000000002E-3</v>
      </c>
      <c r="O48" s="16">
        <v>0.70248456999999997</v>
      </c>
      <c r="P48" s="16">
        <v>9.4558999999999995E-4</v>
      </c>
      <c r="Q48" s="16">
        <v>0.46485453999999998</v>
      </c>
      <c r="R48" s="90">
        <v>2.4796866000000001E-2</v>
      </c>
      <c r="S48" s="16">
        <v>2.66979E-3</v>
      </c>
      <c r="T48" s="16">
        <v>0.70417647999999999</v>
      </c>
      <c r="U48" s="16">
        <v>9.7154000000000001E-4</v>
      </c>
      <c r="V48" s="16">
        <v>0.43223286</v>
      </c>
      <c r="W48">
        <f t="shared" si="3"/>
        <v>2.0030097902097904E-2</v>
      </c>
      <c r="X48">
        <f t="shared" si="4"/>
        <v>1.4111468531468534E-3</v>
      </c>
      <c r="Y48">
        <f t="shared" si="5"/>
        <v>0.70248456999999997</v>
      </c>
      <c r="Z48">
        <f t="shared" si="6"/>
        <v>9.4558999999999995E-4</v>
      </c>
      <c r="AA48">
        <f t="shared" si="7"/>
        <v>0.46485453999999998</v>
      </c>
      <c r="AB48">
        <f t="shared" si="8"/>
        <v>2.0493277685950415E-2</v>
      </c>
      <c r="AC48">
        <f t="shared" si="9"/>
        <v>2.2064380165289256E-3</v>
      </c>
      <c r="AD48">
        <f t="shared" si="10"/>
        <v>0.70417647999999999</v>
      </c>
      <c r="AE48">
        <f t="shared" si="11"/>
        <v>9.7154000000000001E-4</v>
      </c>
      <c r="AF48">
        <f t="shared" si="12"/>
        <v>0.43223286</v>
      </c>
      <c r="AG48" s="48"/>
      <c r="AH48" s="93"/>
      <c r="AI48" s="74"/>
      <c r="AK48" s="100">
        <f t="shared" si="16"/>
        <v>0</v>
      </c>
    </row>
    <row r="49" spans="1:37" x14ac:dyDescent="0.2">
      <c r="A49" s="16">
        <v>132</v>
      </c>
      <c r="B49" s="16" t="s">
        <v>153</v>
      </c>
      <c r="C49" s="16">
        <v>5.6047197640117903E-2</v>
      </c>
      <c r="D49" s="16">
        <v>2.8638343276328301E-2</v>
      </c>
      <c r="E49" s="16" t="s">
        <v>196</v>
      </c>
      <c r="F49" s="16"/>
      <c r="G49" s="16"/>
      <c r="H49" s="16"/>
      <c r="I49" s="21">
        <v>837753586.79999995</v>
      </c>
      <c r="J49" s="16">
        <v>53448</v>
      </c>
      <c r="K49" s="16">
        <v>51118</v>
      </c>
      <c r="L49" s="16">
        <v>1349.69</v>
      </c>
      <c r="M49" s="16">
        <v>1.4488020000000001E-2</v>
      </c>
      <c r="N49" s="16">
        <v>1.5482600000000001E-3</v>
      </c>
      <c r="O49" s="16">
        <v>0.70031091000000001</v>
      </c>
      <c r="P49" s="16">
        <v>1.0708600000000001E-3</v>
      </c>
      <c r="Q49" s="16">
        <v>-0.54602660000000003</v>
      </c>
      <c r="R49" s="90">
        <v>1.2542575E-2</v>
      </c>
      <c r="S49" s="16">
        <v>1.6850400000000001E-3</v>
      </c>
      <c r="T49" s="16">
        <v>0.70199758999999995</v>
      </c>
      <c r="U49" s="16">
        <v>1.0942700000000001E-3</v>
      </c>
      <c r="V49" s="16">
        <v>-0.3299704</v>
      </c>
      <c r="W49">
        <f t="shared" si="3"/>
        <v>1.0131482517482518E-2</v>
      </c>
      <c r="X49">
        <f t="shared" si="4"/>
        <v>1.0826993006993009E-3</v>
      </c>
      <c r="Y49">
        <f t="shared" si="5"/>
        <v>0.70031091000000001</v>
      </c>
      <c r="Z49">
        <f t="shared" si="6"/>
        <v>1.0708600000000001E-3</v>
      </c>
      <c r="AA49">
        <f t="shared" si="7"/>
        <v>-0.54602660000000003</v>
      </c>
      <c r="AB49">
        <f t="shared" si="8"/>
        <v>1.0365764462809918E-2</v>
      </c>
      <c r="AC49">
        <f t="shared" si="9"/>
        <v>1.3925950413223142E-3</v>
      </c>
      <c r="AD49">
        <f t="shared" si="10"/>
        <v>0.70199758999999995</v>
      </c>
      <c r="AE49">
        <f t="shared" si="11"/>
        <v>1.0942700000000001E-3</v>
      </c>
      <c r="AF49">
        <f t="shared" si="12"/>
        <v>-0.3299704</v>
      </c>
      <c r="AG49" s="48"/>
      <c r="AH49" s="93"/>
      <c r="AI49" s="74"/>
      <c r="AK49" s="100">
        <f t="shared" si="16"/>
        <v>0</v>
      </c>
    </row>
    <row r="50" spans="1:37" x14ac:dyDescent="0.2">
      <c r="A50" s="16">
        <v>133</v>
      </c>
      <c r="B50" s="16" t="s">
        <v>154</v>
      </c>
      <c r="C50" s="16">
        <v>2.36861584011843E-2</v>
      </c>
      <c r="D50" s="16">
        <v>5.3476007034750798E-2</v>
      </c>
      <c r="E50" s="16" t="s">
        <v>196</v>
      </c>
      <c r="F50" s="16"/>
      <c r="G50" s="16"/>
      <c r="H50" s="16"/>
      <c r="I50" s="21">
        <v>880405197.5</v>
      </c>
      <c r="J50" s="16">
        <v>53323</v>
      </c>
      <c r="K50" s="16">
        <v>51150</v>
      </c>
      <c r="L50" s="16">
        <v>1349.69</v>
      </c>
      <c r="M50" s="16">
        <v>2.4888449999999999E-2</v>
      </c>
      <c r="N50" s="16">
        <v>2.37134E-3</v>
      </c>
      <c r="O50" s="16">
        <v>0.70164599999999999</v>
      </c>
      <c r="P50" s="16">
        <v>8.2076000000000002E-4</v>
      </c>
      <c r="Q50" s="16">
        <v>0.36267294999999999</v>
      </c>
      <c r="R50" s="90">
        <v>2.1546434999999999E-2</v>
      </c>
      <c r="S50" s="16">
        <v>2.7003399999999999E-3</v>
      </c>
      <c r="T50" s="16">
        <v>0.70333588999999996</v>
      </c>
      <c r="U50" s="16">
        <v>8.4984000000000004E-4</v>
      </c>
      <c r="V50" s="16">
        <v>0.39981318999999998</v>
      </c>
      <c r="W50">
        <f t="shared" si="3"/>
        <v>1.7404510489510489E-2</v>
      </c>
      <c r="X50">
        <f t="shared" si="4"/>
        <v>1.6582797202797203E-3</v>
      </c>
      <c r="Y50">
        <f t="shared" si="5"/>
        <v>0.70164599999999999</v>
      </c>
      <c r="Z50">
        <f t="shared" si="6"/>
        <v>8.2076000000000002E-4</v>
      </c>
      <c r="AA50">
        <f t="shared" si="7"/>
        <v>0.36267294999999999</v>
      </c>
      <c r="AB50">
        <f t="shared" si="8"/>
        <v>1.7806971074380167E-2</v>
      </c>
      <c r="AC50">
        <f t="shared" si="9"/>
        <v>2.2316859504132231E-3</v>
      </c>
      <c r="AD50">
        <f t="shared" si="10"/>
        <v>0.70333588999999996</v>
      </c>
      <c r="AE50">
        <f t="shared" si="11"/>
        <v>8.4984000000000004E-4</v>
      </c>
      <c r="AF50">
        <f t="shared" si="12"/>
        <v>0.39981318999999998</v>
      </c>
      <c r="AG50" s="48"/>
      <c r="AH50" s="93"/>
      <c r="AI50" s="74"/>
      <c r="AK50" s="100">
        <f t="shared" si="16"/>
        <v>0</v>
      </c>
    </row>
    <row r="51" spans="1:37" x14ac:dyDescent="0.2">
      <c r="A51" s="16">
        <v>136</v>
      </c>
      <c r="B51" s="16" t="s">
        <v>155</v>
      </c>
      <c r="C51" s="16">
        <v>5.98469032707028E-2</v>
      </c>
      <c r="D51" s="16">
        <v>2.7141924838086601E-2</v>
      </c>
      <c r="E51" s="16" t="s">
        <v>196</v>
      </c>
      <c r="F51" s="16"/>
      <c r="G51" s="16"/>
      <c r="H51" s="16"/>
      <c r="I51" s="21">
        <v>873159307.5</v>
      </c>
      <c r="J51" s="16">
        <v>52905</v>
      </c>
      <c r="K51" s="16">
        <v>51149</v>
      </c>
      <c r="L51" s="16">
        <v>1349.69</v>
      </c>
      <c r="M51" s="16">
        <v>0.37010851</v>
      </c>
      <c r="N51" s="16">
        <v>3.2059030000000002E-2</v>
      </c>
      <c r="O51" s="16">
        <v>0.71137799000000002</v>
      </c>
      <c r="P51" s="16">
        <v>1.67297E-3</v>
      </c>
      <c r="Q51" s="16">
        <v>0.60064043</v>
      </c>
      <c r="R51" s="90">
        <v>0.31544876799999999</v>
      </c>
      <c r="S51" s="16">
        <v>3.8623709999999999E-2</v>
      </c>
      <c r="T51" s="16">
        <v>0.71205832000000002</v>
      </c>
      <c r="U51" s="16">
        <v>1.67877E-3</v>
      </c>
      <c r="V51" s="16">
        <v>0.42901433999999999</v>
      </c>
      <c r="W51">
        <f t="shared" si="3"/>
        <v>0.25881713986013988</v>
      </c>
      <c r="X51">
        <f t="shared" si="4"/>
        <v>2.2418902097902101E-2</v>
      </c>
      <c r="Y51">
        <f t="shared" si="5"/>
        <v>0.71137799000000002</v>
      </c>
      <c r="Z51">
        <f t="shared" si="6"/>
        <v>1.67297E-3</v>
      </c>
      <c r="AA51">
        <f t="shared" si="7"/>
        <v>0.60064043</v>
      </c>
      <c r="AB51">
        <f t="shared" si="8"/>
        <v>0.26070146115702481</v>
      </c>
      <c r="AC51">
        <f t="shared" si="9"/>
        <v>3.1920421487603302E-2</v>
      </c>
      <c r="AD51">
        <f t="shared" si="10"/>
        <v>0.71205832000000002</v>
      </c>
      <c r="AE51">
        <f t="shared" si="11"/>
        <v>1.67877E-3</v>
      </c>
      <c r="AF51">
        <f t="shared" si="12"/>
        <v>0.42901433999999999</v>
      </c>
      <c r="AG51" s="48"/>
      <c r="AH51" s="93"/>
      <c r="AI51" s="74"/>
      <c r="AK51" s="100">
        <f t="shared" si="16"/>
        <v>0</v>
      </c>
    </row>
    <row r="52" spans="1:37" x14ac:dyDescent="0.2">
      <c r="A52" s="16">
        <v>137</v>
      </c>
      <c r="B52" s="16" t="s">
        <v>156</v>
      </c>
      <c r="C52" s="16">
        <v>1.8741633199464501E-2</v>
      </c>
      <c r="D52" s="16">
        <v>3.2287772903582097E-2</v>
      </c>
      <c r="E52" s="16" t="s">
        <v>196</v>
      </c>
      <c r="F52" s="16"/>
      <c r="G52" s="16"/>
      <c r="H52" s="16"/>
      <c r="I52" s="21">
        <v>851268775.70000005</v>
      </c>
      <c r="J52" s="16">
        <v>52990</v>
      </c>
      <c r="K52" s="16">
        <v>51416</v>
      </c>
      <c r="L52" s="16">
        <v>1349.69</v>
      </c>
      <c r="M52" s="16">
        <v>2.6584980000000001E-2</v>
      </c>
      <c r="N52" s="16">
        <v>8.27781E-3</v>
      </c>
      <c r="O52" s="16">
        <v>0.70381320000000003</v>
      </c>
      <c r="P52" s="16">
        <v>9.4445E-4</v>
      </c>
      <c r="Q52" s="16">
        <v>0.17002287999999999</v>
      </c>
      <c r="R52" s="90">
        <v>2.2658754E-2</v>
      </c>
      <c r="S52" s="16">
        <v>7.3227099999999996E-3</v>
      </c>
      <c r="T52" s="16">
        <v>0.70448628999999996</v>
      </c>
      <c r="U52" s="16">
        <v>9.5259999999999995E-4</v>
      </c>
      <c r="V52" s="16">
        <v>0.16597041000000001</v>
      </c>
      <c r="W52">
        <f t="shared" si="3"/>
        <v>1.8590895104895106E-2</v>
      </c>
      <c r="X52">
        <f t="shared" si="4"/>
        <v>5.7886783216783222E-3</v>
      </c>
      <c r="Y52">
        <f t="shared" si="5"/>
        <v>0.70381320000000003</v>
      </c>
      <c r="Z52">
        <f t="shared" si="6"/>
        <v>9.4445E-4</v>
      </c>
      <c r="AA52">
        <f t="shared" si="7"/>
        <v>0.17002287999999999</v>
      </c>
      <c r="AB52">
        <f t="shared" si="8"/>
        <v>1.872624297520661E-2</v>
      </c>
      <c r="AC52">
        <f t="shared" si="9"/>
        <v>6.0518264462809919E-3</v>
      </c>
      <c r="AD52">
        <f t="shared" si="10"/>
        <v>0.70448628999999996</v>
      </c>
      <c r="AE52">
        <f t="shared" si="11"/>
        <v>9.5259999999999995E-4</v>
      </c>
      <c r="AF52">
        <f t="shared" si="12"/>
        <v>0.16597041000000001</v>
      </c>
      <c r="AG52" s="48"/>
      <c r="AH52" s="93"/>
      <c r="AI52" s="74"/>
      <c r="AK52" s="100">
        <f t="shared" si="16"/>
        <v>0</v>
      </c>
    </row>
    <row r="53" spans="1:37" x14ac:dyDescent="0.2">
      <c r="A53" s="16">
        <v>138</v>
      </c>
      <c r="B53" s="16" t="s">
        <v>157</v>
      </c>
      <c r="C53" s="16">
        <v>0.16560509554140099</v>
      </c>
      <c r="D53" s="16">
        <v>0.14498803522585699</v>
      </c>
      <c r="E53" s="16" t="s">
        <v>196</v>
      </c>
      <c r="F53" s="16"/>
      <c r="G53" s="16"/>
      <c r="H53" s="16"/>
      <c r="I53" s="21">
        <v>136888911.69999999</v>
      </c>
      <c r="J53" s="16">
        <v>52233</v>
      </c>
      <c r="K53" s="16">
        <v>48350</v>
      </c>
      <c r="L53" s="16">
        <v>1278.1300000000001</v>
      </c>
      <c r="M53" s="16">
        <v>0.14765060999999999</v>
      </c>
      <c r="N53" s="16">
        <v>4.826561E-2</v>
      </c>
      <c r="O53" s="16">
        <v>0.72692692000000003</v>
      </c>
      <c r="P53" s="16">
        <v>3.1388220000000001E-2</v>
      </c>
      <c r="Q53" s="16">
        <v>-1.4027899999999999E-2</v>
      </c>
      <c r="R53" s="90">
        <v>0.12584472399999999</v>
      </c>
      <c r="S53" s="16">
        <v>4.2554509999999997E-2</v>
      </c>
      <c r="T53" s="16">
        <v>0.72762212000000004</v>
      </c>
      <c r="U53" s="16">
        <v>3.1418469999999997E-2</v>
      </c>
      <c r="V53" s="16">
        <v>-1.34588E-2</v>
      </c>
      <c r="W53">
        <f t="shared" si="3"/>
        <v>0.10325217482517482</v>
      </c>
      <c r="X53">
        <f t="shared" si="4"/>
        <v>3.3752174825174827E-2</v>
      </c>
      <c r="Y53">
        <f t="shared" si="5"/>
        <v>0.72692692000000003</v>
      </c>
      <c r="Z53">
        <f t="shared" si="6"/>
        <v>3.1388220000000001E-2</v>
      </c>
      <c r="AA53">
        <f t="shared" si="7"/>
        <v>-1.4027899999999999E-2</v>
      </c>
      <c r="AB53">
        <f t="shared" si="8"/>
        <v>0.1040039041322314</v>
      </c>
      <c r="AC53">
        <f t="shared" si="9"/>
        <v>3.5169016528925616E-2</v>
      </c>
      <c r="AD53">
        <f t="shared" si="10"/>
        <v>0.72762212000000004</v>
      </c>
      <c r="AE53">
        <f t="shared" si="11"/>
        <v>3.1418469999999997E-2</v>
      </c>
      <c r="AF53">
        <f t="shared" si="12"/>
        <v>-1.34588E-2</v>
      </c>
      <c r="AG53" s="48"/>
      <c r="AH53" s="93"/>
      <c r="AI53" s="74"/>
      <c r="AK53" s="100">
        <f t="shared" si="16"/>
        <v>0</v>
      </c>
    </row>
    <row r="54" spans="1:37" x14ac:dyDescent="0.2">
      <c r="A54" s="16">
        <v>139</v>
      </c>
      <c r="B54" s="16" t="s">
        <v>158</v>
      </c>
      <c r="C54" s="16">
        <v>4.5685279187817202E-2</v>
      </c>
      <c r="D54" s="16">
        <v>1.6265327154971199E-2</v>
      </c>
      <c r="E54" s="16" t="s">
        <v>196</v>
      </c>
      <c r="F54" s="16"/>
      <c r="G54" s="16"/>
      <c r="H54" s="16"/>
      <c r="I54" s="21">
        <v>149466422.30000001</v>
      </c>
      <c r="J54" s="16">
        <v>52097</v>
      </c>
      <c r="K54" s="16">
        <v>48546</v>
      </c>
      <c r="L54" s="16">
        <v>1280.94</v>
      </c>
      <c r="M54" s="16">
        <v>9.2484700000000003E-2</v>
      </c>
      <c r="N54" s="16">
        <v>1.3924600000000001E-2</v>
      </c>
      <c r="O54" s="16">
        <v>0.70977535000000003</v>
      </c>
      <c r="P54" s="16">
        <v>1.272382E-2</v>
      </c>
      <c r="Q54" s="16">
        <v>-0.1371706</v>
      </c>
      <c r="R54" s="90">
        <v>7.8826034000000003E-2</v>
      </c>
      <c r="S54" s="16">
        <v>1.3688799999999999E-2</v>
      </c>
      <c r="T54" s="16">
        <v>0.71045413999999996</v>
      </c>
      <c r="U54" s="16">
        <v>1.2736539999999999E-2</v>
      </c>
      <c r="V54" s="16">
        <v>-0.11844349999999999</v>
      </c>
      <c r="W54">
        <f t="shared" si="3"/>
        <v>6.4674615384615386E-2</v>
      </c>
      <c r="X54">
        <f t="shared" si="4"/>
        <v>9.7374825174825191E-3</v>
      </c>
      <c r="Y54">
        <f t="shared" si="5"/>
        <v>0.70977535000000003</v>
      </c>
      <c r="Z54">
        <f t="shared" si="6"/>
        <v>1.272382E-2</v>
      </c>
      <c r="AA54">
        <f t="shared" si="7"/>
        <v>-0.1371706</v>
      </c>
      <c r="AB54">
        <f t="shared" si="8"/>
        <v>6.5145482644628105E-2</v>
      </c>
      <c r="AC54">
        <f t="shared" si="9"/>
        <v>1.1313057851239669E-2</v>
      </c>
      <c r="AD54">
        <f t="shared" si="10"/>
        <v>0.71045413999999996</v>
      </c>
      <c r="AE54">
        <f t="shared" si="11"/>
        <v>1.2736539999999999E-2</v>
      </c>
      <c r="AF54">
        <f t="shared" si="12"/>
        <v>-0.11844349999999999</v>
      </c>
      <c r="AG54" s="48"/>
      <c r="AH54" s="93"/>
      <c r="AI54" s="74"/>
      <c r="AK54" s="100">
        <f t="shared" si="16"/>
        <v>0</v>
      </c>
    </row>
    <row r="55" spans="1:37" x14ac:dyDescent="0.2">
      <c r="A55" s="16">
        <v>140</v>
      </c>
      <c r="B55" s="16" t="s">
        <v>159</v>
      </c>
      <c r="C55" s="16">
        <v>1.2114107073075401E-2</v>
      </c>
      <c r="D55" s="16">
        <v>1.10433506675565E-2</v>
      </c>
      <c r="E55" s="16" t="s">
        <v>196</v>
      </c>
      <c r="F55" s="16"/>
      <c r="G55" s="16"/>
      <c r="H55" s="16"/>
      <c r="I55" s="21">
        <v>542218549.70000005</v>
      </c>
      <c r="J55" s="16">
        <v>51662</v>
      </c>
      <c r="K55" s="16">
        <v>49403</v>
      </c>
      <c r="L55" s="16">
        <v>1265.6300000000001</v>
      </c>
      <c r="M55" s="16">
        <v>7.1502400000000004E-3</v>
      </c>
      <c r="N55" s="16">
        <v>2.55931E-3</v>
      </c>
      <c r="O55" s="16">
        <v>0.70629392999999996</v>
      </c>
      <c r="P55" s="16">
        <v>9.5697000000000002E-4</v>
      </c>
      <c r="Q55" s="16">
        <v>0.26499423</v>
      </c>
      <c r="R55" s="90">
        <v>6.0942499999999998E-3</v>
      </c>
      <c r="S55" s="16">
        <v>2.2441800000000001E-3</v>
      </c>
      <c r="T55" s="16">
        <v>0.70696939000000003</v>
      </c>
      <c r="U55" s="16">
        <v>9.6509999999999999E-4</v>
      </c>
      <c r="V55" s="16">
        <v>0.25860811</v>
      </c>
      <c r="W55">
        <f t="shared" si="3"/>
        <v>5.0001678321678327E-3</v>
      </c>
      <c r="X55">
        <f t="shared" si="4"/>
        <v>1.7897272727272727E-3</v>
      </c>
      <c r="Y55">
        <f t="shared" si="5"/>
        <v>0.70629392999999996</v>
      </c>
      <c r="Z55">
        <f t="shared" si="6"/>
        <v>9.5697000000000002E-4</v>
      </c>
      <c r="AA55">
        <f t="shared" si="7"/>
        <v>0.26499423</v>
      </c>
      <c r="AB55">
        <f t="shared" si="8"/>
        <v>5.0365702479338841E-3</v>
      </c>
      <c r="AC55">
        <f t="shared" si="9"/>
        <v>1.8546942148760332E-3</v>
      </c>
      <c r="AD55">
        <f t="shared" si="10"/>
        <v>0.70696939000000003</v>
      </c>
      <c r="AE55">
        <f t="shared" si="11"/>
        <v>9.6509999999999999E-4</v>
      </c>
      <c r="AF55">
        <f t="shared" si="12"/>
        <v>0.25860811</v>
      </c>
      <c r="AG55" s="48"/>
      <c r="AH55" s="93"/>
      <c r="AI55" s="74"/>
      <c r="AK55" s="100">
        <f t="shared" si="16"/>
        <v>0</v>
      </c>
    </row>
    <row r="56" spans="1:37" x14ac:dyDescent="0.2">
      <c r="A56" s="16">
        <v>143</v>
      </c>
      <c r="B56" s="16" t="s">
        <v>160</v>
      </c>
      <c r="C56" s="16">
        <v>1.38888888888888E-2</v>
      </c>
      <c r="D56" s="16">
        <v>1.81239806855568E-2</v>
      </c>
      <c r="E56" s="16" t="s">
        <v>196</v>
      </c>
      <c r="F56" s="16"/>
      <c r="G56" s="16"/>
      <c r="H56" s="16"/>
      <c r="I56" s="21">
        <v>75251424.409999996</v>
      </c>
      <c r="J56" s="16">
        <v>51547</v>
      </c>
      <c r="K56" s="16">
        <v>49163</v>
      </c>
      <c r="L56" s="16">
        <v>1262.81</v>
      </c>
      <c r="M56" s="16">
        <v>7.8990169999999998E-2</v>
      </c>
      <c r="N56" s="16">
        <v>1.6873369999999999E-2</v>
      </c>
      <c r="O56" s="16">
        <v>0.70497604000000003</v>
      </c>
      <c r="P56" s="16">
        <v>1.222735E-2</v>
      </c>
      <c r="Q56" s="16">
        <v>-0.62960490000000002</v>
      </c>
      <c r="R56" s="90">
        <v>6.9959151999999997E-2</v>
      </c>
      <c r="S56" s="16">
        <v>1.574803E-2</v>
      </c>
      <c r="T56" s="16">
        <v>0.70511765000000004</v>
      </c>
      <c r="U56" s="16">
        <v>1.222725E-2</v>
      </c>
      <c r="V56" s="16">
        <v>-0.59887440000000003</v>
      </c>
      <c r="W56">
        <f t="shared" si="3"/>
        <v>5.5237881118881123E-2</v>
      </c>
      <c r="X56">
        <f t="shared" si="4"/>
        <v>1.1799559440559441E-2</v>
      </c>
      <c r="Y56">
        <f t="shared" si="5"/>
        <v>0.70497604000000003</v>
      </c>
      <c r="Z56">
        <f t="shared" si="6"/>
        <v>1.222735E-2</v>
      </c>
      <c r="AA56">
        <f t="shared" si="7"/>
        <v>-0.62960490000000002</v>
      </c>
      <c r="AB56">
        <f t="shared" si="8"/>
        <v>5.7817480991735538E-2</v>
      </c>
      <c r="AC56">
        <f t="shared" si="9"/>
        <v>1.3014900826446281E-2</v>
      </c>
      <c r="AD56">
        <f t="shared" si="10"/>
        <v>0.70511765000000004</v>
      </c>
      <c r="AE56">
        <f t="shared" si="11"/>
        <v>1.222725E-2</v>
      </c>
      <c r="AF56">
        <f t="shared" si="12"/>
        <v>-0.59887440000000003</v>
      </c>
      <c r="AG56" s="48"/>
      <c r="AH56" s="93"/>
      <c r="AI56" s="74"/>
      <c r="AK56" s="100">
        <f t="shared" si="16"/>
        <v>0</v>
      </c>
    </row>
    <row r="57" spans="1:37" s="92" customFormat="1" x14ac:dyDescent="0.2">
      <c r="A57" s="90">
        <v>144</v>
      </c>
      <c r="B57" s="90" t="s">
        <v>161</v>
      </c>
      <c r="C57" s="90">
        <v>6.9557362240288995E-2</v>
      </c>
      <c r="D57" s="90">
        <v>0.108973629556272</v>
      </c>
      <c r="E57" s="90" t="s">
        <v>196</v>
      </c>
      <c r="F57" s="90" t="s">
        <v>356</v>
      </c>
      <c r="G57" s="107">
        <v>12499.02</v>
      </c>
      <c r="H57" s="107">
        <f t="shared" ref="H57" si="17">2*(G57/PI())^0.5</f>
        <v>126.15168066433239</v>
      </c>
      <c r="I57" s="95">
        <v>268544462.80000001</v>
      </c>
      <c r="J57" s="90">
        <v>51464</v>
      </c>
      <c r="K57" s="90">
        <v>49312</v>
      </c>
      <c r="L57" s="90">
        <v>1233.1300000000001</v>
      </c>
      <c r="M57" s="90">
        <v>1.8043882099999999</v>
      </c>
      <c r="N57" s="90">
        <v>0.11438138</v>
      </c>
      <c r="O57" s="90">
        <v>0.75862099000000005</v>
      </c>
      <c r="P57" s="90">
        <v>4.7766400000000004E-3</v>
      </c>
      <c r="Q57" s="90">
        <v>0.36081584999999999</v>
      </c>
      <c r="R57" s="90">
        <v>1.5980908089999999</v>
      </c>
      <c r="S57" s="90">
        <v>0.15210503</v>
      </c>
      <c r="T57" s="90">
        <v>0.75877337</v>
      </c>
      <c r="U57" s="90">
        <v>4.7700099999999999E-3</v>
      </c>
      <c r="V57" s="90">
        <v>0.23233609</v>
      </c>
      <c r="W57" s="92">
        <f t="shared" si="3"/>
        <v>1.261809937062937</v>
      </c>
      <c r="X57" s="92">
        <f t="shared" si="4"/>
        <v>7.9986979020979024E-2</v>
      </c>
      <c r="Y57" s="92">
        <f t="shared" si="5"/>
        <v>0.75862099000000005</v>
      </c>
      <c r="Z57" s="92">
        <f t="shared" si="6"/>
        <v>4.7766400000000004E-3</v>
      </c>
      <c r="AA57" s="92">
        <f t="shared" si="7"/>
        <v>0.36081584999999999</v>
      </c>
      <c r="AB57" s="92">
        <f t="shared" si="8"/>
        <v>1.320736205785124</v>
      </c>
      <c r="AC57" s="92">
        <f t="shared" si="9"/>
        <v>0.12570663636363638</v>
      </c>
      <c r="AD57" s="92">
        <f t="shared" si="10"/>
        <v>0.75877337</v>
      </c>
      <c r="AE57" s="92">
        <f t="shared" si="11"/>
        <v>4.7700099999999999E-3</v>
      </c>
      <c r="AF57" s="92">
        <f t="shared" si="12"/>
        <v>0.23233609</v>
      </c>
      <c r="AG57" s="96">
        <f t="shared" ref="AG57" si="18">(AD57-0.71188)/AB57</f>
        <v>3.5505477774135707E-2</v>
      </c>
      <c r="AH57" s="97">
        <f t="shared" si="14"/>
        <v>2497.115074388842</v>
      </c>
      <c r="AI57" s="100">
        <f t="shared" ref="AI57" si="19">AH57*SQRT((AC57/AB57)^2+(AE57/(AD57-0.71188))^2-2*AF57*(AC57/AB57)*(AE57/(AD57-0.71188)))</f>
        <v>304.88653459223383</v>
      </c>
      <c r="AK57" s="100">
        <f t="shared" si="16"/>
        <v>126.15168066433239</v>
      </c>
    </row>
    <row r="58" spans="1:37" x14ac:dyDescent="0.2">
      <c r="A58" s="16">
        <v>145</v>
      </c>
      <c r="B58" s="16" t="s">
        <v>162</v>
      </c>
      <c r="C58" s="16">
        <v>0.13134851138353701</v>
      </c>
      <c r="D58" s="16">
        <v>0.30565375466367101</v>
      </c>
      <c r="E58" s="16" t="s">
        <v>196</v>
      </c>
      <c r="F58" s="16"/>
      <c r="G58" s="16"/>
      <c r="H58" s="16"/>
      <c r="I58" s="21">
        <v>424010284.89999998</v>
      </c>
      <c r="J58" s="16">
        <v>51492</v>
      </c>
      <c r="K58" s="16">
        <v>47377</v>
      </c>
      <c r="L58" s="16">
        <v>1169.3800000000001</v>
      </c>
      <c r="M58" s="16">
        <v>0.18110580000000001</v>
      </c>
      <c r="N58" s="16">
        <v>1.428869E-2</v>
      </c>
      <c r="O58" s="16">
        <v>0.72481293999999996</v>
      </c>
      <c r="P58" s="16">
        <v>2.0894400000000001E-3</v>
      </c>
      <c r="Q58" s="16">
        <v>0.17834417</v>
      </c>
      <c r="R58" s="90">
        <v>0.160399808</v>
      </c>
      <c r="S58" s="16">
        <v>1.7024629999999999E-2</v>
      </c>
      <c r="T58" s="16">
        <v>0.72495852999999999</v>
      </c>
      <c r="U58" s="16">
        <v>2.07398E-3</v>
      </c>
      <c r="V58" s="16">
        <v>0.11712233</v>
      </c>
      <c r="W58">
        <f t="shared" si="3"/>
        <v>0.12664741258741261</v>
      </c>
      <c r="X58">
        <f t="shared" si="4"/>
        <v>9.9920909090909088E-3</v>
      </c>
      <c r="Y58">
        <f t="shared" si="5"/>
        <v>0.72481293999999996</v>
      </c>
      <c r="Z58">
        <f t="shared" si="6"/>
        <v>2.0894400000000001E-3</v>
      </c>
      <c r="AA58">
        <f t="shared" si="7"/>
        <v>0.17834417</v>
      </c>
      <c r="AB58">
        <f t="shared" si="8"/>
        <v>0.13256182479338843</v>
      </c>
      <c r="AC58">
        <f t="shared" si="9"/>
        <v>1.4069942148760331E-2</v>
      </c>
      <c r="AD58">
        <f t="shared" si="10"/>
        <v>0.72495852999999999</v>
      </c>
      <c r="AE58">
        <f t="shared" si="11"/>
        <v>2.07398E-3</v>
      </c>
      <c r="AF58">
        <f t="shared" si="12"/>
        <v>0.11712233</v>
      </c>
      <c r="AG58" s="48"/>
      <c r="AH58" s="93"/>
      <c r="AI58" s="74"/>
      <c r="AK58" s="100">
        <f t="shared" si="16"/>
        <v>0</v>
      </c>
    </row>
    <row r="59" spans="1:37" x14ac:dyDescent="0.2">
      <c r="A59" s="16">
        <v>146</v>
      </c>
      <c r="B59" s="16" t="s">
        <v>163</v>
      </c>
      <c r="C59" s="16">
        <v>0.10125000000000001</v>
      </c>
      <c r="D59" s="16">
        <v>0.119788004713267</v>
      </c>
      <c r="E59" s="16" t="s">
        <v>196</v>
      </c>
      <c r="F59" s="16"/>
      <c r="G59" s="16"/>
      <c r="H59" s="16"/>
      <c r="I59" s="21">
        <v>1048682562</v>
      </c>
      <c r="J59" s="16">
        <v>47810</v>
      </c>
      <c r="K59" s="16">
        <v>53397</v>
      </c>
      <c r="L59" s="16">
        <v>1233.1300000000001</v>
      </c>
      <c r="M59" s="16">
        <v>0.23611852</v>
      </c>
      <c r="N59" s="16">
        <v>1.4887600000000001E-2</v>
      </c>
      <c r="O59" s="16">
        <v>0.71869152999999997</v>
      </c>
      <c r="P59" s="16">
        <v>7.1365000000000003E-4</v>
      </c>
      <c r="Q59" s="16">
        <v>0.14138139</v>
      </c>
      <c r="R59" s="90">
        <v>0.20912286399999999</v>
      </c>
      <c r="S59" s="16">
        <v>1.985696E-2</v>
      </c>
      <c r="T59" s="16">
        <v>0.71883587999999998</v>
      </c>
      <c r="U59" s="16">
        <v>6.667E-4</v>
      </c>
      <c r="V59" s="16">
        <v>4.3750530000000003E-2</v>
      </c>
      <c r="W59">
        <f t="shared" si="3"/>
        <v>0.16511784615384617</v>
      </c>
      <c r="X59">
        <f t="shared" si="4"/>
        <v>1.0410909090909092E-2</v>
      </c>
      <c r="Y59">
        <f t="shared" si="5"/>
        <v>0.71869152999999997</v>
      </c>
      <c r="Z59">
        <f t="shared" si="6"/>
        <v>7.1365000000000003E-4</v>
      </c>
      <c r="AA59">
        <f t="shared" si="7"/>
        <v>0.14138139</v>
      </c>
      <c r="AB59">
        <f t="shared" si="8"/>
        <v>0.1728288132231405</v>
      </c>
      <c r="AC59">
        <f t="shared" si="9"/>
        <v>1.6410710743801654E-2</v>
      </c>
      <c r="AD59">
        <f t="shared" si="10"/>
        <v>0.71883587999999998</v>
      </c>
      <c r="AE59">
        <f t="shared" si="11"/>
        <v>6.667E-4</v>
      </c>
      <c r="AF59">
        <f t="shared" si="12"/>
        <v>4.3750530000000003E-2</v>
      </c>
      <c r="AG59" s="48"/>
      <c r="AH59" s="93"/>
      <c r="AI59" s="74"/>
      <c r="AK59" s="100">
        <f t="shared" si="16"/>
        <v>0</v>
      </c>
    </row>
    <row r="60" spans="1:37" x14ac:dyDescent="0.2">
      <c r="A60" s="16">
        <v>147</v>
      </c>
      <c r="B60" s="16" t="s">
        <v>164</v>
      </c>
      <c r="C60" s="16">
        <v>8.7186261558784603E-2</v>
      </c>
      <c r="D60" s="16">
        <v>0.10145817812144201</v>
      </c>
      <c r="E60" s="16" t="s">
        <v>196</v>
      </c>
      <c r="F60" s="16"/>
      <c r="G60" s="16"/>
      <c r="H60" s="16"/>
      <c r="I60" s="21">
        <v>901313593.10000002</v>
      </c>
      <c r="J60" s="16">
        <v>47616</v>
      </c>
      <c r="K60" s="16">
        <v>53356</v>
      </c>
      <c r="L60" s="16">
        <v>1233.1300000000001</v>
      </c>
      <c r="M60" s="16">
        <v>0.24753216</v>
      </c>
      <c r="N60" s="16">
        <v>3.386136E-2</v>
      </c>
      <c r="O60" s="16">
        <v>0.72068385000000001</v>
      </c>
      <c r="P60" s="16">
        <v>1.19068E-3</v>
      </c>
      <c r="Q60" s="16">
        <v>0.29573118999999998</v>
      </c>
      <c r="R60" s="90">
        <v>0.21923157700000001</v>
      </c>
      <c r="S60" s="16">
        <v>3.3788550000000001E-2</v>
      </c>
      <c r="T60" s="16">
        <v>0.72082860999999998</v>
      </c>
      <c r="U60" s="16">
        <v>1.16314E-3</v>
      </c>
      <c r="V60" s="16">
        <v>0.24865184000000001</v>
      </c>
      <c r="W60">
        <f t="shared" si="3"/>
        <v>0.1730994125874126</v>
      </c>
      <c r="X60">
        <f t="shared" si="4"/>
        <v>2.3679272727272729E-2</v>
      </c>
      <c r="Y60">
        <f t="shared" si="5"/>
        <v>0.72068385000000001</v>
      </c>
      <c r="Z60">
        <f t="shared" si="6"/>
        <v>1.19068E-3</v>
      </c>
      <c r="AA60">
        <f t="shared" si="7"/>
        <v>0.29573118999999998</v>
      </c>
      <c r="AB60">
        <f t="shared" si="8"/>
        <v>0.18118312148760332</v>
      </c>
      <c r="AC60">
        <f t="shared" si="9"/>
        <v>2.7924421487603306E-2</v>
      </c>
      <c r="AD60">
        <f t="shared" si="10"/>
        <v>0.72082860999999998</v>
      </c>
      <c r="AE60">
        <f t="shared" si="11"/>
        <v>1.16314E-3</v>
      </c>
      <c r="AF60">
        <f t="shared" si="12"/>
        <v>0.24865184000000001</v>
      </c>
      <c r="AG60" s="48"/>
      <c r="AH60" s="93"/>
      <c r="AI60" s="74"/>
      <c r="AK60" s="100">
        <f t="shared" si="16"/>
        <v>0</v>
      </c>
    </row>
    <row r="61" spans="1:37" x14ac:dyDescent="0.2">
      <c r="A61" s="16">
        <v>150</v>
      </c>
      <c r="B61" s="16" t="s">
        <v>165</v>
      </c>
      <c r="C61" s="16">
        <v>3.2222222222222201E-2</v>
      </c>
      <c r="D61" s="16">
        <v>0.12903530469065899</v>
      </c>
      <c r="E61" s="16" t="s">
        <v>196</v>
      </c>
      <c r="F61" s="16"/>
      <c r="G61" s="16"/>
      <c r="H61" s="16"/>
      <c r="I61" s="21">
        <v>647828125.60000002</v>
      </c>
      <c r="J61" s="16">
        <v>47464</v>
      </c>
      <c r="K61" s="16">
        <v>53331</v>
      </c>
      <c r="L61" s="16">
        <v>1233.1300000000001</v>
      </c>
      <c r="M61" s="16">
        <v>0.37033667999999997</v>
      </c>
      <c r="N61" s="16">
        <v>0.14022422000000001</v>
      </c>
      <c r="O61" s="16">
        <v>0.72151100999999995</v>
      </c>
      <c r="P61" s="16">
        <v>2.8830700000000002E-3</v>
      </c>
      <c r="Q61" s="16">
        <v>0.59216458999999999</v>
      </c>
      <c r="R61" s="90">
        <v>0.322173072</v>
      </c>
      <c r="S61" s="16">
        <v>0.12399301</v>
      </c>
      <c r="T61" s="16">
        <v>0.72197142999999997</v>
      </c>
      <c r="U61" s="16">
        <v>2.8760700000000001E-3</v>
      </c>
      <c r="V61" s="16">
        <v>0.58998724999999996</v>
      </c>
      <c r="W61">
        <f t="shared" si="3"/>
        <v>0.25897669930069928</v>
      </c>
      <c r="X61">
        <f t="shared" si="4"/>
        <v>9.8058895104895114E-2</v>
      </c>
      <c r="Y61">
        <f t="shared" si="5"/>
        <v>0.72151100999999995</v>
      </c>
      <c r="Z61">
        <f t="shared" si="6"/>
        <v>2.8830700000000002E-3</v>
      </c>
      <c r="AA61">
        <f t="shared" si="7"/>
        <v>0.59216458999999999</v>
      </c>
      <c r="AB61">
        <f t="shared" si="8"/>
        <v>0.26625873719008264</v>
      </c>
      <c r="AC61">
        <f t="shared" si="9"/>
        <v>0.10247356198347107</v>
      </c>
      <c r="AD61">
        <f t="shared" si="10"/>
        <v>0.72197142999999997</v>
      </c>
      <c r="AE61">
        <f t="shared" si="11"/>
        <v>2.8760700000000001E-3</v>
      </c>
      <c r="AF61">
        <f t="shared" si="12"/>
        <v>0.58998724999999996</v>
      </c>
      <c r="AG61" s="48"/>
      <c r="AH61" s="93"/>
      <c r="AI61" s="74"/>
      <c r="AK61" s="100">
        <f t="shared" si="16"/>
        <v>0</v>
      </c>
    </row>
    <row r="62" spans="1:37" x14ac:dyDescent="0.2">
      <c r="A62" s="16">
        <v>151</v>
      </c>
      <c r="B62" s="16" t="s">
        <v>166</v>
      </c>
      <c r="C62" s="16">
        <v>6.9591527987897098E-2</v>
      </c>
      <c r="D62" s="16">
        <v>7.0315331714966095E-2</v>
      </c>
      <c r="E62" s="16" t="s">
        <v>196</v>
      </c>
      <c r="F62" s="16"/>
      <c r="G62" s="16"/>
      <c r="H62" s="16"/>
      <c r="I62" s="21">
        <v>515880842.19999999</v>
      </c>
      <c r="J62" s="16">
        <v>47340</v>
      </c>
      <c r="K62" s="16">
        <v>53318</v>
      </c>
      <c r="L62" s="16">
        <v>1226.25</v>
      </c>
      <c r="M62" s="16">
        <v>0.45535927999999998</v>
      </c>
      <c r="N62" s="16">
        <v>6.1616440000000001E-2</v>
      </c>
      <c r="O62" s="16">
        <v>0.72088889</v>
      </c>
      <c r="P62" s="16">
        <v>1.06854E-3</v>
      </c>
      <c r="Q62" s="16">
        <v>-0.43197770000000002</v>
      </c>
      <c r="R62" s="90">
        <v>0.39613818000000001</v>
      </c>
      <c r="S62" s="16">
        <v>6.015889E-2</v>
      </c>
      <c r="T62" s="16">
        <v>0.72134891000000001</v>
      </c>
      <c r="U62" s="16">
        <v>1.0451799999999999E-3</v>
      </c>
      <c r="V62" s="16">
        <v>-0.35467290000000001</v>
      </c>
      <c r="W62">
        <f t="shared" si="3"/>
        <v>0.31843306293706292</v>
      </c>
      <c r="X62">
        <f t="shared" si="4"/>
        <v>4.3088419580419583E-2</v>
      </c>
      <c r="Y62">
        <f t="shared" si="5"/>
        <v>0.72088889</v>
      </c>
      <c r="Z62">
        <f t="shared" si="6"/>
        <v>1.06854E-3</v>
      </c>
      <c r="AA62">
        <f t="shared" si="7"/>
        <v>-0.43197770000000002</v>
      </c>
      <c r="AB62">
        <f t="shared" si="8"/>
        <v>0.32738692561983473</v>
      </c>
      <c r="AC62">
        <f t="shared" si="9"/>
        <v>4.9718090909090913E-2</v>
      </c>
      <c r="AD62">
        <f t="shared" si="10"/>
        <v>0.72134891000000001</v>
      </c>
      <c r="AE62">
        <f t="shared" si="11"/>
        <v>1.0451799999999999E-3</v>
      </c>
      <c r="AF62">
        <f t="shared" si="12"/>
        <v>-0.35467290000000001</v>
      </c>
      <c r="AG62" s="48"/>
      <c r="AH62" s="93"/>
      <c r="AI62" s="74"/>
      <c r="AK62" s="100">
        <f t="shared" si="16"/>
        <v>0</v>
      </c>
    </row>
    <row r="63" spans="1:37" x14ac:dyDescent="0.2">
      <c r="A63" s="16">
        <v>152</v>
      </c>
      <c r="B63" s="16" t="s">
        <v>167</v>
      </c>
      <c r="C63" s="16">
        <v>9.1753774680603903E-2</v>
      </c>
      <c r="D63" s="16">
        <v>0.16207556272179799</v>
      </c>
      <c r="E63" s="16" t="s">
        <v>196</v>
      </c>
      <c r="F63" s="16"/>
      <c r="G63" s="16"/>
      <c r="H63" s="16"/>
      <c r="I63" s="21">
        <v>1104744530</v>
      </c>
      <c r="J63" s="16">
        <v>46826</v>
      </c>
      <c r="K63" s="16">
        <v>53259</v>
      </c>
      <c r="L63" s="16">
        <v>1104.3800000000001</v>
      </c>
      <c r="M63" s="16">
        <v>0.32904991</v>
      </c>
      <c r="N63" s="16">
        <v>2.7449729999999999E-2</v>
      </c>
      <c r="O63" s="16">
        <v>0.71748730000000005</v>
      </c>
      <c r="P63" s="16">
        <v>7.7231000000000001E-4</v>
      </c>
      <c r="Q63" s="16">
        <v>0.65923264999999998</v>
      </c>
      <c r="R63" s="90">
        <v>0.28625579899999998</v>
      </c>
      <c r="S63" s="16">
        <v>3.0978809999999999E-2</v>
      </c>
      <c r="T63" s="16">
        <v>0.71794515000000003</v>
      </c>
      <c r="U63" s="16">
        <v>7.3950000000000003E-4</v>
      </c>
      <c r="V63" s="16">
        <v>0.60820322999999998</v>
      </c>
      <c r="W63">
        <f t="shared" si="3"/>
        <v>0.23010483216783217</v>
      </c>
      <c r="X63">
        <f t="shared" si="4"/>
        <v>1.9195615384615384E-2</v>
      </c>
      <c r="Y63">
        <f t="shared" si="5"/>
        <v>0.71748730000000005</v>
      </c>
      <c r="Z63">
        <f t="shared" si="6"/>
        <v>7.7231000000000001E-4</v>
      </c>
      <c r="AA63">
        <f t="shared" si="7"/>
        <v>0.65923264999999998</v>
      </c>
      <c r="AB63">
        <f t="shared" si="8"/>
        <v>0.23657504049586775</v>
      </c>
      <c r="AC63">
        <f t="shared" si="9"/>
        <v>2.5602322314049585E-2</v>
      </c>
      <c r="AD63">
        <f t="shared" si="10"/>
        <v>0.71794515000000003</v>
      </c>
      <c r="AE63">
        <f t="shared" si="11"/>
        <v>7.3950000000000003E-4</v>
      </c>
      <c r="AF63">
        <f t="shared" si="12"/>
        <v>0.60820322999999998</v>
      </c>
      <c r="AG63" s="48"/>
      <c r="AH63" s="93"/>
      <c r="AI63" s="74"/>
      <c r="AK63" s="100">
        <f t="shared" si="16"/>
        <v>0</v>
      </c>
    </row>
    <row r="64" spans="1:37" x14ac:dyDescent="0.2">
      <c r="A64" s="16">
        <v>153</v>
      </c>
      <c r="B64" s="16" t="s">
        <v>168</v>
      </c>
      <c r="C64" s="16">
        <v>0.23415977961432499</v>
      </c>
      <c r="D64" s="16">
        <v>0.23816829419930499</v>
      </c>
      <c r="E64" s="16" t="s">
        <v>196</v>
      </c>
      <c r="F64" s="16"/>
      <c r="G64" s="16"/>
      <c r="H64" s="16"/>
      <c r="I64" s="21">
        <v>1186491899</v>
      </c>
      <c r="J64" s="16">
        <v>46694</v>
      </c>
      <c r="K64" s="16">
        <v>53245</v>
      </c>
      <c r="L64" s="16">
        <v>1154.69</v>
      </c>
      <c r="M64" s="16">
        <v>0.27873439999999999</v>
      </c>
      <c r="N64" s="16">
        <v>1.4433079999999999E-2</v>
      </c>
      <c r="O64" s="16">
        <v>0.71639872999999998</v>
      </c>
      <c r="P64" s="16">
        <v>5.1186999999999999E-4</v>
      </c>
      <c r="Q64" s="16">
        <v>0.11628561</v>
      </c>
      <c r="R64" s="90">
        <v>0.24248400000000001</v>
      </c>
      <c r="S64" s="16">
        <v>2.0906959999999999E-2</v>
      </c>
      <c r="T64" s="16">
        <v>0.71685589000000005</v>
      </c>
      <c r="U64" s="16">
        <v>4.6057999999999998E-4</v>
      </c>
      <c r="V64" s="16">
        <v>0.23291285</v>
      </c>
      <c r="W64">
        <f t="shared" si="3"/>
        <v>0.19491916083916083</v>
      </c>
      <c r="X64">
        <f t="shared" si="4"/>
        <v>1.0093062937062938E-2</v>
      </c>
      <c r="Y64">
        <f t="shared" si="5"/>
        <v>0.71639872999999998</v>
      </c>
      <c r="Z64">
        <f t="shared" si="6"/>
        <v>5.1186999999999999E-4</v>
      </c>
      <c r="AA64">
        <f t="shared" si="7"/>
        <v>0.11628561</v>
      </c>
      <c r="AB64">
        <f t="shared" si="8"/>
        <v>0.20040000000000002</v>
      </c>
      <c r="AC64">
        <f t="shared" si="9"/>
        <v>1.7278479338842974E-2</v>
      </c>
      <c r="AD64">
        <f t="shared" si="10"/>
        <v>0.71685589000000005</v>
      </c>
      <c r="AE64">
        <f t="shared" si="11"/>
        <v>4.6057999999999998E-4</v>
      </c>
      <c r="AF64">
        <f t="shared" si="12"/>
        <v>0.23291285</v>
      </c>
      <c r="AG64" s="48"/>
      <c r="AH64" s="93"/>
      <c r="AI64" s="74"/>
      <c r="AK64" s="100">
        <f t="shared" si="16"/>
        <v>0</v>
      </c>
    </row>
    <row r="65" spans="1:37" x14ac:dyDescent="0.2">
      <c r="A65" s="16">
        <v>154</v>
      </c>
      <c r="B65" s="16" t="s">
        <v>169</v>
      </c>
      <c r="C65" s="16">
        <v>0.119760479041916</v>
      </c>
      <c r="D65" s="16">
        <v>0.10100654786980399</v>
      </c>
      <c r="E65" s="16" t="s">
        <v>196</v>
      </c>
      <c r="F65" s="16"/>
      <c r="G65" s="16"/>
      <c r="H65" s="16"/>
      <c r="I65" s="21">
        <v>842664089.39999998</v>
      </c>
      <c r="J65" s="16">
        <v>46935</v>
      </c>
      <c r="K65" s="16">
        <v>53197</v>
      </c>
      <c r="L65" s="16">
        <v>1126.8800000000001</v>
      </c>
      <c r="M65" s="16">
        <v>0.26327959000000001</v>
      </c>
      <c r="N65" s="16">
        <v>9.2926299999999996E-3</v>
      </c>
      <c r="O65" s="16">
        <v>0.71957108000000003</v>
      </c>
      <c r="P65" s="16">
        <v>9.4112999999999998E-4</v>
      </c>
      <c r="Q65" s="16">
        <v>0.2604224</v>
      </c>
      <c r="R65" s="90">
        <v>0.229039144</v>
      </c>
      <c r="S65" s="16">
        <v>1.7738960000000002E-2</v>
      </c>
      <c r="T65" s="16">
        <v>0.72003026000000003</v>
      </c>
      <c r="U65" s="16">
        <v>9.1443999999999998E-4</v>
      </c>
      <c r="V65" s="16">
        <v>0.20965834999999999</v>
      </c>
      <c r="W65">
        <f t="shared" si="3"/>
        <v>0.18411160139860142</v>
      </c>
      <c r="X65">
        <f t="shared" si="4"/>
        <v>6.4983426573426576E-3</v>
      </c>
      <c r="Y65">
        <f t="shared" si="5"/>
        <v>0.71957108000000003</v>
      </c>
      <c r="Z65">
        <f t="shared" si="6"/>
        <v>9.4112999999999998E-4</v>
      </c>
      <c r="AA65">
        <f t="shared" si="7"/>
        <v>0.2604224</v>
      </c>
      <c r="AB65">
        <f t="shared" si="8"/>
        <v>0.18928854876033058</v>
      </c>
      <c r="AC65">
        <f t="shared" si="9"/>
        <v>1.4660297520661159E-2</v>
      </c>
      <c r="AD65">
        <f t="shared" si="10"/>
        <v>0.72003026000000003</v>
      </c>
      <c r="AE65">
        <f t="shared" si="11"/>
        <v>9.1443999999999998E-4</v>
      </c>
      <c r="AF65">
        <f t="shared" si="12"/>
        <v>0.20965834999999999</v>
      </c>
      <c r="AG65" s="48"/>
      <c r="AH65" s="93"/>
      <c r="AI65" s="74"/>
      <c r="AK65" s="100">
        <f t="shared" si="16"/>
        <v>0</v>
      </c>
    </row>
    <row r="66" spans="1:37" x14ac:dyDescent="0.2">
      <c r="A66" s="16">
        <v>157</v>
      </c>
      <c r="B66" s="16" t="s">
        <v>170</v>
      </c>
      <c r="C66" s="16">
        <v>0.16835443037974601</v>
      </c>
      <c r="D66" s="16">
        <v>0.12698295706832699</v>
      </c>
      <c r="E66" s="16" t="s">
        <v>196</v>
      </c>
      <c r="F66" s="16"/>
      <c r="G66" s="16"/>
      <c r="H66" s="16"/>
      <c r="I66" s="21">
        <v>930188794.20000005</v>
      </c>
      <c r="J66" s="16">
        <v>46970</v>
      </c>
      <c r="K66" s="16">
        <v>53090</v>
      </c>
      <c r="L66" s="16">
        <v>1146.56</v>
      </c>
      <c r="M66" s="16">
        <v>0.31971802999999999</v>
      </c>
      <c r="N66" s="16">
        <v>3.7157219999999998E-2</v>
      </c>
      <c r="O66" s="16">
        <v>0.72065312999999998</v>
      </c>
      <c r="P66" s="16">
        <v>8.9190999999999999E-4</v>
      </c>
      <c r="Q66" s="16">
        <v>0.73917093</v>
      </c>
      <c r="R66" s="90">
        <v>0.26899650899999999</v>
      </c>
      <c r="S66" s="16">
        <v>3.6337189999999998E-2</v>
      </c>
      <c r="T66" s="16">
        <v>0.72159934000000003</v>
      </c>
      <c r="U66" s="16">
        <v>9.7725999999999998E-4</v>
      </c>
      <c r="V66" s="16">
        <v>0.62112356999999996</v>
      </c>
      <c r="W66">
        <f t="shared" si="3"/>
        <v>0.22357904195804196</v>
      </c>
      <c r="X66">
        <f t="shared" si="4"/>
        <v>2.5984069930069929E-2</v>
      </c>
      <c r="Y66">
        <f t="shared" si="5"/>
        <v>0.72065312999999998</v>
      </c>
      <c r="Z66">
        <f t="shared" si="6"/>
        <v>8.9190999999999999E-4</v>
      </c>
      <c r="AA66">
        <f t="shared" si="7"/>
        <v>0.73917093</v>
      </c>
      <c r="AB66">
        <f t="shared" si="8"/>
        <v>0.22231116446280991</v>
      </c>
      <c r="AC66">
        <f t="shared" si="9"/>
        <v>3.0030735537190083E-2</v>
      </c>
      <c r="AD66">
        <f t="shared" si="10"/>
        <v>0.72159934000000003</v>
      </c>
      <c r="AE66">
        <f t="shared" si="11"/>
        <v>9.7725999999999998E-4</v>
      </c>
      <c r="AF66">
        <f t="shared" si="12"/>
        <v>0.62112356999999996</v>
      </c>
      <c r="AG66" s="48"/>
      <c r="AH66" s="93"/>
      <c r="AI66" s="74"/>
      <c r="AK66" s="100">
        <f t="shared" si="16"/>
        <v>0</v>
      </c>
    </row>
    <row r="67" spans="1:37" x14ac:dyDescent="0.2">
      <c r="A67" s="16">
        <v>158</v>
      </c>
      <c r="B67" s="16" t="s">
        <v>171</v>
      </c>
      <c r="C67" s="16">
        <v>0.138009049773755</v>
      </c>
      <c r="D67" s="16">
        <v>7.7671980656893805E-2</v>
      </c>
      <c r="E67" s="16" t="s">
        <v>196</v>
      </c>
      <c r="F67" s="16"/>
      <c r="G67" s="16"/>
      <c r="H67" s="16"/>
      <c r="I67" s="21">
        <v>1112646494</v>
      </c>
      <c r="J67" s="16">
        <v>47023</v>
      </c>
      <c r="K67" s="16">
        <v>52801</v>
      </c>
      <c r="L67" s="16">
        <v>1097.81</v>
      </c>
      <c r="M67" s="16">
        <v>0.26119040999999998</v>
      </c>
      <c r="N67" s="16">
        <v>2.8564659999999999E-2</v>
      </c>
      <c r="O67" s="16">
        <v>0.71917156999999998</v>
      </c>
      <c r="P67" s="16">
        <v>9.4375000000000004E-4</v>
      </c>
      <c r="Q67" s="16">
        <v>0.33552377</v>
      </c>
      <c r="R67" s="90">
        <v>0.21975397899999999</v>
      </c>
      <c r="S67" s="16">
        <v>2.8399580000000001E-2</v>
      </c>
      <c r="T67" s="16">
        <v>0.72011583000000001</v>
      </c>
      <c r="U67" s="16">
        <v>1.02461E-3</v>
      </c>
      <c r="V67" s="16">
        <v>0.30163634</v>
      </c>
      <c r="W67">
        <f t="shared" si="3"/>
        <v>0.18265063636363635</v>
      </c>
      <c r="X67">
        <f t="shared" si="4"/>
        <v>1.9975286713286713E-2</v>
      </c>
      <c r="Y67">
        <f t="shared" si="5"/>
        <v>0.71917156999999998</v>
      </c>
      <c r="Z67">
        <f t="shared" si="6"/>
        <v>9.4375000000000004E-4</v>
      </c>
      <c r="AA67">
        <f t="shared" si="7"/>
        <v>0.33552377</v>
      </c>
      <c r="AB67">
        <f t="shared" si="8"/>
        <v>0.18161485867768595</v>
      </c>
      <c r="AC67">
        <f t="shared" si="9"/>
        <v>2.3470727272727275E-2</v>
      </c>
      <c r="AD67">
        <f t="shared" si="10"/>
        <v>0.72011583000000001</v>
      </c>
      <c r="AE67">
        <f t="shared" si="11"/>
        <v>1.02461E-3</v>
      </c>
      <c r="AF67">
        <f t="shared" si="12"/>
        <v>0.30163634</v>
      </c>
      <c r="AG67" s="48"/>
      <c r="AH67" s="93"/>
      <c r="AI67" s="74"/>
      <c r="AK67" s="100">
        <f t="shared" si="16"/>
        <v>0</v>
      </c>
    </row>
    <row r="68" spans="1:37" x14ac:dyDescent="0.2">
      <c r="A68" s="16">
        <v>159</v>
      </c>
      <c r="B68" s="16" t="s">
        <v>172</v>
      </c>
      <c r="C68" s="16">
        <v>4.6703296703296697E-2</v>
      </c>
      <c r="D68" s="16">
        <v>2.1946285516973099E-2</v>
      </c>
      <c r="E68" s="16" t="s">
        <v>196</v>
      </c>
      <c r="F68" s="16"/>
      <c r="G68" s="16"/>
      <c r="H68" s="16"/>
      <c r="I68" s="21">
        <v>364679002.69999999</v>
      </c>
      <c r="J68" s="16">
        <v>47784</v>
      </c>
      <c r="K68" s="16">
        <v>53178</v>
      </c>
      <c r="L68" s="16">
        <v>1163.1300000000001</v>
      </c>
      <c r="M68" s="16">
        <v>0.58756909999999996</v>
      </c>
      <c r="N68" s="16">
        <v>5.6652630000000002E-2</v>
      </c>
      <c r="O68" s="16">
        <v>0.72712478000000003</v>
      </c>
      <c r="P68" s="16">
        <v>1.55719E-3</v>
      </c>
      <c r="Q68" s="16">
        <v>0.11751726999999999</v>
      </c>
      <c r="R68" s="90">
        <v>0.49435446500000002</v>
      </c>
      <c r="S68" s="16">
        <v>5.8571129999999999E-2</v>
      </c>
      <c r="T68" s="16">
        <v>0.72807949000000005</v>
      </c>
      <c r="U68" s="16">
        <v>1.6098200000000001E-3</v>
      </c>
      <c r="V68" s="16">
        <v>0.12054088</v>
      </c>
      <c r="W68">
        <f t="shared" si="3"/>
        <v>0.41088748251748253</v>
      </c>
      <c r="X68">
        <f t="shared" si="4"/>
        <v>3.961722377622378E-2</v>
      </c>
      <c r="Y68">
        <f t="shared" si="5"/>
        <v>0.72712478000000003</v>
      </c>
      <c r="Z68">
        <f t="shared" si="6"/>
        <v>1.55719E-3</v>
      </c>
      <c r="AA68">
        <f t="shared" si="7"/>
        <v>0.11751726999999999</v>
      </c>
      <c r="AB68">
        <f t="shared" si="8"/>
        <v>0.4085574090909091</v>
      </c>
      <c r="AC68">
        <f t="shared" si="9"/>
        <v>4.8405892561983473E-2</v>
      </c>
      <c r="AD68">
        <f t="shared" si="10"/>
        <v>0.72807949000000005</v>
      </c>
      <c r="AE68">
        <f t="shared" si="11"/>
        <v>1.6098200000000001E-3</v>
      </c>
      <c r="AF68">
        <f t="shared" si="12"/>
        <v>0.12054088</v>
      </c>
      <c r="AG68" s="48"/>
      <c r="AH68" s="93"/>
      <c r="AI68" s="74"/>
      <c r="AK68" s="100">
        <f t="shared" si="16"/>
        <v>0</v>
      </c>
    </row>
    <row r="69" spans="1:37" x14ac:dyDescent="0.2">
      <c r="A69" s="16">
        <v>160</v>
      </c>
      <c r="B69" s="16" t="s">
        <v>173</v>
      </c>
      <c r="C69" s="16">
        <v>8.6206896551724102E-2</v>
      </c>
      <c r="D69" s="16">
        <v>5.5117315930546897E-2</v>
      </c>
      <c r="E69" s="16" t="s">
        <v>196</v>
      </c>
      <c r="F69" s="16"/>
      <c r="G69" s="16"/>
      <c r="H69" s="16"/>
      <c r="I69" s="21">
        <v>377127818.30000001</v>
      </c>
      <c r="J69" s="16">
        <v>47750</v>
      </c>
      <c r="K69" s="16">
        <v>53016</v>
      </c>
      <c r="L69" s="16">
        <v>1155.6300000000001</v>
      </c>
      <c r="M69" s="16">
        <v>0.69010576999999995</v>
      </c>
      <c r="N69" s="16">
        <v>7.6015200000000005E-2</v>
      </c>
      <c r="O69" s="16">
        <v>0.72944807</v>
      </c>
      <c r="P69" s="16">
        <v>3.30912E-3</v>
      </c>
      <c r="Q69" s="16">
        <v>0.74000310999999996</v>
      </c>
      <c r="R69" s="90">
        <v>0.58062425399999995</v>
      </c>
      <c r="S69" s="16">
        <v>7.542306E-2</v>
      </c>
      <c r="T69" s="16">
        <v>0.73040583000000003</v>
      </c>
      <c r="U69" s="16">
        <v>3.3377200000000002E-3</v>
      </c>
      <c r="V69" s="16">
        <v>0.63525111000000001</v>
      </c>
      <c r="W69">
        <f t="shared" si="3"/>
        <v>0.48259144755244754</v>
      </c>
      <c r="X69">
        <f t="shared" si="4"/>
        <v>5.3157482517482521E-2</v>
      </c>
      <c r="Y69">
        <f t="shared" si="5"/>
        <v>0.72944807</v>
      </c>
      <c r="Z69">
        <f t="shared" si="6"/>
        <v>3.30912E-3</v>
      </c>
      <c r="AA69">
        <f t="shared" si="7"/>
        <v>0.74000310999999996</v>
      </c>
      <c r="AB69">
        <f t="shared" si="8"/>
        <v>0.47985475537190081</v>
      </c>
      <c r="AC69">
        <f t="shared" si="9"/>
        <v>6.2333107438016531E-2</v>
      </c>
      <c r="AD69">
        <f t="shared" si="10"/>
        <v>0.73040583000000003</v>
      </c>
      <c r="AE69">
        <f t="shared" si="11"/>
        <v>3.3377200000000002E-3</v>
      </c>
      <c r="AF69">
        <f t="shared" si="12"/>
        <v>0.63525111000000001</v>
      </c>
      <c r="AG69" s="48"/>
      <c r="AH69" s="93"/>
      <c r="AI69" s="74"/>
      <c r="AK69" s="100">
        <f t="shared" si="16"/>
        <v>0</v>
      </c>
    </row>
    <row r="70" spans="1:37" x14ac:dyDescent="0.2">
      <c r="A70" s="16">
        <v>161</v>
      </c>
      <c r="B70" s="16" t="s">
        <v>174</v>
      </c>
      <c r="C70" s="16">
        <v>4.9999999999999899E-2</v>
      </c>
      <c r="D70" s="16">
        <v>6.9200702734257893E-2</v>
      </c>
      <c r="E70" s="16" t="s">
        <v>196</v>
      </c>
      <c r="F70" s="16"/>
      <c r="G70" s="16"/>
      <c r="H70" s="16"/>
      <c r="I70" s="21">
        <v>359839051.10000002</v>
      </c>
      <c r="J70" s="16">
        <v>47331</v>
      </c>
      <c r="K70" s="16">
        <v>53048</v>
      </c>
      <c r="L70" s="16">
        <v>1153.75</v>
      </c>
      <c r="M70" s="16">
        <v>0.91200926000000004</v>
      </c>
      <c r="N70" s="16">
        <v>1.0056057899999999</v>
      </c>
      <c r="O70" s="16">
        <v>0.72995301999999995</v>
      </c>
      <c r="P70" s="16">
        <v>1.125144E-2</v>
      </c>
      <c r="Q70" s="16">
        <v>0.97899539999999996</v>
      </c>
      <c r="R70" s="90">
        <v>0.76732396199999997</v>
      </c>
      <c r="S70" s="16">
        <v>0.84771993999999995</v>
      </c>
      <c r="T70" s="16">
        <v>0.73091143999999997</v>
      </c>
      <c r="U70" s="16">
        <v>1.127338E-2</v>
      </c>
      <c r="V70" s="16">
        <v>0.97690005999999996</v>
      </c>
      <c r="W70">
        <f t="shared" ref="W70:W112" si="20">M70/$W$2</f>
        <v>0.63776871328671336</v>
      </c>
      <c r="X70">
        <f t="shared" ref="X70:X112" si="21">N70/$W$2</f>
        <v>0.70322083216783215</v>
      </c>
      <c r="Y70">
        <f t="shared" ref="Y70:Y112" si="22">O70</f>
        <v>0.72995301999999995</v>
      </c>
      <c r="Z70">
        <f t="shared" ref="Z70:Z112" si="23">P70</f>
        <v>1.125144E-2</v>
      </c>
      <c r="AA70">
        <f t="shared" ref="AA70:AA112" si="24">Q70</f>
        <v>0.97899539999999996</v>
      </c>
      <c r="AB70">
        <f t="shared" ref="AB70:AB112" si="25">R70/$AB$2</f>
        <v>0.63415203471074377</v>
      </c>
      <c r="AC70">
        <f t="shared" ref="AC70:AC112" si="26">S70/$AB$2</f>
        <v>0.70059499173553719</v>
      </c>
      <c r="AD70">
        <f t="shared" ref="AD70:AD112" si="27">T70</f>
        <v>0.73091143999999997</v>
      </c>
      <c r="AE70">
        <f t="shared" ref="AE70:AE112" si="28">U70</f>
        <v>1.127338E-2</v>
      </c>
      <c r="AF70">
        <f t="shared" ref="AF70:AF112" si="29">V70</f>
        <v>0.97690005999999996</v>
      </c>
      <c r="AG70" s="48"/>
      <c r="AH70" s="93"/>
      <c r="AI70" s="74"/>
      <c r="AK70" s="100">
        <f t="shared" ref="AK70:AK111" si="30">H70</f>
        <v>0</v>
      </c>
    </row>
    <row r="71" spans="1:37" x14ac:dyDescent="0.2">
      <c r="A71" s="16">
        <v>164</v>
      </c>
      <c r="B71" s="16" t="s">
        <v>175</v>
      </c>
      <c r="C71" s="16">
        <v>2.37113402061855E-2</v>
      </c>
      <c r="D71" s="16">
        <v>6.6593733072203898E-2</v>
      </c>
      <c r="E71" s="16" t="s">
        <v>196</v>
      </c>
      <c r="F71" s="16"/>
      <c r="G71" s="16"/>
      <c r="H71" s="16"/>
      <c r="I71" s="21">
        <v>308697552.39999998</v>
      </c>
      <c r="J71" s="16">
        <v>47680</v>
      </c>
      <c r="K71" s="16">
        <v>53569</v>
      </c>
      <c r="L71" s="16">
        <v>1181.56</v>
      </c>
      <c r="M71" s="16">
        <v>0.40067679</v>
      </c>
      <c r="N71" s="16">
        <v>3.4755189999999998E-2</v>
      </c>
      <c r="O71" s="16">
        <v>0.72489510000000001</v>
      </c>
      <c r="P71" s="16">
        <v>1.3067300000000001E-3</v>
      </c>
      <c r="Q71" s="16">
        <v>0.45899718</v>
      </c>
      <c r="R71" s="90">
        <v>0.34270510100000001</v>
      </c>
      <c r="S71" s="16">
        <v>3.6296210000000002E-2</v>
      </c>
      <c r="T71" s="16">
        <v>0.72618417000000002</v>
      </c>
      <c r="U71" s="16">
        <v>1.4153E-3</v>
      </c>
      <c r="V71" s="16">
        <v>0.38558931000000002</v>
      </c>
      <c r="W71">
        <f t="shared" si="20"/>
        <v>0.28019355944055946</v>
      </c>
      <c r="X71">
        <f t="shared" si="21"/>
        <v>2.430432867132867E-2</v>
      </c>
      <c r="Y71">
        <f t="shared" si="22"/>
        <v>0.72489510000000001</v>
      </c>
      <c r="Z71">
        <f t="shared" si="23"/>
        <v>1.3067300000000001E-3</v>
      </c>
      <c r="AA71">
        <f t="shared" si="24"/>
        <v>0.45899718</v>
      </c>
      <c r="AB71">
        <f t="shared" si="25"/>
        <v>0.2832273561983471</v>
      </c>
      <c r="AC71">
        <f t="shared" si="26"/>
        <v>2.9996867768595045E-2</v>
      </c>
      <c r="AD71">
        <f t="shared" si="27"/>
        <v>0.72618417000000002</v>
      </c>
      <c r="AE71">
        <f t="shared" si="28"/>
        <v>1.4153E-3</v>
      </c>
      <c r="AF71">
        <f t="shared" si="29"/>
        <v>0.38558931000000002</v>
      </c>
      <c r="AG71" s="48"/>
      <c r="AH71" s="93"/>
      <c r="AI71" s="74"/>
      <c r="AK71" s="100">
        <f t="shared" si="30"/>
        <v>0</v>
      </c>
    </row>
    <row r="72" spans="1:37" s="92" customFormat="1" x14ac:dyDescent="0.2">
      <c r="A72" s="90">
        <v>165</v>
      </c>
      <c r="B72" s="90" t="s">
        <v>176</v>
      </c>
      <c r="C72" s="90">
        <v>3.4744842562432099E-2</v>
      </c>
      <c r="D72" s="90">
        <v>2.7117987250723299E-2</v>
      </c>
      <c r="E72" s="90" t="s">
        <v>196</v>
      </c>
      <c r="F72" s="90" t="s">
        <v>356</v>
      </c>
      <c r="G72" s="90">
        <v>66170</v>
      </c>
      <c r="H72" s="107">
        <f t="shared" ref="H72" si="31">2*(G72/PI())^0.5</f>
        <v>290.25895451325135</v>
      </c>
      <c r="I72" s="95">
        <v>274628092.80000001</v>
      </c>
      <c r="J72" s="90">
        <v>47154</v>
      </c>
      <c r="K72" s="90">
        <v>53703</v>
      </c>
      <c r="L72" s="90">
        <v>1186.25</v>
      </c>
      <c r="M72" s="90">
        <v>1.6201394600000001</v>
      </c>
      <c r="N72" s="90">
        <v>1.3415727200000001</v>
      </c>
      <c r="O72" s="90">
        <v>0.74311108999999997</v>
      </c>
      <c r="P72" s="90">
        <v>1.9185600000000001E-2</v>
      </c>
      <c r="Q72" s="90">
        <v>0.95566985999999998</v>
      </c>
      <c r="R72" s="90">
        <v>1.3857305259999999</v>
      </c>
      <c r="S72" s="90">
        <v>1.1505540299999999</v>
      </c>
      <c r="T72" s="90">
        <v>0.74443254999999997</v>
      </c>
      <c r="U72" s="90">
        <v>1.9227629999999999E-2</v>
      </c>
      <c r="V72" s="90">
        <v>0.95307911000000001</v>
      </c>
      <c r="W72" s="92">
        <f t="shared" si="20"/>
        <v>1.1329646573426575</v>
      </c>
      <c r="X72" s="92">
        <f t="shared" si="21"/>
        <v>0.93816274125874133</v>
      </c>
      <c r="Y72" s="92">
        <f t="shared" si="22"/>
        <v>0.74311108999999997</v>
      </c>
      <c r="Z72" s="92">
        <f t="shared" si="23"/>
        <v>1.9185600000000001E-2</v>
      </c>
      <c r="AA72" s="92">
        <f t="shared" si="24"/>
        <v>0.95566985999999998</v>
      </c>
      <c r="AB72" s="92">
        <f t="shared" si="25"/>
        <v>1.1452318396694214</v>
      </c>
      <c r="AC72" s="92">
        <f t="shared" si="26"/>
        <v>0.95087109917355361</v>
      </c>
      <c r="AD72" s="92">
        <f t="shared" si="27"/>
        <v>0.74443254999999997</v>
      </c>
      <c r="AE72" s="92">
        <f t="shared" si="28"/>
        <v>1.9227629999999999E-2</v>
      </c>
      <c r="AF72" s="92">
        <f t="shared" si="29"/>
        <v>0.95307911000000001</v>
      </c>
      <c r="AG72" s="96">
        <f t="shared" ref="AG72" si="32">(AD72-0.71188)/AB72</f>
        <v>2.8424419294347001E-2</v>
      </c>
      <c r="AH72" s="97">
        <f t="shared" ref="AH72:AH111" si="33">LN(1+AG72)/0.000013972</f>
        <v>2006.0078060260257</v>
      </c>
      <c r="AI72" s="100">
        <f t="shared" ref="AI72" si="34">AH72*SQRT((AC72/AB72)^2+(AE72/(AD72-0.71188))^2-2*AF72*(AC72/AB72)*(AE72/(AD72-0.71188)))</f>
        <v>645.17712202714495</v>
      </c>
      <c r="AK72" s="100">
        <f t="shared" si="30"/>
        <v>290.25895451325135</v>
      </c>
    </row>
    <row r="73" spans="1:37" x14ac:dyDescent="0.2">
      <c r="A73" s="16">
        <v>166</v>
      </c>
      <c r="B73" s="16" t="s">
        <v>177</v>
      </c>
      <c r="C73" s="16">
        <v>9.4736842105263105E-2</v>
      </c>
      <c r="D73" s="16">
        <v>5.9909111951687397E-2</v>
      </c>
      <c r="E73" s="16" t="s">
        <v>196</v>
      </c>
      <c r="F73" s="16"/>
      <c r="G73" s="16"/>
      <c r="H73" s="16"/>
      <c r="I73" s="21">
        <v>1296320052</v>
      </c>
      <c r="J73" s="16">
        <v>47458</v>
      </c>
      <c r="K73" s="16">
        <v>53861</v>
      </c>
      <c r="L73" s="16">
        <v>1142.19</v>
      </c>
      <c r="M73" s="16">
        <v>6.5074419999999994E-2</v>
      </c>
      <c r="N73" s="16">
        <v>1.5483490000000001E-2</v>
      </c>
      <c r="O73" s="16">
        <v>0.71736460000000002</v>
      </c>
      <c r="P73" s="16">
        <v>1.1041899999999999E-3</v>
      </c>
      <c r="Q73" s="16">
        <v>0.49706423</v>
      </c>
      <c r="R73" s="90">
        <v>5.5659167000000002E-2</v>
      </c>
      <c r="S73" s="16">
        <v>1.3668400000000001E-2</v>
      </c>
      <c r="T73" s="16">
        <v>0.71864028000000002</v>
      </c>
      <c r="U73" s="16">
        <v>1.22762E-3</v>
      </c>
      <c r="V73" s="16">
        <v>0.45259543000000002</v>
      </c>
      <c r="W73">
        <f t="shared" si="20"/>
        <v>4.550658741258741E-2</v>
      </c>
      <c r="X73">
        <f t="shared" si="21"/>
        <v>1.0827615384615385E-2</v>
      </c>
      <c r="Y73">
        <f t="shared" si="22"/>
        <v>0.71736460000000002</v>
      </c>
      <c r="Z73">
        <f t="shared" si="23"/>
        <v>1.1041899999999999E-3</v>
      </c>
      <c r="AA73">
        <f t="shared" si="24"/>
        <v>0.49706423</v>
      </c>
      <c r="AB73">
        <f t="shared" si="25"/>
        <v>4.599931157024794E-2</v>
      </c>
      <c r="AC73">
        <f t="shared" si="26"/>
        <v>1.1296198347107439E-2</v>
      </c>
      <c r="AD73">
        <f t="shared" si="27"/>
        <v>0.71864028000000002</v>
      </c>
      <c r="AE73">
        <f t="shared" si="28"/>
        <v>1.22762E-3</v>
      </c>
      <c r="AF73">
        <f t="shared" si="29"/>
        <v>0.45259543000000002</v>
      </c>
      <c r="AG73" s="48"/>
      <c r="AH73" s="93"/>
      <c r="AI73" s="74"/>
      <c r="AK73" s="100">
        <f t="shared" si="30"/>
        <v>0</v>
      </c>
    </row>
    <row r="74" spans="1:37" x14ac:dyDescent="0.2">
      <c r="A74" s="16">
        <v>167</v>
      </c>
      <c r="B74" s="16" t="s">
        <v>178</v>
      </c>
      <c r="C74" s="16">
        <v>3.2873806998939499E-2</v>
      </c>
      <c r="D74" s="16">
        <v>5.04835689978698E-2</v>
      </c>
      <c r="E74" s="16" t="s">
        <v>196</v>
      </c>
      <c r="F74" s="16"/>
      <c r="G74" s="16"/>
      <c r="H74" s="16"/>
      <c r="I74" s="21">
        <v>362833977</v>
      </c>
      <c r="J74" s="16">
        <v>46608</v>
      </c>
      <c r="K74" s="16">
        <v>53624</v>
      </c>
      <c r="L74" s="16">
        <v>1148.44</v>
      </c>
      <c r="M74" s="16">
        <v>0.97835724000000002</v>
      </c>
      <c r="N74" s="16">
        <v>6.1095690000000001E-2</v>
      </c>
      <c r="O74" s="16">
        <v>0.73336630999999997</v>
      </c>
      <c r="P74" s="16">
        <v>3.2411900000000001E-3</v>
      </c>
      <c r="Q74" s="16">
        <v>0.86550351000000003</v>
      </c>
      <c r="R74" s="90">
        <v>0.83680419500000003</v>
      </c>
      <c r="S74" s="16">
        <v>7.2916049999999996E-2</v>
      </c>
      <c r="T74" s="16">
        <v>0.73467044000000004</v>
      </c>
      <c r="U74" s="16">
        <v>3.29226E-3</v>
      </c>
      <c r="V74" s="16">
        <v>0.63176677000000003</v>
      </c>
      <c r="W74">
        <f t="shared" si="20"/>
        <v>0.68416590209790218</v>
      </c>
      <c r="X74">
        <f t="shared" si="21"/>
        <v>4.2724258741258743E-2</v>
      </c>
      <c r="Y74">
        <f t="shared" si="22"/>
        <v>0.73336630999999997</v>
      </c>
      <c r="Z74">
        <f t="shared" si="23"/>
        <v>3.2411900000000001E-3</v>
      </c>
      <c r="AA74">
        <f t="shared" si="24"/>
        <v>0.86550351000000003</v>
      </c>
      <c r="AB74">
        <f t="shared" si="25"/>
        <v>0.69157371487603314</v>
      </c>
      <c r="AC74">
        <f t="shared" si="26"/>
        <v>6.0261198347107435E-2</v>
      </c>
      <c r="AD74">
        <f t="shared" si="27"/>
        <v>0.73467044000000004</v>
      </c>
      <c r="AE74">
        <f t="shared" si="28"/>
        <v>3.29226E-3</v>
      </c>
      <c r="AF74">
        <f t="shared" si="29"/>
        <v>0.63176677000000003</v>
      </c>
      <c r="AG74" s="48"/>
      <c r="AH74" s="93"/>
      <c r="AI74" s="74"/>
      <c r="AK74" s="100">
        <f t="shared" si="30"/>
        <v>0</v>
      </c>
    </row>
    <row r="75" spans="1:37" x14ac:dyDescent="0.2">
      <c r="A75" s="16">
        <v>168</v>
      </c>
      <c r="B75" s="16" t="s">
        <v>179</v>
      </c>
      <c r="C75" s="16">
        <v>2.16417910447761E-2</v>
      </c>
      <c r="D75" s="16">
        <v>3.6967811190157497E-2</v>
      </c>
      <c r="E75" s="16" t="s">
        <v>196</v>
      </c>
      <c r="F75" s="16"/>
      <c r="G75" s="16"/>
      <c r="H75" s="16"/>
      <c r="I75" s="21">
        <v>470787513.69999999</v>
      </c>
      <c r="J75" s="16">
        <v>47388</v>
      </c>
      <c r="K75" s="16">
        <v>55256</v>
      </c>
      <c r="L75" s="16">
        <v>1148.44</v>
      </c>
      <c r="M75" s="16">
        <v>7.2733149999999996E-2</v>
      </c>
      <c r="N75" s="16">
        <v>5.0537400000000001E-3</v>
      </c>
      <c r="O75" s="16">
        <v>0.71590383000000002</v>
      </c>
      <c r="P75" s="16">
        <v>1.52926E-3</v>
      </c>
      <c r="Q75" s="16">
        <v>0.48827124</v>
      </c>
      <c r="R75" s="90">
        <v>6.2209796999999997E-2</v>
      </c>
      <c r="S75" s="16">
        <v>5.7425499999999999E-3</v>
      </c>
      <c r="T75" s="16">
        <v>0.71717690999999995</v>
      </c>
      <c r="U75" s="16">
        <v>1.6215100000000001E-3</v>
      </c>
      <c r="V75" s="16">
        <v>0.38471515000000001</v>
      </c>
      <c r="W75">
        <f t="shared" si="20"/>
        <v>5.0862342657342657E-2</v>
      </c>
      <c r="X75">
        <f t="shared" si="21"/>
        <v>3.5340839160839166E-3</v>
      </c>
      <c r="Y75">
        <f t="shared" si="22"/>
        <v>0.71590383000000002</v>
      </c>
      <c r="Z75">
        <f t="shared" si="23"/>
        <v>1.52926E-3</v>
      </c>
      <c r="AA75">
        <f t="shared" si="24"/>
        <v>0.48827124</v>
      </c>
      <c r="AB75">
        <f t="shared" si="25"/>
        <v>5.1413055371900829E-2</v>
      </c>
      <c r="AC75">
        <f t="shared" si="26"/>
        <v>4.7459090909090906E-3</v>
      </c>
      <c r="AD75">
        <f t="shared" si="27"/>
        <v>0.71717690999999995</v>
      </c>
      <c r="AE75">
        <f t="shared" si="28"/>
        <v>1.6215100000000001E-3</v>
      </c>
      <c r="AF75">
        <f t="shared" si="29"/>
        <v>0.38471515000000001</v>
      </c>
      <c r="AG75" s="48"/>
      <c r="AH75" s="93"/>
      <c r="AI75" s="74"/>
      <c r="AK75" s="100">
        <f t="shared" si="30"/>
        <v>0</v>
      </c>
    </row>
    <row r="76" spans="1:37" x14ac:dyDescent="0.2">
      <c r="A76" s="16">
        <v>171</v>
      </c>
      <c r="B76" s="16" t="s">
        <v>180</v>
      </c>
      <c r="C76" s="16">
        <v>3.4180543382997301E-2</v>
      </c>
      <c r="D76" s="16">
        <v>2.3814426518213E-2</v>
      </c>
      <c r="E76" s="16" t="s">
        <v>196</v>
      </c>
      <c r="F76" s="16"/>
      <c r="G76" s="16"/>
      <c r="H76" s="16"/>
      <c r="I76" s="21">
        <v>728053769</v>
      </c>
      <c r="J76" s="16">
        <v>47536</v>
      </c>
      <c r="K76" s="16">
        <v>55552</v>
      </c>
      <c r="L76" s="16">
        <v>1177.81</v>
      </c>
      <c r="M76" s="16">
        <v>5.5075319999999997E-2</v>
      </c>
      <c r="N76" s="16">
        <v>2.1663899999999998E-3</v>
      </c>
      <c r="O76" s="16">
        <v>0.70732432000000001</v>
      </c>
      <c r="P76" s="16">
        <v>8.6720999999999999E-4</v>
      </c>
      <c r="Q76" s="16">
        <v>0.18101956999999999</v>
      </c>
      <c r="R76" s="90">
        <v>4.5974718999999997E-2</v>
      </c>
      <c r="S76" s="16">
        <v>3.5978999999999998E-3</v>
      </c>
      <c r="T76" s="16">
        <v>0.70853697000000004</v>
      </c>
      <c r="U76" s="16">
        <v>9.6099E-4</v>
      </c>
      <c r="V76" s="16">
        <v>8.0964110000000006E-2</v>
      </c>
      <c r="W76">
        <f t="shared" si="20"/>
        <v>3.8514209790209787E-2</v>
      </c>
      <c r="X76">
        <f t="shared" si="21"/>
        <v>1.5149580419580419E-3</v>
      </c>
      <c r="Y76">
        <f t="shared" si="22"/>
        <v>0.70732432000000001</v>
      </c>
      <c r="Z76">
        <f t="shared" si="23"/>
        <v>8.6720999999999999E-4</v>
      </c>
      <c r="AA76">
        <f t="shared" si="24"/>
        <v>0.18101956999999999</v>
      </c>
      <c r="AB76">
        <f t="shared" si="25"/>
        <v>3.7995635537190084E-2</v>
      </c>
      <c r="AC76">
        <f t="shared" si="26"/>
        <v>2.9734710743801653E-3</v>
      </c>
      <c r="AD76">
        <f t="shared" si="27"/>
        <v>0.70853697000000004</v>
      </c>
      <c r="AE76">
        <f t="shared" si="28"/>
        <v>9.6099E-4</v>
      </c>
      <c r="AF76">
        <f t="shared" si="29"/>
        <v>8.0964110000000006E-2</v>
      </c>
      <c r="AG76" s="48"/>
      <c r="AH76" s="93"/>
      <c r="AI76" s="74"/>
      <c r="AK76" s="100">
        <f t="shared" si="30"/>
        <v>0</v>
      </c>
    </row>
    <row r="77" spans="1:37" x14ac:dyDescent="0.2">
      <c r="A77" s="16">
        <v>172</v>
      </c>
      <c r="B77" s="16" t="s">
        <v>181</v>
      </c>
      <c r="C77" s="16">
        <v>9.6510764662212298E-3</v>
      </c>
      <c r="D77" s="16">
        <v>8.5320263144710501E-2</v>
      </c>
      <c r="E77" s="16" t="s">
        <v>196</v>
      </c>
      <c r="F77" s="16"/>
      <c r="G77" s="16"/>
      <c r="H77" s="16"/>
      <c r="I77" s="21">
        <v>521068327.10000002</v>
      </c>
      <c r="J77" s="16">
        <v>47501</v>
      </c>
      <c r="K77" s="16">
        <v>55986</v>
      </c>
      <c r="L77" s="16">
        <v>1184.69</v>
      </c>
      <c r="M77" s="16">
        <v>5.6733440000000003E-2</v>
      </c>
      <c r="N77" s="16">
        <v>2.9273400000000001E-3</v>
      </c>
      <c r="O77" s="16">
        <v>0.70945440999999998</v>
      </c>
      <c r="P77" s="16">
        <v>9.7923999999999993E-4</v>
      </c>
      <c r="Q77" s="16">
        <v>0.82585713999999999</v>
      </c>
      <c r="R77" s="90">
        <v>4.7358855999999998E-2</v>
      </c>
      <c r="S77" s="16">
        <v>4.0295399999999999E-3</v>
      </c>
      <c r="T77" s="16">
        <v>0.71067071000000004</v>
      </c>
      <c r="U77" s="16">
        <v>1.0639899999999999E-3</v>
      </c>
      <c r="V77" s="16">
        <v>0.46064928999999999</v>
      </c>
      <c r="W77">
        <f t="shared" si="20"/>
        <v>3.967373426573427E-2</v>
      </c>
      <c r="X77">
        <f t="shared" si="21"/>
        <v>2.0470909090909094E-3</v>
      </c>
      <c r="Y77">
        <f t="shared" si="22"/>
        <v>0.70945440999999998</v>
      </c>
      <c r="Z77">
        <f t="shared" si="23"/>
        <v>9.7923999999999993E-4</v>
      </c>
      <c r="AA77">
        <f t="shared" si="24"/>
        <v>0.82585713999999999</v>
      </c>
      <c r="AB77">
        <f t="shared" si="25"/>
        <v>3.9139550413223138E-2</v>
      </c>
      <c r="AC77">
        <f t="shared" si="26"/>
        <v>3.3301983471074382E-3</v>
      </c>
      <c r="AD77">
        <f t="shared" si="27"/>
        <v>0.71067071000000004</v>
      </c>
      <c r="AE77">
        <f t="shared" si="28"/>
        <v>1.0639899999999999E-3</v>
      </c>
      <c r="AF77">
        <f t="shared" si="29"/>
        <v>0.46064928999999999</v>
      </c>
      <c r="AG77" s="48"/>
      <c r="AH77" s="93"/>
      <c r="AI77" s="74"/>
      <c r="AK77" s="100">
        <f t="shared" si="30"/>
        <v>0</v>
      </c>
    </row>
    <row r="78" spans="1:37" x14ac:dyDescent="0.2">
      <c r="A78" s="16">
        <v>173</v>
      </c>
      <c r="B78" s="16" t="s">
        <v>182</v>
      </c>
      <c r="C78" s="16">
        <v>4.4701986754966803E-2</v>
      </c>
      <c r="D78" s="16">
        <v>5.77320869359077E-2</v>
      </c>
      <c r="E78" s="16" t="s">
        <v>196</v>
      </c>
      <c r="F78" s="16"/>
      <c r="G78" s="16"/>
      <c r="H78" s="16"/>
      <c r="I78" s="21">
        <v>460754584.19999999</v>
      </c>
      <c r="J78" s="16">
        <v>47970</v>
      </c>
      <c r="K78" s="16">
        <v>56346</v>
      </c>
      <c r="L78" s="16">
        <v>1185</v>
      </c>
      <c r="M78" s="16">
        <v>6.5988939999999996E-2</v>
      </c>
      <c r="N78" s="16">
        <v>7.9897900000000001E-3</v>
      </c>
      <c r="O78" s="16">
        <v>0.71370771</v>
      </c>
      <c r="P78" s="16">
        <v>3.5797999999999998E-4</v>
      </c>
      <c r="Q78" s="16">
        <v>-0.1954697</v>
      </c>
      <c r="R78" s="90">
        <v>5.5084985000000003E-2</v>
      </c>
      <c r="S78" s="16">
        <v>7.6401400000000001E-3</v>
      </c>
      <c r="T78" s="16">
        <v>0.71493130000000005</v>
      </c>
      <c r="U78" s="16">
        <v>5.4819999999999999E-4</v>
      </c>
      <c r="V78" s="16">
        <v>-0.1129004</v>
      </c>
      <c r="W78">
        <f t="shared" si="20"/>
        <v>4.6146111888111886E-2</v>
      </c>
      <c r="X78">
        <f t="shared" si="21"/>
        <v>5.5872657342657343E-3</v>
      </c>
      <c r="Y78">
        <f t="shared" si="22"/>
        <v>0.71370771</v>
      </c>
      <c r="Z78">
        <f t="shared" si="23"/>
        <v>3.5797999999999998E-4</v>
      </c>
      <c r="AA78">
        <f t="shared" si="24"/>
        <v>-0.1954697</v>
      </c>
      <c r="AB78">
        <f t="shared" si="25"/>
        <v>4.5524780991735542E-2</v>
      </c>
      <c r="AC78">
        <f t="shared" si="26"/>
        <v>6.3141652892561989E-3</v>
      </c>
      <c r="AD78">
        <f t="shared" si="27"/>
        <v>0.71493130000000005</v>
      </c>
      <c r="AE78">
        <f t="shared" si="28"/>
        <v>5.4819999999999999E-4</v>
      </c>
      <c r="AF78">
        <f t="shared" si="29"/>
        <v>-0.1129004</v>
      </c>
      <c r="AG78" s="48"/>
      <c r="AH78" s="93"/>
      <c r="AI78" s="74"/>
      <c r="AK78" s="100">
        <f t="shared" si="30"/>
        <v>0</v>
      </c>
    </row>
    <row r="79" spans="1:37" x14ac:dyDescent="0.2">
      <c r="A79" s="16">
        <v>174</v>
      </c>
      <c r="B79" s="16" t="s">
        <v>183</v>
      </c>
      <c r="C79" s="16">
        <v>1.1310084825636099E-2</v>
      </c>
      <c r="D79" s="16">
        <v>3.7630477582546798E-2</v>
      </c>
      <c r="E79" s="16" t="s">
        <v>196</v>
      </c>
      <c r="F79" s="16"/>
      <c r="G79" s="16"/>
      <c r="H79" s="16"/>
      <c r="I79" s="21">
        <v>481068735.60000002</v>
      </c>
      <c r="J79" s="16">
        <v>48324</v>
      </c>
      <c r="K79" s="16">
        <v>55803</v>
      </c>
      <c r="L79" s="16">
        <v>1169.06</v>
      </c>
      <c r="M79" s="16">
        <v>5.5802730000000002E-2</v>
      </c>
      <c r="N79" s="16">
        <v>5.66118E-3</v>
      </c>
      <c r="O79" s="16">
        <v>0.71541350000000004</v>
      </c>
      <c r="P79" s="16">
        <v>6.6872000000000003E-4</v>
      </c>
      <c r="Q79" s="16">
        <v>-0.22580310000000001</v>
      </c>
      <c r="R79" s="90">
        <v>4.6581940000000002E-2</v>
      </c>
      <c r="S79" s="16">
        <v>5.68017E-3</v>
      </c>
      <c r="T79" s="16">
        <v>0.71664000999999999</v>
      </c>
      <c r="U79" s="16">
        <v>7.8834E-4</v>
      </c>
      <c r="V79" s="16">
        <v>-0.16064519999999999</v>
      </c>
      <c r="W79">
        <f t="shared" si="20"/>
        <v>3.9022888111888115E-2</v>
      </c>
      <c r="X79">
        <f t="shared" si="21"/>
        <v>3.9588671328671327E-3</v>
      </c>
      <c r="Y79">
        <f t="shared" si="22"/>
        <v>0.71541350000000004</v>
      </c>
      <c r="Z79">
        <f t="shared" si="23"/>
        <v>6.6872000000000003E-4</v>
      </c>
      <c r="AA79">
        <f t="shared" si="24"/>
        <v>-0.22580310000000001</v>
      </c>
      <c r="AB79">
        <f t="shared" si="25"/>
        <v>3.8497471074380167E-2</v>
      </c>
      <c r="AC79">
        <f t="shared" si="26"/>
        <v>4.6943553719008269E-3</v>
      </c>
      <c r="AD79">
        <f t="shared" si="27"/>
        <v>0.71664000999999999</v>
      </c>
      <c r="AE79">
        <f t="shared" si="28"/>
        <v>7.8834E-4</v>
      </c>
      <c r="AF79">
        <f t="shared" si="29"/>
        <v>-0.16064519999999999</v>
      </c>
      <c r="AG79" s="48"/>
      <c r="AH79" s="93"/>
      <c r="AI79" s="74"/>
      <c r="AK79" s="100">
        <f t="shared" si="30"/>
        <v>0</v>
      </c>
    </row>
    <row r="80" spans="1:37" x14ac:dyDescent="0.2">
      <c r="A80" s="16">
        <v>175</v>
      </c>
      <c r="B80" s="16" t="s">
        <v>184</v>
      </c>
      <c r="C80" s="16">
        <v>3.2402234636871502E-2</v>
      </c>
      <c r="D80" s="16">
        <v>0.10109501255826001</v>
      </c>
      <c r="E80" s="16" t="s">
        <v>196</v>
      </c>
      <c r="F80" s="16"/>
      <c r="G80" s="16"/>
      <c r="H80" s="16"/>
      <c r="I80" s="21">
        <v>406184004.60000002</v>
      </c>
      <c r="J80" s="16">
        <v>48078</v>
      </c>
      <c r="K80" s="16">
        <v>55255</v>
      </c>
      <c r="L80" s="16">
        <v>1180.31</v>
      </c>
      <c r="M80" s="16">
        <v>0.17316277999999999</v>
      </c>
      <c r="N80" s="16">
        <v>1.156307E-2</v>
      </c>
      <c r="O80" s="16">
        <v>0.71927673000000003</v>
      </c>
      <c r="P80" s="16">
        <v>2.1068900000000002E-3</v>
      </c>
      <c r="Q80" s="16">
        <v>0.68411193999999997</v>
      </c>
      <c r="R80" s="90">
        <v>0.14454951799999999</v>
      </c>
      <c r="S80" s="16">
        <v>1.374066E-2</v>
      </c>
      <c r="T80" s="16">
        <v>0.72050987</v>
      </c>
      <c r="U80" s="16">
        <v>2.1514699999999999E-3</v>
      </c>
      <c r="V80" s="16">
        <v>0.47093587999999997</v>
      </c>
      <c r="W80">
        <f t="shared" si="20"/>
        <v>0.12109285314685314</v>
      </c>
      <c r="X80">
        <f t="shared" si="21"/>
        <v>8.0860629370629374E-3</v>
      </c>
      <c r="Y80">
        <f t="shared" si="22"/>
        <v>0.71927673000000003</v>
      </c>
      <c r="Z80">
        <f t="shared" si="23"/>
        <v>2.1068900000000002E-3</v>
      </c>
      <c r="AA80">
        <f t="shared" si="24"/>
        <v>0.68411193999999997</v>
      </c>
      <c r="AB80">
        <f t="shared" si="25"/>
        <v>0.11946241157024792</v>
      </c>
      <c r="AC80">
        <f t="shared" si="26"/>
        <v>1.13559173553719E-2</v>
      </c>
      <c r="AD80">
        <f t="shared" si="27"/>
        <v>0.72050987</v>
      </c>
      <c r="AE80">
        <f t="shared" si="28"/>
        <v>2.1514699999999999E-3</v>
      </c>
      <c r="AF80">
        <f t="shared" si="29"/>
        <v>0.47093587999999997</v>
      </c>
      <c r="AG80" s="48"/>
      <c r="AH80" s="93"/>
      <c r="AI80" s="74"/>
      <c r="AK80" s="100">
        <f t="shared" si="30"/>
        <v>0</v>
      </c>
    </row>
    <row r="81" spans="1:37" x14ac:dyDescent="0.2">
      <c r="A81" s="16">
        <v>178</v>
      </c>
      <c r="B81" s="16" t="s">
        <v>185</v>
      </c>
      <c r="C81" s="16">
        <v>2.6785714285714201E-2</v>
      </c>
      <c r="D81" s="16">
        <v>0.103950687741541</v>
      </c>
      <c r="E81" s="16" t="s">
        <v>196</v>
      </c>
      <c r="F81" s="16"/>
      <c r="G81" s="16"/>
      <c r="H81" s="16"/>
      <c r="I81" s="21">
        <v>621901783.20000005</v>
      </c>
      <c r="J81" s="16">
        <v>48001</v>
      </c>
      <c r="K81" s="16">
        <v>55792</v>
      </c>
      <c r="L81" s="16">
        <v>1181.25</v>
      </c>
      <c r="M81" s="16">
        <v>5.6262609999999998E-2</v>
      </c>
      <c r="N81" s="16">
        <v>5.1665799999999996E-3</v>
      </c>
      <c r="O81" s="16">
        <v>0.71161048000000005</v>
      </c>
      <c r="P81" s="16">
        <v>1.1242400000000001E-3</v>
      </c>
      <c r="Q81" s="16">
        <v>0.50664432999999998</v>
      </c>
      <c r="R81" s="90">
        <v>4.6374485E-2</v>
      </c>
      <c r="S81" s="16">
        <v>5.3721999999999997E-3</v>
      </c>
      <c r="T81" s="16">
        <v>0.71256147999999997</v>
      </c>
      <c r="U81" s="16">
        <v>1.1363899999999999E-3</v>
      </c>
      <c r="V81" s="16">
        <v>0.38213149000000002</v>
      </c>
      <c r="W81">
        <f t="shared" si="20"/>
        <v>3.9344482517482515E-2</v>
      </c>
      <c r="X81">
        <f t="shared" si="21"/>
        <v>3.612993006993007E-3</v>
      </c>
      <c r="Y81">
        <f t="shared" si="22"/>
        <v>0.71161048000000005</v>
      </c>
      <c r="Z81">
        <f t="shared" si="23"/>
        <v>1.1242400000000001E-3</v>
      </c>
      <c r="AA81">
        <f t="shared" si="24"/>
        <v>0.50664432999999998</v>
      </c>
      <c r="AB81">
        <f t="shared" si="25"/>
        <v>3.8326020661157027E-2</v>
      </c>
      <c r="AC81">
        <f t="shared" si="26"/>
        <v>4.4398347107438016E-3</v>
      </c>
      <c r="AD81">
        <f t="shared" si="27"/>
        <v>0.71256147999999997</v>
      </c>
      <c r="AE81">
        <f t="shared" si="28"/>
        <v>1.1363899999999999E-3</v>
      </c>
      <c r="AF81">
        <f t="shared" si="29"/>
        <v>0.38213149000000002</v>
      </c>
      <c r="AG81" s="48"/>
      <c r="AH81" s="93"/>
      <c r="AI81" s="74"/>
      <c r="AK81" s="100">
        <f t="shared" si="30"/>
        <v>0</v>
      </c>
    </row>
    <row r="82" spans="1:37" s="92" customFormat="1" x14ac:dyDescent="0.2">
      <c r="A82" s="90">
        <v>3</v>
      </c>
      <c r="B82" s="90" t="s">
        <v>197</v>
      </c>
      <c r="C82" s="90">
        <v>1.5602536997885801</v>
      </c>
      <c r="D82" s="90">
        <v>1.8858952636463699</v>
      </c>
      <c r="E82" s="90" t="s">
        <v>228</v>
      </c>
      <c r="F82" s="90" t="s">
        <v>356</v>
      </c>
      <c r="G82" s="107">
        <v>35996.6</v>
      </c>
      <c r="H82" s="107">
        <f t="shared" ref="H82" si="35">2*(G82/PI())^0.5</f>
        <v>214.08478366295387</v>
      </c>
      <c r="I82" s="95">
        <v>306105433.5</v>
      </c>
      <c r="J82" s="90">
        <v>55626</v>
      </c>
      <c r="K82" s="90">
        <v>48389</v>
      </c>
      <c r="L82" s="90">
        <v>1366.25</v>
      </c>
      <c r="M82" s="90">
        <v>5.4605079500000002</v>
      </c>
      <c r="N82" s="90">
        <v>0.32566917000000001</v>
      </c>
      <c r="O82" s="90">
        <v>0.84109668000000004</v>
      </c>
      <c r="P82" s="90">
        <v>3.8638399999999999E-3</v>
      </c>
      <c r="Q82" s="90">
        <v>0.28787650999999997</v>
      </c>
      <c r="R82" s="90">
        <v>5.1113407479999999</v>
      </c>
      <c r="S82" s="90">
        <v>0.41648579000000002</v>
      </c>
      <c r="T82" s="90">
        <v>0.84526652999999996</v>
      </c>
      <c r="U82" s="90">
        <v>3.8706399999999998E-3</v>
      </c>
      <c r="V82" s="90">
        <v>0.21250168999999999</v>
      </c>
      <c r="W82" s="92">
        <f t="shared" si="20"/>
        <v>3.8185370279720283</v>
      </c>
      <c r="X82" s="92">
        <f t="shared" si="21"/>
        <v>0.22774067832167832</v>
      </c>
      <c r="Y82" s="92">
        <f t="shared" si="22"/>
        <v>0.84109668000000004</v>
      </c>
      <c r="Z82" s="92">
        <f t="shared" si="23"/>
        <v>3.8638399999999999E-3</v>
      </c>
      <c r="AA82" s="92">
        <f t="shared" si="24"/>
        <v>0.28787650999999997</v>
      </c>
      <c r="AB82" s="92">
        <f t="shared" si="25"/>
        <v>4.2242485520661157</v>
      </c>
      <c r="AC82" s="92">
        <f t="shared" si="26"/>
        <v>0.34420313223140497</v>
      </c>
      <c r="AD82" s="92">
        <f t="shared" si="27"/>
        <v>0.84526652999999996</v>
      </c>
      <c r="AE82" s="92">
        <f t="shared" si="28"/>
        <v>3.8706399999999998E-3</v>
      </c>
      <c r="AF82" s="92">
        <f t="shared" si="29"/>
        <v>0.21250168999999999</v>
      </c>
      <c r="AG82" s="96">
        <f t="shared" ref="AG82" si="36">(AD82-0.71188)/AB82</f>
        <v>3.1576392429550466E-2</v>
      </c>
      <c r="AH82" s="97">
        <f t="shared" si="33"/>
        <v>2225.0293687738194</v>
      </c>
      <c r="AI82" s="100">
        <f t="shared" ref="AI82" si="37">AH82*SQRT((AC82/AB82)^2+(AE82/(AD82-0.71188))^2-2*AF82*(AC82/AB82)*(AE82/(AD82-0.71188)))</f>
        <v>179.06403652950956</v>
      </c>
      <c r="AK82" s="100">
        <f t="shared" si="30"/>
        <v>214.08478366295387</v>
      </c>
    </row>
    <row r="83" spans="1:37" x14ac:dyDescent="0.2">
      <c r="A83" s="16">
        <v>4</v>
      </c>
      <c r="B83" s="16" t="s">
        <v>198</v>
      </c>
      <c r="C83" s="16">
        <v>1.27795527156549E-2</v>
      </c>
      <c r="D83" s="16">
        <v>0.59765112693230005</v>
      </c>
      <c r="E83" s="16" t="s">
        <v>228</v>
      </c>
      <c r="F83" s="16"/>
      <c r="G83" s="16"/>
      <c r="H83" s="16"/>
      <c r="I83" s="21">
        <v>172953801.80000001</v>
      </c>
      <c r="J83" s="16">
        <v>55677</v>
      </c>
      <c r="K83" s="16">
        <v>48297</v>
      </c>
      <c r="L83" s="16">
        <v>1366.25</v>
      </c>
      <c r="M83" s="16">
        <v>0.75748353999999996</v>
      </c>
      <c r="N83" s="16">
        <v>0.13003397</v>
      </c>
      <c r="O83" s="16">
        <v>0.7298692</v>
      </c>
      <c r="P83" s="16">
        <v>3.17535E-3</v>
      </c>
      <c r="Q83" s="16">
        <v>0.49511230000000001</v>
      </c>
      <c r="R83" s="90">
        <v>0.70904694300000004</v>
      </c>
      <c r="S83" s="16">
        <v>0.12792654000000001</v>
      </c>
      <c r="T83" s="16">
        <v>0.73348762999999995</v>
      </c>
      <c r="U83" s="16">
        <v>3.1797700000000002E-3</v>
      </c>
      <c r="V83" s="16">
        <v>0.47329921000000003</v>
      </c>
      <c r="W83">
        <f t="shared" si="20"/>
        <v>0.52970876923076926</v>
      </c>
      <c r="X83">
        <f t="shared" si="21"/>
        <v>9.0932846153846156E-2</v>
      </c>
      <c r="Y83">
        <f t="shared" si="22"/>
        <v>0.7298692</v>
      </c>
      <c r="Z83">
        <f t="shared" si="23"/>
        <v>3.17535E-3</v>
      </c>
      <c r="AA83">
        <f t="shared" si="24"/>
        <v>0.49511230000000001</v>
      </c>
      <c r="AB83">
        <f t="shared" si="25"/>
        <v>0.58598920909090912</v>
      </c>
      <c r="AC83">
        <f t="shared" si="26"/>
        <v>0.10572441322314051</v>
      </c>
      <c r="AD83">
        <f t="shared" si="27"/>
        <v>0.73348762999999995</v>
      </c>
      <c r="AE83">
        <f t="shared" si="28"/>
        <v>3.1797700000000002E-3</v>
      </c>
      <c r="AF83">
        <f t="shared" si="29"/>
        <v>0.47329921000000003</v>
      </c>
      <c r="AG83" s="48"/>
      <c r="AH83" s="93"/>
      <c r="AI83" s="74"/>
      <c r="AK83" s="100">
        <f t="shared" si="30"/>
        <v>0</v>
      </c>
    </row>
    <row r="84" spans="1:37" s="92" customFormat="1" x14ac:dyDescent="0.2">
      <c r="A84" s="90">
        <v>5</v>
      </c>
      <c r="B84" s="90" t="s">
        <v>199</v>
      </c>
      <c r="C84" s="90">
        <v>1.7270742358078599</v>
      </c>
      <c r="D84" s="90">
        <v>0.323446255873796</v>
      </c>
      <c r="E84" s="90" t="s">
        <v>228</v>
      </c>
      <c r="F84" s="90" t="s">
        <v>356</v>
      </c>
      <c r="G84" s="107">
        <v>35997</v>
      </c>
      <c r="H84" s="107">
        <f t="shared" ref="H84:H89" si="38">2*(G84/PI())^0.5</f>
        <v>214.08597313189776</v>
      </c>
      <c r="I84" s="95">
        <v>512012195.69999999</v>
      </c>
      <c r="J84" s="90">
        <v>55526</v>
      </c>
      <c r="K84" s="90">
        <v>48291</v>
      </c>
      <c r="L84" s="90">
        <v>1366.25</v>
      </c>
      <c r="M84" s="90">
        <v>2.5564639900000001</v>
      </c>
      <c r="N84" s="90">
        <v>1.2105056300000001</v>
      </c>
      <c r="O84" s="90">
        <v>0.77563314999999999</v>
      </c>
      <c r="P84" s="90">
        <v>2.253171E-2</v>
      </c>
      <c r="Q84" s="90">
        <v>0.98312758</v>
      </c>
      <c r="R84" s="90">
        <v>2.3929932329999999</v>
      </c>
      <c r="S84" s="90">
        <v>1.14086322</v>
      </c>
      <c r="T84" s="90">
        <v>0.77947845999999998</v>
      </c>
      <c r="U84" s="90">
        <v>2.264161E-2</v>
      </c>
      <c r="V84" s="90">
        <v>0.97654627000000005</v>
      </c>
      <c r="W84" s="92">
        <f t="shared" si="20"/>
        <v>1.7877370559440562</v>
      </c>
      <c r="X84" s="92">
        <f t="shared" si="21"/>
        <v>0.84650743356643365</v>
      </c>
      <c r="Y84" s="92">
        <f t="shared" si="22"/>
        <v>0.77563314999999999</v>
      </c>
      <c r="Z84" s="92">
        <f t="shared" si="23"/>
        <v>2.253171E-2</v>
      </c>
      <c r="AA84" s="92">
        <f t="shared" si="24"/>
        <v>0.98312758</v>
      </c>
      <c r="AB84" s="92">
        <f t="shared" si="25"/>
        <v>1.9776803578512396</v>
      </c>
      <c r="AC84" s="92">
        <f t="shared" si="26"/>
        <v>0.94286216528925615</v>
      </c>
      <c r="AD84" s="92">
        <f t="shared" si="27"/>
        <v>0.77947845999999998</v>
      </c>
      <c r="AE84" s="92">
        <f t="shared" si="28"/>
        <v>2.264161E-2</v>
      </c>
      <c r="AF84" s="92">
        <f t="shared" si="29"/>
        <v>0.97654627000000005</v>
      </c>
      <c r="AG84" s="96">
        <f t="shared" ref="AG84:AG89" si="39">(AD84-0.71188)/AB84</f>
        <v>3.4180680276081683E-2</v>
      </c>
      <c r="AH84" s="97">
        <f t="shared" si="33"/>
        <v>2405.4895481160902</v>
      </c>
      <c r="AI84" s="100">
        <f t="shared" ref="AI84:AI89" si="40">AH84*SQRT((AC84/AB84)^2+(AE84/(AD84-0.71188))^2-2*AF84*(AC84/AB84)*(AE84/(AD84-0.71188)))</f>
        <v>399.63097341839</v>
      </c>
      <c r="AK84" s="100">
        <f t="shared" si="30"/>
        <v>214.08597313189776</v>
      </c>
    </row>
    <row r="85" spans="1:37" s="92" customFormat="1" x14ac:dyDescent="0.2">
      <c r="A85" s="90">
        <v>6</v>
      </c>
      <c r="B85" s="90" t="s">
        <v>200</v>
      </c>
      <c r="C85" s="90">
        <v>2.6643356643356602</v>
      </c>
      <c r="D85" s="90">
        <v>2.47632670882223</v>
      </c>
      <c r="E85" s="90" t="s">
        <v>228</v>
      </c>
      <c r="F85" s="90" t="s">
        <v>356</v>
      </c>
      <c r="G85" s="107">
        <v>106906.7</v>
      </c>
      <c r="H85" s="107">
        <f t="shared" si="38"/>
        <v>368.94151031991322</v>
      </c>
      <c r="I85" s="95">
        <v>263917950</v>
      </c>
      <c r="J85" s="90">
        <v>56279</v>
      </c>
      <c r="K85" s="90">
        <v>50551</v>
      </c>
      <c r="L85" s="90">
        <v>1423.13</v>
      </c>
      <c r="M85" s="90">
        <v>7.9155650499999997</v>
      </c>
      <c r="N85" s="90">
        <v>0.38091865000000003</v>
      </c>
      <c r="O85" s="90">
        <v>0.89332230999999995</v>
      </c>
      <c r="P85" s="90">
        <v>6.5727499999999996E-3</v>
      </c>
      <c r="Q85" s="90">
        <v>0.72605790999999997</v>
      </c>
      <c r="R85" s="90">
        <v>7.4094114690000001</v>
      </c>
      <c r="S85" s="90">
        <v>0.54438752999999995</v>
      </c>
      <c r="T85" s="90">
        <v>0.89775108000000003</v>
      </c>
      <c r="U85" s="90">
        <v>6.5971500000000004E-3</v>
      </c>
      <c r="V85" s="90">
        <v>0.47691466999999998</v>
      </c>
      <c r="W85" s="92">
        <f t="shared" si="20"/>
        <v>5.5353601748251746</v>
      </c>
      <c r="X85" s="92">
        <f t="shared" si="21"/>
        <v>0.26637667832167833</v>
      </c>
      <c r="Y85" s="92">
        <f t="shared" si="22"/>
        <v>0.89332230999999995</v>
      </c>
      <c r="Z85" s="92">
        <f t="shared" si="23"/>
        <v>6.5727499999999996E-3</v>
      </c>
      <c r="AA85" s="92">
        <f t="shared" si="24"/>
        <v>0.72605790999999997</v>
      </c>
      <c r="AB85" s="92">
        <f t="shared" si="25"/>
        <v>6.1234805528925627</v>
      </c>
      <c r="AC85" s="92">
        <f t="shared" si="26"/>
        <v>0.44990704958677685</v>
      </c>
      <c r="AD85" s="92">
        <f t="shared" si="27"/>
        <v>0.89775108000000003</v>
      </c>
      <c r="AE85" s="92">
        <f t="shared" si="28"/>
        <v>6.5971500000000004E-3</v>
      </c>
      <c r="AF85" s="92">
        <f t="shared" si="29"/>
        <v>0.47691466999999998</v>
      </c>
      <c r="AG85" s="96">
        <f t="shared" si="39"/>
        <v>3.0353828740780391E-2</v>
      </c>
      <c r="AH85" s="97">
        <f t="shared" si="33"/>
        <v>2140.1564772625475</v>
      </c>
      <c r="AI85" s="100">
        <f t="shared" si="40"/>
        <v>138.21164731518797</v>
      </c>
      <c r="AK85" s="100">
        <f t="shared" si="30"/>
        <v>368.94151031991322</v>
      </c>
    </row>
    <row r="86" spans="1:37" s="92" customFormat="1" x14ac:dyDescent="0.2">
      <c r="A86" s="90">
        <v>7</v>
      </c>
      <c r="B86" s="90" t="s">
        <v>201</v>
      </c>
      <c r="C86" s="90">
        <v>6.8630952380952301</v>
      </c>
      <c r="D86" s="90">
        <v>1.970874465316</v>
      </c>
      <c r="E86" s="90" t="s">
        <v>228</v>
      </c>
      <c r="F86" s="90" t="s">
        <v>356</v>
      </c>
      <c r="G86" s="107">
        <v>106906.7</v>
      </c>
      <c r="H86" s="107">
        <f t="shared" si="38"/>
        <v>368.94151031991322</v>
      </c>
      <c r="I86" s="95">
        <v>288081537.10000002</v>
      </c>
      <c r="J86" s="90">
        <v>56377</v>
      </c>
      <c r="K86" s="90">
        <v>50617</v>
      </c>
      <c r="L86" s="90">
        <v>1423.13</v>
      </c>
      <c r="M86" s="90">
        <v>9.4222885400000003</v>
      </c>
      <c r="N86" s="90">
        <v>0.57860889000000004</v>
      </c>
      <c r="O86" s="90">
        <v>0.95719261</v>
      </c>
      <c r="P86" s="90">
        <v>1.330868E-2</v>
      </c>
      <c r="Q86" s="90">
        <v>0.82545924999999998</v>
      </c>
      <c r="R86" s="90">
        <v>8.8197888990000006</v>
      </c>
      <c r="S86" s="90">
        <v>0.73014904000000003</v>
      </c>
      <c r="T86" s="90">
        <v>0.96193803</v>
      </c>
      <c r="U86" s="90">
        <v>1.337002E-2</v>
      </c>
      <c r="V86" s="90">
        <v>0.61288498000000002</v>
      </c>
      <c r="W86" s="92">
        <f t="shared" si="20"/>
        <v>6.5890129650349651</v>
      </c>
      <c r="X86" s="92">
        <f t="shared" si="21"/>
        <v>0.40462160139860143</v>
      </c>
      <c r="Y86" s="92">
        <f t="shared" si="22"/>
        <v>0.95719261</v>
      </c>
      <c r="Z86" s="92">
        <f t="shared" si="23"/>
        <v>1.330868E-2</v>
      </c>
      <c r="AA86" s="92">
        <f t="shared" si="24"/>
        <v>0.82545924999999998</v>
      </c>
      <c r="AB86" s="92">
        <f t="shared" si="25"/>
        <v>7.2890817347107442</v>
      </c>
      <c r="AC86" s="92">
        <f t="shared" si="26"/>
        <v>0.60342895867768598</v>
      </c>
      <c r="AD86" s="92">
        <f t="shared" si="27"/>
        <v>0.96193803</v>
      </c>
      <c r="AE86" s="92">
        <f t="shared" si="28"/>
        <v>1.337002E-2</v>
      </c>
      <c r="AF86" s="92">
        <f t="shared" si="29"/>
        <v>0.61288498000000002</v>
      </c>
      <c r="AG86" s="96">
        <f t="shared" si="39"/>
        <v>3.4305834273913954E-2</v>
      </c>
      <c r="AH86" s="97">
        <f t="shared" si="33"/>
        <v>2414.1504566539447</v>
      </c>
      <c r="AI86" s="100">
        <f t="shared" si="40"/>
        <v>158.05825795264684</v>
      </c>
      <c r="AK86" s="100">
        <f t="shared" si="30"/>
        <v>368.94151031991322</v>
      </c>
    </row>
    <row r="87" spans="1:37" s="92" customFormat="1" x14ac:dyDescent="0.2">
      <c r="A87" s="90">
        <v>10</v>
      </c>
      <c r="B87" s="90" t="s">
        <v>202</v>
      </c>
      <c r="C87" s="90">
        <v>4.93893129770992</v>
      </c>
      <c r="D87" s="90">
        <v>7.7358072098940998</v>
      </c>
      <c r="E87" s="90" t="s">
        <v>228</v>
      </c>
      <c r="F87" s="90" t="s">
        <v>356</v>
      </c>
      <c r="G87" s="107">
        <v>106906.7</v>
      </c>
      <c r="H87" s="107">
        <f t="shared" si="38"/>
        <v>368.94151031991322</v>
      </c>
      <c r="I87" s="95">
        <v>302015084.69999999</v>
      </c>
      <c r="J87" s="90">
        <v>56441</v>
      </c>
      <c r="K87" s="90">
        <v>50485</v>
      </c>
      <c r="L87" s="90">
        <v>1423.13</v>
      </c>
      <c r="M87" s="90">
        <v>8.6110480999999996</v>
      </c>
      <c r="N87" s="90">
        <v>1.14073924</v>
      </c>
      <c r="O87" s="90">
        <v>0.94843113000000001</v>
      </c>
      <c r="P87" s="90">
        <v>3.856163E-2</v>
      </c>
      <c r="Q87" s="90">
        <v>0.97648062999999996</v>
      </c>
      <c r="R87" s="90">
        <v>8.0191268149999999</v>
      </c>
      <c r="S87" s="90">
        <v>1.2197189799999999</v>
      </c>
      <c r="T87" s="90">
        <v>0.95228027999999998</v>
      </c>
      <c r="U87" s="90">
        <v>3.871749E-2</v>
      </c>
      <c r="V87" s="90">
        <v>0.85014462000000002</v>
      </c>
      <c r="W87" s="92">
        <f t="shared" si="20"/>
        <v>6.0217119580419585</v>
      </c>
      <c r="X87" s="92">
        <f t="shared" si="21"/>
        <v>0.7977197482517483</v>
      </c>
      <c r="Y87" s="92">
        <f t="shared" si="22"/>
        <v>0.94843113000000001</v>
      </c>
      <c r="Z87" s="92">
        <f t="shared" si="23"/>
        <v>3.856163E-2</v>
      </c>
      <c r="AA87" s="92">
        <f t="shared" si="24"/>
        <v>0.97648062999999996</v>
      </c>
      <c r="AB87" s="92">
        <f t="shared" si="25"/>
        <v>6.6273775330578513</v>
      </c>
      <c r="AC87" s="92">
        <f t="shared" si="26"/>
        <v>1.008032214876033</v>
      </c>
      <c r="AD87" s="92">
        <f t="shared" si="27"/>
        <v>0.95228027999999998</v>
      </c>
      <c r="AE87" s="92">
        <f t="shared" si="28"/>
        <v>3.871749E-2</v>
      </c>
      <c r="AF87" s="92">
        <f t="shared" si="29"/>
        <v>0.85014462000000002</v>
      </c>
      <c r="AG87" s="96">
        <f t="shared" si="39"/>
        <v>3.6273817026548673E-2</v>
      </c>
      <c r="AH87" s="97">
        <f t="shared" si="33"/>
        <v>2550.2011927290023</v>
      </c>
      <c r="AI87" s="100">
        <f t="shared" si="40"/>
        <v>219.70300183497568</v>
      </c>
      <c r="AK87" s="100">
        <f t="shared" si="30"/>
        <v>368.94151031991322</v>
      </c>
    </row>
    <row r="88" spans="1:37" s="92" customFormat="1" x14ac:dyDescent="0.2">
      <c r="A88" s="90">
        <v>11</v>
      </c>
      <c r="B88" s="90" t="s">
        <v>203</v>
      </c>
      <c r="C88" s="90">
        <v>5.6956521739130404</v>
      </c>
      <c r="D88" s="90">
        <v>5.3495741010799698</v>
      </c>
      <c r="E88" s="90" t="s">
        <v>228</v>
      </c>
      <c r="F88" s="90" t="s">
        <v>356</v>
      </c>
      <c r="G88" s="107">
        <v>106906.7</v>
      </c>
      <c r="H88" s="107">
        <f t="shared" si="38"/>
        <v>368.94151031991322</v>
      </c>
      <c r="I88" s="95">
        <v>297267659.5</v>
      </c>
      <c r="J88" s="90">
        <v>56521</v>
      </c>
      <c r="K88" s="90">
        <v>50355</v>
      </c>
      <c r="L88" s="90">
        <v>1423.13</v>
      </c>
      <c r="M88" s="90">
        <v>7.9849524199999999</v>
      </c>
      <c r="N88" s="90">
        <v>0.63360167999999994</v>
      </c>
      <c r="O88" s="90">
        <v>0.90970901000000004</v>
      </c>
      <c r="P88" s="90">
        <v>1.2697109999999999E-2</v>
      </c>
      <c r="Q88" s="90">
        <v>0.88819369000000004</v>
      </c>
      <c r="R88" s="90">
        <v>7.4360687939999996</v>
      </c>
      <c r="S88" s="90">
        <v>0.81055814000000004</v>
      </c>
      <c r="T88" s="90">
        <v>0.91340100999999996</v>
      </c>
      <c r="U88" s="90">
        <v>1.2746840000000001E-2</v>
      </c>
      <c r="V88" s="90">
        <v>0.64525579</v>
      </c>
      <c r="W88" s="92">
        <f t="shared" si="20"/>
        <v>5.5838828111888112</v>
      </c>
      <c r="X88" s="92">
        <f t="shared" si="21"/>
        <v>0.4430780979020979</v>
      </c>
      <c r="Y88" s="92">
        <f t="shared" si="22"/>
        <v>0.90970901000000004</v>
      </c>
      <c r="Z88" s="92">
        <f t="shared" si="23"/>
        <v>1.2697109999999999E-2</v>
      </c>
      <c r="AA88" s="92">
        <f t="shared" si="24"/>
        <v>0.88819369000000004</v>
      </c>
      <c r="AB88" s="92">
        <f t="shared" si="25"/>
        <v>6.1455114000000002</v>
      </c>
      <c r="AC88" s="92">
        <f t="shared" si="26"/>
        <v>0.66988276033057859</v>
      </c>
      <c r="AD88" s="92">
        <f t="shared" si="27"/>
        <v>0.91340100999999996</v>
      </c>
      <c r="AE88" s="92">
        <f t="shared" si="28"/>
        <v>1.2746840000000001E-2</v>
      </c>
      <c r="AF88" s="92">
        <f t="shared" si="29"/>
        <v>0.64525579</v>
      </c>
      <c r="AG88" s="96">
        <f t="shared" si="39"/>
        <v>3.2791576954848703E-2</v>
      </c>
      <c r="AH88" s="97">
        <f t="shared" si="33"/>
        <v>2309.2903645654947</v>
      </c>
      <c r="AI88" s="100">
        <f t="shared" si="40"/>
        <v>193.00054901957733</v>
      </c>
      <c r="AK88" s="100">
        <f t="shared" si="30"/>
        <v>368.94151031991322</v>
      </c>
    </row>
    <row r="89" spans="1:37" s="92" customFormat="1" x14ac:dyDescent="0.2">
      <c r="A89" s="90">
        <v>12</v>
      </c>
      <c r="B89" s="90" t="s">
        <v>204</v>
      </c>
      <c r="C89" s="90">
        <v>2.2819148936170199</v>
      </c>
      <c r="D89" s="90">
        <v>0.71725634299497398</v>
      </c>
      <c r="E89" s="90" t="s">
        <v>228</v>
      </c>
      <c r="F89" s="90" t="s">
        <v>356</v>
      </c>
      <c r="G89" s="108">
        <v>8401.9500000000007</v>
      </c>
      <c r="H89" s="107">
        <f t="shared" si="38"/>
        <v>103.42966205536786</v>
      </c>
      <c r="I89" s="95">
        <v>338071902.60000002</v>
      </c>
      <c r="J89" s="90">
        <v>55042</v>
      </c>
      <c r="K89" s="90">
        <v>52009</v>
      </c>
      <c r="L89" s="90">
        <v>1383.44</v>
      </c>
      <c r="M89" s="90">
        <v>4.9892865799999999</v>
      </c>
      <c r="N89" s="90">
        <v>0.46510375999999998</v>
      </c>
      <c r="O89" s="90">
        <v>0.80063145000000002</v>
      </c>
      <c r="P89" s="90">
        <v>5.2191900000000003E-3</v>
      </c>
      <c r="Q89" s="90">
        <v>0.92751698000000005</v>
      </c>
      <c r="R89" s="90">
        <v>4.6463242730000003</v>
      </c>
      <c r="S89" s="90">
        <v>0.55514348000000002</v>
      </c>
      <c r="T89" s="90">
        <v>0.80388075999999997</v>
      </c>
      <c r="U89" s="90">
        <v>5.2369799999999996E-3</v>
      </c>
      <c r="V89" s="90">
        <v>0.72140037000000001</v>
      </c>
      <c r="W89" s="92">
        <f t="shared" si="20"/>
        <v>3.4890115944055946</v>
      </c>
      <c r="X89" s="92">
        <f t="shared" si="21"/>
        <v>0.3252473846153846</v>
      </c>
      <c r="Y89" s="92">
        <f t="shared" si="22"/>
        <v>0.80063145000000002</v>
      </c>
      <c r="Z89" s="92">
        <f t="shared" si="23"/>
        <v>5.2191900000000003E-3</v>
      </c>
      <c r="AA89" s="92">
        <f t="shared" si="24"/>
        <v>0.92751698000000005</v>
      </c>
      <c r="AB89" s="92">
        <f t="shared" si="25"/>
        <v>3.8399374157024795</v>
      </c>
      <c r="AC89" s="92">
        <f t="shared" si="26"/>
        <v>0.45879626446280997</v>
      </c>
      <c r="AD89" s="92">
        <f t="shared" si="27"/>
        <v>0.80388075999999997</v>
      </c>
      <c r="AE89" s="92">
        <f t="shared" si="28"/>
        <v>5.2369799999999996E-3</v>
      </c>
      <c r="AF89" s="92">
        <f t="shared" si="29"/>
        <v>0.72140037000000001</v>
      </c>
      <c r="AG89" s="96">
        <f t="shared" si="39"/>
        <v>2.3958921732366141E-2</v>
      </c>
      <c r="AH89" s="97">
        <f t="shared" si="33"/>
        <v>1694.5612880712731</v>
      </c>
      <c r="AI89" s="100">
        <f t="shared" si="40"/>
        <v>148.72600300206491</v>
      </c>
      <c r="AK89" s="100">
        <f t="shared" si="30"/>
        <v>103.42966205536786</v>
      </c>
    </row>
    <row r="90" spans="1:37" x14ac:dyDescent="0.2">
      <c r="A90" s="16">
        <v>13</v>
      </c>
      <c r="B90" s="16" t="s">
        <v>205</v>
      </c>
      <c r="C90" s="16">
        <v>5.7840616966580903E-2</v>
      </c>
      <c r="D90" s="16">
        <v>0.69775900950490899</v>
      </c>
      <c r="E90" s="16" t="s">
        <v>228</v>
      </c>
      <c r="F90" s="16"/>
      <c r="G90" s="16"/>
      <c r="H90" s="16"/>
      <c r="I90" s="21">
        <v>290446184</v>
      </c>
      <c r="J90" s="16">
        <v>54973</v>
      </c>
      <c r="K90" s="16">
        <v>52079</v>
      </c>
      <c r="L90" s="16">
        <v>1383.44</v>
      </c>
      <c r="M90" s="16">
        <v>0.21855664</v>
      </c>
      <c r="N90" s="16">
        <v>1.5968840000000002E-2</v>
      </c>
      <c r="O90" s="16">
        <v>0.72386019999999995</v>
      </c>
      <c r="P90" s="16">
        <v>3.2285999999999999E-3</v>
      </c>
      <c r="Q90" s="16">
        <v>-4.6894999999999999E-2</v>
      </c>
      <c r="R90" s="90">
        <v>0.20353311199999999</v>
      </c>
      <c r="S90" s="16">
        <v>2.1272800000000001E-2</v>
      </c>
      <c r="T90" s="16">
        <v>0.72679795000000003</v>
      </c>
      <c r="U90" s="16">
        <v>3.2372199999999999E-3</v>
      </c>
      <c r="V90" s="16">
        <v>-3.7398199999999999E-2</v>
      </c>
      <c r="W90">
        <f t="shared" si="20"/>
        <v>0.15283681118881121</v>
      </c>
      <c r="X90">
        <f t="shared" si="21"/>
        <v>1.116702097902098E-2</v>
      </c>
      <c r="Y90">
        <f t="shared" si="22"/>
        <v>0.72386019999999995</v>
      </c>
      <c r="Z90">
        <f t="shared" si="23"/>
        <v>3.2285999999999999E-3</v>
      </c>
      <c r="AA90">
        <f t="shared" si="24"/>
        <v>-4.6894999999999999E-2</v>
      </c>
      <c r="AB90">
        <f t="shared" si="25"/>
        <v>0.16820918347107439</v>
      </c>
      <c r="AC90">
        <f t="shared" si="26"/>
        <v>1.7580826446280992E-2</v>
      </c>
      <c r="AD90">
        <f t="shared" si="27"/>
        <v>0.72679795000000003</v>
      </c>
      <c r="AE90">
        <f t="shared" si="28"/>
        <v>3.2372199999999999E-3</v>
      </c>
      <c r="AF90">
        <f t="shared" si="29"/>
        <v>-3.7398199999999999E-2</v>
      </c>
      <c r="AG90" s="48"/>
      <c r="AH90" s="93"/>
      <c r="AI90" s="74"/>
      <c r="AK90" s="100">
        <f t="shared" si="30"/>
        <v>0</v>
      </c>
    </row>
    <row r="91" spans="1:37" s="92" customFormat="1" x14ac:dyDescent="0.2">
      <c r="A91" s="90">
        <v>14</v>
      </c>
      <c r="B91" s="90" t="s">
        <v>206</v>
      </c>
      <c r="C91" s="90">
        <v>10.893442622950801</v>
      </c>
      <c r="D91" s="90">
        <v>2.0841333066784302</v>
      </c>
      <c r="E91" s="90" t="s">
        <v>228</v>
      </c>
      <c r="F91" s="90" t="s">
        <v>356</v>
      </c>
      <c r="G91" s="108">
        <v>9652.99</v>
      </c>
      <c r="H91" s="107">
        <f t="shared" ref="H91" si="41">2*(G91/PI())^0.5</f>
        <v>110.86283684325004</v>
      </c>
      <c r="I91" s="95">
        <v>263357277.90000001</v>
      </c>
      <c r="J91" s="90">
        <v>53921</v>
      </c>
      <c r="K91" s="90">
        <v>53583</v>
      </c>
      <c r="L91" s="90">
        <v>1372.19</v>
      </c>
      <c r="M91" s="90">
        <v>8.1702205899999996</v>
      </c>
      <c r="N91" s="90">
        <v>0.69126341000000002</v>
      </c>
      <c r="O91" s="90">
        <v>0.97952159999999999</v>
      </c>
      <c r="P91" s="90">
        <v>2.4595369999999998E-2</v>
      </c>
      <c r="Q91" s="90">
        <v>0.97702791</v>
      </c>
      <c r="R91" s="90">
        <v>7.6086016790000004</v>
      </c>
      <c r="S91" s="90">
        <v>0.85892665999999995</v>
      </c>
      <c r="T91" s="90">
        <v>0.98349692</v>
      </c>
      <c r="U91" s="90">
        <v>2.4694109999999998E-2</v>
      </c>
      <c r="V91" s="90">
        <v>0.73154171999999995</v>
      </c>
      <c r="W91" s="92">
        <f t="shared" si="20"/>
        <v>5.7134409720279722</v>
      </c>
      <c r="X91" s="92">
        <f t="shared" si="21"/>
        <v>0.48340098601398607</v>
      </c>
      <c r="Y91" s="92">
        <f t="shared" si="22"/>
        <v>0.97952159999999999</v>
      </c>
      <c r="Z91" s="92">
        <f t="shared" si="23"/>
        <v>2.4595369999999998E-2</v>
      </c>
      <c r="AA91" s="92">
        <f t="shared" si="24"/>
        <v>0.97702791</v>
      </c>
      <c r="AB91" s="92">
        <f t="shared" si="25"/>
        <v>6.2881005611570249</v>
      </c>
      <c r="AC91" s="92">
        <f t="shared" si="26"/>
        <v>0.70985674380165287</v>
      </c>
      <c r="AD91" s="92">
        <f t="shared" si="27"/>
        <v>0.98349692</v>
      </c>
      <c r="AE91" s="92">
        <f t="shared" si="28"/>
        <v>2.4694109999999998E-2</v>
      </c>
      <c r="AF91" s="92">
        <f t="shared" si="29"/>
        <v>0.73154171999999995</v>
      </c>
      <c r="AG91" s="96">
        <f t="shared" ref="AG91" si="42">(AD91-0.71188)/AB91</f>
        <v>4.3195384259252671E-2</v>
      </c>
      <c r="AH91" s="97">
        <f t="shared" si="33"/>
        <v>3026.6595750324891</v>
      </c>
      <c r="AI91" s="100">
        <f t="shared" ref="AI91" si="43">AH91*SQRT((AC91/AB91)^2+(AE91/(AD91-0.71188))^2-2*AF91*(AC91/AB91)*(AE91/(AD91-0.71188)))</f>
        <v>234.3148350209305</v>
      </c>
      <c r="AK91" s="100">
        <f t="shared" si="30"/>
        <v>110.86283684325004</v>
      </c>
    </row>
    <row r="92" spans="1:37" x14ac:dyDescent="0.2">
      <c r="A92" s="16">
        <v>17</v>
      </c>
      <c r="B92" s="16" t="s">
        <v>207</v>
      </c>
      <c r="C92" s="16">
        <v>0.1396933560477</v>
      </c>
      <c r="D92" s="16">
        <v>6.14892012784596</v>
      </c>
      <c r="E92" s="16" t="s">
        <v>228</v>
      </c>
      <c r="F92" s="16"/>
      <c r="G92" s="16"/>
      <c r="H92" s="16"/>
      <c r="I92" s="21">
        <v>236437857.90000001</v>
      </c>
      <c r="J92" s="16">
        <v>54038</v>
      </c>
      <c r="K92" s="16">
        <v>53574</v>
      </c>
      <c r="L92" s="16">
        <v>1372.19</v>
      </c>
      <c r="M92" s="16">
        <v>0.33795359000000003</v>
      </c>
      <c r="N92" s="16">
        <v>8.0899189999999996E-2</v>
      </c>
      <c r="O92" s="16">
        <v>0.72973416000000002</v>
      </c>
      <c r="P92" s="16">
        <v>2.4796599999999999E-3</v>
      </c>
      <c r="Q92" s="16">
        <v>0.68939302999999996</v>
      </c>
      <c r="R92" s="90">
        <v>0.316717262</v>
      </c>
      <c r="S92" s="16">
        <v>7.9434539999999998E-2</v>
      </c>
      <c r="T92" s="16">
        <v>0.73246538000000005</v>
      </c>
      <c r="U92" s="16">
        <v>2.4813299999999999E-3</v>
      </c>
      <c r="V92" s="16">
        <v>0.65885724999999995</v>
      </c>
      <c r="W92">
        <f t="shared" si="20"/>
        <v>0.23633118181818186</v>
      </c>
      <c r="X92">
        <f t="shared" si="21"/>
        <v>5.657286013986014E-2</v>
      </c>
      <c r="Y92">
        <f t="shared" si="22"/>
        <v>0.72973416000000002</v>
      </c>
      <c r="Z92">
        <f t="shared" si="23"/>
        <v>2.4796599999999999E-3</v>
      </c>
      <c r="AA92">
        <f t="shared" si="24"/>
        <v>0.68939302999999996</v>
      </c>
      <c r="AB92">
        <f t="shared" si="25"/>
        <v>0.26174980330578512</v>
      </c>
      <c r="AC92">
        <f t="shared" si="26"/>
        <v>6.5648380165289261E-2</v>
      </c>
      <c r="AD92">
        <f t="shared" si="27"/>
        <v>0.73246538000000005</v>
      </c>
      <c r="AE92">
        <f t="shared" si="28"/>
        <v>2.4813299999999999E-3</v>
      </c>
      <c r="AF92">
        <f t="shared" si="29"/>
        <v>0.65885724999999995</v>
      </c>
      <c r="AG92" s="48"/>
      <c r="AH92" s="93"/>
      <c r="AI92" s="74"/>
      <c r="AK92" s="100">
        <f t="shared" si="30"/>
        <v>0</v>
      </c>
    </row>
    <row r="93" spans="1:37" s="92" customFormat="1" x14ac:dyDescent="0.2">
      <c r="A93" s="90">
        <v>18</v>
      </c>
      <c r="B93" s="90" t="s">
        <v>208</v>
      </c>
      <c r="C93" s="90">
        <v>0.68613138686131303</v>
      </c>
      <c r="D93" s="90">
        <v>0.51015996133423402</v>
      </c>
      <c r="E93" s="90" t="s">
        <v>228</v>
      </c>
      <c r="F93" s="90" t="s">
        <v>356</v>
      </c>
      <c r="G93" s="108">
        <v>24425.05</v>
      </c>
      <c r="H93" s="107">
        <f t="shared" ref="H93" si="44">2*(G93/PI())^0.5</f>
        <v>176.3489142074132</v>
      </c>
      <c r="I93" s="95">
        <v>484408849.39999998</v>
      </c>
      <c r="J93" s="90">
        <v>49768</v>
      </c>
      <c r="K93" s="90">
        <v>55238</v>
      </c>
      <c r="L93" s="90">
        <v>1230.31</v>
      </c>
      <c r="M93" s="90">
        <v>2.4663256599999999</v>
      </c>
      <c r="N93" s="90">
        <v>0.59810856000000001</v>
      </c>
      <c r="O93" s="90">
        <v>0.77572646000000001</v>
      </c>
      <c r="P93" s="90">
        <v>1.0355980000000001E-2</v>
      </c>
      <c r="Q93" s="90">
        <v>0.99341858000000005</v>
      </c>
      <c r="R93" s="90">
        <v>2.3113466759999999</v>
      </c>
      <c r="S93" s="90">
        <v>0.58660897999999995</v>
      </c>
      <c r="T93" s="90">
        <v>0.77862982000000003</v>
      </c>
      <c r="U93" s="90">
        <v>1.039269E-2</v>
      </c>
      <c r="V93" s="90">
        <v>0.94914511000000001</v>
      </c>
      <c r="W93" s="92">
        <f t="shared" si="20"/>
        <v>1.7247032587412587</v>
      </c>
      <c r="X93" s="92">
        <f t="shared" si="21"/>
        <v>0.41825773426573432</v>
      </c>
      <c r="Y93" s="92">
        <f t="shared" si="22"/>
        <v>0.77572646000000001</v>
      </c>
      <c r="Z93" s="92">
        <f t="shared" si="23"/>
        <v>1.0355980000000001E-2</v>
      </c>
      <c r="AA93" s="92">
        <f t="shared" si="24"/>
        <v>0.99341858000000005</v>
      </c>
      <c r="AB93" s="92">
        <f t="shared" si="25"/>
        <v>1.9102038644628099</v>
      </c>
      <c r="AC93" s="92">
        <f t="shared" si="26"/>
        <v>0.48480080991735536</v>
      </c>
      <c r="AD93" s="92">
        <f t="shared" si="27"/>
        <v>0.77862982000000003</v>
      </c>
      <c r="AE93" s="92">
        <f t="shared" si="28"/>
        <v>1.039269E-2</v>
      </c>
      <c r="AF93" s="92">
        <f t="shared" si="29"/>
        <v>0.94914511000000001</v>
      </c>
      <c r="AG93" s="96">
        <f t="shared" ref="AG93" si="45">(AD93-0.71188)/AB93</f>
        <v>3.4943819998380928E-2</v>
      </c>
      <c r="AH93" s="97">
        <f t="shared" si="33"/>
        <v>2458.28407166535</v>
      </c>
      <c r="AI93" s="100">
        <f t="shared" ref="AI93" si="46">AH93*SQRT((AC93/AB93)^2+(AE93/(AD93-0.71188))^2-2*AF93*(AC93/AB93)*(AE93/(AD93-0.71188)))</f>
        <v>287.13037255359376</v>
      </c>
      <c r="AK93" s="100">
        <f t="shared" si="30"/>
        <v>176.3489142074132</v>
      </c>
    </row>
    <row r="94" spans="1:37" x14ac:dyDescent="0.2">
      <c r="A94" s="16">
        <v>19</v>
      </c>
      <c r="B94" s="16" t="s">
        <v>209</v>
      </c>
      <c r="C94" s="16">
        <v>7.4889867841409594E-2</v>
      </c>
      <c r="D94" s="16">
        <v>0.44778661797167102</v>
      </c>
      <c r="E94" s="16" t="s">
        <v>228</v>
      </c>
      <c r="F94" s="16"/>
      <c r="G94" s="16"/>
      <c r="H94" s="16"/>
      <c r="I94" s="21">
        <v>337963075.19999999</v>
      </c>
      <c r="J94" s="16">
        <v>49728</v>
      </c>
      <c r="K94" s="16">
        <v>55084</v>
      </c>
      <c r="L94" s="16">
        <v>1230.31</v>
      </c>
      <c r="M94" s="16">
        <v>0.30235649999999997</v>
      </c>
      <c r="N94" s="16">
        <v>2.1666270000000001E-2</v>
      </c>
      <c r="O94" s="16">
        <v>0.72229940999999998</v>
      </c>
      <c r="P94" s="16">
        <v>2.0156100000000001E-3</v>
      </c>
      <c r="Q94" s="16">
        <v>5.1502109999999997E-2</v>
      </c>
      <c r="R94" s="90">
        <v>0.28335701899999999</v>
      </c>
      <c r="S94" s="16">
        <v>2.9359739999999999E-2</v>
      </c>
      <c r="T94" s="16">
        <v>0.72500279999999995</v>
      </c>
      <c r="U94" s="16">
        <v>2.0139699999999999E-3</v>
      </c>
      <c r="V94" s="16">
        <v>3.2395590000000002E-2</v>
      </c>
      <c r="W94">
        <f t="shared" si="20"/>
        <v>0.21143811188811187</v>
      </c>
      <c r="X94">
        <f t="shared" si="21"/>
        <v>1.5151237762237764E-2</v>
      </c>
      <c r="Y94">
        <f t="shared" si="22"/>
        <v>0.72229940999999998</v>
      </c>
      <c r="Z94">
        <f t="shared" si="23"/>
        <v>2.0156100000000001E-3</v>
      </c>
      <c r="AA94">
        <f t="shared" si="24"/>
        <v>5.1502109999999997E-2</v>
      </c>
      <c r="AB94">
        <f t="shared" si="25"/>
        <v>0.23417935454545455</v>
      </c>
      <c r="AC94">
        <f t="shared" si="26"/>
        <v>2.4264247933884295E-2</v>
      </c>
      <c r="AD94">
        <f t="shared" si="27"/>
        <v>0.72500279999999995</v>
      </c>
      <c r="AE94">
        <f t="shared" si="28"/>
        <v>2.0139699999999999E-3</v>
      </c>
      <c r="AF94">
        <f t="shared" si="29"/>
        <v>3.2395590000000002E-2</v>
      </c>
      <c r="AG94" s="48"/>
      <c r="AH94" s="93"/>
      <c r="AI94" s="74"/>
      <c r="AK94" s="100">
        <f t="shared" si="30"/>
        <v>0</v>
      </c>
    </row>
    <row r="95" spans="1:37" s="92" customFormat="1" x14ac:dyDescent="0.2">
      <c r="A95" s="90">
        <v>20</v>
      </c>
      <c r="B95" s="90" t="s">
        <v>210</v>
      </c>
      <c r="C95" s="90">
        <v>2.7519083969465599</v>
      </c>
      <c r="D95" s="90">
        <v>0.120944543018696</v>
      </c>
      <c r="E95" s="90" t="s">
        <v>228</v>
      </c>
      <c r="F95" s="90" t="s">
        <v>356</v>
      </c>
      <c r="G95" s="107">
        <v>39885.17</v>
      </c>
      <c r="H95" s="107">
        <f t="shared" ref="H95:H98" si="47">2*(G95/PI())^0.5</f>
        <v>225.35167115529578</v>
      </c>
      <c r="I95" s="95">
        <v>351783493.30000001</v>
      </c>
      <c r="J95" s="90">
        <v>49434</v>
      </c>
      <c r="K95" s="90">
        <v>55599</v>
      </c>
      <c r="L95" s="90">
        <v>1218.1300000000001</v>
      </c>
      <c r="M95" s="90">
        <v>2.8869465000000001</v>
      </c>
      <c r="N95" s="90">
        <v>7.3018410000000006E-2</v>
      </c>
      <c r="O95" s="90">
        <v>0.77116956000000003</v>
      </c>
      <c r="P95" s="90">
        <v>1.94337E-3</v>
      </c>
      <c r="Q95" s="90">
        <v>0.22610295999999999</v>
      </c>
      <c r="R95" s="90">
        <v>2.7055365409999999</v>
      </c>
      <c r="S95" s="90">
        <v>0.21373220000000001</v>
      </c>
      <c r="T95" s="90">
        <v>0.77405586000000004</v>
      </c>
      <c r="U95" s="90">
        <v>1.9397800000000001E-3</v>
      </c>
      <c r="V95" s="90">
        <v>6.7874690000000001E-2</v>
      </c>
      <c r="W95" s="92">
        <f t="shared" si="20"/>
        <v>2.0188437062937066</v>
      </c>
      <c r="X95" s="92">
        <f t="shared" si="21"/>
        <v>5.106182517482518E-2</v>
      </c>
      <c r="Y95" s="92">
        <f t="shared" si="22"/>
        <v>0.77116956000000003</v>
      </c>
      <c r="Z95" s="92">
        <f t="shared" si="23"/>
        <v>1.94337E-3</v>
      </c>
      <c r="AA95" s="92">
        <f t="shared" si="24"/>
        <v>0.22610295999999999</v>
      </c>
      <c r="AB95" s="92">
        <f t="shared" si="25"/>
        <v>2.2359806123966943</v>
      </c>
      <c r="AC95" s="92">
        <f t="shared" si="26"/>
        <v>0.17663818181818183</v>
      </c>
      <c r="AD95" s="92">
        <f t="shared" si="27"/>
        <v>0.77405586000000004</v>
      </c>
      <c r="AE95" s="92">
        <f t="shared" si="28"/>
        <v>1.9397800000000001E-3</v>
      </c>
      <c r="AF95" s="92">
        <f t="shared" si="29"/>
        <v>6.7874690000000001E-2</v>
      </c>
      <c r="AG95" s="96">
        <f t="shared" ref="AG95:AG96" si="48">(AD95-0.71188)/AB95</f>
        <v>2.7806976346434087E-2</v>
      </c>
      <c r="AH95" s="97">
        <f t="shared" si="33"/>
        <v>1963.0248498945537</v>
      </c>
      <c r="AI95" s="100">
        <f t="shared" ref="AI95:AI96" si="49">AH95*SQRT((AC95/AB95)^2+(AE95/(AD95-0.71188))^2-2*AF95*(AC95/AB95)*(AE95/(AD95-0.71188)))</f>
        <v>162.81822479926529</v>
      </c>
      <c r="AK95" s="100">
        <f t="shared" si="30"/>
        <v>225.35167115529578</v>
      </c>
    </row>
    <row r="96" spans="1:37" s="92" customFormat="1" x14ac:dyDescent="0.2">
      <c r="A96" s="90">
        <v>21</v>
      </c>
      <c r="B96" s="90" t="s">
        <v>211</v>
      </c>
      <c r="C96" s="90">
        <v>0.20486815415821499</v>
      </c>
      <c r="D96" s="90">
        <v>2.4827279088104399</v>
      </c>
      <c r="E96" s="90" t="s">
        <v>228</v>
      </c>
      <c r="F96" s="90" t="s">
        <v>356</v>
      </c>
      <c r="G96" s="107">
        <v>39885.17</v>
      </c>
      <c r="H96" s="107">
        <f t="shared" si="47"/>
        <v>225.35167115529578</v>
      </c>
      <c r="I96" s="95">
        <v>186774841.5</v>
      </c>
      <c r="J96" s="90">
        <v>49471</v>
      </c>
      <c r="K96" s="90">
        <v>55714</v>
      </c>
      <c r="L96" s="90">
        <v>1218.1300000000001</v>
      </c>
      <c r="M96" s="90">
        <v>1.51948577</v>
      </c>
      <c r="N96" s="90">
        <v>0.26204621</v>
      </c>
      <c r="O96" s="90">
        <v>0.74633963999999997</v>
      </c>
      <c r="P96" s="90">
        <v>4.4059700000000004E-3</v>
      </c>
      <c r="Q96" s="90">
        <v>-0.5857407</v>
      </c>
      <c r="R96" s="90">
        <v>1.4240043170000001</v>
      </c>
      <c r="S96" s="90">
        <v>0.26770695999999999</v>
      </c>
      <c r="T96" s="90">
        <v>0.74913300999999999</v>
      </c>
      <c r="U96" s="90">
        <v>4.4179800000000002E-3</v>
      </c>
      <c r="V96" s="90">
        <v>-0.5387497</v>
      </c>
      <c r="W96" s="92">
        <f t="shared" si="20"/>
        <v>1.0625774615384616</v>
      </c>
      <c r="X96" s="92">
        <f t="shared" si="21"/>
        <v>0.18324909790209792</v>
      </c>
      <c r="Y96" s="92">
        <f t="shared" si="22"/>
        <v>0.74633963999999997</v>
      </c>
      <c r="Z96" s="92">
        <f t="shared" si="23"/>
        <v>4.4059700000000004E-3</v>
      </c>
      <c r="AA96" s="92">
        <f t="shared" si="24"/>
        <v>-0.5857407</v>
      </c>
      <c r="AB96" s="92">
        <f t="shared" si="25"/>
        <v>1.1768630719008266</v>
      </c>
      <c r="AC96" s="92">
        <f t="shared" si="26"/>
        <v>0.22124542148760332</v>
      </c>
      <c r="AD96" s="92">
        <f t="shared" si="27"/>
        <v>0.74913300999999999</v>
      </c>
      <c r="AE96" s="92">
        <f t="shared" si="28"/>
        <v>4.4179800000000002E-3</v>
      </c>
      <c r="AF96" s="92">
        <f t="shared" si="29"/>
        <v>-0.5387497</v>
      </c>
      <c r="AG96" s="96">
        <f t="shared" si="48"/>
        <v>3.1654498207536005E-2</v>
      </c>
      <c r="AH96" s="97">
        <f t="shared" si="33"/>
        <v>2230.4482140410187</v>
      </c>
      <c r="AI96" s="100">
        <f t="shared" si="49"/>
        <v>604.40619253838759</v>
      </c>
      <c r="AK96" s="100">
        <f t="shared" si="30"/>
        <v>225.35167115529578</v>
      </c>
    </row>
    <row r="97" spans="1:37" x14ac:dyDescent="0.2">
      <c r="A97" s="16">
        <v>24</v>
      </c>
      <c r="B97" s="16" t="s">
        <v>212</v>
      </c>
      <c r="C97" s="16">
        <v>5.5932203389830501E-2</v>
      </c>
      <c r="D97" s="16">
        <v>1.26859678236416</v>
      </c>
      <c r="E97" s="16" t="s">
        <v>228</v>
      </c>
      <c r="F97" s="16"/>
      <c r="G97" s="16"/>
      <c r="H97" s="16"/>
      <c r="I97" s="21">
        <v>349277820.10000002</v>
      </c>
      <c r="J97" s="16">
        <v>49588</v>
      </c>
      <c r="K97" s="16">
        <v>55822</v>
      </c>
      <c r="L97" s="16">
        <v>1218.1300000000001</v>
      </c>
      <c r="M97" s="16">
        <v>0.55705499999999997</v>
      </c>
      <c r="N97" s="16">
        <v>0.21330378</v>
      </c>
      <c r="O97" s="16">
        <v>0.72882674999999997</v>
      </c>
      <c r="P97" s="16">
        <v>3.8167600000000002E-3</v>
      </c>
      <c r="Q97" s="16">
        <v>0.95034065000000001</v>
      </c>
      <c r="R97" s="90">
        <v>0.51679621499999995</v>
      </c>
      <c r="S97" s="16">
        <v>0.20133124999999999</v>
      </c>
      <c r="T97" s="16">
        <v>0.73167026000000002</v>
      </c>
      <c r="U97" s="16">
        <v>3.8299699999999998E-3</v>
      </c>
      <c r="V97" s="16">
        <v>0.92954700000000001</v>
      </c>
      <c r="W97">
        <f t="shared" si="20"/>
        <v>0.38954895104895104</v>
      </c>
      <c r="X97">
        <f t="shared" si="21"/>
        <v>0.14916348251748252</v>
      </c>
      <c r="Y97">
        <f t="shared" si="22"/>
        <v>0.72882674999999997</v>
      </c>
      <c r="Z97">
        <f t="shared" si="23"/>
        <v>3.8167600000000002E-3</v>
      </c>
      <c r="AA97">
        <f t="shared" si="24"/>
        <v>0.95034065000000001</v>
      </c>
      <c r="AB97">
        <f t="shared" si="25"/>
        <v>0.42710430991735532</v>
      </c>
      <c r="AC97">
        <f t="shared" si="26"/>
        <v>0.16638946280991734</v>
      </c>
      <c r="AD97">
        <f t="shared" si="27"/>
        <v>0.73167026000000002</v>
      </c>
      <c r="AE97">
        <f t="shared" si="28"/>
        <v>3.8299699999999998E-3</v>
      </c>
      <c r="AF97">
        <f t="shared" si="29"/>
        <v>0.92954700000000001</v>
      </c>
      <c r="AG97" s="48"/>
      <c r="AH97" s="93"/>
      <c r="AI97" s="74"/>
      <c r="AK97" s="100">
        <f t="shared" si="30"/>
        <v>0</v>
      </c>
    </row>
    <row r="98" spans="1:37" s="92" customFormat="1" x14ac:dyDescent="0.2">
      <c r="A98" s="90">
        <v>25</v>
      </c>
      <c r="B98" s="90" t="s">
        <v>213</v>
      </c>
      <c r="C98" s="90">
        <v>1.0570071258907301</v>
      </c>
      <c r="D98" s="90">
        <v>0.122516392513202</v>
      </c>
      <c r="E98" s="90" t="s">
        <v>228</v>
      </c>
      <c r="F98" s="90" t="s">
        <v>356</v>
      </c>
      <c r="G98" s="90">
        <v>10791</v>
      </c>
      <c r="H98" s="107">
        <f t="shared" si="47"/>
        <v>117.21573242204794</v>
      </c>
      <c r="I98" s="95">
        <v>448223357</v>
      </c>
      <c r="J98" s="90">
        <v>49325</v>
      </c>
      <c r="K98" s="90">
        <v>55870</v>
      </c>
      <c r="L98" s="90">
        <v>1218.1300000000001</v>
      </c>
      <c r="M98" s="90">
        <v>2.4146224300000001</v>
      </c>
      <c r="N98" s="90">
        <v>0.12760531</v>
      </c>
      <c r="O98" s="90">
        <v>0.76016496</v>
      </c>
      <c r="P98" s="90">
        <v>3.1464800000000001E-3</v>
      </c>
      <c r="Q98" s="90">
        <v>0.91307558</v>
      </c>
      <c r="R98" s="90">
        <v>2.2401158579999998</v>
      </c>
      <c r="S98" s="90">
        <v>0.19960191999999999</v>
      </c>
      <c r="T98" s="90">
        <v>0.76313072999999998</v>
      </c>
      <c r="U98" s="90">
        <v>3.1565400000000002E-3</v>
      </c>
      <c r="V98" s="90">
        <v>0.51452726000000004</v>
      </c>
      <c r="W98" s="92">
        <f t="shared" si="20"/>
        <v>1.6885471538461541</v>
      </c>
      <c r="X98" s="92">
        <f t="shared" si="21"/>
        <v>8.9234482517482519E-2</v>
      </c>
      <c r="Y98" s="92">
        <f t="shared" si="22"/>
        <v>0.76016496</v>
      </c>
      <c r="Z98" s="92">
        <f t="shared" si="23"/>
        <v>3.1464800000000001E-3</v>
      </c>
      <c r="AA98" s="92">
        <f t="shared" si="24"/>
        <v>0.91307558</v>
      </c>
      <c r="AB98" s="92">
        <f t="shared" si="25"/>
        <v>1.8513354198347107</v>
      </c>
      <c r="AC98" s="92">
        <f t="shared" si="26"/>
        <v>0.16496026446280992</v>
      </c>
      <c r="AD98" s="92">
        <f t="shared" si="27"/>
        <v>0.76313072999999998</v>
      </c>
      <c r="AE98" s="92">
        <f t="shared" si="28"/>
        <v>3.1565400000000002E-3</v>
      </c>
      <c r="AF98" s="92">
        <f t="shared" si="29"/>
        <v>0.51452726000000004</v>
      </c>
      <c r="AG98" s="96">
        <f t="shared" ref="AG98:AG111" si="50">(AD98-0.71188)/AB98</f>
        <v>2.7683114281136449E-2</v>
      </c>
      <c r="AH98" s="97">
        <f t="shared" si="33"/>
        <v>1954.3991499017427</v>
      </c>
      <c r="AI98" s="100">
        <f t="shared" ref="AI98:AI111" si="51">AH98*SQRT((AC98/AB98)^2+(AE98/(AD98-0.71188))^2-2*AF98*(AC98/AB98)*(AE98/(AD98-0.71188)))</f>
        <v>152.46094215539611</v>
      </c>
      <c r="AK98" s="100">
        <f t="shared" si="30"/>
        <v>117.21573242204794</v>
      </c>
    </row>
    <row r="99" spans="1:37" s="92" customFormat="1" x14ac:dyDescent="0.2">
      <c r="A99" s="90">
        <v>26</v>
      </c>
      <c r="B99" s="90" t="s">
        <v>214</v>
      </c>
      <c r="C99" s="90">
        <v>0.32442748091603002</v>
      </c>
      <c r="D99" s="90">
        <v>1.5352399285103799</v>
      </c>
      <c r="E99" s="90" t="s">
        <v>228</v>
      </c>
      <c r="F99" s="90" t="s">
        <v>356</v>
      </c>
      <c r="G99" s="107">
        <v>23397.96</v>
      </c>
      <c r="H99" s="107">
        <f t="shared" ref="H99:H111" si="52">2*(G99/PI())^0.5</f>
        <v>172.60129761427504</v>
      </c>
      <c r="I99" s="95">
        <v>591872759.89999998</v>
      </c>
      <c r="J99" s="90">
        <v>49854</v>
      </c>
      <c r="K99" s="90">
        <v>56155</v>
      </c>
      <c r="L99" s="90">
        <v>1218.1300000000001</v>
      </c>
      <c r="M99" s="90">
        <v>2.85714435</v>
      </c>
      <c r="N99" s="90">
        <v>0.53771871999999998</v>
      </c>
      <c r="O99" s="90">
        <v>0.78104147999999995</v>
      </c>
      <c r="P99" s="90">
        <v>8.4104799999999997E-3</v>
      </c>
      <c r="Q99" s="90">
        <v>0.90153817000000003</v>
      </c>
      <c r="R99" s="90">
        <v>2.6506563820000002</v>
      </c>
      <c r="S99" s="90">
        <v>0.53387145999999996</v>
      </c>
      <c r="T99" s="90">
        <v>0.78408869999999997</v>
      </c>
      <c r="U99" s="90">
        <v>8.4424200000000008E-3</v>
      </c>
      <c r="V99" s="90">
        <v>0.83784217999999999</v>
      </c>
      <c r="W99" s="92">
        <f t="shared" si="20"/>
        <v>1.9980030419580421</v>
      </c>
      <c r="X99" s="92">
        <f t="shared" si="21"/>
        <v>0.37602707692307691</v>
      </c>
      <c r="Y99" s="92">
        <f t="shared" si="22"/>
        <v>0.78104147999999995</v>
      </c>
      <c r="Z99" s="92">
        <f t="shared" si="23"/>
        <v>8.4104799999999997E-3</v>
      </c>
      <c r="AA99" s="92">
        <f t="shared" si="24"/>
        <v>0.90153817000000003</v>
      </c>
      <c r="AB99" s="92">
        <f t="shared" si="25"/>
        <v>2.1906251090909095</v>
      </c>
      <c r="AC99" s="92">
        <f t="shared" si="26"/>
        <v>0.44121608264462808</v>
      </c>
      <c r="AD99" s="92">
        <f t="shared" si="27"/>
        <v>0.78408869999999997</v>
      </c>
      <c r="AE99" s="92">
        <f t="shared" si="28"/>
        <v>8.4424200000000008E-3</v>
      </c>
      <c r="AF99" s="92">
        <f t="shared" si="29"/>
        <v>0.83784217999999999</v>
      </c>
      <c r="AG99" s="96">
        <f t="shared" si="50"/>
        <v>3.2962600355642781E-2</v>
      </c>
      <c r="AH99" s="97">
        <f t="shared" si="33"/>
        <v>2321.1411822843943</v>
      </c>
      <c r="AI99" s="100">
        <f t="shared" si="51"/>
        <v>282.15335890983181</v>
      </c>
      <c r="AK99" s="100">
        <f t="shared" si="30"/>
        <v>172.60129761427504</v>
      </c>
    </row>
    <row r="100" spans="1:37" s="92" customFormat="1" x14ac:dyDescent="0.2">
      <c r="A100" s="90">
        <v>27</v>
      </c>
      <c r="B100" s="90" t="s">
        <v>215</v>
      </c>
      <c r="C100" s="90">
        <v>0.31772575250836099</v>
      </c>
      <c r="D100" s="90">
        <v>0.36209141331744998</v>
      </c>
      <c r="E100" s="90" t="s">
        <v>228</v>
      </c>
      <c r="F100" s="90" t="s">
        <v>356</v>
      </c>
      <c r="G100" s="107">
        <v>23397.96</v>
      </c>
      <c r="H100" s="107">
        <f t="shared" si="52"/>
        <v>172.60129761427504</v>
      </c>
      <c r="I100" s="95">
        <v>431927817.19999999</v>
      </c>
      <c r="J100" s="90">
        <v>49955</v>
      </c>
      <c r="K100" s="90">
        <v>56136</v>
      </c>
      <c r="L100" s="90">
        <v>1218.1300000000001</v>
      </c>
      <c r="M100" s="90">
        <v>1.53280639</v>
      </c>
      <c r="N100" s="90">
        <v>0.39252541000000002</v>
      </c>
      <c r="O100" s="90">
        <v>0.75062857999999999</v>
      </c>
      <c r="P100" s="90">
        <v>8.0401599999999993E-3</v>
      </c>
      <c r="Q100" s="90">
        <v>0.95117180000000001</v>
      </c>
      <c r="R100" s="90">
        <v>1.422029322</v>
      </c>
      <c r="S100" s="90">
        <v>0.37817703000000003</v>
      </c>
      <c r="T100" s="90">
        <v>0.75355715000000001</v>
      </c>
      <c r="U100" s="90">
        <v>8.0706800000000002E-3</v>
      </c>
      <c r="V100" s="90">
        <v>0.91246125</v>
      </c>
      <c r="W100" s="92">
        <f t="shared" si="20"/>
        <v>1.0718925804195805</v>
      </c>
      <c r="X100" s="92">
        <f t="shared" si="21"/>
        <v>0.27449329370629372</v>
      </c>
      <c r="Y100" s="92">
        <f t="shared" si="22"/>
        <v>0.75062857999999999</v>
      </c>
      <c r="Z100" s="92">
        <f t="shared" si="23"/>
        <v>8.0401599999999993E-3</v>
      </c>
      <c r="AA100" s="92">
        <f t="shared" si="24"/>
        <v>0.95117180000000001</v>
      </c>
      <c r="AB100" s="92">
        <f t="shared" si="25"/>
        <v>1.1752308446280992</v>
      </c>
      <c r="AC100" s="92">
        <f t="shared" si="26"/>
        <v>0.31254300000000002</v>
      </c>
      <c r="AD100" s="92">
        <f t="shared" si="27"/>
        <v>0.75355715000000001</v>
      </c>
      <c r="AE100" s="92">
        <f t="shared" si="28"/>
        <v>8.0706800000000002E-3</v>
      </c>
      <c r="AF100" s="92">
        <f t="shared" si="29"/>
        <v>0.91246125</v>
      </c>
      <c r="AG100" s="96">
        <f t="shared" si="50"/>
        <v>3.5462947718317206E-2</v>
      </c>
      <c r="AH100" s="97">
        <f t="shared" si="33"/>
        <v>2494.1754361105341</v>
      </c>
      <c r="AI100" s="100">
        <f t="shared" si="51"/>
        <v>297.66252096393214</v>
      </c>
      <c r="AK100" s="100">
        <f t="shared" si="30"/>
        <v>172.60129761427504</v>
      </c>
    </row>
    <row r="101" spans="1:37" s="92" customFormat="1" x14ac:dyDescent="0.2">
      <c r="A101" s="90">
        <v>28</v>
      </c>
      <c r="B101" s="90" t="s">
        <v>216</v>
      </c>
      <c r="C101" s="90">
        <v>2.06</v>
      </c>
      <c r="D101" s="90">
        <v>0.66864010254206896</v>
      </c>
      <c r="E101" s="90" t="s">
        <v>228</v>
      </c>
      <c r="F101" s="90" t="s">
        <v>356</v>
      </c>
      <c r="G101" s="107">
        <v>55418.58</v>
      </c>
      <c r="H101" s="107">
        <f t="shared" si="52"/>
        <v>265.63344587809195</v>
      </c>
      <c r="I101" s="95">
        <v>529002544.30000001</v>
      </c>
      <c r="J101" s="90">
        <v>46477</v>
      </c>
      <c r="K101" s="90">
        <v>56319</v>
      </c>
      <c r="L101" s="90">
        <v>1099.3800000000001</v>
      </c>
      <c r="M101" s="90">
        <v>1.7062425000000001</v>
      </c>
      <c r="N101" s="90">
        <v>0.41128762000000002</v>
      </c>
      <c r="O101" s="90">
        <v>0.75015083999999999</v>
      </c>
      <c r="P101" s="90">
        <v>8.5372599999999996E-3</v>
      </c>
      <c r="Q101" s="90">
        <v>0.94630641999999998</v>
      </c>
      <c r="R101" s="90">
        <v>1.582931071</v>
      </c>
      <c r="S101" s="90">
        <v>0.3981036</v>
      </c>
      <c r="T101" s="90">
        <v>0.75307754999999998</v>
      </c>
      <c r="U101" s="90">
        <v>8.5697700000000009E-3</v>
      </c>
      <c r="V101" s="90">
        <v>0.90354646999999999</v>
      </c>
      <c r="W101" s="92">
        <f t="shared" si="20"/>
        <v>1.1931765734265736</v>
      </c>
      <c r="X101" s="92">
        <f t="shared" si="21"/>
        <v>0.28761372027972032</v>
      </c>
      <c r="Y101" s="92">
        <f t="shared" si="22"/>
        <v>0.75015083999999999</v>
      </c>
      <c r="Z101" s="92">
        <f t="shared" si="23"/>
        <v>8.5372599999999996E-3</v>
      </c>
      <c r="AA101" s="92">
        <f t="shared" si="24"/>
        <v>0.94630641999999998</v>
      </c>
      <c r="AB101" s="92">
        <f t="shared" si="25"/>
        <v>1.308207496694215</v>
      </c>
      <c r="AC101" s="92">
        <f t="shared" si="26"/>
        <v>0.32901123966942147</v>
      </c>
      <c r="AD101" s="92">
        <f t="shared" si="27"/>
        <v>0.75307754999999998</v>
      </c>
      <c r="AE101" s="92">
        <f t="shared" si="28"/>
        <v>8.5697700000000009E-3</v>
      </c>
      <c r="AF101" s="92">
        <f t="shared" si="29"/>
        <v>0.90354646999999999</v>
      </c>
      <c r="AG101" s="96">
        <f t="shared" si="50"/>
        <v>3.1491602138119905E-2</v>
      </c>
      <c r="AH101" s="97">
        <f t="shared" si="33"/>
        <v>2219.1462989182351</v>
      </c>
      <c r="AI101" s="100">
        <f t="shared" si="51"/>
        <v>242.91983440289133</v>
      </c>
      <c r="AK101" s="100">
        <f t="shared" si="30"/>
        <v>265.63344587809195</v>
      </c>
    </row>
    <row r="102" spans="1:37" s="92" customFormat="1" x14ac:dyDescent="0.2">
      <c r="A102" s="90">
        <v>31</v>
      </c>
      <c r="B102" s="90" t="s">
        <v>217</v>
      </c>
      <c r="C102" s="90">
        <v>0.83042789223454805</v>
      </c>
      <c r="D102" s="90">
        <v>1.28183089560629</v>
      </c>
      <c r="E102" s="90" t="s">
        <v>228</v>
      </c>
      <c r="F102" s="90" t="s">
        <v>356</v>
      </c>
      <c r="G102" s="107">
        <v>55418.58</v>
      </c>
      <c r="H102" s="107">
        <f t="shared" si="52"/>
        <v>265.63344587809195</v>
      </c>
      <c r="I102" s="95">
        <v>438885152.5</v>
      </c>
      <c r="J102" s="90">
        <v>46594</v>
      </c>
      <c r="K102" s="90">
        <v>56363</v>
      </c>
      <c r="L102" s="90">
        <v>1099.3800000000001</v>
      </c>
      <c r="M102" s="90">
        <v>2.6864507400000002</v>
      </c>
      <c r="N102" s="90">
        <v>0.2309445</v>
      </c>
      <c r="O102" s="90">
        <v>0.77119974999999996</v>
      </c>
      <c r="P102" s="90">
        <v>3.5278900000000001E-3</v>
      </c>
      <c r="Q102" s="90">
        <v>0.95858016000000001</v>
      </c>
      <c r="R102" s="90">
        <v>2.504650856</v>
      </c>
      <c r="S102" s="90">
        <v>0.27018260999999999</v>
      </c>
      <c r="T102" s="90">
        <v>0.77422095999999996</v>
      </c>
      <c r="U102" s="90">
        <v>3.5468800000000001E-3</v>
      </c>
      <c r="V102" s="90">
        <v>0.72684579000000005</v>
      </c>
      <c r="W102" s="92">
        <f t="shared" si="20"/>
        <v>1.8786368811188814</v>
      </c>
      <c r="X102" s="92">
        <f t="shared" si="21"/>
        <v>0.16149965034965036</v>
      </c>
      <c r="Y102" s="92">
        <f t="shared" si="22"/>
        <v>0.77119974999999996</v>
      </c>
      <c r="Z102" s="92">
        <f t="shared" si="23"/>
        <v>3.5278900000000001E-3</v>
      </c>
      <c r="AA102" s="92">
        <f t="shared" si="24"/>
        <v>0.95858016000000001</v>
      </c>
      <c r="AB102" s="92">
        <f t="shared" si="25"/>
        <v>2.0699593851239668</v>
      </c>
      <c r="AC102" s="92">
        <f t="shared" si="26"/>
        <v>0.2232914132231405</v>
      </c>
      <c r="AD102" s="92">
        <f t="shared" si="27"/>
        <v>0.77422095999999996</v>
      </c>
      <c r="AE102" s="92">
        <f t="shared" si="28"/>
        <v>3.5468800000000001E-3</v>
      </c>
      <c r="AF102" s="92">
        <f t="shared" si="29"/>
        <v>0.72684579000000005</v>
      </c>
      <c r="AG102" s="96">
        <f t="shared" si="50"/>
        <v>3.0116996714052189E-2</v>
      </c>
      <c r="AH102" s="97">
        <f t="shared" si="33"/>
        <v>2123.703466473426</v>
      </c>
      <c r="AI102" s="100">
        <f t="shared" si="51"/>
        <v>163.83667048975752</v>
      </c>
      <c r="AK102" s="100">
        <f t="shared" si="30"/>
        <v>265.63344587809195</v>
      </c>
    </row>
    <row r="103" spans="1:37" s="92" customFormat="1" x14ac:dyDescent="0.2">
      <c r="A103" s="90">
        <v>32</v>
      </c>
      <c r="B103" s="90" t="s">
        <v>218</v>
      </c>
      <c r="C103" s="90">
        <v>1.4509345794392501</v>
      </c>
      <c r="D103" s="90">
        <v>0.75018604900240304</v>
      </c>
      <c r="E103" s="90" t="s">
        <v>228</v>
      </c>
      <c r="F103" s="90" t="s">
        <v>356</v>
      </c>
      <c r="G103" s="107">
        <v>55418.58</v>
      </c>
      <c r="H103" s="107">
        <f t="shared" si="52"/>
        <v>265.63344587809195</v>
      </c>
      <c r="I103" s="95">
        <v>629832652.60000002</v>
      </c>
      <c r="J103" s="90">
        <v>46506</v>
      </c>
      <c r="K103" s="90">
        <v>56415</v>
      </c>
      <c r="L103" s="90">
        <v>1099.3800000000001</v>
      </c>
      <c r="M103" s="90">
        <v>5.9183222799999999</v>
      </c>
      <c r="N103" s="90">
        <v>0.56056649999999997</v>
      </c>
      <c r="O103" s="90">
        <v>0.82851476000000002</v>
      </c>
      <c r="P103" s="90">
        <v>7.7326699999999996E-3</v>
      </c>
      <c r="Q103" s="90">
        <v>0.82217019999999996</v>
      </c>
      <c r="R103" s="90">
        <v>5.5178123189999999</v>
      </c>
      <c r="S103" s="90">
        <v>0.63436990000000004</v>
      </c>
      <c r="T103" s="90">
        <v>0.83176052</v>
      </c>
      <c r="U103" s="90">
        <v>7.7656799999999996E-3</v>
      </c>
      <c r="V103" s="90">
        <v>0.66055905000000004</v>
      </c>
      <c r="W103" s="92">
        <f t="shared" si="20"/>
        <v>4.1386869090909091</v>
      </c>
      <c r="X103" s="92">
        <f t="shared" si="21"/>
        <v>0.39200454545454544</v>
      </c>
      <c r="Y103" s="92">
        <f t="shared" si="22"/>
        <v>0.82851476000000002</v>
      </c>
      <c r="Z103" s="92">
        <f t="shared" si="23"/>
        <v>7.7326699999999996E-3</v>
      </c>
      <c r="AA103" s="92">
        <f t="shared" si="24"/>
        <v>0.82217019999999996</v>
      </c>
      <c r="AB103" s="92">
        <f t="shared" si="25"/>
        <v>4.560175470247934</v>
      </c>
      <c r="AC103" s="92">
        <f t="shared" si="26"/>
        <v>0.52427264462809919</v>
      </c>
      <c r="AD103" s="92">
        <f t="shared" si="27"/>
        <v>0.83176052</v>
      </c>
      <c r="AE103" s="92">
        <f t="shared" si="28"/>
        <v>7.7656799999999996E-3</v>
      </c>
      <c r="AF103" s="92">
        <f t="shared" si="29"/>
        <v>0.66055905000000004</v>
      </c>
      <c r="AG103" s="96">
        <f t="shared" si="50"/>
        <v>2.6288576126541511E-2</v>
      </c>
      <c r="AH103" s="97">
        <f t="shared" si="33"/>
        <v>1857.2123162543551</v>
      </c>
      <c r="AI103" s="100">
        <f t="shared" si="51"/>
        <v>161.6401899069314</v>
      </c>
      <c r="AK103" s="100">
        <f t="shared" si="30"/>
        <v>265.63344587809195</v>
      </c>
    </row>
    <row r="104" spans="1:37" s="92" customFormat="1" x14ac:dyDescent="0.2">
      <c r="A104" s="90">
        <v>33</v>
      </c>
      <c r="B104" s="90" t="s">
        <v>219</v>
      </c>
      <c r="C104" s="90">
        <v>0.74850299401197595</v>
      </c>
      <c r="D104" s="90">
        <v>3.7650736517940802</v>
      </c>
      <c r="E104" s="90" t="s">
        <v>228</v>
      </c>
      <c r="F104" s="90" t="s">
        <v>356</v>
      </c>
      <c r="G104" s="108">
        <v>24563.51</v>
      </c>
      <c r="H104" s="107">
        <f t="shared" si="52"/>
        <v>176.84804858832234</v>
      </c>
      <c r="I104" s="95">
        <v>162500342.40000001</v>
      </c>
      <c r="J104" s="90">
        <v>49526</v>
      </c>
      <c r="K104" s="90">
        <v>59810</v>
      </c>
      <c r="L104" s="90">
        <v>1288.1300000000001</v>
      </c>
      <c r="M104" s="90">
        <v>2.6368520800000002</v>
      </c>
      <c r="N104" s="90">
        <v>0.13870408000000001</v>
      </c>
      <c r="O104" s="90">
        <v>0.78793170999999995</v>
      </c>
      <c r="P104" s="90">
        <v>7.9791099999999993E-3</v>
      </c>
      <c r="Q104" s="90">
        <v>-0.22588059999999999</v>
      </c>
      <c r="R104" s="90">
        <v>2.4584086859999998</v>
      </c>
      <c r="S104" s="90">
        <v>0.20587923</v>
      </c>
      <c r="T104" s="90">
        <v>0.79101847000000003</v>
      </c>
      <c r="U104" s="90">
        <v>8.0127600000000007E-3</v>
      </c>
      <c r="V104" s="90">
        <v>-0.16278719999999999</v>
      </c>
      <c r="W104" s="92">
        <f t="shared" si="20"/>
        <v>1.8439525034965036</v>
      </c>
      <c r="X104" s="92">
        <f t="shared" si="21"/>
        <v>9.6995860139860154E-2</v>
      </c>
      <c r="Y104" s="92">
        <f t="shared" si="22"/>
        <v>0.78793170999999995</v>
      </c>
      <c r="Z104" s="92">
        <f t="shared" si="23"/>
        <v>7.9791099999999993E-3</v>
      </c>
      <c r="AA104" s="92">
        <f t="shared" si="24"/>
        <v>-0.22588059999999999</v>
      </c>
      <c r="AB104" s="92">
        <f t="shared" si="25"/>
        <v>2.0317427157024794</v>
      </c>
      <c r="AC104" s="92">
        <f t="shared" si="26"/>
        <v>0.17014812396694215</v>
      </c>
      <c r="AD104" s="92">
        <f t="shared" si="27"/>
        <v>0.79101847000000003</v>
      </c>
      <c r="AE104" s="92">
        <f t="shared" si="28"/>
        <v>8.0127600000000007E-3</v>
      </c>
      <c r="AF104" s="92">
        <f t="shared" si="29"/>
        <v>-0.16278719999999999</v>
      </c>
      <c r="AG104" s="96">
        <f t="shared" si="50"/>
        <v>3.8951029275691419E-2</v>
      </c>
      <c r="AH104" s="97">
        <f t="shared" si="33"/>
        <v>2734.8681972259046</v>
      </c>
      <c r="AI104" s="100">
        <f t="shared" si="51"/>
        <v>387.01376643997258</v>
      </c>
      <c r="AK104" s="100">
        <f t="shared" si="30"/>
        <v>176.84804858832234</v>
      </c>
    </row>
    <row r="105" spans="1:37" s="92" customFormat="1" x14ac:dyDescent="0.2">
      <c r="A105" s="90">
        <v>34</v>
      </c>
      <c r="B105" s="90" t="s">
        <v>220</v>
      </c>
      <c r="C105" s="90">
        <v>9.625</v>
      </c>
      <c r="D105" s="90">
        <v>4.9041458909377802</v>
      </c>
      <c r="E105" s="90" t="s">
        <v>228</v>
      </c>
      <c r="F105" s="90" t="s">
        <v>356</v>
      </c>
      <c r="G105" s="108">
        <v>24563.51</v>
      </c>
      <c r="H105" s="107">
        <f t="shared" si="52"/>
        <v>176.84804858832234</v>
      </c>
      <c r="I105" s="95">
        <v>301872436.69999999</v>
      </c>
      <c r="J105" s="90">
        <v>49513</v>
      </c>
      <c r="K105" s="90">
        <v>59924</v>
      </c>
      <c r="L105" s="90">
        <v>1288.1300000000001</v>
      </c>
      <c r="M105" s="90">
        <v>8.4743010099999996</v>
      </c>
      <c r="N105" s="90">
        <v>0.37784657999999999</v>
      </c>
      <c r="O105" s="90">
        <v>0.90431244</v>
      </c>
      <c r="P105" s="90">
        <v>5.4799699999999998E-3</v>
      </c>
      <c r="Q105" s="90">
        <v>0.72411913000000006</v>
      </c>
      <c r="R105" s="90">
        <v>7.9008205809999996</v>
      </c>
      <c r="S105" s="90">
        <v>0.62382753000000002</v>
      </c>
      <c r="T105" s="90">
        <v>0.90785512999999995</v>
      </c>
      <c r="U105" s="90">
        <v>5.5060100000000004E-3</v>
      </c>
      <c r="V105" s="90">
        <v>0.37146138000000001</v>
      </c>
      <c r="W105" s="92">
        <f t="shared" si="20"/>
        <v>5.9260846223776227</v>
      </c>
      <c r="X105" s="92">
        <f t="shared" si="21"/>
        <v>0.26422837762237761</v>
      </c>
      <c r="Y105" s="92">
        <f t="shared" si="22"/>
        <v>0.90431244</v>
      </c>
      <c r="Z105" s="92">
        <f t="shared" si="23"/>
        <v>5.4799699999999998E-3</v>
      </c>
      <c r="AA105" s="92">
        <f t="shared" si="24"/>
        <v>0.72411913000000006</v>
      </c>
      <c r="AB105" s="92">
        <f t="shared" si="25"/>
        <v>6.529603785950413</v>
      </c>
      <c r="AC105" s="92">
        <f t="shared" si="26"/>
        <v>0.51555994214876033</v>
      </c>
      <c r="AD105" s="92">
        <f t="shared" si="27"/>
        <v>0.90785512999999995</v>
      </c>
      <c r="AE105" s="92">
        <f t="shared" si="28"/>
        <v>5.5060100000000004E-3</v>
      </c>
      <c r="AF105" s="92">
        <f t="shared" si="29"/>
        <v>0.37146138000000001</v>
      </c>
      <c r="AG105" s="96">
        <f t="shared" si="50"/>
        <v>3.0013326447413981E-2</v>
      </c>
      <c r="AH105" s="97">
        <f t="shared" si="33"/>
        <v>2116.5001758020035</v>
      </c>
      <c r="AI105" s="100">
        <f t="shared" si="51"/>
        <v>155.17793051141629</v>
      </c>
      <c r="AK105" s="100">
        <f t="shared" si="30"/>
        <v>176.84804858832234</v>
      </c>
    </row>
    <row r="106" spans="1:37" s="92" customFormat="1" x14ac:dyDescent="0.2">
      <c r="A106" s="90">
        <v>35</v>
      </c>
      <c r="B106" s="90" t="s">
        <v>221</v>
      </c>
      <c r="C106" s="90">
        <v>1.49638205499276</v>
      </c>
      <c r="D106" s="90">
        <v>0.130633642203971</v>
      </c>
      <c r="E106" s="90" t="s">
        <v>228</v>
      </c>
      <c r="F106" s="90" t="s">
        <v>356</v>
      </c>
      <c r="G106" s="107">
        <v>19412.79</v>
      </c>
      <c r="H106" s="107">
        <f t="shared" si="52"/>
        <v>157.21683084720706</v>
      </c>
      <c r="I106" s="95">
        <v>648270641.60000002</v>
      </c>
      <c r="J106" s="90">
        <v>44439</v>
      </c>
      <c r="K106" s="90">
        <v>55469</v>
      </c>
      <c r="L106" s="90">
        <v>988.44</v>
      </c>
      <c r="M106" s="90">
        <v>3.9978211300000002</v>
      </c>
      <c r="N106" s="90">
        <v>0.29482754</v>
      </c>
      <c r="O106" s="90">
        <v>0.80423535999999995</v>
      </c>
      <c r="P106" s="90">
        <v>1.0500280000000001E-2</v>
      </c>
      <c r="Q106" s="90">
        <v>0.94176872</v>
      </c>
      <c r="R106" s="90">
        <v>3.7272770309999999</v>
      </c>
      <c r="S106" s="90">
        <v>0.36680750000000001</v>
      </c>
      <c r="T106" s="90">
        <v>0.80738599</v>
      </c>
      <c r="U106" s="90">
        <v>1.05433E-2</v>
      </c>
      <c r="V106" s="90">
        <v>0.69178161000000005</v>
      </c>
      <c r="W106" s="92">
        <f t="shared" si="20"/>
        <v>2.7956791118881119</v>
      </c>
      <c r="X106" s="92">
        <f t="shared" si="21"/>
        <v>0.2061731048951049</v>
      </c>
      <c r="Y106" s="92">
        <f t="shared" si="22"/>
        <v>0.80423535999999995</v>
      </c>
      <c r="Z106" s="92">
        <f t="shared" si="23"/>
        <v>1.0500280000000001E-2</v>
      </c>
      <c r="AA106" s="92">
        <f t="shared" si="24"/>
        <v>0.94176872</v>
      </c>
      <c r="AB106" s="92">
        <f t="shared" si="25"/>
        <v>3.0803942404958677</v>
      </c>
      <c r="AC106" s="92">
        <f t="shared" si="26"/>
        <v>0.30314669421487606</v>
      </c>
      <c r="AD106" s="92">
        <f t="shared" si="27"/>
        <v>0.80738599</v>
      </c>
      <c r="AE106" s="92">
        <f t="shared" si="28"/>
        <v>1.05433E-2</v>
      </c>
      <c r="AF106" s="92">
        <f t="shared" si="29"/>
        <v>0.69178161000000005</v>
      </c>
      <c r="AG106" s="96">
        <f t="shared" si="50"/>
        <v>3.1004469734570703E-2</v>
      </c>
      <c r="AH106" s="97">
        <f t="shared" si="33"/>
        <v>2185.3378445809531</v>
      </c>
      <c r="AI106" s="100">
        <f t="shared" si="51"/>
        <v>180.74462603436712</v>
      </c>
      <c r="AK106" s="100">
        <f t="shared" si="30"/>
        <v>157.21683084720706</v>
      </c>
    </row>
    <row r="107" spans="1:37" s="92" customFormat="1" x14ac:dyDescent="0.2">
      <c r="A107" s="90">
        <v>38</v>
      </c>
      <c r="B107" s="90" t="s">
        <v>222</v>
      </c>
      <c r="C107" s="90">
        <v>15.043956043955999</v>
      </c>
      <c r="D107" s="90">
        <v>10.2550384459313</v>
      </c>
      <c r="E107" s="90" t="s">
        <v>228</v>
      </c>
      <c r="F107" s="90" t="s">
        <v>356</v>
      </c>
      <c r="G107" s="107">
        <v>166242.04</v>
      </c>
      <c r="H107" s="107">
        <f t="shared" si="52"/>
        <v>460.07166759695679</v>
      </c>
      <c r="I107" s="95">
        <v>76802411.700000003</v>
      </c>
      <c r="J107" s="90">
        <v>45024</v>
      </c>
      <c r="K107" s="90">
        <v>44575</v>
      </c>
      <c r="L107" s="90">
        <v>930</v>
      </c>
      <c r="M107" s="90">
        <v>26.381904599999999</v>
      </c>
      <c r="N107" s="90">
        <v>2.83026051</v>
      </c>
      <c r="O107" s="90">
        <v>1.2498596399999999</v>
      </c>
      <c r="P107" s="90">
        <v>1.7669819999999999E-2</v>
      </c>
      <c r="Q107" s="90">
        <v>8.9847850000000007E-2</v>
      </c>
      <c r="R107" s="90">
        <v>25.005796409999999</v>
      </c>
      <c r="S107" s="90">
        <v>2.9640483899999999</v>
      </c>
      <c r="T107" s="90">
        <v>1.25450811</v>
      </c>
      <c r="U107" s="90">
        <v>1.7734429999999999E-2</v>
      </c>
      <c r="V107" s="90">
        <v>7.6283089999999998E-2</v>
      </c>
      <c r="W107" s="92">
        <f t="shared" si="20"/>
        <v>18.448884335664335</v>
      </c>
      <c r="X107" s="92">
        <f t="shared" si="21"/>
        <v>1.9792031538461539</v>
      </c>
      <c r="Y107" s="92">
        <f t="shared" si="22"/>
        <v>1.2498596399999999</v>
      </c>
      <c r="Z107" s="92">
        <f t="shared" si="23"/>
        <v>1.7669819999999999E-2</v>
      </c>
      <c r="AA107" s="92">
        <f t="shared" si="24"/>
        <v>8.9847850000000007E-2</v>
      </c>
      <c r="AB107" s="92">
        <f t="shared" si="25"/>
        <v>20.665947446280992</v>
      </c>
      <c r="AC107" s="92">
        <f t="shared" si="26"/>
        <v>2.4496267685950412</v>
      </c>
      <c r="AD107" s="92">
        <f t="shared" si="27"/>
        <v>1.25450811</v>
      </c>
      <c r="AE107" s="92">
        <f t="shared" si="28"/>
        <v>1.7734429999999999E-2</v>
      </c>
      <c r="AF107" s="92">
        <f t="shared" si="29"/>
        <v>7.6283089999999998E-2</v>
      </c>
      <c r="AG107" s="96">
        <f t="shared" si="50"/>
        <v>2.6257112644387879E-2</v>
      </c>
      <c r="AH107" s="97">
        <f t="shared" si="33"/>
        <v>1855.0180699721443</v>
      </c>
      <c r="AI107" s="100">
        <f t="shared" si="51"/>
        <v>223.58562417397692</v>
      </c>
      <c r="AK107" s="100">
        <f t="shared" si="30"/>
        <v>460.07166759695679</v>
      </c>
    </row>
    <row r="108" spans="1:37" s="92" customFormat="1" x14ac:dyDescent="0.2">
      <c r="A108" s="90">
        <v>39</v>
      </c>
      <c r="B108" s="90" t="s">
        <v>223</v>
      </c>
      <c r="C108" s="90">
        <v>16.0888888888888</v>
      </c>
      <c r="D108" s="90">
        <v>21.089549134833199</v>
      </c>
      <c r="E108" s="90" t="s">
        <v>228</v>
      </c>
      <c r="F108" s="90" t="s">
        <v>356</v>
      </c>
      <c r="G108" s="107">
        <v>166242.04</v>
      </c>
      <c r="H108" s="107">
        <f t="shared" si="52"/>
        <v>460.07166759695679</v>
      </c>
      <c r="I108" s="95">
        <v>53864169.32</v>
      </c>
      <c r="J108" s="90">
        <v>45149</v>
      </c>
      <c r="K108" s="90">
        <v>44511</v>
      </c>
      <c r="L108" s="90">
        <v>930</v>
      </c>
      <c r="M108" s="90">
        <v>39.5090833</v>
      </c>
      <c r="N108" s="90">
        <v>1.19490202</v>
      </c>
      <c r="O108" s="90">
        <v>1.5641374699999999</v>
      </c>
      <c r="P108" s="90">
        <v>2.7936229999999999E-2</v>
      </c>
      <c r="Q108" s="90">
        <v>0.33122596999999998</v>
      </c>
      <c r="R108" s="90">
        <v>37.448247469999998</v>
      </c>
      <c r="S108" s="90">
        <v>2.2015052499999999</v>
      </c>
      <c r="T108" s="90">
        <v>1.5699548000000001</v>
      </c>
      <c r="U108" s="90">
        <v>2.803903E-2</v>
      </c>
      <c r="V108" s="90">
        <v>0.16236476</v>
      </c>
      <c r="W108" s="92">
        <f t="shared" si="20"/>
        <v>27.628729580419581</v>
      </c>
      <c r="X108" s="92">
        <f t="shared" si="21"/>
        <v>0.83559581818181827</v>
      </c>
      <c r="Y108" s="92">
        <f t="shared" si="22"/>
        <v>1.5641374699999999</v>
      </c>
      <c r="Z108" s="92">
        <f t="shared" si="23"/>
        <v>2.7936229999999999E-2</v>
      </c>
      <c r="AA108" s="92">
        <f t="shared" si="24"/>
        <v>0.33122596999999998</v>
      </c>
      <c r="AB108" s="92">
        <f t="shared" si="25"/>
        <v>30.948964851239669</v>
      </c>
      <c r="AC108" s="92">
        <f t="shared" si="26"/>
        <v>1.819425826446281</v>
      </c>
      <c r="AD108" s="92">
        <f t="shared" si="27"/>
        <v>1.5699548000000001</v>
      </c>
      <c r="AE108" s="92">
        <f t="shared" si="28"/>
        <v>2.803903E-2</v>
      </c>
      <c r="AF108" s="92">
        <f t="shared" si="29"/>
        <v>0.16236476</v>
      </c>
      <c r="AG108" s="96">
        <f t="shared" si="50"/>
        <v>2.7725476574885499E-2</v>
      </c>
      <c r="AH108" s="97">
        <f t="shared" si="33"/>
        <v>1957.3493584616087</v>
      </c>
      <c r="AI108" s="100">
        <f t="shared" si="51"/>
        <v>122.23616336702447</v>
      </c>
      <c r="AK108" s="100">
        <f t="shared" si="30"/>
        <v>460.07166759695679</v>
      </c>
    </row>
    <row r="109" spans="1:37" s="92" customFormat="1" x14ac:dyDescent="0.2">
      <c r="A109" s="90">
        <v>40</v>
      </c>
      <c r="B109" s="90" t="s">
        <v>224</v>
      </c>
      <c r="C109" s="90">
        <v>11.9310344827586</v>
      </c>
      <c r="D109" s="90">
        <v>14.1037173577741</v>
      </c>
      <c r="E109" s="90" t="s">
        <v>228</v>
      </c>
      <c r="F109" s="90" t="s">
        <v>356</v>
      </c>
      <c r="G109" s="107">
        <v>166242.04</v>
      </c>
      <c r="H109" s="107">
        <f t="shared" si="52"/>
        <v>460.07166759695679</v>
      </c>
      <c r="I109" s="95">
        <v>72707276.640000001</v>
      </c>
      <c r="J109" s="90">
        <v>45239</v>
      </c>
      <c r="K109" s="90">
        <v>44430</v>
      </c>
      <c r="L109" s="90">
        <v>930</v>
      </c>
      <c r="M109" s="90">
        <v>25.564307299999999</v>
      </c>
      <c r="N109" s="90">
        <v>1.0749414100000001</v>
      </c>
      <c r="O109" s="90">
        <v>1.3958486999999999</v>
      </c>
      <c r="P109" s="90">
        <v>1.9835019999999998E-2</v>
      </c>
      <c r="Q109" s="90">
        <v>-0.22891619999999999</v>
      </c>
      <c r="R109" s="90">
        <v>24.230845840000001</v>
      </c>
      <c r="S109" s="90">
        <v>1.5906617300000001</v>
      </c>
      <c r="T109" s="90">
        <v>1.4010401299999999</v>
      </c>
      <c r="U109" s="90">
        <v>1.9907569999999999E-2</v>
      </c>
      <c r="V109" s="90">
        <v>-0.1556903</v>
      </c>
      <c r="W109" s="92">
        <f t="shared" si="20"/>
        <v>17.877137972027974</v>
      </c>
      <c r="X109" s="92">
        <f t="shared" si="21"/>
        <v>0.75170727972027984</v>
      </c>
      <c r="Y109" s="92">
        <f t="shared" si="22"/>
        <v>1.3958486999999999</v>
      </c>
      <c r="Z109" s="92">
        <f t="shared" si="23"/>
        <v>1.9835019999999998E-2</v>
      </c>
      <c r="AA109" s="92">
        <f t="shared" si="24"/>
        <v>-0.22891619999999999</v>
      </c>
      <c r="AB109" s="92">
        <f t="shared" si="25"/>
        <v>20.025492429752067</v>
      </c>
      <c r="AC109" s="92">
        <f t="shared" si="26"/>
        <v>1.3145964710743803</v>
      </c>
      <c r="AD109" s="92">
        <f t="shared" si="27"/>
        <v>1.4010401299999999</v>
      </c>
      <c r="AE109" s="92">
        <f t="shared" si="28"/>
        <v>1.9907569999999999E-2</v>
      </c>
      <c r="AF109" s="92">
        <f t="shared" si="29"/>
        <v>-0.1556903</v>
      </c>
      <c r="AG109" s="96">
        <f t="shared" si="50"/>
        <v>3.4414141495772065E-2</v>
      </c>
      <c r="AH109" s="97">
        <f t="shared" si="33"/>
        <v>2421.644688544005</v>
      </c>
      <c r="AI109" s="100">
        <f t="shared" si="51"/>
        <v>183.37992199794033</v>
      </c>
      <c r="AK109" s="100">
        <f t="shared" si="30"/>
        <v>460.07166759695679</v>
      </c>
    </row>
    <row r="110" spans="1:37" s="92" customFormat="1" x14ac:dyDescent="0.2">
      <c r="A110" s="90">
        <v>41</v>
      </c>
      <c r="B110" s="90" t="s">
        <v>225</v>
      </c>
      <c r="C110" s="90">
        <v>6.3096446700507602</v>
      </c>
      <c r="D110" s="90">
        <v>0.26437883216684599</v>
      </c>
      <c r="E110" s="90" t="s">
        <v>228</v>
      </c>
      <c r="F110" s="90" t="s">
        <v>356</v>
      </c>
      <c r="G110" s="107">
        <v>166242.04</v>
      </c>
      <c r="H110" s="107">
        <f t="shared" si="52"/>
        <v>460.07166759695679</v>
      </c>
      <c r="I110" s="95">
        <v>183992362.30000001</v>
      </c>
      <c r="J110" s="90">
        <v>45279</v>
      </c>
      <c r="K110" s="90">
        <v>44309</v>
      </c>
      <c r="L110" s="90">
        <v>930</v>
      </c>
      <c r="M110" s="90">
        <v>10.6046972</v>
      </c>
      <c r="N110" s="90">
        <v>0.67643421999999997</v>
      </c>
      <c r="O110" s="90">
        <v>0.92929494000000001</v>
      </c>
      <c r="P110" s="90">
        <v>1.123118E-2</v>
      </c>
      <c r="Q110" s="90">
        <v>0.81564389999999998</v>
      </c>
      <c r="R110" s="90">
        <v>10.05154495</v>
      </c>
      <c r="S110" s="90">
        <v>0.81721151999999997</v>
      </c>
      <c r="T110" s="90">
        <v>0.93462424</v>
      </c>
      <c r="U110" s="90">
        <v>1.129463E-2</v>
      </c>
      <c r="V110" s="90">
        <v>0.63138081999999995</v>
      </c>
      <c r="W110" s="92">
        <f t="shared" si="20"/>
        <v>7.4158721678321688</v>
      </c>
      <c r="X110" s="92">
        <f t="shared" si="21"/>
        <v>0.47303092307692307</v>
      </c>
      <c r="Y110" s="92">
        <f t="shared" si="22"/>
        <v>0.92929494000000001</v>
      </c>
      <c r="Z110" s="92">
        <f t="shared" si="23"/>
        <v>1.123118E-2</v>
      </c>
      <c r="AA110" s="92">
        <f t="shared" si="24"/>
        <v>0.81564389999999998</v>
      </c>
      <c r="AB110" s="92">
        <f t="shared" si="25"/>
        <v>8.3070619421487599</v>
      </c>
      <c r="AC110" s="92">
        <f t="shared" si="26"/>
        <v>0.67538142148760327</v>
      </c>
      <c r="AD110" s="92">
        <f t="shared" si="27"/>
        <v>0.93462424</v>
      </c>
      <c r="AE110" s="92">
        <f t="shared" si="28"/>
        <v>1.129463E-2</v>
      </c>
      <c r="AF110" s="92">
        <f t="shared" si="29"/>
        <v>0.63138081999999995</v>
      </c>
      <c r="AG110" s="96">
        <f t="shared" si="50"/>
        <v>2.6813841229452001E-2</v>
      </c>
      <c r="AH110" s="97">
        <f t="shared" si="33"/>
        <v>1893.8340889169879</v>
      </c>
      <c r="AI110" s="100">
        <f t="shared" si="51"/>
        <v>119.40750594855903</v>
      </c>
      <c r="AK110" s="100">
        <f t="shared" si="30"/>
        <v>460.07166759695679</v>
      </c>
    </row>
    <row r="111" spans="1:37" s="92" customFormat="1" x14ac:dyDescent="0.2">
      <c r="A111" s="90">
        <v>42</v>
      </c>
      <c r="B111" s="90" t="s">
        <v>226</v>
      </c>
      <c r="C111" s="90">
        <v>1.1256410256410201</v>
      </c>
      <c r="D111" s="90">
        <v>8.8670946933237099E-2</v>
      </c>
      <c r="E111" s="90" t="s">
        <v>228</v>
      </c>
      <c r="F111" s="90" t="s">
        <v>356</v>
      </c>
      <c r="G111" s="107">
        <v>30651.9</v>
      </c>
      <c r="H111" s="107">
        <f t="shared" si="52"/>
        <v>197.55305920503417</v>
      </c>
      <c r="I111" s="95">
        <v>495646534.80000001</v>
      </c>
      <c r="J111" s="90">
        <v>46155</v>
      </c>
      <c r="K111" s="90">
        <v>44257</v>
      </c>
      <c r="L111" s="90">
        <v>930</v>
      </c>
      <c r="M111" s="90">
        <v>2.1693777500000002</v>
      </c>
      <c r="N111" s="90">
        <v>6.6988820000000004E-2</v>
      </c>
      <c r="O111" s="90">
        <v>0.75883624000000005</v>
      </c>
      <c r="P111" s="90">
        <v>2.5115200000000002E-3</v>
      </c>
      <c r="Q111" s="90">
        <v>0.46836956000000002</v>
      </c>
      <c r="R111" s="90">
        <v>2.0562206999999999</v>
      </c>
      <c r="S111" s="90">
        <v>0.12155844</v>
      </c>
      <c r="T111" s="90">
        <v>0.76165850000000002</v>
      </c>
      <c r="U111" s="90">
        <v>2.51798E-3</v>
      </c>
      <c r="V111" s="90">
        <v>0.20171918</v>
      </c>
      <c r="W111" s="92">
        <f t="shared" si="20"/>
        <v>1.5170473776223778</v>
      </c>
      <c r="X111" s="92">
        <f t="shared" si="21"/>
        <v>4.6845328671328679E-2</v>
      </c>
      <c r="Y111" s="92">
        <f t="shared" si="22"/>
        <v>0.75883624000000005</v>
      </c>
      <c r="Z111" s="92">
        <f t="shared" si="23"/>
        <v>2.5115200000000002E-3</v>
      </c>
      <c r="AA111" s="92">
        <f t="shared" si="24"/>
        <v>0.46836956000000002</v>
      </c>
      <c r="AB111" s="92">
        <f t="shared" si="25"/>
        <v>1.6993559504132232</v>
      </c>
      <c r="AC111" s="92">
        <f t="shared" si="26"/>
        <v>0.10046152066115703</v>
      </c>
      <c r="AD111" s="92">
        <f t="shared" si="27"/>
        <v>0.76165850000000002</v>
      </c>
      <c r="AE111" s="92">
        <f t="shared" si="28"/>
        <v>2.51798E-3</v>
      </c>
      <c r="AF111" s="92">
        <f t="shared" si="29"/>
        <v>0.20171918</v>
      </c>
      <c r="AG111" s="96">
        <f t="shared" si="50"/>
        <v>2.9292568156715895E-2</v>
      </c>
      <c r="AH111" s="97">
        <f t="shared" si="33"/>
        <v>2066.3998880252452</v>
      </c>
      <c r="AI111" s="100">
        <f t="shared" si="51"/>
        <v>143.86573329125221</v>
      </c>
      <c r="AK111" s="100">
        <f t="shared" si="30"/>
        <v>197.55305920503417</v>
      </c>
    </row>
    <row r="112" spans="1:37" x14ac:dyDescent="0.2">
      <c r="A112" s="17">
        <v>43</v>
      </c>
      <c r="B112" s="17" t="s">
        <v>227</v>
      </c>
      <c r="C112" s="17">
        <v>0.12827586206896499</v>
      </c>
      <c r="D112" s="17">
        <v>0.26809518007911598</v>
      </c>
      <c r="E112" s="17" t="s">
        <v>228</v>
      </c>
      <c r="F112" s="17"/>
      <c r="G112" s="17"/>
      <c r="H112" s="17"/>
      <c r="I112" s="20">
        <v>462282051.10000002</v>
      </c>
      <c r="J112" s="17">
        <v>51485</v>
      </c>
      <c r="K112" s="17">
        <v>46493</v>
      </c>
      <c r="L112" s="17">
        <v>1187.5</v>
      </c>
      <c r="M112" s="17">
        <v>0.47039513999999999</v>
      </c>
      <c r="N112" s="17">
        <v>0.41970286000000001</v>
      </c>
      <c r="O112" s="17">
        <v>0.73125172000000005</v>
      </c>
      <c r="P112" s="17">
        <v>1.8201700000000001E-3</v>
      </c>
      <c r="Q112" s="17">
        <v>0.90103359999999999</v>
      </c>
      <c r="R112" s="89">
        <v>0.44585882599999999</v>
      </c>
      <c r="S112" s="17">
        <v>0.41109396999999998</v>
      </c>
      <c r="T112" s="17">
        <v>0.73397139</v>
      </c>
      <c r="U112" s="17">
        <v>1.8229800000000001E-3</v>
      </c>
      <c r="V112" s="17">
        <v>0.85616868999999995</v>
      </c>
      <c r="W112" s="94">
        <f t="shared" si="20"/>
        <v>0.32894765034965034</v>
      </c>
      <c r="X112" s="94">
        <f t="shared" si="21"/>
        <v>0.29349850349650353</v>
      </c>
      <c r="Y112" s="94">
        <f t="shared" si="22"/>
        <v>0.73125172000000005</v>
      </c>
      <c r="Z112" s="94">
        <f t="shared" si="23"/>
        <v>1.8201700000000001E-3</v>
      </c>
      <c r="AA112" s="94">
        <f t="shared" si="24"/>
        <v>0.90103359999999999</v>
      </c>
      <c r="AB112" s="94">
        <f t="shared" si="25"/>
        <v>0.36847836859504129</v>
      </c>
      <c r="AC112" s="94">
        <f t="shared" si="26"/>
        <v>0.33974708264462811</v>
      </c>
      <c r="AD112" s="94">
        <f t="shared" si="27"/>
        <v>0.73397139</v>
      </c>
      <c r="AE112" s="94">
        <f t="shared" si="28"/>
        <v>1.8229800000000001E-3</v>
      </c>
      <c r="AF112" s="94">
        <f t="shared" si="29"/>
        <v>0.85616868999999995</v>
      </c>
      <c r="AG112" s="17"/>
      <c r="AH112" s="17"/>
    </row>
    <row r="116" spans="1:34" x14ac:dyDescent="0.2">
      <c r="A116" s="16">
        <v>94</v>
      </c>
      <c r="B116" s="16" t="s">
        <v>125</v>
      </c>
      <c r="C116" s="16"/>
      <c r="D116" s="16"/>
      <c r="E116" s="16" t="s">
        <v>196</v>
      </c>
      <c r="F116" s="16"/>
      <c r="G116" s="16"/>
      <c r="H116" s="16"/>
      <c r="I116" s="21">
        <v>1102324.808</v>
      </c>
      <c r="J116" s="16">
        <v>48939</v>
      </c>
      <c r="K116" s="16">
        <v>46420</v>
      </c>
      <c r="L116" s="16">
        <v>1124.69</v>
      </c>
      <c r="M116" s="16">
        <v>-0.98267459999999995</v>
      </c>
      <c r="N116" s="16">
        <v>0.62912082000000003</v>
      </c>
      <c r="O116" s="16" t="e">
        <v>#VALUE!</v>
      </c>
      <c r="P116" s="16" t="e">
        <v>#VALUE!</v>
      </c>
      <c r="Q116" s="16" t="e">
        <v>#VALUE!</v>
      </c>
      <c r="R116" s="90">
        <v>-0.87893677999999997</v>
      </c>
      <c r="S116" s="16">
        <v>-0.56845639999999997</v>
      </c>
      <c r="T116" s="16" t="e">
        <v>#VALUE!</v>
      </c>
      <c r="U116" s="16" t="e">
        <v>#VALUE!</v>
      </c>
      <c r="V116" s="16" t="e">
        <v>#VALUE!</v>
      </c>
      <c r="AG116" s="16"/>
      <c r="AH116" s="16"/>
    </row>
    <row r="117" spans="1:34" x14ac:dyDescent="0.2">
      <c r="A117" s="16">
        <v>95</v>
      </c>
      <c r="B117" s="16" t="s">
        <v>126</v>
      </c>
      <c r="C117" s="16"/>
      <c r="D117" s="16"/>
      <c r="E117" s="16" t="s">
        <v>196</v>
      </c>
      <c r="F117" s="16"/>
      <c r="G117" s="16"/>
      <c r="H117" s="16"/>
      <c r="I117" s="21">
        <v>1146712.395</v>
      </c>
      <c r="J117" s="16">
        <v>48810</v>
      </c>
      <c r="K117" s="16">
        <v>46566</v>
      </c>
      <c r="L117" s="16">
        <v>1135</v>
      </c>
      <c r="M117" s="16">
        <v>0.38660567000000001</v>
      </c>
      <c r="N117" s="16">
        <v>1.1950305699999999</v>
      </c>
      <c r="O117" s="16">
        <v>0.73487579999999997</v>
      </c>
      <c r="P117" s="16">
        <v>9.3361881499999999</v>
      </c>
      <c r="Q117" s="16" t="e">
        <v>#VALUE!</v>
      </c>
      <c r="R117" s="90">
        <v>0.34579294700000002</v>
      </c>
      <c r="S117" s="16">
        <v>1.0693458300000001</v>
      </c>
      <c r="T117" s="16">
        <v>0.73638554000000001</v>
      </c>
      <c r="U117" s="16">
        <v>9.3553685099999999</v>
      </c>
      <c r="V117" s="16" t="e">
        <v>#VALUE!</v>
      </c>
      <c r="AG117" s="16"/>
      <c r="AH117" s="16"/>
    </row>
    <row r="118" spans="1:34" x14ac:dyDescent="0.2">
      <c r="A118" s="16">
        <v>96</v>
      </c>
      <c r="B118" s="16" t="s">
        <v>127</v>
      </c>
      <c r="C118" s="16"/>
      <c r="D118" s="16"/>
      <c r="E118" s="16" t="s">
        <v>196</v>
      </c>
      <c r="F118" s="16"/>
      <c r="G118" s="16"/>
      <c r="H118" s="16"/>
      <c r="I118" s="21">
        <v>1529874.2409999999</v>
      </c>
      <c r="J118" s="16">
        <v>48959</v>
      </c>
      <c r="K118" s="16">
        <v>46113</v>
      </c>
      <c r="L118" s="16">
        <v>1138.1300000000001</v>
      </c>
      <c r="M118" s="16">
        <v>-0.1489684</v>
      </c>
      <c r="N118" s="16">
        <v>-2.3643182</v>
      </c>
      <c r="O118" s="16">
        <v>0.76559579</v>
      </c>
      <c r="P118" s="16">
        <v>1.1219762799999999</v>
      </c>
      <c r="Q118" s="16" t="e">
        <v>#VALUE!</v>
      </c>
      <c r="R118" s="90">
        <v>-0.133242262</v>
      </c>
      <c r="S118" s="16">
        <v>-2.11476</v>
      </c>
      <c r="T118" s="16">
        <v>0.76716863999999996</v>
      </c>
      <c r="U118" s="16">
        <v>1.1242812900000001</v>
      </c>
      <c r="V118" s="16" t="e">
        <v>#VALUE!</v>
      </c>
      <c r="AG118" s="16"/>
      <c r="AH118" s="16"/>
    </row>
    <row r="119" spans="1:34" x14ac:dyDescent="0.2">
      <c r="A119" s="16">
        <v>97</v>
      </c>
      <c r="B119" s="16" t="s">
        <v>128</v>
      </c>
      <c r="C119" s="16"/>
      <c r="D119" s="16"/>
      <c r="E119" s="16" t="s">
        <v>196</v>
      </c>
      <c r="F119" s="16"/>
      <c r="G119" s="16"/>
      <c r="H119" s="16"/>
      <c r="I119" s="21">
        <v>1120969.3060000001</v>
      </c>
      <c r="J119" s="16">
        <v>48657</v>
      </c>
      <c r="K119" s="16">
        <v>46308</v>
      </c>
      <c r="L119" s="16">
        <v>1136.56</v>
      </c>
      <c r="M119" s="16">
        <v>0.67292750000000001</v>
      </c>
      <c r="N119" s="16">
        <v>8.6394036100000005</v>
      </c>
      <c r="O119" s="16">
        <v>-0.44184560000000001</v>
      </c>
      <c r="P119" s="16">
        <v>-24.373062999999998</v>
      </c>
      <c r="Q119" s="16" t="e">
        <v>#VALUE!</v>
      </c>
      <c r="R119" s="90">
        <v>0.601888698</v>
      </c>
      <c r="S119" s="16">
        <v>7.7275668</v>
      </c>
      <c r="T119" s="16">
        <v>-0.44275340000000002</v>
      </c>
      <c r="U119" s="16">
        <v>-24.423134999999998</v>
      </c>
      <c r="V119" s="16" t="e">
        <v>#VALUE!</v>
      </c>
      <c r="AG119" s="16"/>
      <c r="AH119" s="16"/>
    </row>
    <row r="120" spans="1:34" x14ac:dyDescent="0.2">
      <c r="A120" s="16">
        <v>98</v>
      </c>
      <c r="B120" s="16" t="s">
        <v>129</v>
      </c>
      <c r="C120" s="16"/>
      <c r="D120" s="16"/>
      <c r="E120" s="16" t="s">
        <v>196</v>
      </c>
      <c r="F120" s="16"/>
      <c r="G120" s="16"/>
      <c r="H120" s="16"/>
      <c r="I120" s="21">
        <v>-13931232.23</v>
      </c>
      <c r="J120" s="16">
        <v>49848</v>
      </c>
      <c r="K120" s="16">
        <v>46718</v>
      </c>
      <c r="L120" s="16">
        <v>1161.56</v>
      </c>
      <c r="M120" s="16">
        <v>-1.02031E-2</v>
      </c>
      <c r="N120" s="16">
        <v>-3.3436800000000003E-2</v>
      </c>
      <c r="O120" s="16">
        <v>0.67730040999999996</v>
      </c>
      <c r="P120" s="16">
        <v>4.1833830000000002E-2</v>
      </c>
      <c r="Q120" s="16">
        <v>0.25597437000000001</v>
      </c>
      <c r="R120" s="90">
        <v>-9.1259519999999997E-3</v>
      </c>
      <c r="S120" s="16">
        <v>-2.9918699999999999E-2</v>
      </c>
      <c r="T120" s="16">
        <v>0.67869186999999997</v>
      </c>
      <c r="U120" s="16">
        <v>4.1919930000000001E-2</v>
      </c>
      <c r="V120" s="16">
        <v>0.25576743000000002</v>
      </c>
      <c r="AG120" s="16"/>
      <c r="AH120" s="16"/>
    </row>
    <row r="121" spans="1:34" x14ac:dyDescent="0.2">
      <c r="A121" s="16">
        <v>101</v>
      </c>
      <c r="B121" s="16" t="s">
        <v>130</v>
      </c>
      <c r="C121" s="16"/>
      <c r="D121" s="16"/>
      <c r="E121" s="16" t="s">
        <v>196</v>
      </c>
      <c r="F121" s="16"/>
      <c r="G121" s="16"/>
      <c r="H121" s="16"/>
      <c r="I121" s="21">
        <v>1099774.0079999999</v>
      </c>
      <c r="J121" s="16">
        <v>49868</v>
      </c>
      <c r="K121" s="16">
        <v>46874</v>
      </c>
      <c r="L121" s="16">
        <v>1169.3800000000001</v>
      </c>
      <c r="M121" s="16">
        <v>-1.2168661999999999</v>
      </c>
      <c r="N121" s="16">
        <v>-0.36281790000000003</v>
      </c>
      <c r="O121" s="16">
        <v>-0.1373057</v>
      </c>
      <c r="P121" s="16">
        <v>-0.89440589999999998</v>
      </c>
      <c r="Q121" s="16" t="e">
        <v>#VALUE!</v>
      </c>
      <c r="R121" s="90">
        <v>-1.095187192</v>
      </c>
      <c r="S121" s="16">
        <v>-0.33793000000000001</v>
      </c>
      <c r="T121" s="16">
        <v>-0.13756109999999999</v>
      </c>
      <c r="U121" s="16">
        <v>-0.89606949999999996</v>
      </c>
      <c r="V121" s="16" t="e">
        <v>#VALUE!</v>
      </c>
      <c r="AG121" s="16"/>
      <c r="AH121" s="16"/>
    </row>
    <row r="127" spans="1:34" x14ac:dyDescent="0.2">
      <c r="L127" t="s">
        <v>329</v>
      </c>
      <c r="M127">
        <v>298</v>
      </c>
      <c r="N127" t="s">
        <v>331</v>
      </c>
      <c r="O127">
        <f>(M127/39.09)/2*(2*39.09+16)</f>
        <v>358.98746482476338</v>
      </c>
      <c r="P127" t="s">
        <v>332</v>
      </c>
      <c r="Q127">
        <f>O127*85.46/0.278</f>
        <v>110356.3623882168</v>
      </c>
    </row>
    <row r="128" spans="1:34" x14ac:dyDescent="0.2">
      <c r="L128" t="s">
        <v>330</v>
      </c>
      <c r="M128">
        <v>1170</v>
      </c>
      <c r="N128" t="s">
        <v>333</v>
      </c>
      <c r="O128">
        <f>M128/40.078*(40.078+16)</f>
        <v>1637.089176106592</v>
      </c>
      <c r="P128" t="s">
        <v>334</v>
      </c>
      <c r="Q128">
        <f>O128*87.62/0.0986</f>
        <v>1454784.5193758581</v>
      </c>
    </row>
    <row r="129" spans="17:28" x14ac:dyDescent="0.2">
      <c r="Q129">
        <f>Q128/Q127</f>
        <v>13.182606674349675</v>
      </c>
    </row>
    <row r="135" spans="17:28" x14ac:dyDescent="0.2">
      <c r="AA135">
        <v>0</v>
      </c>
      <c r="AB135">
        <v>2190</v>
      </c>
    </row>
    <row r="136" spans="17:28" x14ac:dyDescent="0.2">
      <c r="AA136">
        <v>500</v>
      </c>
      <c r="AB136">
        <v>2190</v>
      </c>
    </row>
    <row r="138" spans="17:28" x14ac:dyDescent="0.2">
      <c r="AA138">
        <v>0</v>
      </c>
      <c r="AB138">
        <v>1400</v>
      </c>
    </row>
    <row r="139" spans="17:28" x14ac:dyDescent="0.2">
      <c r="AA139">
        <v>500</v>
      </c>
      <c r="AB139">
        <v>1400</v>
      </c>
    </row>
    <row r="162" spans="6:9" x14ac:dyDescent="0.2">
      <c r="F162">
        <f>GEOMEAN(F163:F192)</f>
        <v>98.937777542537859</v>
      </c>
      <c r="H162">
        <f>GEOMEAN(H163:H192)</f>
        <v>120.19244551543669</v>
      </c>
    </row>
    <row r="163" spans="6:9" x14ac:dyDescent="0.2">
      <c r="F163" s="74">
        <f>H163</f>
        <v>154.32504472953616</v>
      </c>
      <c r="G163" s="107">
        <v>74820.86</v>
      </c>
      <c r="H163" s="107">
        <f>(G163/PI())^0.5</f>
        <v>154.32504472953616</v>
      </c>
      <c r="I163" s="97">
        <v>1853.2568731071563</v>
      </c>
    </row>
    <row r="164" spans="6:9" x14ac:dyDescent="0.2">
      <c r="G164" s="107">
        <v>74820.86</v>
      </c>
      <c r="H164" s="107">
        <f t="shared" ref="H164:H192" si="53">(G164/PI())^0.5</f>
        <v>154.32504472953616</v>
      </c>
      <c r="I164" s="97">
        <v>1657.6463304948725</v>
      </c>
    </row>
    <row r="165" spans="6:9" x14ac:dyDescent="0.2">
      <c r="G165" s="107">
        <v>74820.86</v>
      </c>
      <c r="H165" s="107">
        <f t="shared" si="53"/>
        <v>154.32504472953616</v>
      </c>
      <c r="I165" s="97">
        <v>1592.7340060363324</v>
      </c>
    </row>
    <row r="166" spans="6:9" x14ac:dyDescent="0.2">
      <c r="F166" s="74">
        <f>H166</f>
        <v>63.075840332166194</v>
      </c>
      <c r="G166" s="107">
        <v>12499.02</v>
      </c>
      <c r="H166" s="107">
        <f t="shared" si="53"/>
        <v>63.075840332166194</v>
      </c>
      <c r="I166" s="97">
        <v>2497.115074388842</v>
      </c>
    </row>
    <row r="167" spans="6:9" x14ac:dyDescent="0.2">
      <c r="F167" s="74">
        <f>H167</f>
        <v>145.12947725662568</v>
      </c>
      <c r="G167" s="90">
        <v>66170</v>
      </c>
      <c r="H167" s="107">
        <f t="shared" si="53"/>
        <v>145.12947725662568</v>
      </c>
      <c r="I167" s="97">
        <v>2006.0078060260257</v>
      </c>
    </row>
    <row r="168" spans="6:9" x14ac:dyDescent="0.2">
      <c r="F168" s="74">
        <f>H168</f>
        <v>107.04239183147693</v>
      </c>
      <c r="G168" s="107">
        <v>35996.6</v>
      </c>
      <c r="H168" s="107">
        <f t="shared" si="53"/>
        <v>107.04239183147693</v>
      </c>
      <c r="I168" s="97">
        <v>2225.0293687738194</v>
      </c>
    </row>
    <row r="169" spans="6:9" x14ac:dyDescent="0.2">
      <c r="G169" s="107">
        <v>35997</v>
      </c>
      <c r="H169" s="107">
        <f t="shared" si="53"/>
        <v>107.04298656594888</v>
      </c>
      <c r="I169" s="97">
        <v>2405.4895481160902</v>
      </c>
    </row>
    <row r="170" spans="6:9" x14ac:dyDescent="0.2">
      <c r="F170" s="74">
        <f>H170</f>
        <v>184.47075515995661</v>
      </c>
      <c r="G170" s="107">
        <v>106906.7</v>
      </c>
      <c r="H170" s="107">
        <f t="shared" si="53"/>
        <v>184.47075515995661</v>
      </c>
      <c r="I170" s="97">
        <v>2140.1564772625475</v>
      </c>
    </row>
    <row r="171" spans="6:9" x14ac:dyDescent="0.2">
      <c r="G171" s="107">
        <v>106906.7</v>
      </c>
      <c r="H171" s="107">
        <f t="shared" si="53"/>
        <v>184.47075515995661</v>
      </c>
      <c r="I171" s="97">
        <v>2414.1504566539447</v>
      </c>
    </row>
    <row r="172" spans="6:9" x14ac:dyDescent="0.2">
      <c r="G172" s="107">
        <v>106906.7</v>
      </c>
      <c r="H172" s="107">
        <f t="shared" si="53"/>
        <v>184.47075515995661</v>
      </c>
      <c r="I172" s="97">
        <v>2550.2011927290023</v>
      </c>
    </row>
    <row r="173" spans="6:9" x14ac:dyDescent="0.2">
      <c r="G173" s="107">
        <v>106906.7</v>
      </c>
      <c r="H173" s="107">
        <f t="shared" si="53"/>
        <v>184.47075515995661</v>
      </c>
      <c r="I173" s="97">
        <v>2309.2903645654947</v>
      </c>
    </row>
    <row r="174" spans="6:9" x14ac:dyDescent="0.2">
      <c r="F174" s="74">
        <f>H174</f>
        <v>51.714831027683928</v>
      </c>
      <c r="G174" s="108">
        <v>8401.9500000000007</v>
      </c>
      <c r="H174" s="107">
        <f t="shared" si="53"/>
        <v>51.714831027683928</v>
      </c>
      <c r="I174" s="97">
        <v>1694.5612880712731</v>
      </c>
    </row>
    <row r="175" spans="6:9" x14ac:dyDescent="0.2">
      <c r="F175" s="74">
        <f>H175</f>
        <v>55.431418421625018</v>
      </c>
      <c r="G175" s="108">
        <v>9652.99</v>
      </c>
      <c r="H175" s="107">
        <f t="shared" si="53"/>
        <v>55.431418421625018</v>
      </c>
      <c r="I175" s="97">
        <v>3026.6595750324891</v>
      </c>
    </row>
    <row r="176" spans="6:9" x14ac:dyDescent="0.2">
      <c r="F176" s="74">
        <f>H176</f>
        <v>88.174457103706601</v>
      </c>
      <c r="G176" s="108">
        <v>24425.05</v>
      </c>
      <c r="H176" s="107">
        <f t="shared" si="53"/>
        <v>88.174457103706601</v>
      </c>
      <c r="I176" s="97">
        <v>2458.28407166535</v>
      </c>
    </row>
    <row r="177" spans="6:9" x14ac:dyDescent="0.2">
      <c r="F177" s="74">
        <f>H177</f>
        <v>112.67583557764789</v>
      </c>
      <c r="G177" s="107">
        <v>39885.17</v>
      </c>
      <c r="H177" s="107">
        <f t="shared" si="53"/>
        <v>112.67583557764789</v>
      </c>
      <c r="I177" s="97">
        <v>1963.0248498945537</v>
      </c>
    </row>
    <row r="178" spans="6:9" x14ac:dyDescent="0.2">
      <c r="G178" s="107">
        <v>39885.17</v>
      </c>
      <c r="H178" s="107">
        <f t="shared" si="53"/>
        <v>112.67583557764789</v>
      </c>
      <c r="I178" s="97">
        <v>2230.4482140410187</v>
      </c>
    </row>
    <row r="179" spans="6:9" x14ac:dyDescent="0.2">
      <c r="F179" s="74">
        <f>H179</f>
        <v>58.607866211023968</v>
      </c>
      <c r="G179" s="90">
        <v>10791</v>
      </c>
      <c r="H179" s="107">
        <f t="shared" si="53"/>
        <v>58.607866211023968</v>
      </c>
      <c r="I179" s="97">
        <v>1954.3991499017427</v>
      </c>
    </row>
    <row r="180" spans="6:9" x14ac:dyDescent="0.2">
      <c r="F180" s="74">
        <f>H180</f>
        <v>86.30064880713752</v>
      </c>
      <c r="G180" s="107">
        <v>23397.96</v>
      </c>
      <c r="H180" s="107">
        <f t="shared" si="53"/>
        <v>86.30064880713752</v>
      </c>
      <c r="I180" s="97">
        <v>2321.1411822843943</v>
      </c>
    </row>
    <row r="181" spans="6:9" x14ac:dyDescent="0.2">
      <c r="G181" s="107">
        <v>23397.96</v>
      </c>
      <c r="H181" s="107">
        <f t="shared" si="53"/>
        <v>86.30064880713752</v>
      </c>
      <c r="I181" s="97">
        <v>2494.1754361105341</v>
      </c>
    </row>
    <row r="182" spans="6:9" x14ac:dyDescent="0.2">
      <c r="F182" s="74">
        <f>H182</f>
        <v>132.81672293904597</v>
      </c>
      <c r="G182" s="107">
        <v>55418.58</v>
      </c>
      <c r="H182" s="107">
        <f t="shared" si="53"/>
        <v>132.81672293904597</v>
      </c>
      <c r="I182" s="97">
        <v>2219.1462989182351</v>
      </c>
    </row>
    <row r="183" spans="6:9" x14ac:dyDescent="0.2">
      <c r="G183" s="107">
        <v>55418.58</v>
      </c>
      <c r="H183" s="107">
        <f t="shared" si="53"/>
        <v>132.81672293904597</v>
      </c>
      <c r="I183" s="97">
        <v>2123.703466473426</v>
      </c>
    </row>
    <row r="184" spans="6:9" x14ac:dyDescent="0.2">
      <c r="G184" s="107">
        <v>55418.58</v>
      </c>
      <c r="H184" s="107">
        <f t="shared" si="53"/>
        <v>132.81672293904597</v>
      </c>
      <c r="I184" s="97">
        <v>1857.2123162543551</v>
      </c>
    </row>
    <row r="185" spans="6:9" x14ac:dyDescent="0.2">
      <c r="F185" s="74">
        <f>H185</f>
        <v>88.424024294161171</v>
      </c>
      <c r="G185" s="108">
        <v>24563.51</v>
      </c>
      <c r="H185" s="107">
        <f t="shared" si="53"/>
        <v>88.424024294161171</v>
      </c>
      <c r="I185" s="97">
        <v>2734.8681972259046</v>
      </c>
    </row>
    <row r="186" spans="6:9" x14ac:dyDescent="0.2">
      <c r="G186" s="108">
        <v>24563.51</v>
      </c>
      <c r="H186" s="107">
        <f t="shared" si="53"/>
        <v>88.424024294161171</v>
      </c>
      <c r="I186" s="97">
        <v>2116.5001758020035</v>
      </c>
    </row>
    <row r="187" spans="6:9" x14ac:dyDescent="0.2">
      <c r="F187" s="74">
        <f>H187</f>
        <v>78.608415423603532</v>
      </c>
      <c r="G187" s="107">
        <v>19412.79</v>
      </c>
      <c r="H187" s="107">
        <f t="shared" si="53"/>
        <v>78.608415423603532</v>
      </c>
      <c r="I187" s="97">
        <v>2185.3378445809531</v>
      </c>
    </row>
    <row r="188" spans="6:9" x14ac:dyDescent="0.2">
      <c r="F188" s="74">
        <f>H188</f>
        <v>230.03583379847839</v>
      </c>
      <c r="G188" s="107">
        <v>166242.04</v>
      </c>
      <c r="H188" s="107">
        <f t="shared" si="53"/>
        <v>230.03583379847839</v>
      </c>
      <c r="I188" s="97">
        <v>1855.0180699721443</v>
      </c>
    </row>
    <row r="189" spans="6:9" x14ac:dyDescent="0.2">
      <c r="G189" s="107">
        <v>166242.04</v>
      </c>
      <c r="H189" s="107">
        <f t="shared" si="53"/>
        <v>230.03583379847839</v>
      </c>
      <c r="I189" s="97">
        <v>1957.3493584616087</v>
      </c>
    </row>
    <row r="190" spans="6:9" x14ac:dyDescent="0.2">
      <c r="G190" s="107">
        <v>166242.04</v>
      </c>
      <c r="H190" s="107">
        <f t="shared" si="53"/>
        <v>230.03583379847839</v>
      </c>
      <c r="I190" s="97">
        <v>2421.644688544005</v>
      </c>
    </row>
    <row r="191" spans="6:9" x14ac:dyDescent="0.2">
      <c r="G191" s="107">
        <v>166242.04</v>
      </c>
      <c r="H191" s="107">
        <f t="shared" si="53"/>
        <v>230.03583379847839</v>
      </c>
      <c r="I191" s="97">
        <v>1893.8340889169879</v>
      </c>
    </row>
    <row r="192" spans="6:9" x14ac:dyDescent="0.2">
      <c r="F192" s="74">
        <f>H192</f>
        <v>98.776529602517087</v>
      </c>
      <c r="G192" s="107">
        <v>30651.9</v>
      </c>
      <c r="H192" s="107">
        <f t="shared" si="53"/>
        <v>98.776529602517087</v>
      </c>
      <c r="I192" s="97">
        <v>2066.3998880252452</v>
      </c>
    </row>
    <row r="209" spans="24:27" x14ac:dyDescent="0.2">
      <c r="Y209" t="s">
        <v>363</v>
      </c>
      <c r="Z209" t="s">
        <v>7</v>
      </c>
      <c r="AA209" t="s">
        <v>10</v>
      </c>
    </row>
    <row r="210" spans="24:27" x14ac:dyDescent="0.2">
      <c r="X210" s="107"/>
      <c r="Y210">
        <v>154.32504472953616</v>
      </c>
      <c r="Z210" s="92">
        <v>3.6346272132231405</v>
      </c>
      <c r="AA210" s="92">
        <v>0.80722302999999995</v>
      </c>
    </row>
    <row r="211" spans="24:27" x14ac:dyDescent="0.2">
      <c r="X211" s="107"/>
      <c r="Y211">
        <v>154.32504472953616</v>
      </c>
      <c r="Z211" s="92">
        <v>6.1027275661157026</v>
      </c>
      <c r="AA211" s="92">
        <v>0.85487254999999995</v>
      </c>
    </row>
    <row r="212" spans="24:27" x14ac:dyDescent="0.2">
      <c r="X212" s="107"/>
      <c r="Y212">
        <v>154.32504472953616</v>
      </c>
      <c r="Z212" s="92">
        <v>7.5892889768595051</v>
      </c>
      <c r="AA212" s="92">
        <v>0.88266283000000001</v>
      </c>
    </row>
    <row r="213" spans="24:27" x14ac:dyDescent="0.2">
      <c r="X213" s="107"/>
      <c r="Y213">
        <v>63.075840332166194</v>
      </c>
      <c r="Z213" s="92">
        <v>1.320736205785124</v>
      </c>
      <c r="AA213" s="92">
        <v>0.75877337</v>
      </c>
    </row>
    <row r="214" spans="24:27" x14ac:dyDescent="0.2">
      <c r="X214" s="107"/>
      <c r="Y214">
        <v>145.12947725662568</v>
      </c>
      <c r="Z214" s="92">
        <v>1.1452318396694214</v>
      </c>
      <c r="AA214" s="92">
        <v>0.74443254999999997</v>
      </c>
    </row>
    <row r="215" spans="24:27" x14ac:dyDescent="0.2">
      <c r="X215" s="107"/>
      <c r="Y215">
        <v>107.04239183147693</v>
      </c>
      <c r="Z215" s="92">
        <v>4.2242485520661157</v>
      </c>
      <c r="AA215" s="92">
        <v>0.84526652999999996</v>
      </c>
    </row>
    <row r="216" spans="24:27" x14ac:dyDescent="0.2">
      <c r="X216" s="107"/>
      <c r="Y216">
        <v>107.04298656594888</v>
      </c>
      <c r="Z216" s="92">
        <v>1.9776803578512396</v>
      </c>
      <c r="AA216" s="92">
        <v>0.77947845999999998</v>
      </c>
    </row>
    <row r="217" spans="24:27" x14ac:dyDescent="0.2">
      <c r="X217" s="107"/>
      <c r="Y217">
        <v>184.47075515995661</v>
      </c>
      <c r="Z217" s="92">
        <v>6.1234805528925627</v>
      </c>
      <c r="AA217" s="92">
        <v>0.89775108000000003</v>
      </c>
    </row>
    <row r="218" spans="24:27" x14ac:dyDescent="0.2">
      <c r="X218" s="107"/>
      <c r="Y218">
        <v>184.47075515995661</v>
      </c>
      <c r="Z218" s="92">
        <v>7.2890817347107442</v>
      </c>
      <c r="AA218" s="92">
        <v>0.96193803</v>
      </c>
    </row>
    <row r="219" spans="24:27" x14ac:dyDescent="0.2">
      <c r="X219" s="107"/>
      <c r="Y219">
        <v>184.47075515995661</v>
      </c>
      <c r="Z219" s="92">
        <v>6.6273775330578513</v>
      </c>
      <c r="AA219" s="92">
        <v>0.95228027999999998</v>
      </c>
    </row>
    <row r="220" spans="24:27" x14ac:dyDescent="0.2">
      <c r="X220" s="107"/>
      <c r="Y220">
        <v>184.47075515995661</v>
      </c>
      <c r="Z220" s="92">
        <v>6.1455114000000002</v>
      </c>
      <c r="AA220" s="92">
        <v>0.91340100999999996</v>
      </c>
    </row>
    <row r="221" spans="24:27" x14ac:dyDescent="0.2">
      <c r="X221" s="107"/>
      <c r="Y221">
        <v>51.714831027683928</v>
      </c>
      <c r="Z221" s="92">
        <v>3.8399374157024795</v>
      </c>
      <c r="AA221" s="92">
        <v>0.80388075999999997</v>
      </c>
    </row>
    <row r="222" spans="24:27" x14ac:dyDescent="0.2">
      <c r="X222" s="107"/>
      <c r="Y222">
        <v>55.431418421625018</v>
      </c>
      <c r="Z222" s="92">
        <v>6.2881005611570249</v>
      </c>
      <c r="AA222" s="92">
        <v>0.98349692</v>
      </c>
    </row>
    <row r="223" spans="24:27" x14ac:dyDescent="0.2">
      <c r="X223" s="107"/>
      <c r="Y223">
        <v>88.174457103706601</v>
      </c>
      <c r="Z223" s="92">
        <v>1.9102038644628099</v>
      </c>
      <c r="AA223" s="92">
        <v>0.77862982000000003</v>
      </c>
    </row>
    <row r="224" spans="24:27" x14ac:dyDescent="0.2">
      <c r="X224" s="107"/>
      <c r="Y224">
        <v>112.67583557764789</v>
      </c>
      <c r="Z224" s="92">
        <v>2.2359806123966943</v>
      </c>
      <c r="AA224" s="92">
        <v>0.77405586000000004</v>
      </c>
    </row>
    <row r="225" spans="24:27" x14ac:dyDescent="0.2">
      <c r="X225" s="107"/>
      <c r="Y225">
        <v>112.67583557764789</v>
      </c>
      <c r="Z225" s="92">
        <v>1.1768630719008266</v>
      </c>
      <c r="AA225" s="92">
        <v>0.74913300999999999</v>
      </c>
    </row>
    <row r="226" spans="24:27" x14ac:dyDescent="0.2">
      <c r="X226" s="107"/>
      <c r="Y226">
        <v>58.607866211023968</v>
      </c>
      <c r="Z226" s="92">
        <v>1.8513354198347107</v>
      </c>
      <c r="AA226" s="92">
        <v>0.76313072999999998</v>
      </c>
    </row>
    <row r="227" spans="24:27" x14ac:dyDescent="0.2">
      <c r="X227" s="107"/>
      <c r="Y227">
        <v>86.30064880713752</v>
      </c>
      <c r="Z227" s="92">
        <v>2.1906251090909095</v>
      </c>
      <c r="AA227" s="92">
        <v>0.78408869999999997</v>
      </c>
    </row>
    <row r="228" spans="24:27" x14ac:dyDescent="0.2">
      <c r="X228" s="107"/>
      <c r="Y228">
        <v>86.30064880713752</v>
      </c>
      <c r="Z228" s="92">
        <v>1.1752308446280992</v>
      </c>
      <c r="AA228" s="92">
        <v>0.75355715000000001</v>
      </c>
    </row>
    <row r="229" spans="24:27" x14ac:dyDescent="0.2">
      <c r="X229" s="107"/>
      <c r="Y229">
        <v>132.81672293904597</v>
      </c>
      <c r="Z229" s="92">
        <v>1.308207496694215</v>
      </c>
      <c r="AA229" s="92">
        <v>0.75307754999999998</v>
      </c>
    </row>
    <row r="230" spans="24:27" x14ac:dyDescent="0.2">
      <c r="X230" s="107"/>
      <c r="Y230">
        <v>132.81672293904597</v>
      </c>
      <c r="Z230" s="92">
        <v>2.0699593851239668</v>
      </c>
      <c r="AA230" s="92">
        <v>0.77422095999999996</v>
      </c>
    </row>
    <row r="231" spans="24:27" x14ac:dyDescent="0.2">
      <c r="X231" s="107"/>
      <c r="Y231">
        <v>132.81672293904597</v>
      </c>
      <c r="Z231" s="92">
        <v>4.560175470247934</v>
      </c>
      <c r="AA231" s="92">
        <v>0.83176052</v>
      </c>
    </row>
    <row r="232" spans="24:27" x14ac:dyDescent="0.2">
      <c r="X232" s="107"/>
      <c r="Y232">
        <v>88.424024294161171</v>
      </c>
      <c r="Z232" s="92">
        <v>2.0317427157024794</v>
      </c>
      <c r="AA232" s="92">
        <v>0.79101847000000003</v>
      </c>
    </row>
    <row r="233" spans="24:27" x14ac:dyDescent="0.2">
      <c r="X233" s="107"/>
      <c r="Y233">
        <v>88.424024294161171</v>
      </c>
      <c r="Z233" s="92">
        <v>6.529603785950413</v>
      </c>
      <c r="AA233" s="92">
        <v>0.90785512999999995</v>
      </c>
    </row>
    <row r="234" spans="24:27" x14ac:dyDescent="0.2">
      <c r="X234" s="107"/>
      <c r="Y234">
        <v>78.608415423603532</v>
      </c>
      <c r="Z234" s="92">
        <v>3.0803942404958677</v>
      </c>
      <c r="AA234" s="92">
        <v>0.80738599</v>
      </c>
    </row>
    <row r="235" spans="24:27" x14ac:dyDescent="0.2">
      <c r="X235" s="107"/>
      <c r="Y235">
        <v>230.03583379847839</v>
      </c>
      <c r="Z235" s="92">
        <v>20.665947446280992</v>
      </c>
      <c r="AA235" s="92">
        <v>1.25450811</v>
      </c>
    </row>
    <row r="236" spans="24:27" x14ac:dyDescent="0.2">
      <c r="X236" s="107"/>
      <c r="Y236">
        <v>230.03583379847839</v>
      </c>
      <c r="Z236" s="92">
        <v>30.948964851239669</v>
      </c>
      <c r="AA236" s="92">
        <v>1.5699548000000001</v>
      </c>
    </row>
    <row r="237" spans="24:27" x14ac:dyDescent="0.2">
      <c r="X237" s="107"/>
      <c r="Y237">
        <v>230.03583379847839</v>
      </c>
      <c r="Z237" s="92">
        <v>20.025492429752067</v>
      </c>
      <c r="AA237" s="92">
        <v>1.4010401299999999</v>
      </c>
    </row>
    <row r="238" spans="24:27" x14ac:dyDescent="0.2">
      <c r="X238" s="107"/>
      <c r="Y238">
        <v>230.03583379847839</v>
      </c>
      <c r="Z238" s="92">
        <v>8.3070619421487599</v>
      </c>
      <c r="AA238" s="92">
        <v>0.93462424</v>
      </c>
    </row>
    <row r="239" spans="24:27" x14ac:dyDescent="0.2">
      <c r="X239" s="107"/>
      <c r="Y239">
        <v>98.776529602517087</v>
      </c>
      <c r="Z239" s="92">
        <v>1.6993559504132232</v>
      </c>
      <c r="AA239" s="92">
        <v>0.76165850000000002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E64A-E73D-D446-9C4A-42B6CD2A6833}">
  <dimension ref="A1:W43"/>
  <sheetViews>
    <sheetView workbookViewId="0">
      <selection activeCell="C24" sqref="C24"/>
    </sheetView>
  </sheetViews>
  <sheetFormatPr baseColWidth="10" defaultColWidth="10.83203125" defaultRowHeight="16" x14ac:dyDescent="0.2"/>
  <cols>
    <col min="1" max="1" width="11" style="2" bestFit="1" customWidth="1"/>
    <col min="2" max="2" width="32.83203125" style="2" customWidth="1"/>
    <col min="3" max="3" width="76.83203125" style="2" customWidth="1"/>
    <col min="4" max="4" width="17.83203125" style="2" customWidth="1"/>
    <col min="5" max="5" width="6.33203125" style="2" customWidth="1"/>
    <col min="6" max="6" width="7.33203125" style="2" customWidth="1"/>
    <col min="7" max="7" width="9" style="2" customWidth="1"/>
    <col min="8" max="12" width="10.83203125" style="2"/>
    <col min="13" max="13" width="12.83203125" style="2" bestFit="1" customWidth="1"/>
    <col min="14" max="16" width="11" style="2" bestFit="1" customWidth="1"/>
    <col min="17" max="17" width="10.83203125" style="2"/>
    <col min="18" max="19" width="26.33203125" style="2" customWidth="1"/>
    <col min="20" max="20" width="21.6640625" style="2" customWidth="1"/>
    <col min="21" max="21" width="26.5" style="2" customWidth="1"/>
    <col min="22" max="22" width="10.83203125" style="2"/>
    <col min="23" max="23" width="61.5" style="2" customWidth="1"/>
    <col min="24" max="16384" width="10.832031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H2" s="2" t="s">
        <v>11</v>
      </c>
      <c r="M2" s="2" t="s">
        <v>9</v>
      </c>
    </row>
    <row r="3" spans="1:23" ht="17" thickBot="1" x14ac:dyDescent="0.25">
      <c r="A3" s="3" t="s">
        <v>5</v>
      </c>
      <c r="B3" s="122" t="s">
        <v>6</v>
      </c>
      <c r="C3" s="3"/>
      <c r="D3" s="3" t="s">
        <v>18</v>
      </c>
      <c r="E3" s="3" t="s">
        <v>57</v>
      </c>
      <c r="F3" s="3" t="s">
        <v>58</v>
      </c>
      <c r="G3" s="3" t="s">
        <v>59</v>
      </c>
      <c r="H3" s="3" t="s">
        <v>7</v>
      </c>
      <c r="I3" s="3" t="s">
        <v>8</v>
      </c>
      <c r="J3" s="3" t="s">
        <v>10</v>
      </c>
      <c r="K3" s="3" t="s">
        <v>8</v>
      </c>
      <c r="L3" s="3" t="s">
        <v>275</v>
      </c>
      <c r="M3" s="3" t="s">
        <v>7</v>
      </c>
      <c r="N3" s="3" t="s">
        <v>8</v>
      </c>
      <c r="O3" s="3" t="s">
        <v>10</v>
      </c>
      <c r="P3" s="3" t="s">
        <v>8</v>
      </c>
      <c r="Q3" s="3" t="s">
        <v>275</v>
      </c>
      <c r="R3" s="3" t="s">
        <v>19</v>
      </c>
      <c r="S3" s="3"/>
      <c r="T3" s="3" t="s">
        <v>20</v>
      </c>
      <c r="U3" s="3"/>
      <c r="V3" s="3" t="s">
        <v>12</v>
      </c>
      <c r="W3" s="3"/>
    </row>
    <row r="4" spans="1:23" ht="17" thickTop="1" x14ac:dyDescent="0.2">
      <c r="A4" s="2">
        <v>8</v>
      </c>
      <c r="B4" s="122" t="s">
        <v>452</v>
      </c>
      <c r="C4" s="2" t="str">
        <f t="shared" ref="C4:C28" si="0">V4</f>
        <v>20220228_NeomaMSMS_SrF_LA_Chicago_Run4_Sr_export_processed</v>
      </c>
      <c r="D4" s="4">
        <v>1154462238.3510537</v>
      </c>
      <c r="E4" s="4">
        <v>14720.974</v>
      </c>
      <c r="F4" s="4">
        <v>56025.188000000002</v>
      </c>
      <c r="G4" s="4">
        <v>1349.69</v>
      </c>
      <c r="J4" s="2">
        <v>0.70529023891055032</v>
      </c>
      <c r="K4" s="2">
        <v>3.2543000806150684E-4</v>
      </c>
      <c r="O4" s="2">
        <v>0.70705311409795357</v>
      </c>
      <c r="P4" s="2">
        <v>4.6093093065455154E-4</v>
      </c>
      <c r="V4" s="2" t="s">
        <v>268</v>
      </c>
    </row>
    <row r="5" spans="1:23" x14ac:dyDescent="0.2">
      <c r="A5" s="2">
        <v>9</v>
      </c>
      <c r="B5" s="122" t="s">
        <v>453</v>
      </c>
      <c r="C5" s="2" t="str">
        <f t="shared" si="0"/>
        <v>20220228_NeomaMSMS_SrF_LA_Chicago_Run4_Sr_export_processed</v>
      </c>
      <c r="D5" s="4">
        <v>1165508819.7143509</v>
      </c>
      <c r="E5" s="4">
        <v>14863.985000000001</v>
      </c>
      <c r="F5" s="4">
        <v>55989.434999999998</v>
      </c>
      <c r="G5" s="4">
        <v>1349.69</v>
      </c>
      <c r="J5" s="2">
        <v>0.70536016921815814</v>
      </c>
      <c r="K5" s="2">
        <v>3.5989097072059074E-4</v>
      </c>
      <c r="O5" s="2">
        <v>0.70712321919658683</v>
      </c>
      <c r="P5" s="2">
        <v>4.8601787747485839E-4</v>
      </c>
      <c r="V5" s="2" t="s">
        <v>268</v>
      </c>
    </row>
    <row r="6" spans="1:23" x14ac:dyDescent="0.2">
      <c r="A6" s="2">
        <v>10</v>
      </c>
      <c r="B6" s="122" t="s">
        <v>454</v>
      </c>
      <c r="C6" s="2" t="str">
        <f t="shared" si="0"/>
        <v>20220228_NeomaMSMS_SrF_LA_Chicago_Run4_Sr_export_processed</v>
      </c>
      <c r="D6" s="4">
        <v>961281302.69076216</v>
      </c>
      <c r="E6" s="4">
        <v>15034.406000000001</v>
      </c>
      <c r="F6" s="4">
        <v>55982</v>
      </c>
      <c r="G6" s="4">
        <v>1349.69</v>
      </c>
      <c r="J6" s="2">
        <v>0.70525068716932582</v>
      </c>
      <c r="K6" s="2">
        <v>3.8102113468900962E-4</v>
      </c>
      <c r="O6" s="2">
        <v>0.70701346349702654</v>
      </c>
      <c r="P6" s="2">
        <v>5.0191076427807068E-4</v>
      </c>
      <c r="V6" s="2" t="s">
        <v>268</v>
      </c>
    </row>
    <row r="7" spans="1:23" x14ac:dyDescent="0.2">
      <c r="A7" s="2">
        <v>11</v>
      </c>
      <c r="B7" s="122" t="s">
        <v>455</v>
      </c>
      <c r="C7" s="2" t="str">
        <f t="shared" si="0"/>
        <v>20220228_NeomaMSMS_SrF_LA_Chicago_Run4_Sr_export_processed</v>
      </c>
      <c r="D7" s="4">
        <v>978452289.38597393</v>
      </c>
      <c r="E7" s="4">
        <v>15219.843000000001</v>
      </c>
      <c r="F7" s="4">
        <v>55923.781000000003</v>
      </c>
      <c r="G7" s="4">
        <v>1349.69</v>
      </c>
      <c r="J7" s="2">
        <v>0.7057523890897317</v>
      </c>
      <c r="K7" s="2">
        <v>3.5863287347732064E-4</v>
      </c>
      <c r="O7" s="2">
        <v>0.70751641942297239</v>
      </c>
      <c r="P7" s="2">
        <v>4.8520392094839916E-4</v>
      </c>
      <c r="V7" s="2" t="s">
        <v>268</v>
      </c>
    </row>
    <row r="8" spans="1:23" x14ac:dyDescent="0.2">
      <c r="A8" s="2">
        <v>12</v>
      </c>
      <c r="B8" s="122" t="s">
        <v>456</v>
      </c>
      <c r="C8" s="2" t="str">
        <f t="shared" si="0"/>
        <v>20220228_NeomaMSMS_SrF_LA_Chicago_Run4_Sr_export_processed</v>
      </c>
      <c r="D8" s="4">
        <v>901952972.52352107</v>
      </c>
      <c r="E8" s="4">
        <v>15370.75</v>
      </c>
      <c r="F8" s="4">
        <v>55880.813000000002</v>
      </c>
      <c r="G8" s="4">
        <v>1349.69</v>
      </c>
      <c r="J8" s="2">
        <v>0.70555466571919989</v>
      </c>
      <c r="K8" s="2">
        <v>4.1957042444336985E-4</v>
      </c>
      <c r="O8" s="2">
        <v>0.70731820184224936</v>
      </c>
      <c r="P8" s="2">
        <v>5.3199861856766529E-4</v>
      </c>
      <c r="V8" s="2" t="s">
        <v>268</v>
      </c>
    </row>
    <row r="9" spans="1:23" x14ac:dyDescent="0.2">
      <c r="A9" s="2">
        <v>15</v>
      </c>
      <c r="B9" s="122" t="s">
        <v>457</v>
      </c>
      <c r="C9" s="2" t="str">
        <f t="shared" si="0"/>
        <v>20220228_NeomaMSMS_SrF_LA_Chicago_Run4_Sr_export_processed</v>
      </c>
      <c r="D9" s="4">
        <v>988300596.08260691</v>
      </c>
      <c r="E9" s="4">
        <v>15536.78</v>
      </c>
      <c r="F9" s="4">
        <v>55852.781000000003</v>
      </c>
      <c r="G9" s="4">
        <v>1349.69</v>
      </c>
      <c r="J9" s="2">
        <v>0.70554501815623971</v>
      </c>
      <c r="K9" s="2">
        <v>3.754642809729477E-4</v>
      </c>
      <c r="O9" s="2">
        <v>0.70733665707105964</v>
      </c>
      <c r="P9" s="2">
        <v>5.2398575635774491E-4</v>
      </c>
      <c r="V9" s="2" t="s">
        <v>268</v>
      </c>
    </row>
    <row r="10" spans="1:23" x14ac:dyDescent="0.2">
      <c r="A10" s="2">
        <v>16</v>
      </c>
      <c r="B10" s="122" t="s">
        <v>458</v>
      </c>
      <c r="C10" s="2" t="str">
        <f t="shared" si="0"/>
        <v>20220228_NeomaMSMS_SrF_LA_Chicago_Run4_Sr_export_processed</v>
      </c>
      <c r="D10" s="4">
        <v>1009948015.7877209</v>
      </c>
      <c r="E10" s="4">
        <v>15674.625</v>
      </c>
      <c r="F10" s="4">
        <v>55820.5</v>
      </c>
      <c r="G10" s="4">
        <v>1349.69</v>
      </c>
      <c r="J10" s="2">
        <v>0.70534191808601476</v>
      </c>
      <c r="K10" s="2">
        <v>3.9328175590911562E-4</v>
      </c>
      <c r="O10" s="2">
        <v>0.7071330412548793</v>
      </c>
      <c r="P10" s="2">
        <v>5.3689044731381722E-4</v>
      </c>
      <c r="V10" s="2" t="s">
        <v>268</v>
      </c>
    </row>
    <row r="11" spans="1:23" x14ac:dyDescent="0.2">
      <c r="A11" s="2">
        <v>17</v>
      </c>
      <c r="B11" s="122" t="s">
        <v>459</v>
      </c>
      <c r="C11" s="2" t="str">
        <f t="shared" si="0"/>
        <v>20220228_NeomaMSMS_SrF_LA_Chicago_Run4_Sr_export_processed</v>
      </c>
      <c r="D11" s="2">
        <v>76066286.289708361</v>
      </c>
      <c r="E11" s="2">
        <v>79199.217999999993</v>
      </c>
      <c r="F11" s="2">
        <v>22143.530999999999</v>
      </c>
      <c r="G11" s="2">
        <v>1349.69</v>
      </c>
      <c r="J11" s="2">
        <v>0.70693241474567925</v>
      </c>
      <c r="K11" s="2">
        <v>3.3611832346244251E-3</v>
      </c>
      <c r="O11" s="2">
        <v>0.70872757677193221</v>
      </c>
      <c r="P11" s="2">
        <v>3.3894537515729074E-3</v>
      </c>
      <c r="V11" s="2" t="s">
        <v>268</v>
      </c>
    </row>
    <row r="12" spans="1:23" x14ac:dyDescent="0.2">
      <c r="A12" s="2">
        <v>18</v>
      </c>
      <c r="B12" s="122" t="s">
        <v>460</v>
      </c>
      <c r="C12" s="2" t="str">
        <f t="shared" si="0"/>
        <v>20220228_NeomaMSMS_SrF_LA_Chicago_Run4_Sr_export_processed</v>
      </c>
      <c r="D12" s="2">
        <v>596667684.27039492</v>
      </c>
      <c r="E12" s="2">
        <v>79268.217999999993</v>
      </c>
      <c r="F12" s="2">
        <v>22221.155999999999</v>
      </c>
      <c r="G12" s="2">
        <v>1349.69</v>
      </c>
      <c r="J12" s="2">
        <v>0.70539322753713352</v>
      </c>
      <c r="K12" s="2">
        <v>5.2473446411592951E-4</v>
      </c>
      <c r="O12" s="2">
        <v>0.70718448099961095</v>
      </c>
      <c r="P12" s="2">
        <v>6.3996878819028873E-4</v>
      </c>
      <c r="V12" s="2" t="s">
        <v>268</v>
      </c>
    </row>
    <row r="13" spans="1:23" x14ac:dyDescent="0.2">
      <c r="A13" s="2">
        <v>19</v>
      </c>
      <c r="B13" s="122" t="s">
        <v>461</v>
      </c>
      <c r="C13" s="2" t="str">
        <f t="shared" si="0"/>
        <v>20220228_NeomaMSMS_SrF_LA_Chicago_Run4_Sr_export_processed</v>
      </c>
      <c r="D13" s="2">
        <v>814981759.15804756</v>
      </c>
      <c r="E13" s="2">
        <v>79371.717999999993</v>
      </c>
      <c r="F13" s="2">
        <v>22333.279999999999</v>
      </c>
      <c r="G13" s="2">
        <v>1349.69</v>
      </c>
      <c r="J13" s="2">
        <v>0.70597083796971738</v>
      </c>
      <c r="K13" s="2">
        <v>4.024493156001526E-4</v>
      </c>
      <c r="O13" s="2">
        <v>0.70776355819803105</v>
      </c>
      <c r="P13" s="2">
        <v>5.4389362818869848E-4</v>
      </c>
      <c r="V13" s="2" t="s">
        <v>268</v>
      </c>
    </row>
    <row r="14" spans="1:23" x14ac:dyDescent="0.2">
      <c r="A14" s="2">
        <v>22</v>
      </c>
      <c r="B14" s="122" t="s">
        <v>462</v>
      </c>
      <c r="C14" s="2" t="str">
        <f t="shared" si="0"/>
        <v>20220228_NeomaMSMS_SrF_LA_Chicago_Run4_Sr_export_processed</v>
      </c>
      <c r="D14" s="2">
        <v>938773932.38034832</v>
      </c>
      <c r="E14" s="2">
        <v>79451.375</v>
      </c>
      <c r="F14" s="2">
        <v>22445.469000000001</v>
      </c>
      <c r="G14" s="2">
        <v>1349.69</v>
      </c>
      <c r="J14" s="2">
        <v>0.70548597269681201</v>
      </c>
      <c r="K14" s="2">
        <v>4.5747140383790039E-4</v>
      </c>
      <c r="O14" s="2">
        <v>0.70738086922569876</v>
      </c>
      <c r="P14" s="2">
        <v>5.6873601088086427E-4</v>
      </c>
      <c r="V14" s="2" t="s">
        <v>268</v>
      </c>
    </row>
    <row r="15" spans="1:23" x14ac:dyDescent="0.2">
      <c r="A15" s="2">
        <v>23</v>
      </c>
      <c r="B15" s="122" t="s">
        <v>463</v>
      </c>
      <c r="C15" s="2" t="str">
        <f t="shared" si="0"/>
        <v>20220228_NeomaMSMS_SrF_LA_Chicago_Run4_Sr_export_processed</v>
      </c>
      <c r="D15" s="2">
        <v>973473815.87065041</v>
      </c>
      <c r="E15" s="2">
        <v>79557.031000000003</v>
      </c>
      <c r="F15" s="2">
        <v>22542.499</v>
      </c>
      <c r="G15" s="2">
        <v>1349.69</v>
      </c>
      <c r="J15" s="2">
        <v>0.70588667173985253</v>
      </c>
      <c r="K15" s="2">
        <v>3.6756471010392804E-4</v>
      </c>
      <c r="O15" s="2">
        <v>0.70778264452433504</v>
      </c>
      <c r="P15" s="2">
        <v>4.9901286584031293E-4</v>
      </c>
      <c r="V15" s="2" t="s">
        <v>268</v>
      </c>
    </row>
    <row r="16" spans="1:23" x14ac:dyDescent="0.2">
      <c r="A16" s="2">
        <v>24</v>
      </c>
      <c r="B16" s="122" t="s">
        <v>464</v>
      </c>
      <c r="C16" s="2" t="str">
        <f t="shared" si="0"/>
        <v>20220228_NeomaMSMS_SrF_LA_Chicago_Run4_Sr_export_processed</v>
      </c>
      <c r="D16" s="2">
        <v>966811966.25188768</v>
      </c>
      <c r="E16" s="2">
        <v>79656.217999999993</v>
      </c>
      <c r="F16" s="2">
        <v>22648.154999999999</v>
      </c>
      <c r="G16" s="2">
        <v>1349.69</v>
      </c>
      <c r="J16" s="2">
        <v>0.70591859981227334</v>
      </c>
      <c r="K16" s="2">
        <v>3.6000973495786958E-4</v>
      </c>
      <c r="O16" s="2">
        <v>0.70781465835380275</v>
      </c>
      <c r="P16" s="2">
        <v>4.934548657996949E-4</v>
      </c>
      <c r="V16" s="2" t="s">
        <v>268</v>
      </c>
    </row>
    <row r="17" spans="1:23" x14ac:dyDescent="0.2">
      <c r="A17" s="2">
        <v>25</v>
      </c>
      <c r="B17" s="122" t="s">
        <v>465</v>
      </c>
      <c r="C17" s="2" t="str">
        <f t="shared" si="0"/>
        <v>20220228_NeomaMSMS_SrF_LA_Chicago_Run4_Sr_export_processed</v>
      </c>
      <c r="D17" s="2">
        <v>745246544.76387537</v>
      </c>
      <c r="E17" s="2">
        <v>79746.781000000003</v>
      </c>
      <c r="F17" s="2">
        <v>22725.812000000002</v>
      </c>
      <c r="G17" s="2">
        <v>1349.69</v>
      </c>
      <c r="J17" s="2">
        <v>0.70613442171948715</v>
      </c>
      <c r="K17" s="2">
        <v>4.7231718191661863E-4</v>
      </c>
      <c r="O17" s="2">
        <v>0.70803105994679161</v>
      </c>
      <c r="P17" s="2">
        <v>5.8098731475174402E-4</v>
      </c>
      <c r="V17" s="2" t="s">
        <v>268</v>
      </c>
    </row>
    <row r="18" spans="1:23" x14ac:dyDescent="0.2">
      <c r="A18" s="2">
        <v>26</v>
      </c>
      <c r="B18" s="122" t="s">
        <v>466</v>
      </c>
      <c r="C18" s="2" t="str">
        <f t="shared" si="0"/>
        <v>20220228_NeomaMSMS_SrF_LA_Chicago_Run4_Sr_export_processed</v>
      </c>
      <c r="D18" s="2">
        <v>948081995.2367754</v>
      </c>
      <c r="E18" s="2">
        <v>79835.187000000005</v>
      </c>
      <c r="F18" s="2">
        <v>22801.279999999999</v>
      </c>
      <c r="G18" s="2">
        <v>1349.69</v>
      </c>
      <c r="J18" s="2">
        <v>0.705367702901185</v>
      </c>
      <c r="K18" s="2">
        <v>4.6103565431349211E-4</v>
      </c>
      <c r="O18" s="2">
        <v>0.70726228176390415</v>
      </c>
      <c r="P18" s="2">
        <v>5.7158914162095916E-4</v>
      </c>
      <c r="V18" s="2" t="s">
        <v>268</v>
      </c>
    </row>
    <row r="19" spans="1:23" x14ac:dyDescent="0.2">
      <c r="A19" s="2">
        <v>29</v>
      </c>
      <c r="B19" s="122" t="s">
        <v>467</v>
      </c>
      <c r="C19" s="2" t="str">
        <f t="shared" si="0"/>
        <v>20220228_NeomaMSMS_SrF_LA_Chicago_Run4_Sr_export_processed</v>
      </c>
      <c r="D19" s="2">
        <v>913500910.29229176</v>
      </c>
      <c r="E19" s="2">
        <v>79919.28</v>
      </c>
      <c r="F19" s="2">
        <v>22878.904999999999</v>
      </c>
      <c r="G19" s="2">
        <v>1349.69</v>
      </c>
      <c r="J19" s="2">
        <v>0.7059680961893795</v>
      </c>
      <c r="K19" s="2">
        <v>4.3711054448268029E-4</v>
      </c>
      <c r="O19" s="2">
        <v>0.70758093066993855</v>
      </c>
      <c r="P19" s="2">
        <v>5.9458073773736039E-4</v>
      </c>
      <c r="V19" s="2" t="s">
        <v>268</v>
      </c>
    </row>
    <row r="20" spans="1:23" x14ac:dyDescent="0.2">
      <c r="A20" s="2">
        <v>30</v>
      </c>
      <c r="B20" s="122" t="s">
        <v>468</v>
      </c>
      <c r="C20" s="2" t="str">
        <f t="shared" si="0"/>
        <v>20220228_NeomaMSMS_SrF_LA_Chicago_Run4_Sr_export_processed</v>
      </c>
      <c r="D20" s="2">
        <v>845999509.58226812</v>
      </c>
      <c r="E20" s="2">
        <v>79984.062999999995</v>
      </c>
      <c r="F20" s="2">
        <v>22982.530999999999</v>
      </c>
      <c r="G20" s="2">
        <v>1349.69</v>
      </c>
      <c r="J20" s="2">
        <v>0.70566391709209086</v>
      </c>
      <c r="K20" s="2">
        <v>4.6193524894011555E-4</v>
      </c>
      <c r="O20" s="2">
        <v>0.70727605665380144</v>
      </c>
      <c r="P20" s="2">
        <v>6.1303154721770625E-4</v>
      </c>
      <c r="V20" s="2" t="s">
        <v>268</v>
      </c>
    </row>
    <row r="21" spans="1:23" x14ac:dyDescent="0.2">
      <c r="A21" s="2">
        <v>31</v>
      </c>
      <c r="B21" s="122" t="s">
        <v>469</v>
      </c>
      <c r="C21" s="2" t="str">
        <f t="shared" si="0"/>
        <v>20220228_NeomaMSMS_SrF_LA_Chicago_Run4_Sr_export_processed</v>
      </c>
      <c r="D21" s="2">
        <v>505604671.01519871</v>
      </c>
      <c r="E21" s="2">
        <v>79799.850000000006</v>
      </c>
      <c r="F21" s="2">
        <v>21901.592000000001</v>
      </c>
      <c r="G21" s="2">
        <v>1349.69</v>
      </c>
      <c r="J21" s="2">
        <v>0.70584665086750764</v>
      </c>
      <c r="K21" s="2">
        <v>6.3246718917728273E-4</v>
      </c>
      <c r="O21" s="2">
        <v>0.70745920789756456</v>
      </c>
      <c r="P21" s="2">
        <v>7.5058349984595963E-4</v>
      </c>
      <c r="V21" s="2" t="s">
        <v>268</v>
      </c>
    </row>
    <row r="22" spans="1:23" x14ac:dyDescent="0.2">
      <c r="A22" s="2">
        <v>32</v>
      </c>
      <c r="B22" s="122" t="s">
        <v>470</v>
      </c>
      <c r="C22" s="2" t="str">
        <f t="shared" si="0"/>
        <v>20220228_NeomaMSMS_SrF_LA_Chicago_Run4_Sr_export_processed</v>
      </c>
      <c r="D22" s="2">
        <v>909141118.67546153</v>
      </c>
      <c r="E22" s="2">
        <v>79726.426999999996</v>
      </c>
      <c r="F22" s="2">
        <v>22056.166000000001</v>
      </c>
      <c r="G22" s="2">
        <v>1349.69</v>
      </c>
      <c r="J22" s="2">
        <v>0.7057138835475717</v>
      </c>
      <c r="K22" s="2">
        <v>4.5115680254181363E-4</v>
      </c>
      <c r="O22" s="2">
        <v>0.7073261372612144</v>
      </c>
      <c r="P22" s="2">
        <v>6.0493289615119977E-4</v>
      </c>
      <c r="V22" s="2" t="s">
        <v>268</v>
      </c>
    </row>
    <row r="23" spans="1:23" x14ac:dyDescent="0.2">
      <c r="A23" s="2">
        <v>33</v>
      </c>
      <c r="B23" s="122" t="s">
        <v>471</v>
      </c>
      <c r="C23" s="2" t="str">
        <f t="shared" si="0"/>
        <v>20220228_NeomaMSMS_SrF_LA_Chicago_Run4_Sr_export_processed</v>
      </c>
      <c r="D23" s="2">
        <v>184499336.86527845</v>
      </c>
      <c r="E23" s="2">
        <v>79668.460999999996</v>
      </c>
      <c r="F23" s="2">
        <v>22191.419000000002</v>
      </c>
      <c r="G23" s="2">
        <v>1349.69</v>
      </c>
      <c r="J23" s="2">
        <v>0.70537574808965597</v>
      </c>
      <c r="K23" s="2">
        <v>1.5980741659972434E-3</v>
      </c>
      <c r="O23" s="2">
        <v>0.70698722930872204</v>
      </c>
      <c r="P23" s="2">
        <v>1.6513142669573552E-3</v>
      </c>
      <c r="V23" s="2" t="s">
        <v>268</v>
      </c>
    </row>
    <row r="24" spans="1:23" x14ac:dyDescent="0.2">
      <c r="A24" s="2">
        <v>36</v>
      </c>
      <c r="B24" s="122" t="s">
        <v>472</v>
      </c>
      <c r="C24" s="2" t="str">
        <f t="shared" si="0"/>
        <v>20220228_NeomaMSMS_SrF_LA_Chicago_Run4_Sr_export_processed</v>
      </c>
      <c r="D24" s="2">
        <v>172820930.81513494</v>
      </c>
      <c r="E24" s="2">
        <v>79610.495999999999</v>
      </c>
      <c r="F24" s="2">
        <v>22284.164000000001</v>
      </c>
      <c r="G24" s="2">
        <v>1349.69</v>
      </c>
      <c r="J24" s="2">
        <v>0.70659182266804132</v>
      </c>
      <c r="K24" s="2">
        <v>1.9293122869690491E-3</v>
      </c>
      <c r="O24" s="2">
        <v>0.70843312985936502</v>
      </c>
      <c r="P24" s="2">
        <v>1.9796348655772562E-3</v>
      </c>
      <c r="V24" s="2" t="s">
        <v>268</v>
      </c>
    </row>
    <row r="25" spans="1:23" x14ac:dyDescent="0.2">
      <c r="A25" s="2">
        <v>37</v>
      </c>
      <c r="B25" s="122" t="s">
        <v>473</v>
      </c>
      <c r="C25" s="2" t="str">
        <f t="shared" si="0"/>
        <v>20220228_NeomaMSMS_SrF_LA_Chicago_Run4_Sr_export_processed</v>
      </c>
      <c r="D25" s="2">
        <v>941717165.03693902</v>
      </c>
      <c r="E25" s="2">
        <v>79378.491999999998</v>
      </c>
      <c r="F25" s="2">
        <v>22566.34</v>
      </c>
      <c r="G25" s="2">
        <v>1349.69</v>
      </c>
      <c r="J25" s="2">
        <v>0.70543763477545862</v>
      </c>
      <c r="K25" s="2">
        <v>3.5755181184352644E-4</v>
      </c>
      <c r="O25" s="2">
        <v>0.7072759342692706</v>
      </c>
      <c r="P25" s="2">
        <v>5.5246284037393384E-4</v>
      </c>
      <c r="V25" s="2" t="s">
        <v>268</v>
      </c>
    </row>
    <row r="26" spans="1:23" x14ac:dyDescent="0.2">
      <c r="A26" s="2">
        <v>38</v>
      </c>
      <c r="B26" s="122" t="s">
        <v>474</v>
      </c>
      <c r="C26" s="2" t="str">
        <f t="shared" si="0"/>
        <v>20220228_NeomaMSMS_SrF_LA_Chicago_Run4_Sr_export_processed</v>
      </c>
      <c r="D26" s="2">
        <v>940527489.31104195</v>
      </c>
      <c r="E26" s="2">
        <v>79216.188999999998</v>
      </c>
      <c r="F26" s="2">
        <v>22686.135999999999</v>
      </c>
      <c r="G26" s="2">
        <v>1349.69</v>
      </c>
      <c r="J26" s="2">
        <v>0.70538647395217502</v>
      </c>
      <c r="K26" s="2">
        <v>3.8649453670060825E-4</v>
      </c>
      <c r="O26" s="2">
        <v>0.70722464012602948</v>
      </c>
      <c r="P26" s="2">
        <v>5.7169630931063777E-4</v>
      </c>
      <c r="V26" s="2" t="s">
        <v>268</v>
      </c>
    </row>
    <row r="27" spans="1:23" x14ac:dyDescent="0.2">
      <c r="A27" s="2">
        <v>39</v>
      </c>
      <c r="B27" s="122" t="s">
        <v>475</v>
      </c>
      <c r="C27" s="2" t="str">
        <f t="shared" si="0"/>
        <v>20220228_NeomaMSMS_SrF_LA_Chicago_Run4_Sr_export_processed</v>
      </c>
      <c r="D27" s="2">
        <v>936249858.38441753</v>
      </c>
      <c r="E27" s="2">
        <v>79107.986999999994</v>
      </c>
      <c r="F27" s="2">
        <v>22782.744999999999</v>
      </c>
      <c r="G27" s="2">
        <v>1349.69</v>
      </c>
      <c r="J27" s="2">
        <v>0.70543574088321925</v>
      </c>
      <c r="K27" s="2">
        <v>3.9304257939371548E-4</v>
      </c>
      <c r="O27" s="2">
        <v>0.70727403544173884</v>
      </c>
      <c r="P27" s="2">
        <v>5.761878436382023E-4</v>
      </c>
      <c r="V27" s="2" t="s">
        <v>268</v>
      </c>
    </row>
    <row r="28" spans="1:23" x14ac:dyDescent="0.2">
      <c r="A28" s="2">
        <v>40</v>
      </c>
      <c r="B28" s="122" t="s">
        <v>476</v>
      </c>
      <c r="C28" s="2" t="str">
        <f t="shared" si="0"/>
        <v>20220228_NeomaMSMS_SrF_LA_Chicago_Run4_Sr_export_processed</v>
      </c>
      <c r="D28" s="2">
        <v>886010866.26088905</v>
      </c>
      <c r="E28" s="2">
        <v>78957.395000000004</v>
      </c>
      <c r="F28" s="2">
        <v>22906.577000000001</v>
      </c>
      <c r="G28" s="2">
        <v>1349.69</v>
      </c>
      <c r="J28" s="2">
        <v>0.70563730376651479</v>
      </c>
      <c r="K28" s="2">
        <v>3.501732523162212E-4</v>
      </c>
      <c r="O28" s="2">
        <v>0.70747612357762646</v>
      </c>
      <c r="P28" s="2">
        <v>5.4778279562487666E-4</v>
      </c>
      <c r="V28" s="2" t="s">
        <v>268</v>
      </c>
    </row>
    <row r="29" spans="1:23" x14ac:dyDescent="0.2">
      <c r="A29" s="2">
        <v>43</v>
      </c>
      <c r="B29" s="122" t="s">
        <v>477</v>
      </c>
      <c r="C29" s="2" t="str">
        <f t="shared" ref="C29:C31" si="1">V29</f>
        <v>20220228_NeomaMSMS_SrF_LA_Chicago_Run4_Sr_export_processed</v>
      </c>
      <c r="D29" s="2">
        <v>889002096.97807634</v>
      </c>
      <c r="E29" s="2">
        <v>78818.278000000006</v>
      </c>
      <c r="F29" s="2">
        <v>23018.644</v>
      </c>
      <c r="G29" s="2">
        <v>1349.69</v>
      </c>
      <c r="J29" s="2">
        <v>0.70530759690663913</v>
      </c>
      <c r="K29" s="2">
        <v>3.6596626365537375E-4</v>
      </c>
      <c r="O29" s="2">
        <v>0.70733374969179474</v>
      </c>
      <c r="P29" s="2">
        <v>5.8275401658011738E-4</v>
      </c>
      <c r="V29" s="2" t="s">
        <v>268</v>
      </c>
    </row>
    <row r="30" spans="1:23" x14ac:dyDescent="0.2">
      <c r="A30" s="2">
        <v>44</v>
      </c>
      <c r="B30" s="122" t="s">
        <v>478</v>
      </c>
      <c r="C30" s="2" t="str">
        <f t="shared" si="1"/>
        <v>20220228_NeomaMSMS_SrF_LA_Chicago_Run4_Sr_export_processed</v>
      </c>
      <c r="D30" s="2">
        <v>760502047.99442875</v>
      </c>
      <c r="E30" s="2">
        <v>78686.89</v>
      </c>
      <c r="F30" s="2">
        <v>23076.609</v>
      </c>
      <c r="G30" s="2">
        <v>1349.69</v>
      </c>
      <c r="J30" s="2">
        <v>0.70517743213062001</v>
      </c>
      <c r="K30" s="2">
        <v>4.2600128922519546E-4</v>
      </c>
      <c r="O30" s="2">
        <v>0.70720321098853511</v>
      </c>
      <c r="P30" s="2">
        <v>6.2237125441323021E-4</v>
      </c>
      <c r="V30" s="2" t="s">
        <v>268</v>
      </c>
    </row>
    <row r="31" spans="1:23" x14ac:dyDescent="0.2">
      <c r="A31" s="1">
        <v>45</v>
      </c>
      <c r="B31" s="122" t="s">
        <v>479</v>
      </c>
      <c r="C31" s="2" t="str">
        <f t="shared" si="1"/>
        <v>20220228_NeomaMSMS_SrF_LA_Chicago_Run4_Sr_export_processed</v>
      </c>
      <c r="D31" s="2">
        <v>788499405.5280844</v>
      </c>
      <c r="E31" s="1">
        <v>78551.637000000002</v>
      </c>
      <c r="F31" s="1">
        <v>23161.625</v>
      </c>
      <c r="G31" s="1">
        <v>1349.69</v>
      </c>
      <c r="H31" s="1"/>
      <c r="I31" s="1"/>
      <c r="J31" s="1">
        <v>0.70531387658420508</v>
      </c>
      <c r="K31" s="1">
        <v>4.618217599557232E-4</v>
      </c>
      <c r="L31" s="1"/>
      <c r="M31" s="1"/>
      <c r="N31" s="1"/>
      <c r="O31" s="1">
        <v>0.70734004740912981</v>
      </c>
      <c r="P31" s="1">
        <v>6.4761907697417388E-4</v>
      </c>
      <c r="Q31" s="1"/>
      <c r="R31" s="1"/>
      <c r="S31" s="1"/>
      <c r="T31" s="1"/>
      <c r="U31" s="1"/>
      <c r="V31" s="1" t="s">
        <v>268</v>
      </c>
      <c r="W31" s="1"/>
    </row>
    <row r="32" spans="1:23" ht="17" x14ac:dyDescent="0.2">
      <c r="A32" s="6" t="s">
        <v>276</v>
      </c>
    </row>
    <row r="33" spans="1:16" ht="17" x14ac:dyDescent="0.2">
      <c r="A33" s="6" t="s">
        <v>277</v>
      </c>
    </row>
    <row r="34" spans="1:16" ht="17" x14ac:dyDescent="0.2">
      <c r="A34" s="6" t="s">
        <v>278</v>
      </c>
    </row>
    <row r="35" spans="1:16" ht="17" x14ac:dyDescent="0.2">
      <c r="A35" s="6" t="s">
        <v>272</v>
      </c>
    </row>
    <row r="40" spans="1:16" x14ac:dyDescent="0.2">
      <c r="I40" s="2">
        <f>18.624/4</f>
        <v>4.6559999999999997</v>
      </c>
    </row>
    <row r="43" spans="1:16" x14ac:dyDescent="0.2">
      <c r="P43" s="2">
        <f>AVERAGE(P4:P31)</f>
        <v>7.5389237974437791E-4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107C-85EA-A141-BEA4-71EE9F8B6EF1}">
  <dimension ref="A1:AP135"/>
  <sheetViews>
    <sheetView workbookViewId="0">
      <selection activeCell="C21" sqref="C21"/>
    </sheetView>
  </sheetViews>
  <sheetFormatPr baseColWidth="10" defaultColWidth="11" defaultRowHeight="16" x14ac:dyDescent="0.2"/>
  <cols>
    <col min="2" max="4" width="39.33203125" customWidth="1"/>
    <col min="6" max="6" width="10.83203125" style="24"/>
    <col min="9" max="9" width="14.5" customWidth="1"/>
  </cols>
  <sheetData>
    <row r="1" spans="1:42" x14ac:dyDescent="0.2">
      <c r="A1" s="17"/>
      <c r="B1" s="17"/>
      <c r="C1" s="17"/>
      <c r="D1" s="17"/>
      <c r="E1" s="17"/>
      <c r="F1" s="2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AE1">
        <v>1.43</v>
      </c>
      <c r="AJ1">
        <v>1.21</v>
      </c>
    </row>
    <row r="2" spans="1:42" x14ac:dyDescent="0.2">
      <c r="A2" s="16"/>
      <c r="B2" s="16"/>
      <c r="C2" s="16"/>
      <c r="D2" s="16"/>
      <c r="E2" s="16"/>
      <c r="F2" s="21"/>
      <c r="G2" s="16"/>
      <c r="H2" s="16"/>
      <c r="I2" s="16"/>
      <c r="J2" s="16" t="s">
        <v>11</v>
      </c>
      <c r="K2" s="16"/>
      <c r="L2" s="16"/>
      <c r="M2" s="16"/>
      <c r="N2" s="16"/>
      <c r="O2" s="16" t="s">
        <v>9</v>
      </c>
      <c r="P2" s="16"/>
      <c r="Q2" s="16"/>
      <c r="R2" s="16"/>
      <c r="S2" s="16"/>
      <c r="T2" s="16"/>
      <c r="U2" s="16"/>
      <c r="V2" s="16"/>
      <c r="W2" s="16"/>
      <c r="X2" s="16"/>
      <c r="Y2" s="16"/>
      <c r="AE2" s="16" t="s">
        <v>11</v>
      </c>
      <c r="AF2" s="16"/>
      <c r="AG2" s="16"/>
      <c r="AH2" s="16"/>
      <c r="AI2" s="16"/>
      <c r="AJ2" s="16" t="s">
        <v>9</v>
      </c>
      <c r="AK2" s="16"/>
      <c r="AL2" s="16"/>
      <c r="AM2" s="16"/>
      <c r="AN2" s="16"/>
    </row>
    <row r="3" spans="1:42" x14ac:dyDescent="0.2">
      <c r="A3" s="16"/>
      <c r="B3" s="16"/>
      <c r="C3" s="16"/>
      <c r="D3" s="16"/>
      <c r="E3" s="16"/>
      <c r="F3" s="21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2" x14ac:dyDescent="0.2">
      <c r="A4" s="16"/>
      <c r="B4" s="16"/>
      <c r="C4" s="16"/>
      <c r="D4" s="16"/>
      <c r="E4" s="16"/>
      <c r="F4" s="21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2" x14ac:dyDescent="0.2">
      <c r="A5" s="16"/>
      <c r="B5" s="16"/>
      <c r="C5" s="16"/>
      <c r="D5" s="16"/>
      <c r="E5" s="16"/>
      <c r="F5" s="21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2" ht="17" thickBot="1" x14ac:dyDescent="0.25">
      <c r="A6" s="18" t="s">
        <v>5</v>
      </c>
      <c r="B6" s="18" t="s">
        <v>6</v>
      </c>
      <c r="C6" s="18" t="s">
        <v>328</v>
      </c>
      <c r="D6" s="18"/>
      <c r="E6" s="18"/>
      <c r="F6" s="22" t="s">
        <v>18</v>
      </c>
      <c r="G6" s="18" t="s">
        <v>57</v>
      </c>
      <c r="H6" s="18" t="s">
        <v>58</v>
      </c>
      <c r="I6" s="18" t="s">
        <v>59</v>
      </c>
      <c r="J6" s="18" t="s">
        <v>7</v>
      </c>
      <c r="K6" s="18" t="s">
        <v>8</v>
      </c>
      <c r="L6" s="18" t="s">
        <v>10</v>
      </c>
      <c r="M6" s="18" t="s">
        <v>8</v>
      </c>
      <c r="N6" s="18" t="s">
        <v>275</v>
      </c>
      <c r="O6" s="18" t="s">
        <v>7</v>
      </c>
      <c r="P6" s="18" t="s">
        <v>8</v>
      </c>
      <c r="Q6" s="18" t="s">
        <v>10</v>
      </c>
      <c r="R6" s="18" t="s">
        <v>8</v>
      </c>
      <c r="S6" s="18" t="s">
        <v>275</v>
      </c>
      <c r="T6" s="18" t="s">
        <v>19</v>
      </c>
      <c r="U6" s="18"/>
      <c r="V6" s="18" t="s">
        <v>20</v>
      </c>
      <c r="W6" s="18"/>
      <c r="X6" s="18" t="s">
        <v>12</v>
      </c>
      <c r="Y6" s="18"/>
      <c r="AE6" s="18" t="s">
        <v>7</v>
      </c>
      <c r="AF6" s="18" t="s">
        <v>8</v>
      </c>
      <c r="AG6" s="18" t="s">
        <v>10</v>
      </c>
      <c r="AH6" s="18" t="s">
        <v>8</v>
      </c>
      <c r="AI6" s="18" t="s">
        <v>275</v>
      </c>
      <c r="AJ6" s="18" t="s">
        <v>7</v>
      </c>
      <c r="AK6" s="18" t="s">
        <v>8</v>
      </c>
      <c r="AL6" s="18" t="s">
        <v>10</v>
      </c>
      <c r="AM6" s="18" t="s">
        <v>8</v>
      </c>
      <c r="AN6" s="18" t="s">
        <v>275</v>
      </c>
    </row>
    <row r="7" spans="1:42" ht="17" thickTop="1" x14ac:dyDescent="0.2">
      <c r="A7" s="16">
        <v>62</v>
      </c>
      <c r="B7" s="16" t="s">
        <v>103</v>
      </c>
      <c r="C7" s="16">
        <v>1.4129692832764502</v>
      </c>
      <c r="D7" s="16"/>
      <c r="E7" s="16" t="s">
        <v>196</v>
      </c>
      <c r="F7" s="21">
        <v>429280513.30000001</v>
      </c>
      <c r="G7" s="16">
        <v>45592</v>
      </c>
      <c r="H7" s="16">
        <v>48685</v>
      </c>
      <c r="I7" s="16">
        <v>995.63</v>
      </c>
      <c r="J7" s="16">
        <v>4.7598378700000001</v>
      </c>
      <c r="K7" s="16">
        <v>0.32615704000000001</v>
      </c>
      <c r="L7" s="16">
        <v>0.80551499999999998</v>
      </c>
      <c r="M7" s="16">
        <v>1.408891E-2</v>
      </c>
      <c r="N7" s="16">
        <v>0.56632581000000004</v>
      </c>
      <c r="O7" s="16">
        <v>4.397898928</v>
      </c>
      <c r="P7" s="16">
        <v>0.52830719999999998</v>
      </c>
      <c r="Q7" s="16">
        <v>0.80722302999999995</v>
      </c>
      <c r="R7" s="16">
        <v>1.4118479999999999E-2</v>
      </c>
      <c r="S7" s="16">
        <v>0.32715270000000002</v>
      </c>
      <c r="T7" s="16"/>
      <c r="U7" s="16"/>
      <c r="V7" s="16"/>
      <c r="W7" s="16"/>
      <c r="X7" s="16" t="s">
        <v>196</v>
      </c>
      <c r="Y7" s="16"/>
      <c r="AE7">
        <f>J7/$AE$1</f>
        <v>3.3285579510489511</v>
      </c>
      <c r="AF7">
        <f>K7/$AE$1</f>
        <v>0.22808184615384616</v>
      </c>
      <c r="AG7">
        <f>L7</f>
        <v>0.80551499999999998</v>
      </c>
      <c r="AH7">
        <f t="shared" ref="AH7:AI22" si="0">M7</f>
        <v>1.408891E-2</v>
      </c>
      <c r="AI7">
        <f t="shared" si="0"/>
        <v>0.56632581000000004</v>
      </c>
      <c r="AJ7">
        <f>O7/$AJ$1</f>
        <v>3.6346272132231405</v>
      </c>
      <c r="AK7">
        <f>P7/$AJ$1</f>
        <v>0.436617520661157</v>
      </c>
      <c r="AL7">
        <f>Q7</f>
        <v>0.80722302999999995</v>
      </c>
      <c r="AM7">
        <f t="shared" ref="AM7:AN22" si="1">R7</f>
        <v>1.4118479999999999E-2</v>
      </c>
      <c r="AN7">
        <f t="shared" si="1"/>
        <v>0.32715270000000002</v>
      </c>
    </row>
    <row r="8" spans="1:42" x14ac:dyDescent="0.2">
      <c r="A8" s="16">
        <v>63</v>
      </c>
      <c r="B8" s="16" t="s">
        <v>104</v>
      </c>
      <c r="C8" s="16">
        <v>0.36126373626373626</v>
      </c>
      <c r="D8" s="16"/>
      <c r="E8" s="16" t="s">
        <v>196</v>
      </c>
      <c r="F8" s="21">
        <v>259988044.5</v>
      </c>
      <c r="G8" s="16">
        <v>45544</v>
      </c>
      <c r="H8" s="16">
        <v>48867</v>
      </c>
      <c r="I8" s="16">
        <v>995.63</v>
      </c>
      <c r="J8" s="16">
        <v>7.99201461</v>
      </c>
      <c r="K8" s="16">
        <v>1.7198381599999999</v>
      </c>
      <c r="L8" s="16">
        <v>0.85306369999999998</v>
      </c>
      <c r="M8" s="16">
        <v>1.9792779999999999E-2</v>
      </c>
      <c r="N8" s="16">
        <v>0.98346191999999999</v>
      </c>
      <c r="O8" s="16">
        <v>7.3843003549999997</v>
      </c>
      <c r="P8" s="16">
        <v>1.74812889</v>
      </c>
      <c r="Q8" s="16">
        <v>0.85487254999999995</v>
      </c>
      <c r="R8" s="16">
        <v>1.9834500000000001E-2</v>
      </c>
      <c r="S8" s="16">
        <v>0.89555428999999998</v>
      </c>
      <c r="T8" s="16"/>
      <c r="U8" s="16"/>
      <c r="V8" s="16"/>
      <c r="W8" s="16"/>
      <c r="X8" s="16" t="s">
        <v>196</v>
      </c>
      <c r="Y8" s="16"/>
      <c r="AE8">
        <f t="shared" ref="AE8:AF71" si="2">J8/$AE$1</f>
        <v>5.5888214055944054</v>
      </c>
      <c r="AF8">
        <f t="shared" si="2"/>
        <v>1.2026840279720279</v>
      </c>
      <c r="AG8">
        <f t="shared" ref="AG8:AI71" si="3">L8</f>
        <v>0.85306369999999998</v>
      </c>
      <c r="AH8">
        <f t="shared" si="0"/>
        <v>1.9792779999999999E-2</v>
      </c>
      <c r="AI8">
        <f t="shared" si="0"/>
        <v>0.98346191999999999</v>
      </c>
      <c r="AJ8">
        <f t="shared" ref="AJ8:AK71" si="4">O8/$AJ$1</f>
        <v>6.1027275661157026</v>
      </c>
      <c r="AK8">
        <f t="shared" si="4"/>
        <v>1.4447346198347109</v>
      </c>
      <c r="AL8">
        <f t="shared" ref="AL8:AN71" si="5">Q8</f>
        <v>0.85487254999999995</v>
      </c>
      <c r="AM8">
        <f t="shared" si="1"/>
        <v>1.9834500000000001E-2</v>
      </c>
      <c r="AN8">
        <f t="shared" si="1"/>
        <v>0.89555428999999998</v>
      </c>
      <c r="AP8" t="s">
        <v>279</v>
      </c>
    </row>
    <row r="9" spans="1:42" x14ac:dyDescent="0.2">
      <c r="A9" s="16">
        <v>66</v>
      </c>
      <c r="B9" s="16" t="s">
        <v>105</v>
      </c>
      <c r="C9" s="16">
        <v>9.5409836065573774</v>
      </c>
      <c r="D9" s="16"/>
      <c r="E9" s="16" t="s">
        <v>196</v>
      </c>
      <c r="F9" s="21">
        <v>285551014.39999998</v>
      </c>
      <c r="G9" s="16">
        <v>45652</v>
      </c>
      <c r="H9" s="16">
        <v>48780</v>
      </c>
      <c r="I9" s="16">
        <v>995.63</v>
      </c>
      <c r="J9" s="16">
        <v>9.9655989300000005</v>
      </c>
      <c r="K9" s="16">
        <v>2.8994640399999998</v>
      </c>
      <c r="L9" s="16">
        <v>0.88084912000000004</v>
      </c>
      <c r="M9" s="16">
        <v>2.146928E-2</v>
      </c>
      <c r="N9" s="16">
        <v>0.49848350000000002</v>
      </c>
      <c r="O9" s="16">
        <v>9.1830396620000005</v>
      </c>
      <c r="P9" s="16">
        <v>2.8285060799999999</v>
      </c>
      <c r="Q9" s="16">
        <v>0.88266283000000001</v>
      </c>
      <c r="R9" s="16">
        <v>2.1516199999999999E-2</v>
      </c>
      <c r="S9" s="16">
        <v>0.47520158000000001</v>
      </c>
      <c r="T9" s="16"/>
      <c r="U9" s="16"/>
      <c r="V9" s="16"/>
      <c r="W9" s="16"/>
      <c r="X9" s="16" t="s">
        <v>196</v>
      </c>
      <c r="Y9" s="16"/>
      <c r="AE9">
        <f t="shared" si="2"/>
        <v>6.9689503006993014</v>
      </c>
      <c r="AF9">
        <f t="shared" si="2"/>
        <v>2.0275972307692309</v>
      </c>
      <c r="AG9">
        <f t="shared" si="3"/>
        <v>0.88084912000000004</v>
      </c>
      <c r="AH9">
        <f t="shared" si="0"/>
        <v>2.146928E-2</v>
      </c>
      <c r="AI9">
        <f t="shared" si="0"/>
        <v>0.49848350000000002</v>
      </c>
      <c r="AJ9">
        <f t="shared" si="4"/>
        <v>7.5892889768595051</v>
      </c>
      <c r="AK9">
        <f t="shared" si="4"/>
        <v>2.3376083305785125</v>
      </c>
      <c r="AL9">
        <f t="shared" si="5"/>
        <v>0.88266283000000001</v>
      </c>
      <c r="AM9">
        <f t="shared" si="1"/>
        <v>2.1516199999999999E-2</v>
      </c>
      <c r="AN9">
        <f t="shared" si="1"/>
        <v>0.47520158000000001</v>
      </c>
      <c r="AP9" t="s">
        <v>279</v>
      </c>
    </row>
    <row r="10" spans="1:42" x14ac:dyDescent="0.2">
      <c r="A10" s="16">
        <v>67</v>
      </c>
      <c r="B10" s="16" t="s">
        <v>106</v>
      </c>
      <c r="C10" s="16">
        <v>2.9337803855825649E-2</v>
      </c>
      <c r="D10" s="16"/>
      <c r="E10" s="16" t="s">
        <v>196</v>
      </c>
      <c r="F10" s="21">
        <v>1041136313</v>
      </c>
      <c r="G10" s="16">
        <v>46703</v>
      </c>
      <c r="H10" s="16">
        <v>48992</v>
      </c>
      <c r="I10" s="16">
        <v>1071.56</v>
      </c>
      <c r="J10" s="16">
        <v>7.0609630000000007E-2</v>
      </c>
      <c r="K10" s="16">
        <v>7.6149099999999999E-3</v>
      </c>
      <c r="L10" s="16">
        <v>0.70825651999999995</v>
      </c>
      <c r="M10" s="16">
        <v>6.6180999999999998E-4</v>
      </c>
      <c r="N10" s="16">
        <v>-0.54605199999999998</v>
      </c>
      <c r="O10" s="16">
        <v>6.5064935000000004E-2</v>
      </c>
      <c r="P10" s="16">
        <v>9.6183899999999992E-3</v>
      </c>
      <c r="Q10" s="16">
        <v>0.70971485999999995</v>
      </c>
      <c r="R10" s="16">
        <v>7.1772000000000003E-4</v>
      </c>
      <c r="S10" s="16">
        <v>-0.14720230000000001</v>
      </c>
      <c r="T10" s="16"/>
      <c r="U10" s="16"/>
      <c r="V10" s="16"/>
      <c r="W10" s="16"/>
      <c r="X10" s="16" t="s">
        <v>196</v>
      </c>
      <c r="Y10" s="16"/>
      <c r="AE10">
        <f t="shared" si="2"/>
        <v>4.9377363636363643E-2</v>
      </c>
      <c r="AF10">
        <f t="shared" si="2"/>
        <v>5.3251118881118883E-3</v>
      </c>
      <c r="AG10">
        <f t="shared" si="3"/>
        <v>0.70825651999999995</v>
      </c>
      <c r="AH10">
        <f t="shared" si="0"/>
        <v>6.6180999999999998E-4</v>
      </c>
      <c r="AI10">
        <f t="shared" si="0"/>
        <v>-0.54605199999999998</v>
      </c>
      <c r="AJ10">
        <f t="shared" si="4"/>
        <v>5.3772673553719015E-2</v>
      </c>
      <c r="AK10">
        <f t="shared" si="4"/>
        <v>7.9490826446280988E-3</v>
      </c>
      <c r="AL10">
        <f t="shared" si="5"/>
        <v>0.70971485999999995</v>
      </c>
      <c r="AM10">
        <f t="shared" si="1"/>
        <v>7.1772000000000003E-4</v>
      </c>
      <c r="AN10">
        <f t="shared" si="1"/>
        <v>-0.14720230000000001</v>
      </c>
    </row>
    <row r="11" spans="1:42" x14ac:dyDescent="0.2">
      <c r="A11" s="16">
        <v>68</v>
      </c>
      <c r="B11" s="16" t="s">
        <v>107</v>
      </c>
      <c r="C11" s="16">
        <v>3.3834586466165412E-2</v>
      </c>
      <c r="D11" s="16"/>
      <c r="E11" s="16" t="s">
        <v>196</v>
      </c>
      <c r="F11" s="21">
        <v>325115895.89999998</v>
      </c>
      <c r="G11" s="16">
        <v>46354</v>
      </c>
      <c r="H11" s="16">
        <v>49129</v>
      </c>
      <c r="I11" s="16">
        <v>1076.25</v>
      </c>
      <c r="J11" s="16">
        <v>6.6048109999999993E-2</v>
      </c>
      <c r="K11" s="16">
        <v>4.5509139999999997E-2</v>
      </c>
      <c r="L11" s="16">
        <v>0.70942695</v>
      </c>
      <c r="M11" s="16">
        <v>4.8716300000000001E-3</v>
      </c>
      <c r="N11" s="16">
        <v>0.57946491</v>
      </c>
      <c r="O11" s="16">
        <v>6.0861608999999997E-2</v>
      </c>
      <c r="P11" s="16">
        <v>4.238455E-2</v>
      </c>
      <c r="Q11" s="16">
        <v>0.71088768999999996</v>
      </c>
      <c r="R11" s="16">
        <v>4.8894000000000003E-3</v>
      </c>
      <c r="S11" s="16">
        <v>0.57931255999999998</v>
      </c>
      <c r="T11" s="16"/>
      <c r="U11" s="16"/>
      <c r="V11" s="16"/>
      <c r="W11" s="16"/>
      <c r="X11" s="16" t="s">
        <v>196</v>
      </c>
      <c r="Y11" s="16"/>
      <c r="AE11">
        <f t="shared" si="2"/>
        <v>4.618748951048951E-2</v>
      </c>
      <c r="AF11">
        <f t="shared" si="2"/>
        <v>3.1824573426573424E-2</v>
      </c>
      <c r="AG11">
        <f t="shared" si="3"/>
        <v>0.70942695</v>
      </c>
      <c r="AH11">
        <f t="shared" si="0"/>
        <v>4.8716300000000001E-3</v>
      </c>
      <c r="AI11">
        <f t="shared" si="0"/>
        <v>0.57946491</v>
      </c>
      <c r="AJ11">
        <f t="shared" si="4"/>
        <v>5.0298850413223142E-2</v>
      </c>
      <c r="AK11">
        <f t="shared" si="4"/>
        <v>3.5028553719008267E-2</v>
      </c>
      <c r="AL11">
        <f t="shared" si="5"/>
        <v>0.71088768999999996</v>
      </c>
      <c r="AM11">
        <f t="shared" si="1"/>
        <v>4.8894000000000003E-3</v>
      </c>
      <c r="AN11">
        <f t="shared" si="1"/>
        <v>0.57931255999999998</v>
      </c>
    </row>
    <row r="12" spans="1:42" x14ac:dyDescent="0.2">
      <c r="A12" s="16">
        <v>69</v>
      </c>
      <c r="B12" s="16" t="s">
        <v>108</v>
      </c>
      <c r="C12" s="16">
        <v>4.4502617801047126E-2</v>
      </c>
      <c r="D12" s="16"/>
      <c r="E12" s="16" t="s">
        <v>196</v>
      </c>
      <c r="F12" s="21">
        <v>599198669.89999998</v>
      </c>
      <c r="G12" s="16">
        <v>46390</v>
      </c>
      <c r="H12" s="16">
        <v>49244</v>
      </c>
      <c r="I12" s="16">
        <v>1021.25</v>
      </c>
      <c r="J12" s="16">
        <v>8.123097E-2</v>
      </c>
      <c r="K12" s="16">
        <v>4.7189099999999998E-3</v>
      </c>
      <c r="L12" s="16">
        <v>0.71466532000000005</v>
      </c>
      <c r="M12" s="16">
        <v>9.7462999999999998E-4</v>
      </c>
      <c r="N12" s="16">
        <v>5.6195460000000003E-2</v>
      </c>
      <c r="O12" s="16">
        <v>7.4852216999999999E-2</v>
      </c>
      <c r="P12" s="16">
        <v>8.7282699999999998E-3</v>
      </c>
      <c r="Q12" s="16">
        <v>0.71613685000000005</v>
      </c>
      <c r="R12" s="16">
        <v>1.01515E-3</v>
      </c>
      <c r="S12" s="16">
        <v>0.22670665000000001</v>
      </c>
      <c r="T12" s="16"/>
      <c r="U12" s="16"/>
      <c r="V12" s="16"/>
      <c r="W12" s="16"/>
      <c r="X12" s="16" t="s">
        <v>196</v>
      </c>
      <c r="Y12" s="16"/>
      <c r="AE12">
        <f t="shared" si="2"/>
        <v>5.6804874125874129E-2</v>
      </c>
      <c r="AF12">
        <f t="shared" si="2"/>
        <v>3.2999370629370629E-3</v>
      </c>
      <c r="AG12">
        <f t="shared" si="3"/>
        <v>0.71466532000000005</v>
      </c>
      <c r="AH12">
        <f t="shared" si="0"/>
        <v>9.7462999999999998E-4</v>
      </c>
      <c r="AI12">
        <f t="shared" si="0"/>
        <v>5.6195460000000003E-2</v>
      </c>
      <c r="AJ12">
        <f t="shared" si="4"/>
        <v>6.1861336363636367E-2</v>
      </c>
      <c r="AK12">
        <f t="shared" si="4"/>
        <v>7.2134462809917352E-3</v>
      </c>
      <c r="AL12">
        <f t="shared" si="5"/>
        <v>0.71613685000000005</v>
      </c>
      <c r="AM12">
        <f t="shared" si="1"/>
        <v>1.01515E-3</v>
      </c>
      <c r="AN12">
        <f t="shared" si="1"/>
        <v>0.22670665000000001</v>
      </c>
    </row>
    <row r="13" spans="1:42" x14ac:dyDescent="0.2">
      <c r="A13" s="16">
        <v>70</v>
      </c>
      <c r="B13" s="16" t="s">
        <v>109</v>
      </c>
      <c r="C13" s="16">
        <v>1.5064562410329985E-2</v>
      </c>
      <c r="D13" s="16"/>
      <c r="E13" s="16" t="s">
        <v>196</v>
      </c>
      <c r="F13" s="21">
        <v>696377876.60000002</v>
      </c>
      <c r="G13" s="16">
        <v>46781</v>
      </c>
      <c r="H13" s="16">
        <v>49266</v>
      </c>
      <c r="I13" s="16">
        <v>1086.8800000000001</v>
      </c>
      <c r="J13" s="16">
        <v>7.4169269999999995E-2</v>
      </c>
      <c r="K13" s="16">
        <v>1.004004E-2</v>
      </c>
      <c r="L13" s="16">
        <v>0.71375792000000005</v>
      </c>
      <c r="M13" s="16">
        <v>2.46255E-3</v>
      </c>
      <c r="N13" s="16">
        <v>0.38640306000000002</v>
      </c>
      <c r="O13" s="16">
        <v>6.8345048000000005E-2</v>
      </c>
      <c r="P13" s="16">
        <v>1.1547379999999999E-2</v>
      </c>
      <c r="Q13" s="16">
        <v>0.71522757999999997</v>
      </c>
      <c r="R13" s="16">
        <v>2.48307E-3</v>
      </c>
      <c r="S13" s="16">
        <v>0.36395045999999998</v>
      </c>
      <c r="T13" s="16"/>
      <c r="U13" s="16"/>
      <c r="V13" s="16"/>
      <c r="W13" s="16"/>
      <c r="X13" s="16" t="s">
        <v>196</v>
      </c>
      <c r="Y13" s="16"/>
      <c r="AE13">
        <f t="shared" si="2"/>
        <v>5.1866622377622379E-2</v>
      </c>
      <c r="AF13">
        <f t="shared" si="2"/>
        <v>7.0210069930069932E-3</v>
      </c>
      <c r="AG13">
        <f t="shared" si="3"/>
        <v>0.71375792000000005</v>
      </c>
      <c r="AH13">
        <f t="shared" si="0"/>
        <v>2.46255E-3</v>
      </c>
      <c r="AI13">
        <f t="shared" si="0"/>
        <v>0.38640306000000002</v>
      </c>
      <c r="AJ13">
        <f t="shared" si="4"/>
        <v>5.648351074380166E-2</v>
      </c>
      <c r="AK13">
        <f t="shared" si="4"/>
        <v>9.5432892561983472E-3</v>
      </c>
      <c r="AL13">
        <f t="shared" si="5"/>
        <v>0.71522757999999997</v>
      </c>
      <c r="AM13">
        <f t="shared" si="1"/>
        <v>2.48307E-3</v>
      </c>
      <c r="AN13">
        <f t="shared" si="1"/>
        <v>0.36395045999999998</v>
      </c>
    </row>
    <row r="14" spans="1:42" x14ac:dyDescent="0.2">
      <c r="A14" s="16">
        <v>73</v>
      </c>
      <c r="B14" s="16" t="s">
        <v>110</v>
      </c>
      <c r="C14" s="16">
        <v>2.1871202916160386E-2</v>
      </c>
      <c r="D14" s="16"/>
      <c r="E14" s="16" t="s">
        <v>196</v>
      </c>
      <c r="F14" s="21">
        <v>356874950.30000001</v>
      </c>
      <c r="G14" s="16">
        <v>46625</v>
      </c>
      <c r="H14" s="16">
        <v>49294</v>
      </c>
      <c r="I14" s="16">
        <v>1093.1300000000001</v>
      </c>
      <c r="J14" s="16">
        <v>8.3170019999999997E-2</v>
      </c>
      <c r="K14" s="16">
        <v>2.1399830000000002E-2</v>
      </c>
      <c r="L14" s="16">
        <v>0.71688337999999996</v>
      </c>
      <c r="M14" s="16">
        <v>6.9994000000000002E-4</v>
      </c>
      <c r="N14" s="16">
        <v>-0.61038630000000005</v>
      </c>
      <c r="O14" s="16">
        <v>7.5044991000000005E-2</v>
      </c>
      <c r="P14" s="16">
        <v>2.051557E-2</v>
      </c>
      <c r="Q14" s="16">
        <v>0.71835645000000004</v>
      </c>
      <c r="R14" s="16">
        <v>7.2033000000000004E-4</v>
      </c>
      <c r="S14" s="16">
        <v>-0.48586030000000002</v>
      </c>
      <c r="T14" s="16"/>
      <c r="U14" s="16"/>
      <c r="V14" s="16"/>
      <c r="W14" s="16"/>
      <c r="X14" s="16" t="s">
        <v>196</v>
      </c>
      <c r="Y14" s="16"/>
      <c r="AE14">
        <f t="shared" si="2"/>
        <v>5.8160853146853146E-2</v>
      </c>
      <c r="AF14">
        <f t="shared" si="2"/>
        <v>1.4964916083916086E-2</v>
      </c>
      <c r="AG14">
        <f t="shared" si="3"/>
        <v>0.71688337999999996</v>
      </c>
      <c r="AH14">
        <f t="shared" si="0"/>
        <v>6.9994000000000002E-4</v>
      </c>
      <c r="AI14">
        <f t="shared" si="0"/>
        <v>-0.61038630000000005</v>
      </c>
      <c r="AJ14">
        <f t="shared" si="4"/>
        <v>6.2020653719008272E-2</v>
      </c>
      <c r="AK14">
        <f t="shared" si="4"/>
        <v>1.6955016528925622E-2</v>
      </c>
      <c r="AL14">
        <f t="shared" si="5"/>
        <v>0.71835645000000004</v>
      </c>
      <c r="AM14">
        <f t="shared" si="1"/>
        <v>7.2033000000000004E-4</v>
      </c>
      <c r="AN14">
        <f t="shared" si="1"/>
        <v>-0.48586030000000002</v>
      </c>
    </row>
    <row r="15" spans="1:42" x14ac:dyDescent="0.2">
      <c r="A15" s="16">
        <v>74</v>
      </c>
      <c r="B15" s="16" t="s">
        <v>111</v>
      </c>
      <c r="C15" s="16">
        <v>4.151838671411625E-2</v>
      </c>
      <c r="D15" s="16"/>
      <c r="E15" s="16" t="s">
        <v>196</v>
      </c>
      <c r="F15" s="21">
        <v>414316547</v>
      </c>
      <c r="G15" s="16">
        <v>46433</v>
      </c>
      <c r="H15" s="16">
        <v>49353</v>
      </c>
      <c r="I15" s="16">
        <v>1083.44</v>
      </c>
      <c r="J15" s="16">
        <v>9.4321920000000004E-2</v>
      </c>
      <c r="K15" s="16">
        <v>8.0188599999999992E-3</v>
      </c>
      <c r="L15" s="16">
        <v>0.71158646999999997</v>
      </c>
      <c r="M15" s="16">
        <v>1.2636100000000001E-3</v>
      </c>
      <c r="N15" s="16">
        <v>0.22119900000000001</v>
      </c>
      <c r="O15" s="16">
        <v>8.5107442000000005E-2</v>
      </c>
      <c r="P15" s="16">
        <v>1.0683689999999999E-2</v>
      </c>
      <c r="Q15" s="16">
        <v>0.71304864999999995</v>
      </c>
      <c r="R15" s="16">
        <v>1.2766399999999999E-3</v>
      </c>
      <c r="S15" s="16">
        <v>0.23825679</v>
      </c>
      <c r="T15" s="16"/>
      <c r="U15" s="16"/>
      <c r="V15" s="16"/>
      <c r="W15" s="16"/>
      <c r="X15" s="16" t="s">
        <v>196</v>
      </c>
      <c r="Y15" s="16"/>
      <c r="AE15">
        <f t="shared" si="2"/>
        <v>6.5959384615384614E-2</v>
      </c>
      <c r="AF15">
        <f t="shared" si="2"/>
        <v>5.6075944055944049E-3</v>
      </c>
      <c r="AG15">
        <f t="shared" si="3"/>
        <v>0.71158646999999997</v>
      </c>
      <c r="AH15">
        <f t="shared" si="0"/>
        <v>1.2636100000000001E-3</v>
      </c>
      <c r="AI15">
        <f t="shared" si="0"/>
        <v>0.22119900000000001</v>
      </c>
      <c r="AJ15">
        <f t="shared" si="4"/>
        <v>7.0336728925619846E-2</v>
      </c>
      <c r="AK15">
        <f t="shared" si="4"/>
        <v>8.8294958677685945E-3</v>
      </c>
      <c r="AL15">
        <f t="shared" si="5"/>
        <v>0.71304864999999995</v>
      </c>
      <c r="AM15">
        <f t="shared" si="1"/>
        <v>1.2766399999999999E-3</v>
      </c>
      <c r="AN15">
        <f t="shared" si="1"/>
        <v>0.23825679</v>
      </c>
    </row>
    <row r="16" spans="1:42" x14ac:dyDescent="0.2">
      <c r="A16" s="16">
        <v>75</v>
      </c>
      <c r="B16" s="16" t="s">
        <v>112</v>
      </c>
      <c r="C16" s="16">
        <v>2.1760633036597428E-2</v>
      </c>
      <c r="D16" s="16"/>
      <c r="E16" s="16" t="s">
        <v>196</v>
      </c>
      <c r="F16" s="21">
        <v>382958171.30000001</v>
      </c>
      <c r="G16" s="16">
        <v>46332</v>
      </c>
      <c r="H16" s="16">
        <v>49331</v>
      </c>
      <c r="I16" s="16">
        <v>1054.69</v>
      </c>
      <c r="J16" s="16">
        <v>7.7335459999999995E-2</v>
      </c>
      <c r="K16" s="16">
        <v>2.022728E-2</v>
      </c>
      <c r="L16" s="16">
        <v>0.71229374000000001</v>
      </c>
      <c r="M16" s="16">
        <v>1.1973000000000001E-3</v>
      </c>
      <c r="N16" s="16">
        <v>0.26633036999999998</v>
      </c>
      <c r="O16" s="16">
        <v>6.9780414999999998E-2</v>
      </c>
      <c r="P16" s="16">
        <v>1.935576E-2</v>
      </c>
      <c r="Q16" s="16">
        <v>0.71375736999999995</v>
      </c>
      <c r="R16" s="16">
        <v>1.21079E-3</v>
      </c>
      <c r="S16" s="16">
        <v>0.29167767</v>
      </c>
      <c r="T16" s="16"/>
      <c r="U16" s="16"/>
      <c r="V16" s="16"/>
      <c r="W16" s="16"/>
      <c r="X16" s="16" t="s">
        <v>196</v>
      </c>
      <c r="Y16" s="16"/>
      <c r="AE16">
        <f t="shared" si="2"/>
        <v>5.4080741258741259E-2</v>
      </c>
      <c r="AF16">
        <f t="shared" si="2"/>
        <v>1.4144951048951049E-2</v>
      </c>
      <c r="AG16">
        <f t="shared" si="3"/>
        <v>0.71229374000000001</v>
      </c>
      <c r="AH16">
        <f t="shared" si="0"/>
        <v>1.1973000000000001E-3</v>
      </c>
      <c r="AI16">
        <f t="shared" si="0"/>
        <v>0.26633036999999998</v>
      </c>
      <c r="AJ16">
        <f t="shared" si="4"/>
        <v>5.7669764462809921E-2</v>
      </c>
      <c r="AK16">
        <f t="shared" si="4"/>
        <v>1.5996495867768596E-2</v>
      </c>
      <c r="AL16">
        <f t="shared" si="5"/>
        <v>0.71375736999999995</v>
      </c>
      <c r="AM16">
        <f t="shared" si="1"/>
        <v>1.21079E-3</v>
      </c>
      <c r="AN16">
        <f t="shared" si="1"/>
        <v>0.29167767</v>
      </c>
    </row>
    <row r="17" spans="1:40" x14ac:dyDescent="0.2">
      <c r="A17" s="16">
        <v>76</v>
      </c>
      <c r="B17" s="16" t="s">
        <v>113</v>
      </c>
      <c r="C17" s="16">
        <v>5.4858934169278992E-2</v>
      </c>
      <c r="D17" s="16"/>
      <c r="E17" s="16" t="s">
        <v>196</v>
      </c>
      <c r="F17" s="21">
        <v>448635121.39999998</v>
      </c>
      <c r="G17" s="16">
        <v>46482</v>
      </c>
      <c r="H17" s="16">
        <v>49660</v>
      </c>
      <c r="I17" s="16">
        <v>1083.75</v>
      </c>
      <c r="J17" s="16">
        <v>8.2677310000000004E-2</v>
      </c>
      <c r="K17" s="16">
        <v>4.2843899999999999E-3</v>
      </c>
      <c r="L17" s="16">
        <v>0.71601619999999999</v>
      </c>
      <c r="M17" s="16">
        <v>1.0578899999999999E-3</v>
      </c>
      <c r="N17" s="16">
        <v>-0.45123370000000002</v>
      </c>
      <c r="O17" s="16">
        <v>7.4600415000000003E-2</v>
      </c>
      <c r="P17" s="16">
        <v>7.9005700000000009E-3</v>
      </c>
      <c r="Q17" s="16">
        <v>0.71748749000000001</v>
      </c>
      <c r="R17" s="16">
        <v>1.07266E-3</v>
      </c>
      <c r="S17" s="16">
        <v>-9.0905399999999997E-2</v>
      </c>
      <c r="T17" s="16"/>
      <c r="U17" s="16"/>
      <c r="V17" s="16"/>
      <c r="W17" s="16"/>
      <c r="X17" s="16" t="s">
        <v>196</v>
      </c>
      <c r="Y17" s="16"/>
      <c r="AE17">
        <f t="shared" si="2"/>
        <v>5.7816300699300702E-2</v>
      </c>
      <c r="AF17">
        <f t="shared" si="2"/>
        <v>2.9960769230769234E-3</v>
      </c>
      <c r="AG17">
        <f t="shared" si="3"/>
        <v>0.71601619999999999</v>
      </c>
      <c r="AH17">
        <f t="shared" si="0"/>
        <v>1.0578899999999999E-3</v>
      </c>
      <c r="AI17">
        <f t="shared" si="0"/>
        <v>-0.45123370000000002</v>
      </c>
      <c r="AJ17">
        <f t="shared" si="4"/>
        <v>6.1653235537190085E-2</v>
      </c>
      <c r="AK17">
        <f t="shared" si="4"/>
        <v>6.5293966942148772E-3</v>
      </c>
      <c r="AL17">
        <f t="shared" si="5"/>
        <v>0.71748749000000001</v>
      </c>
      <c r="AM17">
        <f t="shared" si="1"/>
        <v>1.07266E-3</v>
      </c>
      <c r="AN17">
        <f t="shared" si="1"/>
        <v>-9.0905399999999997E-2</v>
      </c>
    </row>
    <row r="18" spans="1:40" x14ac:dyDescent="0.2">
      <c r="A18" s="16">
        <v>77</v>
      </c>
      <c r="B18" s="16" t="s">
        <v>114</v>
      </c>
      <c r="C18" s="16">
        <v>5.8882235528942117E-2</v>
      </c>
      <c r="D18" s="16"/>
      <c r="E18" s="16" t="s">
        <v>196</v>
      </c>
      <c r="F18" s="21">
        <v>814978249</v>
      </c>
      <c r="G18" s="16">
        <v>46630</v>
      </c>
      <c r="H18" s="16">
        <v>49435</v>
      </c>
      <c r="I18" s="16">
        <v>1056.8800000000001</v>
      </c>
      <c r="J18" s="16">
        <v>6.1207360000000002E-2</v>
      </c>
      <c r="K18" s="16">
        <v>5.6700400000000003E-3</v>
      </c>
      <c r="L18" s="16">
        <v>0.71106996</v>
      </c>
      <c r="M18" s="16">
        <v>7.6798999999999997E-4</v>
      </c>
      <c r="N18" s="16">
        <v>0.12664420000000001</v>
      </c>
      <c r="O18" s="16">
        <v>5.5227904000000001E-2</v>
      </c>
      <c r="P18" s="16">
        <v>7.2245399999999998E-3</v>
      </c>
      <c r="Q18" s="16">
        <v>0.71253107999999998</v>
      </c>
      <c r="R18" s="16">
        <v>7.8660000000000004E-4</v>
      </c>
      <c r="S18" s="16">
        <v>0.22730691</v>
      </c>
      <c r="T18" s="16"/>
      <c r="U18" s="16"/>
      <c r="V18" s="16"/>
      <c r="W18" s="16"/>
      <c r="X18" s="16" t="s">
        <v>196</v>
      </c>
      <c r="Y18" s="16"/>
      <c r="AE18">
        <f t="shared" si="2"/>
        <v>4.2802349650349653E-2</v>
      </c>
      <c r="AF18">
        <f t="shared" si="2"/>
        <v>3.9650629370629378E-3</v>
      </c>
      <c r="AG18">
        <f t="shared" si="3"/>
        <v>0.71106996</v>
      </c>
      <c r="AH18">
        <f t="shared" si="0"/>
        <v>7.6798999999999997E-4</v>
      </c>
      <c r="AI18">
        <f t="shared" si="0"/>
        <v>0.12664420000000001</v>
      </c>
      <c r="AJ18">
        <f t="shared" si="4"/>
        <v>4.5642895867768596E-2</v>
      </c>
      <c r="AK18">
        <f t="shared" si="4"/>
        <v>5.9706942148760331E-3</v>
      </c>
      <c r="AL18">
        <f t="shared" si="5"/>
        <v>0.71253107999999998</v>
      </c>
      <c r="AM18">
        <f t="shared" si="1"/>
        <v>7.8660000000000004E-4</v>
      </c>
      <c r="AN18">
        <f t="shared" si="1"/>
        <v>0.22730691</v>
      </c>
    </row>
    <row r="19" spans="1:40" x14ac:dyDescent="0.2">
      <c r="A19" s="16">
        <v>80</v>
      </c>
      <c r="B19" s="16" t="s">
        <v>115</v>
      </c>
      <c r="C19" s="16">
        <v>3.7439613526570048E-2</v>
      </c>
      <c r="D19" s="16"/>
      <c r="E19" s="16" t="s">
        <v>196</v>
      </c>
      <c r="F19" s="21">
        <v>444203620.80000001</v>
      </c>
      <c r="G19" s="16">
        <v>46486</v>
      </c>
      <c r="H19" s="16">
        <v>48965</v>
      </c>
      <c r="I19" s="16">
        <v>1077.19</v>
      </c>
      <c r="J19" s="16">
        <v>0.13701199</v>
      </c>
      <c r="K19" s="16">
        <v>1.952183E-2</v>
      </c>
      <c r="L19" s="16">
        <v>0.71850592999999996</v>
      </c>
      <c r="M19" s="16">
        <v>1.3408300000000001E-3</v>
      </c>
      <c r="N19" s="16">
        <v>-0.52210509999999999</v>
      </c>
      <c r="O19" s="16">
        <v>0.123482806</v>
      </c>
      <c r="P19" s="16">
        <v>2.080357E-2</v>
      </c>
      <c r="Q19" s="16">
        <v>0.71969570999999999</v>
      </c>
      <c r="R19" s="16">
        <v>1.33581E-3</v>
      </c>
      <c r="S19" s="16">
        <v>-0.46618860000000001</v>
      </c>
      <c r="T19" s="16"/>
      <c r="U19" s="16"/>
      <c r="V19" s="16"/>
      <c r="W19" s="16"/>
      <c r="X19" s="16" t="s">
        <v>196</v>
      </c>
      <c r="Y19" s="16"/>
      <c r="AE19">
        <f t="shared" si="2"/>
        <v>9.581258041958042E-2</v>
      </c>
      <c r="AF19">
        <f t="shared" si="2"/>
        <v>1.3651629370629371E-2</v>
      </c>
      <c r="AG19">
        <f t="shared" si="3"/>
        <v>0.71850592999999996</v>
      </c>
      <c r="AH19">
        <f t="shared" si="0"/>
        <v>1.3408300000000001E-3</v>
      </c>
      <c r="AI19">
        <f t="shared" si="0"/>
        <v>-0.52210509999999999</v>
      </c>
      <c r="AJ19">
        <f t="shared" si="4"/>
        <v>0.10205190578512396</v>
      </c>
      <c r="AK19">
        <f t="shared" si="4"/>
        <v>1.7193033057851241E-2</v>
      </c>
      <c r="AL19">
        <f t="shared" si="5"/>
        <v>0.71969570999999999</v>
      </c>
      <c r="AM19">
        <f t="shared" si="1"/>
        <v>1.33581E-3</v>
      </c>
      <c r="AN19">
        <f t="shared" si="1"/>
        <v>-0.46618860000000001</v>
      </c>
    </row>
    <row r="20" spans="1:40" x14ac:dyDescent="0.2">
      <c r="A20" s="16">
        <v>81</v>
      </c>
      <c r="B20" s="16" t="s">
        <v>116</v>
      </c>
      <c r="C20" s="16">
        <v>2.5368248772504091E-2</v>
      </c>
      <c r="D20" s="16"/>
      <c r="E20" s="16" t="s">
        <v>196</v>
      </c>
      <c r="F20" s="21">
        <v>368867505</v>
      </c>
      <c r="G20" s="16">
        <v>46812</v>
      </c>
      <c r="H20" s="16">
        <v>49110</v>
      </c>
      <c r="I20" s="16">
        <v>1084.69</v>
      </c>
      <c r="J20" s="16">
        <v>0.10105603000000001</v>
      </c>
      <c r="K20" s="16">
        <v>2.200162E-2</v>
      </c>
      <c r="L20" s="16">
        <v>0.71548862999999996</v>
      </c>
      <c r="M20" s="16">
        <v>2.2606599999999998E-3</v>
      </c>
      <c r="N20" s="16">
        <v>-0.25506879999999998</v>
      </c>
      <c r="O20" s="16">
        <v>9.1077300999999999E-2</v>
      </c>
      <c r="P20" s="16">
        <v>2.145304E-2</v>
      </c>
      <c r="Q20" s="16">
        <v>0.71667342000000001</v>
      </c>
      <c r="R20" s="16">
        <v>2.2601499999999998E-3</v>
      </c>
      <c r="S20" s="16">
        <v>-0.24556410000000001</v>
      </c>
      <c r="T20" s="16"/>
      <c r="U20" s="16"/>
      <c r="V20" s="16"/>
      <c r="W20" s="16"/>
      <c r="X20" s="16" t="s">
        <v>196</v>
      </c>
      <c r="Y20" s="16"/>
      <c r="AE20">
        <f t="shared" si="2"/>
        <v>7.0668552447552449E-2</v>
      </c>
      <c r="AF20">
        <f t="shared" si="2"/>
        <v>1.5385748251748252E-2</v>
      </c>
      <c r="AG20">
        <f t="shared" si="3"/>
        <v>0.71548862999999996</v>
      </c>
      <c r="AH20">
        <f t="shared" si="0"/>
        <v>2.2606599999999998E-3</v>
      </c>
      <c r="AI20">
        <f t="shared" si="0"/>
        <v>-0.25506879999999998</v>
      </c>
      <c r="AJ20">
        <f t="shared" si="4"/>
        <v>7.5270496694214872E-2</v>
      </c>
      <c r="AK20">
        <f t="shared" si="4"/>
        <v>1.7729785123966942E-2</v>
      </c>
      <c r="AL20">
        <f t="shared" si="5"/>
        <v>0.71667342000000001</v>
      </c>
      <c r="AM20">
        <f t="shared" si="1"/>
        <v>2.2601499999999998E-3</v>
      </c>
      <c r="AN20">
        <f t="shared" si="1"/>
        <v>-0.24556410000000001</v>
      </c>
    </row>
    <row r="21" spans="1:40" x14ac:dyDescent="0.2">
      <c r="A21" s="16">
        <v>82</v>
      </c>
      <c r="B21" s="16" t="s">
        <v>117</v>
      </c>
      <c r="C21" s="16">
        <v>4.2005420054200542E-2</v>
      </c>
      <c r="D21" s="16"/>
      <c r="E21" s="16" t="s">
        <v>196</v>
      </c>
      <c r="F21" s="21">
        <v>590690558.39999998</v>
      </c>
      <c r="G21" s="16">
        <v>46393</v>
      </c>
      <c r="H21" s="16">
        <v>49035</v>
      </c>
      <c r="I21" s="16">
        <v>1048.1300000000001</v>
      </c>
      <c r="J21" s="16">
        <v>6.4629930000000002E-2</v>
      </c>
      <c r="K21" s="16">
        <v>2.3500999999999999E-3</v>
      </c>
      <c r="L21" s="16">
        <v>0.71272999999999997</v>
      </c>
      <c r="M21" s="16">
        <v>9.0107000000000002E-4</v>
      </c>
      <c r="N21" s="16">
        <v>0.54641472999999996</v>
      </c>
      <c r="O21" s="16">
        <v>5.8248081E-2</v>
      </c>
      <c r="P21" s="16">
        <v>5.64863E-3</v>
      </c>
      <c r="Q21" s="16">
        <v>0.71391022000000004</v>
      </c>
      <c r="R21" s="16">
        <v>8.9192000000000004E-4</v>
      </c>
      <c r="S21" s="16">
        <v>0.14994257999999999</v>
      </c>
      <c r="T21" s="16"/>
      <c r="U21" s="16"/>
      <c r="V21" s="16"/>
      <c r="W21" s="16"/>
      <c r="X21" s="16" t="s">
        <v>196</v>
      </c>
      <c r="Y21" s="16"/>
      <c r="AE21">
        <f t="shared" si="2"/>
        <v>4.5195755244755248E-2</v>
      </c>
      <c r="AF21">
        <f t="shared" si="2"/>
        <v>1.6434265734265735E-3</v>
      </c>
      <c r="AG21">
        <f t="shared" si="3"/>
        <v>0.71272999999999997</v>
      </c>
      <c r="AH21">
        <f t="shared" si="0"/>
        <v>9.0107000000000002E-4</v>
      </c>
      <c r="AI21">
        <f t="shared" si="0"/>
        <v>0.54641472999999996</v>
      </c>
      <c r="AJ21">
        <f t="shared" si="4"/>
        <v>4.8138909917355373E-2</v>
      </c>
      <c r="AK21">
        <f t="shared" si="4"/>
        <v>4.6682892561983472E-3</v>
      </c>
      <c r="AL21">
        <f t="shared" si="5"/>
        <v>0.71391022000000004</v>
      </c>
      <c r="AM21">
        <f t="shared" si="1"/>
        <v>8.9192000000000004E-4</v>
      </c>
      <c r="AN21">
        <f t="shared" si="1"/>
        <v>0.14994257999999999</v>
      </c>
    </row>
    <row r="22" spans="1:40" x14ac:dyDescent="0.2">
      <c r="A22" s="16">
        <v>83</v>
      </c>
      <c r="B22" s="16" t="s">
        <v>118</v>
      </c>
      <c r="C22" s="16">
        <v>1.7073170731707315E-2</v>
      </c>
      <c r="D22" s="16"/>
      <c r="E22" s="16" t="s">
        <v>196</v>
      </c>
      <c r="F22" s="21">
        <v>788218450.79999995</v>
      </c>
      <c r="G22" s="16">
        <v>46538</v>
      </c>
      <c r="H22" s="16">
        <v>49212</v>
      </c>
      <c r="I22" s="16">
        <v>1078.44</v>
      </c>
      <c r="J22" s="16">
        <v>5.3225099999999997E-2</v>
      </c>
      <c r="K22" s="16">
        <v>2.7720399999999999E-3</v>
      </c>
      <c r="L22" s="16">
        <v>0.71190297999999996</v>
      </c>
      <c r="M22" s="16">
        <v>1.07526E-3</v>
      </c>
      <c r="N22" s="16">
        <v>0.34325236999999997</v>
      </c>
      <c r="O22" s="16">
        <v>4.7969412000000003E-2</v>
      </c>
      <c r="P22" s="16">
        <v>4.9838499999999997E-3</v>
      </c>
      <c r="Q22" s="16">
        <v>0.71308183000000003</v>
      </c>
      <c r="R22" s="16">
        <v>1.0681600000000001E-3</v>
      </c>
      <c r="S22" s="16">
        <v>0.12882128000000001</v>
      </c>
      <c r="T22" s="16"/>
      <c r="U22" s="16"/>
      <c r="V22" s="16"/>
      <c r="W22" s="16"/>
      <c r="X22" s="16" t="s">
        <v>196</v>
      </c>
      <c r="Y22" s="16"/>
      <c r="AE22">
        <f t="shared" si="2"/>
        <v>3.7220349650349649E-2</v>
      </c>
      <c r="AF22">
        <f t="shared" si="2"/>
        <v>1.9384895104895105E-3</v>
      </c>
      <c r="AG22">
        <f t="shared" si="3"/>
        <v>0.71190297999999996</v>
      </c>
      <c r="AH22">
        <f t="shared" si="0"/>
        <v>1.07526E-3</v>
      </c>
      <c r="AI22">
        <f t="shared" si="0"/>
        <v>0.34325236999999997</v>
      </c>
      <c r="AJ22">
        <f t="shared" si="4"/>
        <v>3.9644142148760331E-2</v>
      </c>
      <c r="AK22">
        <f t="shared" si="4"/>
        <v>4.1188842975206615E-3</v>
      </c>
      <c r="AL22">
        <f t="shared" si="5"/>
        <v>0.71308183000000003</v>
      </c>
      <c r="AM22">
        <f t="shared" si="1"/>
        <v>1.0681600000000001E-3</v>
      </c>
      <c r="AN22">
        <f t="shared" si="1"/>
        <v>0.12882128000000001</v>
      </c>
    </row>
    <row r="23" spans="1:40" x14ac:dyDescent="0.2">
      <c r="A23" s="16">
        <v>84</v>
      </c>
      <c r="B23" s="16" t="s">
        <v>119</v>
      </c>
      <c r="C23" s="16">
        <v>1.0752688172043012E-2</v>
      </c>
      <c r="D23" s="16"/>
      <c r="E23" s="16" t="s">
        <v>196</v>
      </c>
      <c r="F23" s="21">
        <v>595695614.20000005</v>
      </c>
      <c r="G23" s="16">
        <v>46695</v>
      </c>
      <c r="H23" s="16">
        <v>49143</v>
      </c>
      <c r="I23" s="16">
        <v>1083.44</v>
      </c>
      <c r="J23" s="16">
        <v>6.6142110000000004E-2</v>
      </c>
      <c r="K23" s="16">
        <v>7.4532499999999998E-3</v>
      </c>
      <c r="L23" s="16">
        <v>0.71511868999999995</v>
      </c>
      <c r="M23" s="16">
        <v>1.04616E-3</v>
      </c>
      <c r="N23" s="16">
        <v>0.72982365999999999</v>
      </c>
      <c r="O23" s="16">
        <v>5.9610938000000002E-2</v>
      </c>
      <c r="P23" s="16">
        <v>8.5930799999999995E-3</v>
      </c>
      <c r="Q23" s="16">
        <v>0.71630285999999999</v>
      </c>
      <c r="R23" s="16">
        <v>1.0386799999999999E-3</v>
      </c>
      <c r="S23" s="16">
        <v>0.54230712000000003</v>
      </c>
      <c r="T23" s="16"/>
      <c r="U23" s="16"/>
      <c r="V23" s="16"/>
      <c r="W23" s="16"/>
      <c r="X23" s="16" t="s">
        <v>196</v>
      </c>
      <c r="Y23" s="16"/>
      <c r="AE23">
        <f t="shared" si="2"/>
        <v>4.6253223776223783E-2</v>
      </c>
      <c r="AF23">
        <f t="shared" si="2"/>
        <v>5.2120629370629367E-3</v>
      </c>
      <c r="AG23">
        <f t="shared" si="3"/>
        <v>0.71511868999999995</v>
      </c>
      <c r="AH23">
        <f t="shared" si="3"/>
        <v>1.04616E-3</v>
      </c>
      <c r="AI23">
        <f t="shared" si="3"/>
        <v>0.72982365999999999</v>
      </c>
      <c r="AJ23">
        <f t="shared" si="4"/>
        <v>4.9265238016528927E-2</v>
      </c>
      <c r="AK23">
        <f t="shared" si="4"/>
        <v>7.1017190082644623E-3</v>
      </c>
      <c r="AL23">
        <f t="shared" si="5"/>
        <v>0.71630285999999999</v>
      </c>
      <c r="AM23">
        <f t="shared" si="5"/>
        <v>1.0386799999999999E-3</v>
      </c>
      <c r="AN23">
        <f t="shared" si="5"/>
        <v>0.54230712000000003</v>
      </c>
    </row>
    <row r="24" spans="1:40" x14ac:dyDescent="0.2">
      <c r="A24" s="16">
        <v>87</v>
      </c>
      <c r="B24" s="16" t="s">
        <v>120</v>
      </c>
      <c r="C24" s="16"/>
      <c r="D24" s="16"/>
      <c r="E24" s="16" t="s">
        <v>196</v>
      </c>
      <c r="F24" s="21">
        <v>781197762.5</v>
      </c>
      <c r="G24" s="16">
        <v>47401</v>
      </c>
      <c r="H24" s="16">
        <v>49447</v>
      </c>
      <c r="I24" s="16">
        <v>1115.6300000000001</v>
      </c>
      <c r="J24" s="16">
        <v>4.546037E-2</v>
      </c>
      <c r="K24" s="16">
        <v>3.46723E-3</v>
      </c>
      <c r="L24" s="16">
        <v>0.70218948999999997</v>
      </c>
      <c r="M24" s="16">
        <v>8.7573999999999996E-4</v>
      </c>
      <c r="N24" s="16">
        <v>0.54641843000000001</v>
      </c>
      <c r="O24" s="16">
        <v>4.0344194E-2</v>
      </c>
      <c r="P24" s="16">
        <v>4.9000399999999996E-3</v>
      </c>
      <c r="Q24" s="16">
        <v>0.70343064</v>
      </c>
      <c r="R24" s="16">
        <v>9.0919999999999998E-4</v>
      </c>
      <c r="S24" s="16">
        <v>0.39754507</v>
      </c>
      <c r="T24" s="16"/>
      <c r="U24" s="16"/>
      <c r="V24" s="16"/>
      <c r="W24" s="16"/>
      <c r="X24" s="16" t="s">
        <v>196</v>
      </c>
      <c r="Y24" s="16"/>
      <c r="AE24">
        <f t="shared" si="2"/>
        <v>3.1790468531468531E-2</v>
      </c>
      <c r="AF24">
        <f t="shared" si="2"/>
        <v>2.4246363636363636E-3</v>
      </c>
      <c r="AG24">
        <f t="shared" si="3"/>
        <v>0.70218948999999997</v>
      </c>
      <c r="AH24">
        <f t="shared" si="3"/>
        <v>8.7573999999999996E-4</v>
      </c>
      <c r="AI24">
        <f t="shared" si="3"/>
        <v>0.54641843000000001</v>
      </c>
      <c r="AJ24">
        <f t="shared" si="4"/>
        <v>3.3342309090909093E-2</v>
      </c>
      <c r="AK24">
        <f t="shared" si="4"/>
        <v>4.0496198347107432E-3</v>
      </c>
      <c r="AL24">
        <f t="shared" si="5"/>
        <v>0.70343064</v>
      </c>
      <c r="AM24">
        <f t="shared" si="5"/>
        <v>9.0919999999999998E-4</v>
      </c>
      <c r="AN24">
        <f t="shared" si="5"/>
        <v>0.39754507</v>
      </c>
    </row>
    <row r="25" spans="1:40" x14ac:dyDescent="0.2">
      <c r="A25" s="16">
        <v>88</v>
      </c>
      <c r="B25" s="16" t="s">
        <v>121</v>
      </c>
      <c r="C25" s="16"/>
      <c r="D25" s="16"/>
      <c r="E25" s="16" t="s">
        <v>196</v>
      </c>
      <c r="F25" s="21">
        <v>712408433.10000002</v>
      </c>
      <c r="G25" s="16">
        <v>47304</v>
      </c>
      <c r="H25" s="16">
        <v>49687</v>
      </c>
      <c r="I25" s="16">
        <v>1056.25</v>
      </c>
      <c r="J25" s="16">
        <v>4.6368800000000002E-2</v>
      </c>
      <c r="K25" s="16">
        <v>9.7652000000000004E-4</v>
      </c>
      <c r="L25" s="16">
        <v>0.70460033</v>
      </c>
      <c r="M25" s="16">
        <v>6.8997999999999998E-4</v>
      </c>
      <c r="N25" s="16">
        <v>-0.1108669</v>
      </c>
      <c r="O25" s="16">
        <v>4.1150386999999997E-2</v>
      </c>
      <c r="P25" s="16">
        <v>3.9850199999999997E-3</v>
      </c>
      <c r="Q25" s="16">
        <v>0.70584574</v>
      </c>
      <c r="R25" s="16">
        <v>7.3154000000000003E-4</v>
      </c>
      <c r="S25" s="16">
        <v>8.1169779999999997E-2</v>
      </c>
      <c r="T25" s="16"/>
      <c r="U25" s="16"/>
      <c r="V25" s="16"/>
      <c r="W25" s="16"/>
      <c r="X25" s="16" t="s">
        <v>196</v>
      </c>
      <c r="Y25" s="16"/>
      <c r="AE25">
        <f t="shared" si="2"/>
        <v>3.2425734265734266E-2</v>
      </c>
      <c r="AF25">
        <f t="shared" si="2"/>
        <v>6.8288111888111891E-4</v>
      </c>
      <c r="AG25">
        <f t="shared" si="3"/>
        <v>0.70460033</v>
      </c>
      <c r="AH25">
        <f t="shared" si="3"/>
        <v>6.8997999999999998E-4</v>
      </c>
      <c r="AI25">
        <f t="shared" si="3"/>
        <v>-0.1108669</v>
      </c>
      <c r="AJ25">
        <f t="shared" si="4"/>
        <v>3.4008584297520662E-2</v>
      </c>
      <c r="AK25">
        <f t="shared" si="4"/>
        <v>3.2934049586776856E-3</v>
      </c>
      <c r="AL25">
        <f t="shared" si="5"/>
        <v>0.70584574</v>
      </c>
      <c r="AM25">
        <f t="shared" si="5"/>
        <v>7.3154000000000003E-4</v>
      </c>
      <c r="AN25">
        <f t="shared" si="5"/>
        <v>8.1169779999999997E-2</v>
      </c>
    </row>
    <row r="26" spans="1:40" x14ac:dyDescent="0.2">
      <c r="A26" s="16">
        <v>89</v>
      </c>
      <c r="B26" s="16" t="s">
        <v>122</v>
      </c>
      <c r="C26" s="16">
        <v>3.1974921630094043E-2</v>
      </c>
      <c r="D26" s="16"/>
      <c r="E26" s="16" t="s">
        <v>196</v>
      </c>
      <c r="F26" s="21">
        <v>1012706590</v>
      </c>
      <c r="G26" s="16">
        <v>47895</v>
      </c>
      <c r="H26" s="16">
        <v>48606</v>
      </c>
      <c r="I26" s="16">
        <v>1074.3800000000001</v>
      </c>
      <c r="J26" s="16">
        <v>7.5820899999999997E-3</v>
      </c>
      <c r="K26" s="16">
        <v>3.4861000000000001E-4</v>
      </c>
      <c r="L26" s="16">
        <v>0.70240287000000001</v>
      </c>
      <c r="M26" s="16">
        <v>5.9161999999999995E-4</v>
      </c>
      <c r="N26" s="16">
        <v>-0.45627309999999999</v>
      </c>
      <c r="O26" s="16">
        <v>6.7287930000000003E-3</v>
      </c>
      <c r="P26" s="16">
        <v>7.0728000000000002E-4</v>
      </c>
      <c r="Q26" s="16">
        <v>0.70364439999999995</v>
      </c>
      <c r="R26" s="16">
        <v>6.3898000000000004E-4</v>
      </c>
      <c r="S26" s="16">
        <v>-7.5817499999999996E-2</v>
      </c>
      <c r="T26" s="16"/>
      <c r="U26" s="16"/>
      <c r="V26" s="16"/>
      <c r="W26" s="16"/>
      <c r="X26" s="16" t="s">
        <v>196</v>
      </c>
      <c r="Y26" s="16"/>
      <c r="AE26">
        <f t="shared" si="2"/>
        <v>5.3021608391608391E-3</v>
      </c>
      <c r="AF26">
        <f t="shared" si="2"/>
        <v>2.4378321678321681E-4</v>
      </c>
      <c r="AG26">
        <f t="shared" si="3"/>
        <v>0.70240287000000001</v>
      </c>
      <c r="AH26">
        <f t="shared" si="3"/>
        <v>5.9161999999999995E-4</v>
      </c>
      <c r="AI26">
        <f t="shared" si="3"/>
        <v>-0.45627309999999999</v>
      </c>
      <c r="AJ26">
        <f t="shared" si="4"/>
        <v>5.5609859504132239E-3</v>
      </c>
      <c r="AK26">
        <f t="shared" si="4"/>
        <v>5.8452892561983475E-4</v>
      </c>
      <c r="AL26">
        <f t="shared" si="5"/>
        <v>0.70364439999999995</v>
      </c>
      <c r="AM26">
        <f t="shared" si="5"/>
        <v>6.3898000000000004E-4</v>
      </c>
      <c r="AN26">
        <f t="shared" si="5"/>
        <v>-7.5817499999999996E-2</v>
      </c>
    </row>
    <row r="27" spans="1:40" x14ac:dyDescent="0.2">
      <c r="A27" s="16">
        <v>90</v>
      </c>
      <c r="B27" s="16" t="s">
        <v>123</v>
      </c>
      <c r="C27" s="16">
        <v>2.1418020679468242E-2</v>
      </c>
      <c r="D27" s="16"/>
      <c r="E27" s="16" t="s">
        <v>196</v>
      </c>
      <c r="F27" s="21">
        <v>893885503.70000005</v>
      </c>
      <c r="G27" s="16">
        <v>47969</v>
      </c>
      <c r="H27" s="16">
        <v>48791</v>
      </c>
      <c r="I27" s="16">
        <v>1108.1300000000001</v>
      </c>
      <c r="J27" s="16">
        <v>1.012652E-2</v>
      </c>
      <c r="K27" s="16">
        <v>2.3587899999999999E-3</v>
      </c>
      <c r="L27" s="16">
        <v>0.70147903</v>
      </c>
      <c r="M27" s="16">
        <v>1.10497E-3</v>
      </c>
      <c r="N27" s="16">
        <v>0.85597500999999998</v>
      </c>
      <c r="O27" s="16">
        <v>8.9868650000000001E-3</v>
      </c>
      <c r="P27" s="16">
        <v>2.2591199999999999E-3</v>
      </c>
      <c r="Q27" s="16">
        <v>0.70271892999999996</v>
      </c>
      <c r="R27" s="16">
        <v>1.13233E-3</v>
      </c>
      <c r="S27" s="16">
        <v>0.80111922999999996</v>
      </c>
      <c r="T27" s="16"/>
      <c r="U27" s="16"/>
      <c r="V27" s="16"/>
      <c r="W27" s="16"/>
      <c r="X27" s="16" t="s">
        <v>196</v>
      </c>
      <c r="Y27" s="16"/>
      <c r="AE27">
        <f t="shared" si="2"/>
        <v>7.0814825174825178E-3</v>
      </c>
      <c r="AF27">
        <f t="shared" si="2"/>
        <v>1.6495034965034966E-3</v>
      </c>
      <c r="AG27">
        <f t="shared" si="3"/>
        <v>0.70147903</v>
      </c>
      <c r="AH27">
        <f t="shared" si="3"/>
        <v>1.10497E-3</v>
      </c>
      <c r="AI27">
        <f t="shared" si="3"/>
        <v>0.85597500999999998</v>
      </c>
      <c r="AJ27">
        <f t="shared" si="4"/>
        <v>7.427161157024794E-3</v>
      </c>
      <c r="AK27">
        <f t="shared" si="4"/>
        <v>1.8670413223140496E-3</v>
      </c>
      <c r="AL27">
        <f t="shared" si="5"/>
        <v>0.70271892999999996</v>
      </c>
      <c r="AM27">
        <f t="shared" si="5"/>
        <v>1.13233E-3</v>
      </c>
      <c r="AN27">
        <f t="shared" si="5"/>
        <v>0.80111922999999996</v>
      </c>
    </row>
    <row r="28" spans="1:40" x14ac:dyDescent="0.2">
      <c r="A28" s="16">
        <v>91</v>
      </c>
      <c r="B28" s="16" t="s">
        <v>124</v>
      </c>
      <c r="C28" s="16">
        <v>2.336448598130841E-2</v>
      </c>
      <c r="D28" s="16"/>
      <c r="E28" s="16" t="s">
        <v>196</v>
      </c>
      <c r="F28" s="21">
        <v>744120338.39999998</v>
      </c>
      <c r="G28" s="16">
        <v>48053</v>
      </c>
      <c r="H28" s="16">
        <v>48492</v>
      </c>
      <c r="I28" s="16">
        <v>1122.5</v>
      </c>
      <c r="J28" s="16">
        <v>1.590753E-2</v>
      </c>
      <c r="K28" s="16">
        <v>4.3627E-4</v>
      </c>
      <c r="L28" s="16">
        <v>0.70234227999999999</v>
      </c>
      <c r="M28" s="16">
        <v>1.84665E-3</v>
      </c>
      <c r="N28" s="16">
        <v>0.28220724000000003</v>
      </c>
      <c r="O28" s="16">
        <v>1.4117275E-2</v>
      </c>
      <c r="P28" s="16">
        <v>1.38944E-3</v>
      </c>
      <c r="Q28" s="16">
        <v>0.70358370000000003</v>
      </c>
      <c r="R28" s="16">
        <v>1.8652600000000001E-3</v>
      </c>
      <c r="S28" s="16">
        <v>0.11797599</v>
      </c>
      <c r="T28" s="16"/>
      <c r="U28" s="16"/>
      <c r="V28" s="16"/>
      <c r="W28" s="16"/>
      <c r="X28" s="16" t="s">
        <v>196</v>
      </c>
      <c r="Y28" s="16"/>
      <c r="AE28">
        <f t="shared" si="2"/>
        <v>1.1124146853146853E-2</v>
      </c>
      <c r="AF28">
        <f t="shared" si="2"/>
        <v>3.0508391608391607E-4</v>
      </c>
      <c r="AG28">
        <f t="shared" si="3"/>
        <v>0.70234227999999999</v>
      </c>
      <c r="AH28">
        <f t="shared" si="3"/>
        <v>1.84665E-3</v>
      </c>
      <c r="AI28">
        <f t="shared" si="3"/>
        <v>0.28220724000000003</v>
      </c>
      <c r="AJ28">
        <f t="shared" si="4"/>
        <v>1.1667169421487603E-2</v>
      </c>
      <c r="AK28">
        <f t="shared" si="4"/>
        <v>1.1482975206611571E-3</v>
      </c>
      <c r="AL28">
        <f t="shared" si="5"/>
        <v>0.70358370000000003</v>
      </c>
      <c r="AM28">
        <f t="shared" si="5"/>
        <v>1.8652600000000001E-3</v>
      </c>
      <c r="AN28">
        <f t="shared" si="5"/>
        <v>0.11797599</v>
      </c>
    </row>
    <row r="29" spans="1:40" x14ac:dyDescent="0.2">
      <c r="A29" s="16">
        <v>102</v>
      </c>
      <c r="B29" s="16" t="s">
        <v>131</v>
      </c>
      <c r="C29" s="16">
        <v>3.4482758620689655E-2</v>
      </c>
      <c r="D29" s="16"/>
      <c r="E29" s="16" t="s">
        <v>196</v>
      </c>
      <c r="F29" s="21">
        <v>908689299.89999998</v>
      </c>
      <c r="G29" s="16">
        <v>49086</v>
      </c>
      <c r="H29" s="16">
        <v>48278</v>
      </c>
      <c r="I29" s="16">
        <v>1147.19</v>
      </c>
      <c r="J29" s="16">
        <v>1.460792E-2</v>
      </c>
      <c r="K29" s="16">
        <v>6.8678000000000001E-4</v>
      </c>
      <c r="L29" s="16">
        <v>0.70233146000000002</v>
      </c>
      <c r="M29" s="16">
        <v>7.7254999999999999E-4</v>
      </c>
      <c r="N29" s="16">
        <v>-0.25830900000000001</v>
      </c>
      <c r="O29" s="16">
        <v>1.3147216999999999E-2</v>
      </c>
      <c r="P29" s="16">
        <v>1.2136200000000001E-3</v>
      </c>
      <c r="Q29" s="16">
        <v>0.70363777000000005</v>
      </c>
      <c r="R29" s="16">
        <v>7.8109000000000002E-4</v>
      </c>
      <c r="S29" s="16">
        <v>-4.1053199999999998E-2</v>
      </c>
      <c r="T29" s="16"/>
      <c r="U29" s="16"/>
      <c r="V29" s="16"/>
      <c r="W29" s="16"/>
      <c r="X29" s="16" t="s">
        <v>196</v>
      </c>
      <c r="Y29" s="16"/>
      <c r="AE29">
        <f t="shared" si="2"/>
        <v>1.0215328671328672E-2</v>
      </c>
      <c r="AF29">
        <f t="shared" si="2"/>
        <v>4.8026573426573427E-4</v>
      </c>
      <c r="AG29">
        <f t="shared" si="3"/>
        <v>0.70233146000000002</v>
      </c>
      <c r="AH29">
        <f t="shared" si="3"/>
        <v>7.7254999999999999E-4</v>
      </c>
      <c r="AI29">
        <f t="shared" si="3"/>
        <v>-0.25830900000000001</v>
      </c>
      <c r="AJ29">
        <f t="shared" si="4"/>
        <v>1.0865468595041321E-2</v>
      </c>
      <c r="AK29">
        <f t="shared" si="4"/>
        <v>1.0029917355371901E-3</v>
      </c>
      <c r="AL29">
        <f t="shared" si="5"/>
        <v>0.70363777000000005</v>
      </c>
      <c r="AM29">
        <f t="shared" si="5"/>
        <v>7.8109000000000002E-4</v>
      </c>
      <c r="AN29">
        <f t="shared" si="5"/>
        <v>-4.1053199999999998E-2</v>
      </c>
    </row>
    <row r="30" spans="1:40" x14ac:dyDescent="0.2">
      <c r="A30" s="16">
        <v>103</v>
      </c>
      <c r="B30" s="16" t="s">
        <v>132</v>
      </c>
      <c r="C30" s="16">
        <v>3.6334913112164295E-2</v>
      </c>
      <c r="D30" s="16"/>
      <c r="E30" s="16" t="s">
        <v>196</v>
      </c>
      <c r="F30" s="21">
        <v>708827247.60000002</v>
      </c>
      <c r="G30" s="16">
        <v>48957</v>
      </c>
      <c r="H30" s="16">
        <v>48404</v>
      </c>
      <c r="I30" s="16">
        <v>1169.3800000000001</v>
      </c>
      <c r="J30" s="16">
        <v>2.063945E-2</v>
      </c>
      <c r="K30" s="16">
        <v>1.3558000000000001E-3</v>
      </c>
      <c r="L30" s="16">
        <v>0.70115073000000006</v>
      </c>
      <c r="M30" s="16">
        <v>8.8256999999999995E-4</v>
      </c>
      <c r="N30" s="16">
        <v>-0.1041972</v>
      </c>
      <c r="O30" s="16">
        <v>1.8575629999999999E-2</v>
      </c>
      <c r="P30" s="16">
        <v>1.91482E-3</v>
      </c>
      <c r="Q30" s="16">
        <v>0.70245484999999996</v>
      </c>
      <c r="R30" s="16">
        <v>8.9041000000000001E-4</v>
      </c>
      <c r="S30" s="16">
        <v>4.1028000000000002E-3</v>
      </c>
      <c r="T30" s="16"/>
      <c r="U30" s="16"/>
      <c r="V30" s="16"/>
      <c r="W30" s="16"/>
      <c r="X30" s="16" t="s">
        <v>196</v>
      </c>
      <c r="Y30" s="16"/>
      <c r="AE30">
        <f t="shared" si="2"/>
        <v>1.4433181818181819E-2</v>
      </c>
      <c r="AF30">
        <f t="shared" si="2"/>
        <v>9.4811188811188825E-4</v>
      </c>
      <c r="AG30">
        <f t="shared" si="3"/>
        <v>0.70115073000000006</v>
      </c>
      <c r="AH30">
        <f t="shared" si="3"/>
        <v>8.8256999999999995E-4</v>
      </c>
      <c r="AI30">
        <f t="shared" si="3"/>
        <v>-0.1041972</v>
      </c>
      <c r="AJ30">
        <f t="shared" si="4"/>
        <v>1.5351760330578511E-2</v>
      </c>
      <c r="AK30">
        <f t="shared" si="4"/>
        <v>1.582495867768595E-3</v>
      </c>
      <c r="AL30">
        <f t="shared" si="5"/>
        <v>0.70245484999999996</v>
      </c>
      <c r="AM30">
        <f t="shared" si="5"/>
        <v>8.9041000000000001E-4</v>
      </c>
      <c r="AN30">
        <f t="shared" si="5"/>
        <v>4.1028000000000002E-3</v>
      </c>
    </row>
    <row r="31" spans="1:40" x14ac:dyDescent="0.2">
      <c r="A31" s="16">
        <v>104</v>
      </c>
      <c r="B31" s="16" t="s">
        <v>133</v>
      </c>
      <c r="C31" s="16">
        <v>5.2508751458576426E-2</v>
      </c>
      <c r="D31" s="16"/>
      <c r="E31" s="16" t="s">
        <v>196</v>
      </c>
      <c r="F31" s="21">
        <v>877195480.20000005</v>
      </c>
      <c r="G31" s="16">
        <v>49152</v>
      </c>
      <c r="H31" s="16">
        <v>48458</v>
      </c>
      <c r="I31" s="16">
        <v>1169.3800000000001</v>
      </c>
      <c r="J31" s="16">
        <v>3.3782659999999999E-2</v>
      </c>
      <c r="K31" s="16">
        <v>2.2010100000000002E-3</v>
      </c>
      <c r="L31" s="16">
        <v>0.70284232000000002</v>
      </c>
      <c r="M31" s="16">
        <v>1.16964E-3</v>
      </c>
      <c r="N31" s="16">
        <v>0.43529271000000003</v>
      </c>
      <c r="O31" s="16">
        <v>3.0404602999999999E-2</v>
      </c>
      <c r="P31" s="16">
        <v>3.12379E-3</v>
      </c>
      <c r="Q31" s="16">
        <v>0.70414958000000005</v>
      </c>
      <c r="R31" s="16">
        <v>1.1765199999999999E-3</v>
      </c>
      <c r="S31" s="16">
        <v>0.32824547999999998</v>
      </c>
      <c r="T31" s="16"/>
      <c r="U31" s="16"/>
      <c r="V31" s="16"/>
      <c r="W31" s="16"/>
      <c r="X31" s="16" t="s">
        <v>196</v>
      </c>
      <c r="Y31" s="16"/>
      <c r="AE31">
        <f t="shared" si="2"/>
        <v>2.3624237762237762E-2</v>
      </c>
      <c r="AF31">
        <f t="shared" si="2"/>
        <v>1.5391678321678324E-3</v>
      </c>
      <c r="AG31">
        <f t="shared" si="3"/>
        <v>0.70284232000000002</v>
      </c>
      <c r="AH31">
        <f t="shared" si="3"/>
        <v>1.16964E-3</v>
      </c>
      <c r="AI31">
        <f t="shared" si="3"/>
        <v>0.43529271000000003</v>
      </c>
      <c r="AJ31">
        <f t="shared" si="4"/>
        <v>2.5127771074380165E-2</v>
      </c>
      <c r="AK31">
        <f t="shared" si="4"/>
        <v>2.5816446280991735E-3</v>
      </c>
      <c r="AL31">
        <f t="shared" si="5"/>
        <v>0.70414958000000005</v>
      </c>
      <c r="AM31">
        <f t="shared" si="5"/>
        <v>1.1765199999999999E-3</v>
      </c>
      <c r="AN31">
        <f t="shared" si="5"/>
        <v>0.32824547999999998</v>
      </c>
    </row>
    <row r="32" spans="1:40" x14ac:dyDescent="0.2">
      <c r="A32" s="16">
        <v>105</v>
      </c>
      <c r="B32" s="16" t="s">
        <v>134</v>
      </c>
      <c r="C32" s="16">
        <v>7.3298429319371722E-2</v>
      </c>
      <c r="D32" s="16"/>
      <c r="E32" s="16" t="s">
        <v>196</v>
      </c>
      <c r="F32" s="21">
        <v>683658935.29999995</v>
      </c>
      <c r="G32" s="16">
        <v>49603</v>
      </c>
      <c r="H32" s="16">
        <v>48218</v>
      </c>
      <c r="I32" s="16">
        <v>1169.3800000000001</v>
      </c>
      <c r="J32" s="16">
        <v>5.9725390000000003E-2</v>
      </c>
      <c r="K32" s="16">
        <v>6.2771900000000002E-3</v>
      </c>
      <c r="L32" s="16">
        <v>0.70443955999999996</v>
      </c>
      <c r="M32" s="16">
        <v>9.6792000000000004E-4</v>
      </c>
      <c r="N32" s="16">
        <v>0.51353884999999999</v>
      </c>
      <c r="O32" s="16">
        <v>5.3753222000000003E-2</v>
      </c>
      <c r="P32" s="16">
        <v>7.0817700000000003E-3</v>
      </c>
      <c r="Q32" s="16">
        <v>0.70574979000000004</v>
      </c>
      <c r="R32" s="16">
        <v>9.7543E-4</v>
      </c>
      <c r="S32" s="16">
        <v>0.45754002999999999</v>
      </c>
      <c r="T32" s="16"/>
      <c r="U32" s="16"/>
      <c r="V32" s="16"/>
      <c r="W32" s="16"/>
      <c r="X32" s="16" t="s">
        <v>196</v>
      </c>
      <c r="Y32" s="16"/>
      <c r="AE32">
        <f t="shared" si="2"/>
        <v>4.1766006993006997E-2</v>
      </c>
      <c r="AF32">
        <f t="shared" si="2"/>
        <v>4.3896433566433567E-3</v>
      </c>
      <c r="AG32">
        <f t="shared" si="3"/>
        <v>0.70443955999999996</v>
      </c>
      <c r="AH32">
        <f t="shared" si="3"/>
        <v>9.6792000000000004E-4</v>
      </c>
      <c r="AI32">
        <f t="shared" si="3"/>
        <v>0.51353884999999999</v>
      </c>
      <c r="AJ32">
        <f t="shared" si="4"/>
        <v>4.4424150413223146E-2</v>
      </c>
      <c r="AK32">
        <f t="shared" si="4"/>
        <v>5.8527024793388433E-3</v>
      </c>
      <c r="AL32">
        <f t="shared" si="5"/>
        <v>0.70574979000000004</v>
      </c>
      <c r="AM32">
        <f t="shared" si="5"/>
        <v>9.7543E-4</v>
      </c>
      <c r="AN32">
        <f t="shared" si="5"/>
        <v>0.45754002999999999</v>
      </c>
    </row>
    <row r="33" spans="1:40" x14ac:dyDescent="0.2">
      <c r="A33" s="16">
        <v>108</v>
      </c>
      <c r="B33" s="16" t="s">
        <v>135</v>
      </c>
      <c r="C33" s="16">
        <v>0.13980028530670471</v>
      </c>
      <c r="D33" s="16"/>
      <c r="E33" s="16" t="s">
        <v>196</v>
      </c>
      <c r="F33" s="21">
        <v>743071215</v>
      </c>
      <c r="G33" s="16">
        <v>49623</v>
      </c>
      <c r="H33" s="16">
        <v>48389</v>
      </c>
      <c r="I33" s="16">
        <v>1169.3800000000001</v>
      </c>
      <c r="J33" s="16">
        <v>0.1137811</v>
      </c>
      <c r="K33" s="16">
        <v>7.6110600000000002E-3</v>
      </c>
      <c r="L33" s="16">
        <v>0.70513619999999999</v>
      </c>
      <c r="M33" s="16">
        <v>8.7553999999999996E-4</v>
      </c>
      <c r="N33" s="16">
        <v>0.18964047000000001</v>
      </c>
      <c r="O33" s="16">
        <v>9.9552774999999996E-2</v>
      </c>
      <c r="P33" s="16">
        <v>1.0545240000000001E-2</v>
      </c>
      <c r="Q33" s="16">
        <v>0.70671415999999998</v>
      </c>
      <c r="R33" s="16">
        <v>9.5684999999999997E-4</v>
      </c>
      <c r="S33" s="16">
        <v>0.32798786000000002</v>
      </c>
      <c r="T33" s="16"/>
      <c r="U33" s="16"/>
      <c r="V33" s="16"/>
      <c r="W33" s="16"/>
      <c r="X33" s="16" t="s">
        <v>196</v>
      </c>
      <c r="Y33" s="16"/>
      <c r="AE33">
        <f t="shared" si="2"/>
        <v>7.9567202797202793E-2</v>
      </c>
      <c r="AF33">
        <f t="shared" si="2"/>
        <v>5.3224195804195806E-3</v>
      </c>
      <c r="AG33">
        <f t="shared" si="3"/>
        <v>0.70513619999999999</v>
      </c>
      <c r="AH33">
        <f t="shared" si="3"/>
        <v>8.7553999999999996E-4</v>
      </c>
      <c r="AI33">
        <f t="shared" si="3"/>
        <v>0.18964047000000001</v>
      </c>
      <c r="AJ33">
        <f t="shared" si="4"/>
        <v>8.2275020661157022E-2</v>
      </c>
      <c r="AK33">
        <f t="shared" si="4"/>
        <v>8.7150743801652896E-3</v>
      </c>
      <c r="AL33">
        <f t="shared" si="5"/>
        <v>0.70671415999999998</v>
      </c>
      <c r="AM33">
        <f t="shared" si="5"/>
        <v>9.5684999999999997E-4</v>
      </c>
      <c r="AN33">
        <f t="shared" si="5"/>
        <v>0.32798786000000002</v>
      </c>
    </row>
    <row r="34" spans="1:40" x14ac:dyDescent="0.2">
      <c r="A34" s="16">
        <v>109</v>
      </c>
      <c r="B34" s="16" t="s">
        <v>136</v>
      </c>
      <c r="C34" s="16">
        <v>0.2062706270627063</v>
      </c>
      <c r="D34" s="16"/>
      <c r="E34" s="16" t="s">
        <v>196</v>
      </c>
      <c r="F34" s="21">
        <v>594019524.5</v>
      </c>
      <c r="G34" s="16">
        <v>49761</v>
      </c>
      <c r="H34" s="16">
        <v>48295</v>
      </c>
      <c r="I34" s="16">
        <v>1169.3800000000001</v>
      </c>
      <c r="J34" s="16">
        <v>0.20541619</v>
      </c>
      <c r="K34" s="16">
        <v>4.5373450000000003E-2</v>
      </c>
      <c r="L34" s="16">
        <v>0.71233418000000004</v>
      </c>
      <c r="M34" s="16">
        <v>8.2286000000000002E-4</v>
      </c>
      <c r="N34" s="16">
        <v>0.16570849000000001</v>
      </c>
      <c r="O34" s="16">
        <v>0.179728899</v>
      </c>
      <c r="P34" s="16">
        <v>4.2355120000000003E-2</v>
      </c>
      <c r="Q34" s="16">
        <v>0.71392825000000004</v>
      </c>
      <c r="R34" s="16">
        <v>9.1031E-4</v>
      </c>
      <c r="S34" s="16">
        <v>0.24483608000000001</v>
      </c>
      <c r="T34" s="16"/>
      <c r="U34" s="16"/>
      <c r="V34" s="16"/>
      <c r="W34" s="16"/>
      <c r="X34" s="16" t="s">
        <v>196</v>
      </c>
      <c r="Y34" s="16"/>
      <c r="AE34">
        <f t="shared" si="2"/>
        <v>0.14364768531468533</v>
      </c>
      <c r="AF34">
        <f t="shared" si="2"/>
        <v>3.172968531468532E-2</v>
      </c>
      <c r="AG34">
        <f t="shared" si="3"/>
        <v>0.71233418000000004</v>
      </c>
      <c r="AH34">
        <f t="shared" si="3"/>
        <v>8.2286000000000002E-4</v>
      </c>
      <c r="AI34">
        <f t="shared" si="3"/>
        <v>0.16570849000000001</v>
      </c>
      <c r="AJ34">
        <f t="shared" si="4"/>
        <v>0.14853628016528925</v>
      </c>
      <c r="AK34">
        <f t="shared" si="4"/>
        <v>3.5004231404958681E-2</v>
      </c>
      <c r="AL34">
        <f t="shared" si="5"/>
        <v>0.71392825000000004</v>
      </c>
      <c r="AM34">
        <f t="shared" si="5"/>
        <v>9.1031E-4</v>
      </c>
      <c r="AN34">
        <f t="shared" si="5"/>
        <v>0.24483608000000001</v>
      </c>
    </row>
    <row r="35" spans="1:40" x14ac:dyDescent="0.2">
      <c r="A35" s="16">
        <v>110</v>
      </c>
      <c r="B35" s="16" t="s">
        <v>137</v>
      </c>
      <c r="C35" s="16">
        <v>5.6000000000000001E-2</v>
      </c>
      <c r="D35" s="16"/>
      <c r="E35" s="16" t="s">
        <v>196</v>
      </c>
      <c r="F35" s="21">
        <v>232928719</v>
      </c>
      <c r="G35" s="16">
        <v>49950</v>
      </c>
      <c r="H35" s="16">
        <v>48042</v>
      </c>
      <c r="I35" s="16">
        <v>1196.56</v>
      </c>
      <c r="J35" s="16">
        <v>0.16175302999999999</v>
      </c>
      <c r="K35" s="16">
        <v>2.8315920000000001E-2</v>
      </c>
      <c r="L35" s="16">
        <v>0.72697310999999998</v>
      </c>
      <c r="M35" s="16">
        <v>1.8991800000000001E-3</v>
      </c>
      <c r="N35" s="16">
        <v>0.78611540000000002</v>
      </c>
      <c r="O35" s="16">
        <v>0.141525816</v>
      </c>
      <c r="P35" s="16">
        <v>2.7366330000000001E-2</v>
      </c>
      <c r="Q35" s="16">
        <v>0.72859993000000001</v>
      </c>
      <c r="R35" s="16">
        <v>1.94364E-3</v>
      </c>
      <c r="S35" s="16">
        <v>0.75760861000000002</v>
      </c>
      <c r="T35" s="16"/>
      <c r="U35" s="16"/>
      <c r="V35" s="16"/>
      <c r="W35" s="16"/>
      <c r="X35" s="16" t="s">
        <v>196</v>
      </c>
      <c r="Y35" s="16"/>
      <c r="AE35">
        <f t="shared" si="2"/>
        <v>0.113114006993007</v>
      </c>
      <c r="AF35">
        <f t="shared" si="2"/>
        <v>1.9801342657342659E-2</v>
      </c>
      <c r="AG35">
        <f t="shared" si="3"/>
        <v>0.72697310999999998</v>
      </c>
      <c r="AH35">
        <f t="shared" si="3"/>
        <v>1.8991800000000001E-3</v>
      </c>
      <c r="AI35">
        <f t="shared" si="3"/>
        <v>0.78611540000000002</v>
      </c>
      <c r="AJ35">
        <f t="shared" si="4"/>
        <v>0.11696348429752067</v>
      </c>
      <c r="AK35">
        <f t="shared" si="4"/>
        <v>2.2616801652892565E-2</v>
      </c>
      <c r="AL35">
        <f t="shared" si="5"/>
        <v>0.72859993000000001</v>
      </c>
      <c r="AM35">
        <f t="shared" si="5"/>
        <v>1.94364E-3</v>
      </c>
      <c r="AN35">
        <f t="shared" si="5"/>
        <v>0.75760861000000002</v>
      </c>
    </row>
    <row r="36" spans="1:40" x14ac:dyDescent="0.2">
      <c r="A36" s="16">
        <v>111</v>
      </c>
      <c r="B36" s="16" t="s">
        <v>138</v>
      </c>
      <c r="C36" s="16">
        <v>4.1152263374485597E-2</v>
      </c>
      <c r="D36" s="16"/>
      <c r="E36" s="16" t="s">
        <v>196</v>
      </c>
      <c r="F36" s="21">
        <v>224024954.5</v>
      </c>
      <c r="G36" s="16">
        <v>50076</v>
      </c>
      <c r="H36" s="16">
        <v>47978</v>
      </c>
      <c r="I36" s="16">
        <v>1203.44</v>
      </c>
      <c r="J36" s="16">
        <v>0.17765088000000001</v>
      </c>
      <c r="K36" s="16">
        <v>1.952535E-2</v>
      </c>
      <c r="L36" s="16">
        <v>0.72922030000000004</v>
      </c>
      <c r="M36" s="16">
        <v>3.8934099999999999E-3</v>
      </c>
      <c r="N36" s="16">
        <v>-0.12951660000000001</v>
      </c>
      <c r="O36" s="16">
        <v>0.15543563699999999</v>
      </c>
      <c r="P36" s="16">
        <v>2.13268E-2</v>
      </c>
      <c r="Q36" s="16">
        <v>0.73085215999999997</v>
      </c>
      <c r="R36" s="16">
        <v>3.92202E-3</v>
      </c>
      <c r="S36" s="16">
        <v>-6.0728499999999998E-2</v>
      </c>
      <c r="T36" s="16"/>
      <c r="U36" s="16"/>
      <c r="V36" s="16"/>
      <c r="W36" s="16"/>
      <c r="X36" s="16" t="s">
        <v>196</v>
      </c>
      <c r="Y36" s="16"/>
      <c r="AE36">
        <f t="shared" si="2"/>
        <v>0.12423138461538463</v>
      </c>
      <c r="AF36">
        <f t="shared" si="2"/>
        <v>1.3654090909090909E-2</v>
      </c>
      <c r="AG36">
        <f t="shared" si="3"/>
        <v>0.72922030000000004</v>
      </c>
      <c r="AH36">
        <f t="shared" si="3"/>
        <v>3.8934099999999999E-3</v>
      </c>
      <c r="AI36">
        <f t="shared" si="3"/>
        <v>-0.12951660000000001</v>
      </c>
      <c r="AJ36">
        <f t="shared" si="4"/>
        <v>0.12845920413223139</v>
      </c>
      <c r="AK36">
        <f t="shared" si="4"/>
        <v>1.7625454545454545E-2</v>
      </c>
      <c r="AL36">
        <f t="shared" si="5"/>
        <v>0.73085215999999997</v>
      </c>
      <c r="AM36">
        <f t="shared" si="5"/>
        <v>3.92202E-3</v>
      </c>
      <c r="AN36">
        <f t="shared" si="5"/>
        <v>-6.0728499999999998E-2</v>
      </c>
    </row>
    <row r="37" spans="1:40" x14ac:dyDescent="0.2">
      <c r="A37" s="16">
        <v>112</v>
      </c>
      <c r="B37" s="16" t="s">
        <v>139</v>
      </c>
      <c r="C37" s="16">
        <v>2.1377672209026127E-2</v>
      </c>
      <c r="D37" s="16"/>
      <c r="E37" s="16" t="s">
        <v>196</v>
      </c>
      <c r="F37" s="21">
        <v>157797113.5</v>
      </c>
      <c r="G37" s="16">
        <v>50227</v>
      </c>
      <c r="H37" s="16">
        <v>47931</v>
      </c>
      <c r="I37" s="16">
        <v>1192.19</v>
      </c>
      <c r="J37" s="16">
        <v>0.16166559</v>
      </c>
      <c r="K37" s="16">
        <v>1.946844E-2</v>
      </c>
      <c r="L37" s="16">
        <v>0.71755418999999998</v>
      </c>
      <c r="M37" s="16">
        <v>7.88581E-3</v>
      </c>
      <c r="N37" s="16">
        <v>-0.90210760000000001</v>
      </c>
      <c r="O37" s="16">
        <v>0.141449308</v>
      </c>
      <c r="P37" s="16">
        <v>2.061851E-2</v>
      </c>
      <c r="Q37" s="16">
        <v>0.71915994000000005</v>
      </c>
      <c r="R37" s="16">
        <v>7.91299E-3</v>
      </c>
      <c r="S37" s="16">
        <v>-0.7248677</v>
      </c>
      <c r="T37" s="16"/>
      <c r="U37" s="16"/>
      <c r="V37" s="16"/>
      <c r="W37" s="16"/>
      <c r="X37" s="16" t="s">
        <v>196</v>
      </c>
      <c r="Y37" s="16"/>
      <c r="AE37">
        <f t="shared" si="2"/>
        <v>0.11305286013986014</v>
      </c>
      <c r="AF37">
        <f t="shared" si="2"/>
        <v>1.3614293706293707E-2</v>
      </c>
      <c r="AG37">
        <f t="shared" si="3"/>
        <v>0.71755418999999998</v>
      </c>
      <c r="AH37">
        <f t="shared" si="3"/>
        <v>7.88581E-3</v>
      </c>
      <c r="AI37">
        <f t="shared" si="3"/>
        <v>-0.90210760000000001</v>
      </c>
      <c r="AJ37">
        <f t="shared" si="4"/>
        <v>0.11690025454545455</v>
      </c>
      <c r="AK37">
        <f t="shared" si="4"/>
        <v>1.7040090909090911E-2</v>
      </c>
      <c r="AL37">
        <f t="shared" si="5"/>
        <v>0.71915994000000005</v>
      </c>
      <c r="AM37">
        <f t="shared" si="5"/>
        <v>7.91299E-3</v>
      </c>
      <c r="AN37">
        <f t="shared" si="5"/>
        <v>-0.7248677</v>
      </c>
    </row>
    <row r="38" spans="1:40" x14ac:dyDescent="0.2">
      <c r="A38" s="16">
        <v>115</v>
      </c>
      <c r="B38" s="16" t="s">
        <v>140</v>
      </c>
      <c r="C38" s="16">
        <v>4.3918918918918921E-2</v>
      </c>
      <c r="D38" s="16"/>
      <c r="E38" s="16" t="s">
        <v>196</v>
      </c>
      <c r="F38" s="21">
        <v>250993816.19999999</v>
      </c>
      <c r="G38" s="16">
        <v>50071</v>
      </c>
      <c r="H38" s="16">
        <v>48300</v>
      </c>
      <c r="I38" s="16">
        <v>1203.75</v>
      </c>
      <c r="J38" s="16">
        <v>0.15010978999999999</v>
      </c>
      <c r="K38" s="16">
        <v>8.6180500000000004E-3</v>
      </c>
      <c r="L38" s="16">
        <v>0.72917942999999996</v>
      </c>
      <c r="M38" s="16">
        <v>2.6606899999999998E-3</v>
      </c>
      <c r="N38" s="16">
        <v>0.52018752000000001</v>
      </c>
      <c r="O38" s="16">
        <v>0.13052730000000001</v>
      </c>
      <c r="P38" s="16">
        <v>1.221883E-2</v>
      </c>
      <c r="Q38" s="16">
        <v>0.73126214</v>
      </c>
      <c r="R38" s="16">
        <v>2.6967800000000002E-3</v>
      </c>
      <c r="S38" s="16">
        <v>0.45057142999999999</v>
      </c>
      <c r="T38" s="16"/>
      <c r="U38" s="16"/>
      <c r="V38" s="16"/>
      <c r="W38" s="16"/>
      <c r="X38" s="16" t="s">
        <v>196</v>
      </c>
      <c r="Y38" s="16"/>
      <c r="AE38">
        <f t="shared" si="2"/>
        <v>0.10497188111888112</v>
      </c>
      <c r="AF38">
        <f t="shared" si="2"/>
        <v>6.0266083916083926E-3</v>
      </c>
      <c r="AG38">
        <f t="shared" si="3"/>
        <v>0.72917942999999996</v>
      </c>
      <c r="AH38">
        <f t="shared" si="3"/>
        <v>2.6606899999999998E-3</v>
      </c>
      <c r="AI38">
        <f t="shared" si="3"/>
        <v>0.52018752000000001</v>
      </c>
      <c r="AJ38">
        <f t="shared" si="4"/>
        <v>0.10787380165289258</v>
      </c>
      <c r="AK38">
        <f t="shared" si="4"/>
        <v>1.0098206611570248E-2</v>
      </c>
      <c r="AL38">
        <f t="shared" si="5"/>
        <v>0.73126214</v>
      </c>
      <c r="AM38">
        <f t="shared" si="5"/>
        <v>2.6967800000000002E-3</v>
      </c>
      <c r="AN38">
        <f t="shared" si="5"/>
        <v>0.45057142999999999</v>
      </c>
    </row>
    <row r="39" spans="1:40" x14ac:dyDescent="0.2">
      <c r="A39" s="16">
        <v>116</v>
      </c>
      <c r="B39" s="16" t="s">
        <v>141</v>
      </c>
      <c r="C39" s="16">
        <v>3.3457249070631967E-2</v>
      </c>
      <c r="D39" s="16"/>
      <c r="E39" s="16" t="s">
        <v>196</v>
      </c>
      <c r="F39" s="21">
        <v>150843158.80000001</v>
      </c>
      <c r="G39" s="16">
        <v>50195</v>
      </c>
      <c r="H39" s="16">
        <v>48391</v>
      </c>
      <c r="I39" s="16">
        <v>1197.5</v>
      </c>
      <c r="J39" s="16">
        <v>0.15383440000000001</v>
      </c>
      <c r="K39" s="16">
        <v>4.8000200000000003E-3</v>
      </c>
      <c r="L39" s="16">
        <v>0.71548009000000001</v>
      </c>
      <c r="M39" s="16">
        <v>7.4980300000000001E-3</v>
      </c>
      <c r="N39" s="16">
        <v>0.57541483999999998</v>
      </c>
      <c r="O39" s="16">
        <v>0.13376601399999999</v>
      </c>
      <c r="P39" s="16">
        <v>1.0735150000000001E-2</v>
      </c>
      <c r="Q39" s="16">
        <v>0.71752366999999995</v>
      </c>
      <c r="R39" s="16">
        <v>7.5292199999999997E-3</v>
      </c>
      <c r="S39" s="16">
        <v>0.27873774000000001</v>
      </c>
      <c r="T39" s="16"/>
      <c r="U39" s="16"/>
      <c r="V39" s="16"/>
      <c r="W39" s="16"/>
      <c r="X39" s="16" t="s">
        <v>196</v>
      </c>
      <c r="Y39" s="16"/>
      <c r="AE39">
        <f t="shared" si="2"/>
        <v>0.10757650349650351</v>
      </c>
      <c r="AF39">
        <f t="shared" si="2"/>
        <v>3.3566573426573429E-3</v>
      </c>
      <c r="AG39">
        <f t="shared" si="3"/>
        <v>0.71548009000000001</v>
      </c>
      <c r="AH39">
        <f t="shared" si="3"/>
        <v>7.4980300000000001E-3</v>
      </c>
      <c r="AI39">
        <f t="shared" si="3"/>
        <v>0.57541483999999998</v>
      </c>
      <c r="AJ39">
        <f t="shared" si="4"/>
        <v>0.11055042479338842</v>
      </c>
      <c r="AK39">
        <f t="shared" si="4"/>
        <v>8.8720247933884305E-3</v>
      </c>
      <c r="AL39">
        <f t="shared" si="5"/>
        <v>0.71752366999999995</v>
      </c>
      <c r="AM39">
        <f t="shared" si="5"/>
        <v>7.5292199999999997E-3</v>
      </c>
      <c r="AN39">
        <f t="shared" si="5"/>
        <v>0.27873774000000001</v>
      </c>
    </row>
    <row r="40" spans="1:40" x14ac:dyDescent="0.2">
      <c r="A40" s="16">
        <v>117</v>
      </c>
      <c r="B40" s="16" t="s">
        <v>142</v>
      </c>
      <c r="C40" s="16"/>
      <c r="D40" s="16"/>
      <c r="E40" s="16" t="s">
        <v>196</v>
      </c>
      <c r="F40" s="21">
        <v>571844050.89999998</v>
      </c>
      <c r="G40" s="16">
        <v>51068</v>
      </c>
      <c r="H40" s="16">
        <v>47767</v>
      </c>
      <c r="I40" s="16">
        <v>1232.81</v>
      </c>
      <c r="J40" s="16">
        <v>0.12081177</v>
      </c>
      <c r="K40" s="16">
        <v>5.3944099999999997E-3</v>
      </c>
      <c r="L40" s="16">
        <v>0.71236927999999999</v>
      </c>
      <c r="M40" s="16">
        <v>1.09052E-3</v>
      </c>
      <c r="N40" s="16">
        <v>0.40072082999999997</v>
      </c>
      <c r="O40" s="16">
        <v>0.10505133699999999</v>
      </c>
      <c r="P40" s="16">
        <v>9.0738599999999996E-3</v>
      </c>
      <c r="Q40" s="16">
        <v>0.71440397</v>
      </c>
      <c r="R40" s="16">
        <v>1.1584200000000001E-3</v>
      </c>
      <c r="S40" s="16">
        <v>0.52810056000000005</v>
      </c>
      <c r="T40" s="16"/>
      <c r="U40" s="16"/>
      <c r="V40" s="16"/>
      <c r="W40" s="16"/>
      <c r="X40" s="16" t="s">
        <v>196</v>
      </c>
      <c r="Y40" s="16"/>
      <c r="AE40">
        <f t="shared" si="2"/>
        <v>8.4483755244755251E-2</v>
      </c>
      <c r="AF40">
        <f t="shared" si="2"/>
        <v>3.7723146853146853E-3</v>
      </c>
      <c r="AG40">
        <f t="shared" si="3"/>
        <v>0.71236927999999999</v>
      </c>
      <c r="AH40">
        <f t="shared" si="3"/>
        <v>1.09052E-3</v>
      </c>
      <c r="AI40">
        <f t="shared" si="3"/>
        <v>0.40072082999999997</v>
      </c>
      <c r="AJ40">
        <f t="shared" si="4"/>
        <v>8.6819286776859503E-2</v>
      </c>
      <c r="AK40">
        <f t="shared" si="4"/>
        <v>7.499057851239669E-3</v>
      </c>
      <c r="AL40">
        <f t="shared" si="5"/>
        <v>0.71440397</v>
      </c>
      <c r="AM40">
        <f t="shared" si="5"/>
        <v>1.1584200000000001E-3</v>
      </c>
      <c r="AN40">
        <f t="shared" si="5"/>
        <v>0.52810056000000005</v>
      </c>
    </row>
    <row r="41" spans="1:40" x14ac:dyDescent="0.2">
      <c r="A41" s="16">
        <v>118</v>
      </c>
      <c r="B41" s="16" t="s">
        <v>143</v>
      </c>
      <c r="C41" s="16"/>
      <c r="D41" s="16"/>
      <c r="E41" s="16" t="s">
        <v>196</v>
      </c>
      <c r="F41" s="21">
        <v>192356339.40000001</v>
      </c>
      <c r="G41" s="16">
        <v>50883</v>
      </c>
      <c r="H41" s="16">
        <v>47530</v>
      </c>
      <c r="I41" s="16">
        <v>1211.56</v>
      </c>
      <c r="J41" s="16">
        <v>6.2726850000000001E-2</v>
      </c>
      <c r="K41" s="16">
        <v>1.1346480000000001E-2</v>
      </c>
      <c r="L41" s="16">
        <v>0.71396375000000001</v>
      </c>
      <c r="M41" s="16">
        <v>3.2983999999999999E-3</v>
      </c>
      <c r="N41" s="16">
        <v>-0.67491489999999998</v>
      </c>
      <c r="O41" s="16">
        <v>5.4543851999999997E-2</v>
      </c>
      <c r="P41" s="16">
        <v>1.06587E-2</v>
      </c>
      <c r="Q41" s="16">
        <v>0.71600299999999995</v>
      </c>
      <c r="R41" s="16">
        <v>3.3298999999999998E-3</v>
      </c>
      <c r="S41" s="16">
        <v>-0.56934810000000002</v>
      </c>
      <c r="T41" s="16"/>
      <c r="U41" s="16"/>
      <c r="V41" s="16"/>
      <c r="W41" s="16"/>
      <c r="X41" s="16" t="s">
        <v>196</v>
      </c>
      <c r="Y41" s="16"/>
      <c r="AE41">
        <f t="shared" si="2"/>
        <v>4.3864930069930072E-2</v>
      </c>
      <c r="AF41">
        <f t="shared" si="2"/>
        <v>7.9346013986013996E-3</v>
      </c>
      <c r="AG41">
        <f t="shared" si="3"/>
        <v>0.71396375000000001</v>
      </c>
      <c r="AH41">
        <f t="shared" si="3"/>
        <v>3.2983999999999999E-3</v>
      </c>
      <c r="AI41">
        <f t="shared" si="3"/>
        <v>-0.67491489999999998</v>
      </c>
      <c r="AJ41">
        <f t="shared" si="4"/>
        <v>4.5077563636363636E-2</v>
      </c>
      <c r="AK41">
        <f t="shared" si="4"/>
        <v>8.8088429752066124E-3</v>
      </c>
      <c r="AL41">
        <f t="shared" si="5"/>
        <v>0.71600299999999995</v>
      </c>
      <c r="AM41">
        <f t="shared" si="5"/>
        <v>3.3298999999999998E-3</v>
      </c>
      <c r="AN41">
        <f t="shared" si="5"/>
        <v>-0.56934810000000002</v>
      </c>
    </row>
    <row r="42" spans="1:40" x14ac:dyDescent="0.2">
      <c r="A42" s="16">
        <v>119</v>
      </c>
      <c r="B42" s="16" t="s">
        <v>144</v>
      </c>
      <c r="C42" s="16"/>
      <c r="D42" s="16"/>
      <c r="E42" s="16" t="s">
        <v>196</v>
      </c>
      <c r="F42" s="21">
        <v>129662741.90000001</v>
      </c>
      <c r="G42" s="16">
        <v>51788</v>
      </c>
      <c r="H42" s="16">
        <v>47426</v>
      </c>
      <c r="I42" s="16">
        <v>1169.3800000000001</v>
      </c>
      <c r="J42" s="16">
        <v>8.7868429999999997E-2</v>
      </c>
      <c r="K42" s="16">
        <v>2.4816100000000001E-2</v>
      </c>
      <c r="L42" s="16">
        <v>0.71202518999999997</v>
      </c>
      <c r="M42" s="16">
        <v>6.64703E-3</v>
      </c>
      <c r="N42" s="16">
        <v>0.38784360000000001</v>
      </c>
      <c r="O42" s="16">
        <v>7.6405603000000002E-2</v>
      </c>
      <c r="P42" s="16">
        <v>2.230598E-2</v>
      </c>
      <c r="Q42" s="16">
        <v>0.71405890000000005</v>
      </c>
      <c r="R42" s="16">
        <v>6.6769400000000001E-3</v>
      </c>
      <c r="S42" s="16">
        <v>0.39164600999999999</v>
      </c>
      <c r="T42" s="16"/>
      <c r="U42" s="16"/>
      <c r="V42" s="16"/>
      <c r="W42" s="16"/>
      <c r="X42" s="16" t="s">
        <v>196</v>
      </c>
      <c r="Y42" s="16"/>
      <c r="AE42">
        <f t="shared" si="2"/>
        <v>6.1446454545454547E-2</v>
      </c>
      <c r="AF42">
        <f t="shared" si="2"/>
        <v>1.7353916083916086E-2</v>
      </c>
      <c r="AG42">
        <f t="shared" si="3"/>
        <v>0.71202518999999997</v>
      </c>
      <c r="AH42">
        <f t="shared" si="3"/>
        <v>6.64703E-3</v>
      </c>
      <c r="AI42">
        <f t="shared" si="3"/>
        <v>0.38784360000000001</v>
      </c>
      <c r="AJ42">
        <f t="shared" si="4"/>
        <v>6.3145126446280994E-2</v>
      </c>
      <c r="AK42">
        <f t="shared" si="4"/>
        <v>1.8434694214876032E-2</v>
      </c>
      <c r="AL42">
        <f t="shared" si="5"/>
        <v>0.71405890000000005</v>
      </c>
      <c r="AM42">
        <f t="shared" si="5"/>
        <v>6.6769400000000001E-3</v>
      </c>
      <c r="AN42">
        <f t="shared" si="5"/>
        <v>0.39164600999999999</v>
      </c>
    </row>
    <row r="43" spans="1:40" x14ac:dyDescent="0.2">
      <c r="A43" s="16">
        <v>122</v>
      </c>
      <c r="B43" s="16" t="s">
        <v>145</v>
      </c>
      <c r="C43" s="16"/>
      <c r="D43" s="16"/>
      <c r="E43" s="16" t="s">
        <v>196</v>
      </c>
      <c r="F43" s="21">
        <v>998280124.70000005</v>
      </c>
      <c r="G43" s="16">
        <v>52098</v>
      </c>
      <c r="H43" s="16">
        <v>47451</v>
      </c>
      <c r="I43" s="16">
        <v>1243.1300000000001</v>
      </c>
      <c r="J43" s="16">
        <v>2.758041E-2</v>
      </c>
      <c r="K43" s="16">
        <v>7.7244E-4</v>
      </c>
      <c r="L43" s="16">
        <v>0.70284676000000001</v>
      </c>
      <c r="M43" s="16">
        <v>6.6461999999999999E-4</v>
      </c>
      <c r="N43" s="16">
        <v>-0.41527500000000001</v>
      </c>
      <c r="O43" s="16">
        <v>2.4019070999999999E-2</v>
      </c>
      <c r="P43" s="16">
        <v>1.7103800000000001E-3</v>
      </c>
      <c r="Q43" s="16">
        <v>0.70492588</v>
      </c>
      <c r="R43" s="16">
        <v>6.6461000000000005E-4</v>
      </c>
      <c r="S43" s="16">
        <v>0.20926776999999999</v>
      </c>
      <c r="T43" s="16"/>
      <c r="U43" s="16"/>
      <c r="V43" s="16"/>
      <c r="W43" s="16"/>
      <c r="X43" s="16" t="s">
        <v>196</v>
      </c>
      <c r="Y43" s="16"/>
      <c r="AE43">
        <f t="shared" si="2"/>
        <v>1.9287000000000002E-2</v>
      </c>
      <c r="AF43">
        <f t="shared" si="2"/>
        <v>5.4016783216783218E-4</v>
      </c>
      <c r="AG43">
        <f t="shared" si="3"/>
        <v>0.70284676000000001</v>
      </c>
      <c r="AH43">
        <f t="shared" si="3"/>
        <v>6.6461999999999999E-4</v>
      </c>
      <c r="AI43">
        <f t="shared" si="3"/>
        <v>-0.41527500000000001</v>
      </c>
      <c r="AJ43">
        <f t="shared" si="4"/>
        <v>1.9850471900826446E-2</v>
      </c>
      <c r="AK43">
        <f t="shared" si="4"/>
        <v>1.4135371900826448E-3</v>
      </c>
      <c r="AL43">
        <f t="shared" si="5"/>
        <v>0.70492588</v>
      </c>
      <c r="AM43">
        <f t="shared" si="5"/>
        <v>6.6461000000000005E-4</v>
      </c>
      <c r="AN43">
        <f t="shared" si="5"/>
        <v>0.20926776999999999</v>
      </c>
    </row>
    <row r="44" spans="1:40" x14ac:dyDescent="0.2">
      <c r="A44" s="16">
        <v>123</v>
      </c>
      <c r="B44" s="16" t="s">
        <v>146</v>
      </c>
      <c r="C44" s="16">
        <v>2.2603126765869275E-3</v>
      </c>
      <c r="D44" s="16"/>
      <c r="E44" s="16" t="s">
        <v>196</v>
      </c>
      <c r="F44" s="21">
        <v>1530458390</v>
      </c>
      <c r="G44" s="16">
        <v>52487</v>
      </c>
      <c r="H44" s="16">
        <v>47601</v>
      </c>
      <c r="I44" s="16">
        <v>1284.69</v>
      </c>
      <c r="J44" s="16">
        <v>1.88269E-3</v>
      </c>
      <c r="K44" s="16">
        <v>8.3657000000000002E-4</v>
      </c>
      <c r="L44" s="16">
        <v>0.70877414000000005</v>
      </c>
      <c r="M44" s="16">
        <v>1.6365399999999999E-3</v>
      </c>
      <c r="N44" s="16">
        <v>0.89335578000000004</v>
      </c>
      <c r="O44" s="16">
        <v>1.6395890000000001E-3</v>
      </c>
      <c r="P44" s="16">
        <v>7.3642E-4</v>
      </c>
      <c r="Q44" s="16">
        <v>0.71087080000000002</v>
      </c>
      <c r="R44" s="16">
        <v>1.64057E-3</v>
      </c>
      <c r="S44" s="16">
        <v>0.90841830000000001</v>
      </c>
      <c r="T44" s="16"/>
      <c r="U44" s="16"/>
      <c r="V44" s="16"/>
      <c r="W44" s="16"/>
      <c r="X44" s="16" t="s">
        <v>196</v>
      </c>
      <c r="Y44" s="16"/>
      <c r="AE44">
        <f t="shared" si="2"/>
        <v>1.3165664335664335E-3</v>
      </c>
      <c r="AF44">
        <f t="shared" si="2"/>
        <v>5.8501398601398607E-4</v>
      </c>
      <c r="AG44">
        <f t="shared" si="3"/>
        <v>0.70877414000000005</v>
      </c>
      <c r="AH44">
        <f t="shared" si="3"/>
        <v>1.6365399999999999E-3</v>
      </c>
      <c r="AI44">
        <f t="shared" si="3"/>
        <v>0.89335578000000004</v>
      </c>
      <c r="AJ44">
        <f t="shared" si="4"/>
        <v>1.3550322314049587E-3</v>
      </c>
      <c r="AK44">
        <f t="shared" si="4"/>
        <v>6.0861157024793395E-4</v>
      </c>
      <c r="AL44">
        <f t="shared" si="5"/>
        <v>0.71087080000000002</v>
      </c>
      <c r="AM44">
        <f t="shared" si="5"/>
        <v>1.64057E-3</v>
      </c>
      <c r="AN44">
        <f t="shared" si="5"/>
        <v>0.90841830000000001</v>
      </c>
    </row>
    <row r="45" spans="1:40" x14ac:dyDescent="0.2">
      <c r="A45" s="16">
        <v>124</v>
      </c>
      <c r="B45" s="16" t="s">
        <v>147</v>
      </c>
      <c r="C45" s="16">
        <v>0</v>
      </c>
      <c r="D45" s="16"/>
      <c r="E45" s="16" t="s">
        <v>196</v>
      </c>
      <c r="F45" s="21">
        <v>1633573353</v>
      </c>
      <c r="G45" s="16">
        <v>52457</v>
      </c>
      <c r="H45" s="16">
        <v>47777</v>
      </c>
      <c r="I45" s="16">
        <v>1278.44</v>
      </c>
      <c r="J45" s="16">
        <v>5.2231600000000001E-3</v>
      </c>
      <c r="K45" s="16">
        <v>2.87017E-3</v>
      </c>
      <c r="L45" s="16">
        <v>0.70836058000000002</v>
      </c>
      <c r="M45" s="16">
        <v>5.2107E-4</v>
      </c>
      <c r="N45" s="16">
        <v>-0.2512221</v>
      </c>
      <c r="O45" s="16">
        <v>4.5487189999999997E-3</v>
      </c>
      <c r="P45" s="16">
        <v>2.5172300000000001E-3</v>
      </c>
      <c r="Q45" s="16">
        <v>0.71045601000000003</v>
      </c>
      <c r="R45" s="16">
        <v>5.2004999999999998E-4</v>
      </c>
      <c r="S45" s="16">
        <v>-0.18885540000000001</v>
      </c>
      <c r="T45" s="16"/>
      <c r="U45" s="16"/>
      <c r="V45" s="16"/>
      <c r="W45" s="16"/>
      <c r="X45" s="16" t="s">
        <v>196</v>
      </c>
      <c r="Y45" s="16"/>
      <c r="AE45">
        <f t="shared" si="2"/>
        <v>3.6525594405594406E-3</v>
      </c>
      <c r="AF45">
        <f t="shared" si="2"/>
        <v>2.0071118881118881E-3</v>
      </c>
      <c r="AG45">
        <f t="shared" si="3"/>
        <v>0.70836058000000002</v>
      </c>
      <c r="AH45">
        <f t="shared" si="3"/>
        <v>5.2107E-4</v>
      </c>
      <c r="AI45">
        <f t="shared" si="3"/>
        <v>-0.2512221</v>
      </c>
      <c r="AJ45">
        <f t="shared" si="4"/>
        <v>3.7592719008264462E-3</v>
      </c>
      <c r="AK45">
        <f t="shared" si="4"/>
        <v>2.0803553719008264E-3</v>
      </c>
      <c r="AL45">
        <f t="shared" si="5"/>
        <v>0.71045601000000003</v>
      </c>
      <c r="AM45">
        <f t="shared" si="5"/>
        <v>5.2004999999999998E-4</v>
      </c>
      <c r="AN45">
        <f t="shared" si="5"/>
        <v>-0.18885540000000001</v>
      </c>
    </row>
    <row r="46" spans="1:40" x14ac:dyDescent="0.2">
      <c r="A46" s="16">
        <v>125</v>
      </c>
      <c r="B46" s="16" t="s">
        <v>148</v>
      </c>
      <c r="C46" s="16">
        <v>4.7297297297297293E-2</v>
      </c>
      <c r="D46" s="16"/>
      <c r="E46" s="16" t="s">
        <v>196</v>
      </c>
      <c r="F46" s="21">
        <v>701177277.70000005</v>
      </c>
      <c r="G46" s="16">
        <v>53570</v>
      </c>
      <c r="H46" s="16">
        <v>50012</v>
      </c>
      <c r="I46" s="16">
        <v>1352.5</v>
      </c>
      <c r="J46" s="16">
        <v>8.0480570000000001E-2</v>
      </c>
      <c r="K46" s="16">
        <v>3.6418700000000002E-3</v>
      </c>
      <c r="L46" s="16">
        <v>0.71077548000000002</v>
      </c>
      <c r="M46" s="16">
        <v>1.1880700000000001E-3</v>
      </c>
      <c r="N46" s="16">
        <v>0.59866050999999998</v>
      </c>
      <c r="O46" s="16">
        <v>7.0088451999999996E-2</v>
      </c>
      <c r="P46" s="16">
        <v>5.5781299999999997E-3</v>
      </c>
      <c r="Q46" s="16">
        <v>0.71287805000000004</v>
      </c>
      <c r="R46" s="16">
        <v>1.19045E-3</v>
      </c>
      <c r="S46" s="16">
        <v>0.52917393000000001</v>
      </c>
      <c r="T46" s="16"/>
      <c r="U46" s="16"/>
      <c r="V46" s="16"/>
      <c r="W46" s="16"/>
      <c r="X46" s="16" t="s">
        <v>196</v>
      </c>
      <c r="Y46" s="16"/>
      <c r="AE46">
        <f t="shared" si="2"/>
        <v>5.6280118881118883E-2</v>
      </c>
      <c r="AF46">
        <f t="shared" si="2"/>
        <v>2.546762237762238E-3</v>
      </c>
      <c r="AG46">
        <f t="shared" si="3"/>
        <v>0.71077548000000002</v>
      </c>
      <c r="AH46">
        <f t="shared" si="3"/>
        <v>1.1880700000000001E-3</v>
      </c>
      <c r="AI46">
        <f t="shared" si="3"/>
        <v>0.59866050999999998</v>
      </c>
      <c r="AJ46">
        <f t="shared" si="4"/>
        <v>5.7924340495867768E-2</v>
      </c>
      <c r="AK46">
        <f t="shared" si="4"/>
        <v>4.6100247933884295E-3</v>
      </c>
      <c r="AL46">
        <f t="shared" si="5"/>
        <v>0.71287805000000004</v>
      </c>
      <c r="AM46">
        <f t="shared" si="5"/>
        <v>1.19045E-3</v>
      </c>
      <c r="AN46">
        <f t="shared" si="5"/>
        <v>0.52917393000000001</v>
      </c>
    </row>
    <row r="47" spans="1:40" x14ac:dyDescent="0.2">
      <c r="A47" s="16">
        <v>126</v>
      </c>
      <c r="B47" s="16" t="s">
        <v>149</v>
      </c>
      <c r="C47" s="16"/>
      <c r="D47" s="16"/>
      <c r="E47" s="16" t="s">
        <v>196</v>
      </c>
      <c r="F47" s="21">
        <v>524982253.80000001</v>
      </c>
      <c r="G47" s="16">
        <v>53307</v>
      </c>
      <c r="H47" s="16">
        <v>50094</v>
      </c>
      <c r="I47" s="16">
        <v>1272.5</v>
      </c>
      <c r="J47" s="16">
        <v>1.480707E-2</v>
      </c>
      <c r="K47" s="16">
        <v>4.6789800000000001E-3</v>
      </c>
      <c r="L47" s="16">
        <v>0.70106506999999996</v>
      </c>
      <c r="M47" s="16">
        <v>8.0073000000000004E-4</v>
      </c>
      <c r="N47" s="16">
        <v>0.55151943000000003</v>
      </c>
      <c r="O47" s="16">
        <v>1.2895098000000001E-2</v>
      </c>
      <c r="P47" s="16">
        <v>4.1613400000000004E-3</v>
      </c>
      <c r="Q47" s="16">
        <v>0.70313892</v>
      </c>
      <c r="R47" s="16">
        <v>8.0146999999999998E-4</v>
      </c>
      <c r="S47" s="16">
        <v>0.60924617999999997</v>
      </c>
      <c r="T47" s="16"/>
      <c r="U47" s="16"/>
      <c r="V47" s="16"/>
      <c r="W47" s="16"/>
      <c r="X47" s="16" t="s">
        <v>196</v>
      </c>
      <c r="Y47" s="16"/>
      <c r="AE47">
        <f t="shared" si="2"/>
        <v>1.0354594405594407E-2</v>
      </c>
      <c r="AF47">
        <f t="shared" si="2"/>
        <v>3.2720139860139864E-3</v>
      </c>
      <c r="AG47">
        <f t="shared" si="3"/>
        <v>0.70106506999999996</v>
      </c>
      <c r="AH47">
        <f t="shared" si="3"/>
        <v>8.0073000000000004E-4</v>
      </c>
      <c r="AI47">
        <f t="shared" si="3"/>
        <v>0.55151943000000003</v>
      </c>
      <c r="AJ47">
        <f t="shared" si="4"/>
        <v>1.0657105785123968E-2</v>
      </c>
      <c r="AK47">
        <f t="shared" si="4"/>
        <v>3.4391239669421493E-3</v>
      </c>
      <c r="AL47">
        <f t="shared" si="5"/>
        <v>0.70313892</v>
      </c>
      <c r="AM47">
        <f t="shared" si="5"/>
        <v>8.0146999999999998E-4</v>
      </c>
      <c r="AN47">
        <f t="shared" si="5"/>
        <v>0.60924617999999997</v>
      </c>
    </row>
    <row r="48" spans="1:40" x14ac:dyDescent="0.2">
      <c r="A48" s="16">
        <v>129</v>
      </c>
      <c r="B48" s="16" t="s">
        <v>150</v>
      </c>
      <c r="C48" s="16">
        <v>7.5621890547263676E-2</v>
      </c>
      <c r="D48" s="16"/>
      <c r="E48" s="16" t="s">
        <v>196</v>
      </c>
      <c r="F48" s="21">
        <v>381242078.89999998</v>
      </c>
      <c r="G48" s="16">
        <v>53752</v>
      </c>
      <c r="H48" s="16">
        <v>50186</v>
      </c>
      <c r="I48" s="16">
        <v>1308.44</v>
      </c>
      <c r="J48" s="16">
        <v>0.42969811000000002</v>
      </c>
      <c r="K48" s="16">
        <v>8.4475679999999997E-2</v>
      </c>
      <c r="L48" s="16">
        <v>0.73209645999999995</v>
      </c>
      <c r="M48" s="16">
        <v>2.6735800000000001E-3</v>
      </c>
      <c r="N48" s="16">
        <v>0.82633783000000005</v>
      </c>
      <c r="O48" s="16">
        <v>0.37199841300000003</v>
      </c>
      <c r="P48" s="16">
        <v>7.9155779999999995E-2</v>
      </c>
      <c r="Q48" s="16">
        <v>0.73385968999999995</v>
      </c>
      <c r="R48" s="16">
        <v>2.68921E-3</v>
      </c>
      <c r="S48" s="16">
        <v>0.78665448999999998</v>
      </c>
      <c r="T48" s="16"/>
      <c r="U48" s="16"/>
      <c r="V48" s="16"/>
      <c r="W48" s="16"/>
      <c r="X48" s="16" t="s">
        <v>196</v>
      </c>
      <c r="Y48" s="16"/>
      <c r="AE48">
        <f t="shared" si="2"/>
        <v>0.30048818881118883</v>
      </c>
      <c r="AF48">
        <f t="shared" si="2"/>
        <v>5.9073902097902101E-2</v>
      </c>
      <c r="AG48">
        <f t="shared" si="3"/>
        <v>0.73209645999999995</v>
      </c>
      <c r="AH48">
        <f t="shared" si="3"/>
        <v>2.6735800000000001E-3</v>
      </c>
      <c r="AI48">
        <f t="shared" si="3"/>
        <v>0.82633783000000005</v>
      </c>
      <c r="AJ48">
        <f t="shared" si="4"/>
        <v>0.3074367049586777</v>
      </c>
      <c r="AK48">
        <f t="shared" si="4"/>
        <v>6.5418000000000004E-2</v>
      </c>
      <c r="AL48">
        <f t="shared" si="5"/>
        <v>0.73385968999999995</v>
      </c>
      <c r="AM48">
        <f t="shared" si="5"/>
        <v>2.68921E-3</v>
      </c>
      <c r="AN48">
        <f t="shared" si="5"/>
        <v>0.78665448999999998</v>
      </c>
    </row>
    <row r="49" spans="1:40" x14ac:dyDescent="0.2">
      <c r="A49" s="16">
        <v>130</v>
      </c>
      <c r="B49" s="16" t="s">
        <v>151</v>
      </c>
      <c r="C49" s="16">
        <v>6.4344746162927985E-2</v>
      </c>
      <c r="D49" s="16"/>
      <c r="E49" s="16" t="s">
        <v>196</v>
      </c>
      <c r="F49" s="21">
        <v>758299971.60000002</v>
      </c>
      <c r="G49" s="16">
        <v>53223</v>
      </c>
      <c r="H49" s="16">
        <v>50868</v>
      </c>
      <c r="I49" s="16">
        <v>1349.69</v>
      </c>
      <c r="J49" s="16">
        <v>2.4043060000000002E-2</v>
      </c>
      <c r="K49" s="16">
        <v>5.3978000000000001E-4</v>
      </c>
      <c r="L49" s="16">
        <v>0.70277919</v>
      </c>
      <c r="M49" s="16">
        <v>6.2292000000000001E-4</v>
      </c>
      <c r="N49" s="16">
        <v>6.0334949999999998E-2</v>
      </c>
      <c r="O49" s="16">
        <v>2.0814570000000001E-2</v>
      </c>
      <c r="P49" s="16">
        <v>1.7579099999999999E-3</v>
      </c>
      <c r="Q49" s="16">
        <v>0.70447181999999997</v>
      </c>
      <c r="R49" s="16">
        <v>6.5983999999999997E-4</v>
      </c>
      <c r="S49" s="16">
        <v>0.26956880999999999</v>
      </c>
      <c r="T49" s="16"/>
      <c r="U49" s="16"/>
      <c r="V49" s="16"/>
      <c r="W49" s="16"/>
      <c r="X49" s="16" t="s">
        <v>196</v>
      </c>
      <c r="Y49" s="16"/>
      <c r="AE49">
        <f t="shared" si="2"/>
        <v>1.6813328671328672E-2</v>
      </c>
      <c r="AF49">
        <f t="shared" si="2"/>
        <v>3.7746853146853151E-4</v>
      </c>
      <c r="AG49">
        <f t="shared" si="3"/>
        <v>0.70277919</v>
      </c>
      <c r="AH49">
        <f t="shared" si="3"/>
        <v>6.2292000000000001E-4</v>
      </c>
      <c r="AI49">
        <f t="shared" si="3"/>
        <v>6.0334949999999998E-2</v>
      </c>
      <c r="AJ49">
        <f t="shared" si="4"/>
        <v>1.7202123966942151E-2</v>
      </c>
      <c r="AK49">
        <f t="shared" si="4"/>
        <v>1.4528181818181819E-3</v>
      </c>
      <c r="AL49">
        <f t="shared" si="5"/>
        <v>0.70447181999999997</v>
      </c>
      <c r="AM49">
        <f t="shared" si="5"/>
        <v>6.5983999999999997E-4</v>
      </c>
      <c r="AN49">
        <f t="shared" si="5"/>
        <v>0.26956880999999999</v>
      </c>
    </row>
    <row r="50" spans="1:40" x14ac:dyDescent="0.2">
      <c r="A50" s="16">
        <v>131</v>
      </c>
      <c r="B50" s="16" t="s">
        <v>152</v>
      </c>
      <c r="C50" s="16">
        <v>4.6536796536796536E-2</v>
      </c>
      <c r="D50" s="16"/>
      <c r="E50" s="16" t="s">
        <v>196</v>
      </c>
      <c r="F50" s="21">
        <v>831307786.39999998</v>
      </c>
      <c r="G50" s="16">
        <v>52861</v>
      </c>
      <c r="H50" s="16">
        <v>50965</v>
      </c>
      <c r="I50" s="16">
        <v>1349.69</v>
      </c>
      <c r="J50" s="16">
        <v>2.8643040000000002E-2</v>
      </c>
      <c r="K50" s="16">
        <v>2.0179400000000002E-3</v>
      </c>
      <c r="L50" s="16">
        <v>0.70248456999999997</v>
      </c>
      <c r="M50" s="16">
        <v>9.4558999999999995E-4</v>
      </c>
      <c r="N50" s="16">
        <v>0.46485453999999998</v>
      </c>
      <c r="O50" s="16">
        <v>2.4796866000000001E-2</v>
      </c>
      <c r="P50" s="16">
        <v>2.66979E-3</v>
      </c>
      <c r="Q50" s="16">
        <v>0.70417647999999999</v>
      </c>
      <c r="R50" s="16">
        <v>9.7154000000000001E-4</v>
      </c>
      <c r="S50" s="16">
        <v>0.43223286</v>
      </c>
      <c r="T50" s="16"/>
      <c r="U50" s="16"/>
      <c r="V50" s="16"/>
      <c r="W50" s="16"/>
      <c r="X50" s="16" t="s">
        <v>196</v>
      </c>
      <c r="Y50" s="16"/>
      <c r="AE50">
        <f t="shared" si="2"/>
        <v>2.0030097902097904E-2</v>
      </c>
      <c r="AF50">
        <f t="shared" si="2"/>
        <v>1.4111468531468534E-3</v>
      </c>
      <c r="AG50">
        <f t="shared" si="3"/>
        <v>0.70248456999999997</v>
      </c>
      <c r="AH50">
        <f t="shared" si="3"/>
        <v>9.4558999999999995E-4</v>
      </c>
      <c r="AI50">
        <f t="shared" si="3"/>
        <v>0.46485453999999998</v>
      </c>
      <c r="AJ50">
        <f t="shared" si="4"/>
        <v>2.0493277685950415E-2</v>
      </c>
      <c r="AK50">
        <f t="shared" si="4"/>
        <v>2.2064380165289256E-3</v>
      </c>
      <c r="AL50">
        <f t="shared" si="5"/>
        <v>0.70417647999999999</v>
      </c>
      <c r="AM50">
        <f t="shared" si="5"/>
        <v>9.7154000000000001E-4</v>
      </c>
      <c r="AN50">
        <f t="shared" si="5"/>
        <v>0.43223286</v>
      </c>
    </row>
    <row r="51" spans="1:40" x14ac:dyDescent="0.2">
      <c r="A51" s="16">
        <v>132</v>
      </c>
      <c r="B51" s="16" t="s">
        <v>153</v>
      </c>
      <c r="C51" s="16">
        <v>5.6047197640117993E-2</v>
      </c>
      <c r="D51" s="16"/>
      <c r="E51" s="16" t="s">
        <v>196</v>
      </c>
      <c r="F51" s="21">
        <v>837753586.79999995</v>
      </c>
      <c r="G51" s="16">
        <v>53448</v>
      </c>
      <c r="H51" s="16">
        <v>51118</v>
      </c>
      <c r="I51" s="16">
        <v>1349.69</v>
      </c>
      <c r="J51" s="16">
        <v>1.4488020000000001E-2</v>
      </c>
      <c r="K51" s="16">
        <v>1.5482600000000001E-3</v>
      </c>
      <c r="L51" s="16">
        <v>0.70031091000000001</v>
      </c>
      <c r="M51" s="16">
        <v>1.0708600000000001E-3</v>
      </c>
      <c r="N51" s="16">
        <v>-0.54602660000000003</v>
      </c>
      <c r="O51" s="16">
        <v>1.2542575E-2</v>
      </c>
      <c r="P51" s="16">
        <v>1.6850400000000001E-3</v>
      </c>
      <c r="Q51" s="16">
        <v>0.70199758999999995</v>
      </c>
      <c r="R51" s="16">
        <v>1.0942700000000001E-3</v>
      </c>
      <c r="S51" s="16">
        <v>-0.3299704</v>
      </c>
      <c r="T51" s="16"/>
      <c r="U51" s="16"/>
      <c r="V51" s="16"/>
      <c r="W51" s="16"/>
      <c r="X51" s="16" t="s">
        <v>196</v>
      </c>
      <c r="Y51" s="16"/>
      <c r="AE51">
        <f t="shared" si="2"/>
        <v>1.0131482517482518E-2</v>
      </c>
      <c r="AF51">
        <f t="shared" si="2"/>
        <v>1.0826993006993009E-3</v>
      </c>
      <c r="AG51">
        <f t="shared" si="3"/>
        <v>0.70031091000000001</v>
      </c>
      <c r="AH51">
        <f t="shared" si="3"/>
        <v>1.0708600000000001E-3</v>
      </c>
      <c r="AI51">
        <f t="shared" si="3"/>
        <v>-0.54602660000000003</v>
      </c>
      <c r="AJ51">
        <f t="shared" si="4"/>
        <v>1.0365764462809918E-2</v>
      </c>
      <c r="AK51">
        <f t="shared" si="4"/>
        <v>1.3925950413223142E-3</v>
      </c>
      <c r="AL51">
        <f t="shared" si="5"/>
        <v>0.70199758999999995</v>
      </c>
      <c r="AM51">
        <f t="shared" si="5"/>
        <v>1.0942700000000001E-3</v>
      </c>
      <c r="AN51">
        <f t="shared" si="5"/>
        <v>-0.3299704</v>
      </c>
    </row>
    <row r="52" spans="1:40" x14ac:dyDescent="0.2">
      <c r="A52" s="16">
        <v>133</v>
      </c>
      <c r="B52" s="16" t="s">
        <v>154</v>
      </c>
      <c r="C52" s="16">
        <v>2.368615840118431E-2</v>
      </c>
      <c r="D52" s="16"/>
      <c r="E52" s="16" t="s">
        <v>196</v>
      </c>
      <c r="F52" s="21">
        <v>880405197.5</v>
      </c>
      <c r="G52" s="16">
        <v>53323</v>
      </c>
      <c r="H52" s="16">
        <v>51150</v>
      </c>
      <c r="I52" s="16">
        <v>1349.69</v>
      </c>
      <c r="J52" s="16">
        <v>2.4888449999999999E-2</v>
      </c>
      <c r="K52" s="16">
        <v>2.37134E-3</v>
      </c>
      <c r="L52" s="16">
        <v>0.70164599999999999</v>
      </c>
      <c r="M52" s="16">
        <v>8.2076000000000002E-4</v>
      </c>
      <c r="N52" s="16">
        <v>0.36267294999999999</v>
      </c>
      <c r="O52" s="16">
        <v>2.1546434999999999E-2</v>
      </c>
      <c r="P52" s="16">
        <v>2.7003399999999999E-3</v>
      </c>
      <c r="Q52" s="16">
        <v>0.70333588999999996</v>
      </c>
      <c r="R52" s="16">
        <v>8.4984000000000004E-4</v>
      </c>
      <c r="S52" s="16">
        <v>0.39981318999999998</v>
      </c>
      <c r="T52" s="16"/>
      <c r="U52" s="16"/>
      <c r="V52" s="16"/>
      <c r="W52" s="16"/>
      <c r="X52" s="16" t="s">
        <v>196</v>
      </c>
      <c r="Y52" s="16"/>
      <c r="AE52">
        <f t="shared" si="2"/>
        <v>1.7404510489510489E-2</v>
      </c>
      <c r="AF52">
        <f t="shared" si="2"/>
        <v>1.6582797202797203E-3</v>
      </c>
      <c r="AG52">
        <f t="shared" si="3"/>
        <v>0.70164599999999999</v>
      </c>
      <c r="AH52">
        <f t="shared" si="3"/>
        <v>8.2076000000000002E-4</v>
      </c>
      <c r="AI52">
        <f t="shared" si="3"/>
        <v>0.36267294999999999</v>
      </c>
      <c r="AJ52">
        <f t="shared" si="4"/>
        <v>1.7806971074380167E-2</v>
      </c>
      <c r="AK52">
        <f t="shared" si="4"/>
        <v>2.2316859504132231E-3</v>
      </c>
      <c r="AL52">
        <f t="shared" si="5"/>
        <v>0.70333588999999996</v>
      </c>
      <c r="AM52">
        <f t="shared" si="5"/>
        <v>8.4984000000000004E-4</v>
      </c>
      <c r="AN52">
        <f t="shared" si="5"/>
        <v>0.39981318999999998</v>
      </c>
    </row>
    <row r="53" spans="1:40" x14ac:dyDescent="0.2">
      <c r="A53" s="16">
        <v>136</v>
      </c>
      <c r="B53" s="16" t="s">
        <v>155</v>
      </c>
      <c r="C53" s="16">
        <v>5.9846903270702856E-2</v>
      </c>
      <c r="D53" s="16"/>
      <c r="E53" s="16" t="s">
        <v>196</v>
      </c>
      <c r="F53" s="21">
        <v>873159307.5</v>
      </c>
      <c r="G53" s="16">
        <v>52905</v>
      </c>
      <c r="H53" s="16">
        <v>51149</v>
      </c>
      <c r="I53" s="16">
        <v>1349.69</v>
      </c>
      <c r="J53" s="16">
        <v>0.37010851</v>
      </c>
      <c r="K53" s="16">
        <v>3.2059030000000002E-2</v>
      </c>
      <c r="L53" s="16">
        <v>0.71137799000000002</v>
      </c>
      <c r="M53" s="16">
        <v>1.67297E-3</v>
      </c>
      <c r="N53" s="16">
        <v>0.60064043</v>
      </c>
      <c r="O53" s="16">
        <v>0.31544876799999999</v>
      </c>
      <c r="P53" s="16">
        <v>3.8623709999999999E-2</v>
      </c>
      <c r="Q53" s="16">
        <v>0.71205832000000002</v>
      </c>
      <c r="R53" s="16">
        <v>1.67877E-3</v>
      </c>
      <c r="S53" s="16">
        <v>0.42901433999999999</v>
      </c>
      <c r="T53" s="16"/>
      <c r="U53" s="16"/>
      <c r="V53" s="16"/>
      <c r="W53" s="16"/>
      <c r="X53" s="16" t="s">
        <v>196</v>
      </c>
      <c r="Y53" s="16"/>
      <c r="AE53">
        <f t="shared" si="2"/>
        <v>0.25881713986013988</v>
      </c>
      <c r="AF53">
        <f t="shared" si="2"/>
        <v>2.2418902097902101E-2</v>
      </c>
      <c r="AG53">
        <f t="shared" si="3"/>
        <v>0.71137799000000002</v>
      </c>
      <c r="AH53">
        <f t="shared" si="3"/>
        <v>1.67297E-3</v>
      </c>
      <c r="AI53">
        <f t="shared" si="3"/>
        <v>0.60064043</v>
      </c>
      <c r="AJ53">
        <f t="shared" si="4"/>
        <v>0.26070146115702481</v>
      </c>
      <c r="AK53">
        <f t="shared" si="4"/>
        <v>3.1920421487603302E-2</v>
      </c>
      <c r="AL53">
        <f t="shared" si="5"/>
        <v>0.71205832000000002</v>
      </c>
      <c r="AM53">
        <f t="shared" si="5"/>
        <v>1.67877E-3</v>
      </c>
      <c r="AN53">
        <f t="shared" si="5"/>
        <v>0.42901433999999999</v>
      </c>
    </row>
    <row r="54" spans="1:40" x14ac:dyDescent="0.2">
      <c r="A54" s="16">
        <v>137</v>
      </c>
      <c r="B54" s="16" t="s">
        <v>156</v>
      </c>
      <c r="C54" s="16">
        <v>1.8741633199464529E-2</v>
      </c>
      <c r="D54" s="16"/>
      <c r="E54" s="16" t="s">
        <v>196</v>
      </c>
      <c r="F54" s="21">
        <v>851268775.70000005</v>
      </c>
      <c r="G54" s="16">
        <v>52990</v>
      </c>
      <c r="H54" s="16">
        <v>51416</v>
      </c>
      <c r="I54" s="16">
        <v>1349.69</v>
      </c>
      <c r="J54" s="16">
        <v>2.6584980000000001E-2</v>
      </c>
      <c r="K54" s="16">
        <v>8.27781E-3</v>
      </c>
      <c r="L54" s="16">
        <v>0.70381320000000003</v>
      </c>
      <c r="M54" s="16">
        <v>9.4445E-4</v>
      </c>
      <c r="N54" s="16">
        <v>0.17002287999999999</v>
      </c>
      <c r="O54" s="16">
        <v>2.2658754E-2</v>
      </c>
      <c r="P54" s="16">
        <v>7.3227099999999996E-3</v>
      </c>
      <c r="Q54" s="16">
        <v>0.70448628999999996</v>
      </c>
      <c r="R54" s="16">
        <v>9.5259999999999995E-4</v>
      </c>
      <c r="S54" s="16">
        <v>0.16597041000000001</v>
      </c>
      <c r="T54" s="16"/>
      <c r="U54" s="16"/>
      <c r="V54" s="16"/>
      <c r="W54" s="16"/>
      <c r="X54" s="16" t="s">
        <v>196</v>
      </c>
      <c r="Y54" s="16"/>
      <c r="AE54">
        <f t="shared" si="2"/>
        <v>1.8590895104895106E-2</v>
      </c>
      <c r="AF54">
        <f t="shared" si="2"/>
        <v>5.7886783216783222E-3</v>
      </c>
      <c r="AG54">
        <f t="shared" si="3"/>
        <v>0.70381320000000003</v>
      </c>
      <c r="AH54">
        <f t="shared" si="3"/>
        <v>9.4445E-4</v>
      </c>
      <c r="AI54">
        <f t="shared" si="3"/>
        <v>0.17002287999999999</v>
      </c>
      <c r="AJ54">
        <f t="shared" si="4"/>
        <v>1.872624297520661E-2</v>
      </c>
      <c r="AK54">
        <f t="shared" si="4"/>
        <v>6.0518264462809919E-3</v>
      </c>
      <c r="AL54">
        <f t="shared" si="5"/>
        <v>0.70448628999999996</v>
      </c>
      <c r="AM54">
        <f t="shared" si="5"/>
        <v>9.5259999999999995E-4</v>
      </c>
      <c r="AN54">
        <f t="shared" si="5"/>
        <v>0.16597041000000001</v>
      </c>
    </row>
    <row r="55" spans="1:40" x14ac:dyDescent="0.2">
      <c r="A55" s="16">
        <v>138</v>
      </c>
      <c r="B55" s="16" t="s">
        <v>157</v>
      </c>
      <c r="C55" s="16">
        <v>0.16560509554140126</v>
      </c>
      <c r="D55" s="16"/>
      <c r="E55" s="16" t="s">
        <v>196</v>
      </c>
      <c r="F55" s="21">
        <v>136888911.69999999</v>
      </c>
      <c r="G55" s="16">
        <v>52233</v>
      </c>
      <c r="H55" s="16">
        <v>48350</v>
      </c>
      <c r="I55" s="16">
        <v>1278.1300000000001</v>
      </c>
      <c r="J55" s="16">
        <v>0.14765060999999999</v>
      </c>
      <c r="K55" s="16">
        <v>4.826561E-2</v>
      </c>
      <c r="L55" s="16">
        <v>0.72692692000000003</v>
      </c>
      <c r="M55" s="16">
        <v>3.1388220000000001E-2</v>
      </c>
      <c r="N55" s="16">
        <v>-1.4027899999999999E-2</v>
      </c>
      <c r="O55" s="16">
        <v>0.12584472399999999</v>
      </c>
      <c r="P55" s="16">
        <v>4.2554509999999997E-2</v>
      </c>
      <c r="Q55" s="16">
        <v>0.72762212000000004</v>
      </c>
      <c r="R55" s="16">
        <v>3.1418469999999997E-2</v>
      </c>
      <c r="S55" s="16">
        <v>-1.34588E-2</v>
      </c>
      <c r="T55" s="16"/>
      <c r="U55" s="16"/>
      <c r="V55" s="16"/>
      <c r="W55" s="16"/>
      <c r="X55" s="16" t="s">
        <v>196</v>
      </c>
      <c r="Y55" s="16"/>
      <c r="AE55">
        <f t="shared" si="2"/>
        <v>0.10325217482517482</v>
      </c>
      <c r="AF55">
        <f t="shared" si="2"/>
        <v>3.3752174825174827E-2</v>
      </c>
      <c r="AG55">
        <f t="shared" si="3"/>
        <v>0.72692692000000003</v>
      </c>
      <c r="AH55">
        <f t="shared" si="3"/>
        <v>3.1388220000000001E-2</v>
      </c>
      <c r="AI55">
        <f t="shared" si="3"/>
        <v>-1.4027899999999999E-2</v>
      </c>
      <c r="AJ55">
        <f t="shared" si="4"/>
        <v>0.1040039041322314</v>
      </c>
      <c r="AK55">
        <f t="shared" si="4"/>
        <v>3.5169016528925616E-2</v>
      </c>
      <c r="AL55">
        <f t="shared" si="5"/>
        <v>0.72762212000000004</v>
      </c>
      <c r="AM55">
        <f t="shared" si="5"/>
        <v>3.1418469999999997E-2</v>
      </c>
      <c r="AN55">
        <f t="shared" si="5"/>
        <v>-1.34588E-2</v>
      </c>
    </row>
    <row r="56" spans="1:40" x14ac:dyDescent="0.2">
      <c r="A56" s="16">
        <v>139</v>
      </c>
      <c r="B56" s="16" t="s">
        <v>158</v>
      </c>
      <c r="C56" s="16">
        <v>4.5685279187817264E-2</v>
      </c>
      <c r="D56" s="16"/>
      <c r="E56" s="16" t="s">
        <v>196</v>
      </c>
      <c r="F56" s="21">
        <v>149466422.30000001</v>
      </c>
      <c r="G56" s="16">
        <v>52097</v>
      </c>
      <c r="H56" s="16">
        <v>48546</v>
      </c>
      <c r="I56" s="16">
        <v>1280.94</v>
      </c>
      <c r="J56" s="16">
        <v>9.2484700000000003E-2</v>
      </c>
      <c r="K56" s="16">
        <v>1.3924600000000001E-2</v>
      </c>
      <c r="L56" s="16">
        <v>0.70977535000000003</v>
      </c>
      <c r="M56" s="16">
        <v>1.272382E-2</v>
      </c>
      <c r="N56" s="16">
        <v>-0.1371706</v>
      </c>
      <c r="O56" s="16">
        <v>7.8826034000000003E-2</v>
      </c>
      <c r="P56" s="16">
        <v>1.3688799999999999E-2</v>
      </c>
      <c r="Q56" s="16">
        <v>0.71045413999999996</v>
      </c>
      <c r="R56" s="16">
        <v>1.2736539999999999E-2</v>
      </c>
      <c r="S56" s="16">
        <v>-0.11844349999999999</v>
      </c>
      <c r="T56" s="16"/>
      <c r="U56" s="16"/>
      <c r="V56" s="16"/>
      <c r="W56" s="16"/>
      <c r="X56" s="16" t="s">
        <v>196</v>
      </c>
      <c r="Y56" s="16"/>
      <c r="AE56">
        <f t="shared" si="2"/>
        <v>6.4674615384615386E-2</v>
      </c>
      <c r="AF56">
        <f t="shared" si="2"/>
        <v>9.7374825174825191E-3</v>
      </c>
      <c r="AG56">
        <f t="shared" si="3"/>
        <v>0.70977535000000003</v>
      </c>
      <c r="AH56">
        <f t="shared" si="3"/>
        <v>1.272382E-2</v>
      </c>
      <c r="AI56">
        <f t="shared" si="3"/>
        <v>-0.1371706</v>
      </c>
      <c r="AJ56">
        <f t="shared" si="4"/>
        <v>6.5145482644628105E-2</v>
      </c>
      <c r="AK56">
        <f t="shared" si="4"/>
        <v>1.1313057851239669E-2</v>
      </c>
      <c r="AL56">
        <f t="shared" si="5"/>
        <v>0.71045413999999996</v>
      </c>
      <c r="AM56">
        <f t="shared" si="5"/>
        <v>1.2736539999999999E-2</v>
      </c>
      <c r="AN56">
        <f t="shared" si="5"/>
        <v>-0.11844349999999999</v>
      </c>
    </row>
    <row r="57" spans="1:40" x14ac:dyDescent="0.2">
      <c r="A57" s="16">
        <v>140</v>
      </c>
      <c r="B57" s="16" t="s">
        <v>159</v>
      </c>
      <c r="C57" s="16">
        <v>1.211410707307542E-2</v>
      </c>
      <c r="D57" s="16"/>
      <c r="E57" s="16" t="s">
        <v>196</v>
      </c>
      <c r="F57" s="21">
        <v>542218549.70000005</v>
      </c>
      <c r="G57" s="16">
        <v>51662</v>
      </c>
      <c r="H57" s="16">
        <v>49403</v>
      </c>
      <c r="I57" s="16">
        <v>1265.6300000000001</v>
      </c>
      <c r="J57" s="16">
        <v>7.1502400000000004E-3</v>
      </c>
      <c r="K57" s="16">
        <v>2.55931E-3</v>
      </c>
      <c r="L57" s="16">
        <v>0.70629392999999996</v>
      </c>
      <c r="M57" s="16">
        <v>9.5697000000000002E-4</v>
      </c>
      <c r="N57" s="16">
        <v>0.26499423</v>
      </c>
      <c r="O57" s="16">
        <v>6.0942499999999998E-3</v>
      </c>
      <c r="P57" s="16">
        <v>2.2441800000000001E-3</v>
      </c>
      <c r="Q57" s="16">
        <v>0.70696939000000003</v>
      </c>
      <c r="R57" s="16">
        <v>9.6509999999999999E-4</v>
      </c>
      <c r="S57" s="16">
        <v>0.25860811</v>
      </c>
      <c r="T57" s="16"/>
      <c r="U57" s="16"/>
      <c r="V57" s="16"/>
      <c r="W57" s="16"/>
      <c r="X57" s="16" t="s">
        <v>196</v>
      </c>
      <c r="Y57" s="16"/>
      <c r="AE57">
        <f t="shared" si="2"/>
        <v>5.0001678321678327E-3</v>
      </c>
      <c r="AF57">
        <f t="shared" si="2"/>
        <v>1.7897272727272727E-3</v>
      </c>
      <c r="AG57">
        <f t="shared" si="3"/>
        <v>0.70629392999999996</v>
      </c>
      <c r="AH57">
        <f t="shared" si="3"/>
        <v>9.5697000000000002E-4</v>
      </c>
      <c r="AI57">
        <f t="shared" si="3"/>
        <v>0.26499423</v>
      </c>
      <c r="AJ57">
        <f t="shared" si="4"/>
        <v>5.0365702479338841E-3</v>
      </c>
      <c r="AK57">
        <f t="shared" si="4"/>
        <v>1.8546942148760332E-3</v>
      </c>
      <c r="AL57">
        <f t="shared" si="5"/>
        <v>0.70696939000000003</v>
      </c>
      <c r="AM57">
        <f t="shared" si="5"/>
        <v>9.6509999999999999E-4</v>
      </c>
      <c r="AN57">
        <f t="shared" si="5"/>
        <v>0.25860811</v>
      </c>
    </row>
    <row r="58" spans="1:40" x14ac:dyDescent="0.2">
      <c r="A58" s="16">
        <v>143</v>
      </c>
      <c r="B58" s="16" t="s">
        <v>160</v>
      </c>
      <c r="C58" s="16">
        <v>1.3888888888888888E-2</v>
      </c>
      <c r="D58" s="16"/>
      <c r="E58" s="16" t="s">
        <v>196</v>
      </c>
      <c r="F58" s="21">
        <v>75251424.409999996</v>
      </c>
      <c r="G58" s="16">
        <v>51547</v>
      </c>
      <c r="H58" s="16">
        <v>49163</v>
      </c>
      <c r="I58" s="16">
        <v>1262.81</v>
      </c>
      <c r="J58" s="16">
        <v>7.8990169999999998E-2</v>
      </c>
      <c r="K58" s="16">
        <v>1.6873369999999999E-2</v>
      </c>
      <c r="L58" s="16">
        <v>0.70497604000000003</v>
      </c>
      <c r="M58" s="16">
        <v>1.222735E-2</v>
      </c>
      <c r="N58" s="16">
        <v>-0.62960490000000002</v>
      </c>
      <c r="O58" s="16">
        <v>6.9959151999999997E-2</v>
      </c>
      <c r="P58" s="16">
        <v>1.574803E-2</v>
      </c>
      <c r="Q58" s="16">
        <v>0.70511765000000004</v>
      </c>
      <c r="R58" s="16">
        <v>1.222725E-2</v>
      </c>
      <c r="S58" s="16">
        <v>-0.59887440000000003</v>
      </c>
      <c r="T58" s="16"/>
      <c r="U58" s="16"/>
      <c r="V58" s="16"/>
      <c r="W58" s="16"/>
      <c r="X58" s="16" t="s">
        <v>196</v>
      </c>
      <c r="Y58" s="16"/>
      <c r="AE58">
        <f t="shared" si="2"/>
        <v>5.5237881118881123E-2</v>
      </c>
      <c r="AF58">
        <f t="shared" si="2"/>
        <v>1.1799559440559441E-2</v>
      </c>
      <c r="AG58">
        <f t="shared" si="3"/>
        <v>0.70497604000000003</v>
      </c>
      <c r="AH58">
        <f t="shared" si="3"/>
        <v>1.222735E-2</v>
      </c>
      <c r="AI58">
        <f t="shared" si="3"/>
        <v>-0.62960490000000002</v>
      </c>
      <c r="AJ58">
        <f t="shared" si="4"/>
        <v>5.7817480991735538E-2</v>
      </c>
      <c r="AK58">
        <f t="shared" si="4"/>
        <v>1.3014900826446281E-2</v>
      </c>
      <c r="AL58">
        <f t="shared" si="5"/>
        <v>0.70511765000000004</v>
      </c>
      <c r="AM58">
        <f t="shared" si="5"/>
        <v>1.222725E-2</v>
      </c>
      <c r="AN58">
        <f t="shared" si="5"/>
        <v>-0.59887440000000003</v>
      </c>
    </row>
    <row r="59" spans="1:40" x14ac:dyDescent="0.2">
      <c r="A59" s="16">
        <v>144</v>
      </c>
      <c r="B59" s="16" t="s">
        <v>161</v>
      </c>
      <c r="C59" s="16">
        <v>6.9557362240289064E-2</v>
      </c>
      <c r="D59" s="16"/>
      <c r="E59" s="16" t="s">
        <v>196</v>
      </c>
      <c r="F59" s="21">
        <v>268544462.80000001</v>
      </c>
      <c r="G59" s="16">
        <v>51464</v>
      </c>
      <c r="H59" s="16">
        <v>49312</v>
      </c>
      <c r="I59" s="16">
        <v>1233.1300000000001</v>
      </c>
      <c r="J59" s="16">
        <v>1.8043882099999999</v>
      </c>
      <c r="K59" s="16">
        <v>0.11438138</v>
      </c>
      <c r="L59" s="16">
        <v>0.75862099000000005</v>
      </c>
      <c r="M59" s="16">
        <v>4.7766400000000004E-3</v>
      </c>
      <c r="N59" s="16">
        <v>0.36081584999999999</v>
      </c>
      <c r="O59" s="16">
        <v>1.5980908089999999</v>
      </c>
      <c r="P59" s="16">
        <v>0.15210503</v>
      </c>
      <c r="Q59" s="16">
        <v>0.75877337</v>
      </c>
      <c r="R59" s="16">
        <v>4.7700099999999999E-3</v>
      </c>
      <c r="S59" s="16">
        <v>0.23233609</v>
      </c>
      <c r="T59" s="16"/>
      <c r="U59" s="16"/>
      <c r="V59" s="16"/>
      <c r="W59" s="16"/>
      <c r="X59" s="16" t="s">
        <v>196</v>
      </c>
      <c r="Y59" s="16"/>
      <c r="AE59">
        <f t="shared" si="2"/>
        <v>1.261809937062937</v>
      </c>
      <c r="AF59">
        <f t="shared" si="2"/>
        <v>7.9986979020979024E-2</v>
      </c>
      <c r="AG59">
        <f t="shared" si="3"/>
        <v>0.75862099000000005</v>
      </c>
      <c r="AH59">
        <f t="shared" si="3"/>
        <v>4.7766400000000004E-3</v>
      </c>
      <c r="AI59">
        <f t="shared" si="3"/>
        <v>0.36081584999999999</v>
      </c>
      <c r="AJ59">
        <f t="shared" si="4"/>
        <v>1.320736205785124</v>
      </c>
      <c r="AK59">
        <f t="shared" si="4"/>
        <v>0.12570663636363638</v>
      </c>
      <c r="AL59">
        <f t="shared" si="5"/>
        <v>0.75877337</v>
      </c>
      <c r="AM59">
        <f t="shared" si="5"/>
        <v>4.7700099999999999E-3</v>
      </c>
      <c r="AN59">
        <f t="shared" si="5"/>
        <v>0.23233609</v>
      </c>
    </row>
    <row r="60" spans="1:40" x14ac:dyDescent="0.2">
      <c r="A60" s="16">
        <v>145</v>
      </c>
      <c r="B60" s="16" t="s">
        <v>162</v>
      </c>
      <c r="C60" s="16">
        <v>0.13134851138353765</v>
      </c>
      <c r="D60" s="16"/>
      <c r="E60" s="16" t="s">
        <v>196</v>
      </c>
      <c r="F60" s="21">
        <v>424010284.89999998</v>
      </c>
      <c r="G60" s="16">
        <v>51492</v>
      </c>
      <c r="H60" s="16">
        <v>47377</v>
      </c>
      <c r="I60" s="16">
        <v>1169.3800000000001</v>
      </c>
      <c r="J60" s="16">
        <v>0.18110580000000001</v>
      </c>
      <c r="K60" s="16">
        <v>1.428869E-2</v>
      </c>
      <c r="L60" s="16">
        <v>0.72481293999999996</v>
      </c>
      <c r="M60" s="16">
        <v>2.0894400000000001E-3</v>
      </c>
      <c r="N60" s="16">
        <v>0.17834417</v>
      </c>
      <c r="O60" s="16">
        <v>0.160399808</v>
      </c>
      <c r="P60" s="16">
        <v>1.7024629999999999E-2</v>
      </c>
      <c r="Q60" s="16">
        <v>0.72495852999999999</v>
      </c>
      <c r="R60" s="16">
        <v>2.07398E-3</v>
      </c>
      <c r="S60" s="16">
        <v>0.11712233</v>
      </c>
      <c r="T60" s="16"/>
      <c r="U60" s="16"/>
      <c r="V60" s="16"/>
      <c r="W60" s="16"/>
      <c r="X60" s="16" t="s">
        <v>196</v>
      </c>
      <c r="Y60" s="16"/>
      <c r="AE60">
        <f t="shared" si="2"/>
        <v>0.12664741258741261</v>
      </c>
      <c r="AF60">
        <f t="shared" si="2"/>
        <v>9.9920909090909088E-3</v>
      </c>
      <c r="AG60">
        <f t="shared" si="3"/>
        <v>0.72481293999999996</v>
      </c>
      <c r="AH60">
        <f t="shared" si="3"/>
        <v>2.0894400000000001E-3</v>
      </c>
      <c r="AI60">
        <f t="shared" si="3"/>
        <v>0.17834417</v>
      </c>
      <c r="AJ60">
        <f t="shared" si="4"/>
        <v>0.13256182479338843</v>
      </c>
      <c r="AK60">
        <f t="shared" si="4"/>
        <v>1.4069942148760331E-2</v>
      </c>
      <c r="AL60">
        <f t="shared" si="5"/>
        <v>0.72495852999999999</v>
      </c>
      <c r="AM60">
        <f t="shared" si="5"/>
        <v>2.07398E-3</v>
      </c>
      <c r="AN60">
        <f t="shared" si="5"/>
        <v>0.11712233</v>
      </c>
    </row>
    <row r="61" spans="1:40" x14ac:dyDescent="0.2">
      <c r="A61" s="16">
        <v>146</v>
      </c>
      <c r="B61" s="16" t="s">
        <v>163</v>
      </c>
      <c r="C61" s="16">
        <v>0.10125000000000001</v>
      </c>
      <c r="D61" s="16"/>
      <c r="E61" s="16" t="s">
        <v>196</v>
      </c>
      <c r="F61" s="21">
        <v>1048682562</v>
      </c>
      <c r="G61" s="16">
        <v>47810</v>
      </c>
      <c r="H61" s="16">
        <v>53397</v>
      </c>
      <c r="I61" s="16">
        <v>1233.1300000000001</v>
      </c>
      <c r="J61" s="16">
        <v>0.23611852</v>
      </c>
      <c r="K61" s="16">
        <v>1.4887600000000001E-2</v>
      </c>
      <c r="L61" s="16">
        <v>0.71869152999999997</v>
      </c>
      <c r="M61" s="16">
        <v>7.1365000000000003E-4</v>
      </c>
      <c r="N61" s="16">
        <v>0.14138139</v>
      </c>
      <c r="O61" s="16">
        <v>0.20912286399999999</v>
      </c>
      <c r="P61" s="16">
        <v>1.985696E-2</v>
      </c>
      <c r="Q61" s="16">
        <v>0.71883587999999998</v>
      </c>
      <c r="R61" s="16">
        <v>6.667E-4</v>
      </c>
      <c r="S61" s="16">
        <v>4.3750530000000003E-2</v>
      </c>
      <c r="T61" s="16"/>
      <c r="U61" s="16"/>
      <c r="V61" s="16"/>
      <c r="W61" s="16"/>
      <c r="X61" s="16" t="s">
        <v>196</v>
      </c>
      <c r="Y61" s="16"/>
      <c r="AE61">
        <f t="shared" si="2"/>
        <v>0.16511784615384617</v>
      </c>
      <c r="AF61">
        <f t="shared" si="2"/>
        <v>1.0410909090909092E-2</v>
      </c>
      <c r="AG61">
        <f t="shared" si="3"/>
        <v>0.71869152999999997</v>
      </c>
      <c r="AH61">
        <f t="shared" si="3"/>
        <v>7.1365000000000003E-4</v>
      </c>
      <c r="AI61">
        <f t="shared" si="3"/>
        <v>0.14138139</v>
      </c>
      <c r="AJ61">
        <f t="shared" si="4"/>
        <v>0.1728288132231405</v>
      </c>
      <c r="AK61">
        <f t="shared" si="4"/>
        <v>1.6410710743801654E-2</v>
      </c>
      <c r="AL61">
        <f t="shared" si="5"/>
        <v>0.71883587999999998</v>
      </c>
      <c r="AM61">
        <f t="shared" si="5"/>
        <v>6.667E-4</v>
      </c>
      <c r="AN61">
        <f t="shared" si="5"/>
        <v>4.3750530000000003E-2</v>
      </c>
    </row>
    <row r="62" spans="1:40" x14ac:dyDescent="0.2">
      <c r="A62" s="16">
        <v>147</v>
      </c>
      <c r="B62" s="16" t="s">
        <v>164</v>
      </c>
      <c r="C62" s="16">
        <v>8.7186261558784672E-2</v>
      </c>
      <c r="D62" s="16"/>
      <c r="E62" s="16" t="s">
        <v>196</v>
      </c>
      <c r="F62" s="21">
        <v>901313593.10000002</v>
      </c>
      <c r="G62" s="16">
        <v>47616</v>
      </c>
      <c r="H62" s="16">
        <v>53356</v>
      </c>
      <c r="I62" s="16">
        <v>1233.1300000000001</v>
      </c>
      <c r="J62" s="16">
        <v>0.24753216</v>
      </c>
      <c r="K62" s="16">
        <v>3.386136E-2</v>
      </c>
      <c r="L62" s="16">
        <v>0.72068385000000001</v>
      </c>
      <c r="M62" s="16">
        <v>1.19068E-3</v>
      </c>
      <c r="N62" s="16">
        <v>0.29573118999999998</v>
      </c>
      <c r="O62" s="16">
        <v>0.21923157700000001</v>
      </c>
      <c r="P62" s="16">
        <v>3.3788550000000001E-2</v>
      </c>
      <c r="Q62" s="16">
        <v>0.72082860999999998</v>
      </c>
      <c r="R62" s="16">
        <v>1.16314E-3</v>
      </c>
      <c r="S62" s="16">
        <v>0.24865184000000001</v>
      </c>
      <c r="T62" s="16"/>
      <c r="U62" s="16"/>
      <c r="V62" s="16"/>
      <c r="W62" s="16"/>
      <c r="X62" s="16" t="s">
        <v>196</v>
      </c>
      <c r="Y62" s="16"/>
      <c r="AE62">
        <f t="shared" si="2"/>
        <v>0.1730994125874126</v>
      </c>
      <c r="AF62">
        <f t="shared" si="2"/>
        <v>2.3679272727272729E-2</v>
      </c>
      <c r="AG62">
        <f t="shared" si="3"/>
        <v>0.72068385000000001</v>
      </c>
      <c r="AH62">
        <f t="shared" si="3"/>
        <v>1.19068E-3</v>
      </c>
      <c r="AI62">
        <f t="shared" si="3"/>
        <v>0.29573118999999998</v>
      </c>
      <c r="AJ62">
        <f t="shared" si="4"/>
        <v>0.18118312148760332</v>
      </c>
      <c r="AK62">
        <f t="shared" si="4"/>
        <v>2.7924421487603306E-2</v>
      </c>
      <c r="AL62">
        <f t="shared" si="5"/>
        <v>0.72082860999999998</v>
      </c>
      <c r="AM62">
        <f t="shared" si="5"/>
        <v>1.16314E-3</v>
      </c>
      <c r="AN62">
        <f t="shared" si="5"/>
        <v>0.24865184000000001</v>
      </c>
    </row>
    <row r="63" spans="1:40" x14ac:dyDescent="0.2">
      <c r="A63" s="16">
        <v>150</v>
      </c>
      <c r="B63" s="16" t="s">
        <v>165</v>
      </c>
      <c r="C63" s="16">
        <v>3.2222222222222222E-2</v>
      </c>
      <c r="D63" s="16"/>
      <c r="E63" s="16" t="s">
        <v>196</v>
      </c>
      <c r="F63" s="21">
        <v>647828125.60000002</v>
      </c>
      <c r="G63" s="16">
        <v>47464</v>
      </c>
      <c r="H63" s="16">
        <v>53331</v>
      </c>
      <c r="I63" s="16">
        <v>1233.1300000000001</v>
      </c>
      <c r="J63" s="16">
        <v>0.37033667999999997</v>
      </c>
      <c r="K63" s="16">
        <v>0.14022422000000001</v>
      </c>
      <c r="L63" s="16">
        <v>0.72151100999999995</v>
      </c>
      <c r="M63" s="16">
        <v>2.8830700000000002E-3</v>
      </c>
      <c r="N63" s="16">
        <v>0.59216458999999999</v>
      </c>
      <c r="O63" s="16">
        <v>0.322173072</v>
      </c>
      <c r="P63" s="16">
        <v>0.12399301</v>
      </c>
      <c r="Q63" s="16">
        <v>0.72197142999999997</v>
      </c>
      <c r="R63" s="16">
        <v>2.8760700000000001E-3</v>
      </c>
      <c r="S63" s="16">
        <v>0.58998724999999996</v>
      </c>
      <c r="T63" s="16"/>
      <c r="U63" s="16"/>
      <c r="V63" s="16"/>
      <c r="W63" s="16"/>
      <c r="X63" s="16" t="s">
        <v>196</v>
      </c>
      <c r="Y63" s="16"/>
      <c r="AE63">
        <f t="shared" si="2"/>
        <v>0.25897669930069928</v>
      </c>
      <c r="AF63">
        <f t="shared" si="2"/>
        <v>9.8058895104895114E-2</v>
      </c>
      <c r="AG63">
        <f t="shared" si="3"/>
        <v>0.72151100999999995</v>
      </c>
      <c r="AH63">
        <f t="shared" si="3"/>
        <v>2.8830700000000002E-3</v>
      </c>
      <c r="AI63">
        <f t="shared" si="3"/>
        <v>0.59216458999999999</v>
      </c>
      <c r="AJ63">
        <f t="shared" si="4"/>
        <v>0.26625873719008264</v>
      </c>
      <c r="AK63">
        <f t="shared" si="4"/>
        <v>0.10247356198347107</v>
      </c>
      <c r="AL63">
        <f t="shared" si="5"/>
        <v>0.72197142999999997</v>
      </c>
      <c r="AM63">
        <f t="shared" si="5"/>
        <v>2.8760700000000001E-3</v>
      </c>
      <c r="AN63">
        <f t="shared" si="5"/>
        <v>0.58998724999999996</v>
      </c>
    </row>
    <row r="64" spans="1:40" x14ac:dyDescent="0.2">
      <c r="A64" s="16">
        <v>151</v>
      </c>
      <c r="B64" s="16" t="s">
        <v>166</v>
      </c>
      <c r="C64" s="16">
        <v>6.9591527987897125E-2</v>
      </c>
      <c r="D64" s="16"/>
      <c r="E64" s="16" t="s">
        <v>196</v>
      </c>
      <c r="F64" s="21">
        <v>515880842.19999999</v>
      </c>
      <c r="G64" s="16">
        <v>47340</v>
      </c>
      <c r="H64" s="16">
        <v>53318</v>
      </c>
      <c r="I64" s="16">
        <v>1226.25</v>
      </c>
      <c r="J64" s="16">
        <v>0.45535927999999998</v>
      </c>
      <c r="K64" s="16">
        <v>6.1616440000000001E-2</v>
      </c>
      <c r="L64" s="16">
        <v>0.72088889</v>
      </c>
      <c r="M64" s="16">
        <v>1.06854E-3</v>
      </c>
      <c r="N64" s="16">
        <v>-0.43197770000000002</v>
      </c>
      <c r="O64" s="16">
        <v>0.39613818000000001</v>
      </c>
      <c r="P64" s="16">
        <v>6.015889E-2</v>
      </c>
      <c r="Q64" s="16">
        <v>0.72134891000000001</v>
      </c>
      <c r="R64" s="16">
        <v>1.0451799999999999E-3</v>
      </c>
      <c r="S64" s="16">
        <v>-0.35467290000000001</v>
      </c>
      <c r="T64" s="16"/>
      <c r="U64" s="16"/>
      <c r="V64" s="16"/>
      <c r="W64" s="16"/>
      <c r="X64" s="16" t="s">
        <v>196</v>
      </c>
      <c r="Y64" s="16"/>
      <c r="AE64">
        <f t="shared" si="2"/>
        <v>0.31843306293706292</v>
      </c>
      <c r="AF64">
        <f t="shared" si="2"/>
        <v>4.3088419580419583E-2</v>
      </c>
      <c r="AG64">
        <f t="shared" si="3"/>
        <v>0.72088889</v>
      </c>
      <c r="AH64">
        <f t="shared" si="3"/>
        <v>1.06854E-3</v>
      </c>
      <c r="AI64">
        <f t="shared" si="3"/>
        <v>-0.43197770000000002</v>
      </c>
      <c r="AJ64">
        <f t="shared" si="4"/>
        <v>0.32738692561983473</v>
      </c>
      <c r="AK64">
        <f t="shared" si="4"/>
        <v>4.9718090909090913E-2</v>
      </c>
      <c r="AL64">
        <f t="shared" si="5"/>
        <v>0.72134891000000001</v>
      </c>
      <c r="AM64">
        <f t="shared" si="5"/>
        <v>1.0451799999999999E-3</v>
      </c>
      <c r="AN64">
        <f t="shared" si="5"/>
        <v>-0.35467290000000001</v>
      </c>
    </row>
    <row r="65" spans="1:40" x14ac:dyDescent="0.2">
      <c r="A65" s="16">
        <v>152</v>
      </c>
      <c r="B65" s="16" t="s">
        <v>167</v>
      </c>
      <c r="C65" s="16">
        <v>9.1753774680603958E-2</v>
      </c>
      <c r="D65" s="16"/>
      <c r="E65" s="16" t="s">
        <v>196</v>
      </c>
      <c r="F65" s="21">
        <v>1104744530</v>
      </c>
      <c r="G65" s="16">
        <v>46826</v>
      </c>
      <c r="H65" s="16">
        <v>53259</v>
      </c>
      <c r="I65" s="16">
        <v>1104.3800000000001</v>
      </c>
      <c r="J65" s="16">
        <v>0.32904991</v>
      </c>
      <c r="K65" s="16">
        <v>2.7449729999999999E-2</v>
      </c>
      <c r="L65" s="16">
        <v>0.71748730000000005</v>
      </c>
      <c r="M65" s="16">
        <v>7.7231000000000001E-4</v>
      </c>
      <c r="N65" s="16">
        <v>0.65923264999999998</v>
      </c>
      <c r="O65" s="16">
        <v>0.28625579899999998</v>
      </c>
      <c r="P65" s="16">
        <v>3.0978809999999999E-2</v>
      </c>
      <c r="Q65" s="16">
        <v>0.71794515000000003</v>
      </c>
      <c r="R65" s="16">
        <v>7.3950000000000003E-4</v>
      </c>
      <c r="S65" s="16">
        <v>0.60820322999999998</v>
      </c>
      <c r="T65" s="16"/>
      <c r="U65" s="16"/>
      <c r="V65" s="16"/>
      <c r="W65" s="16"/>
      <c r="X65" s="16" t="s">
        <v>196</v>
      </c>
      <c r="Y65" s="16"/>
      <c r="AE65">
        <f t="shared" si="2"/>
        <v>0.23010483216783217</v>
      </c>
      <c r="AF65">
        <f t="shared" si="2"/>
        <v>1.9195615384615384E-2</v>
      </c>
      <c r="AG65">
        <f t="shared" si="3"/>
        <v>0.71748730000000005</v>
      </c>
      <c r="AH65">
        <f t="shared" si="3"/>
        <v>7.7231000000000001E-4</v>
      </c>
      <c r="AI65">
        <f t="shared" si="3"/>
        <v>0.65923264999999998</v>
      </c>
      <c r="AJ65">
        <f t="shared" si="4"/>
        <v>0.23657504049586775</v>
      </c>
      <c r="AK65">
        <f t="shared" si="4"/>
        <v>2.5602322314049585E-2</v>
      </c>
      <c r="AL65">
        <f t="shared" si="5"/>
        <v>0.71794515000000003</v>
      </c>
      <c r="AM65">
        <f t="shared" si="5"/>
        <v>7.3950000000000003E-4</v>
      </c>
      <c r="AN65">
        <f t="shared" si="5"/>
        <v>0.60820322999999998</v>
      </c>
    </row>
    <row r="66" spans="1:40" x14ac:dyDescent="0.2">
      <c r="A66" s="16">
        <v>153</v>
      </c>
      <c r="B66" s="16" t="s">
        <v>168</v>
      </c>
      <c r="C66" s="16">
        <v>0.23415977961432508</v>
      </c>
      <c r="D66" s="16"/>
      <c r="E66" s="16" t="s">
        <v>196</v>
      </c>
      <c r="F66" s="21">
        <v>1186491899</v>
      </c>
      <c r="G66" s="16">
        <v>46694</v>
      </c>
      <c r="H66" s="16">
        <v>53245</v>
      </c>
      <c r="I66" s="16">
        <v>1154.69</v>
      </c>
      <c r="J66" s="16">
        <v>0.27873439999999999</v>
      </c>
      <c r="K66" s="16">
        <v>1.4433079999999999E-2</v>
      </c>
      <c r="L66" s="16">
        <v>0.71639872999999998</v>
      </c>
      <c r="M66" s="16">
        <v>5.1186999999999999E-4</v>
      </c>
      <c r="N66" s="16">
        <v>0.11628561</v>
      </c>
      <c r="O66" s="16">
        <v>0.24248400000000001</v>
      </c>
      <c r="P66" s="16">
        <v>2.0906959999999999E-2</v>
      </c>
      <c r="Q66" s="16">
        <v>0.71685589000000005</v>
      </c>
      <c r="R66" s="16">
        <v>4.6057999999999998E-4</v>
      </c>
      <c r="S66" s="16">
        <v>0.23291285</v>
      </c>
      <c r="T66" s="16"/>
      <c r="U66" s="16"/>
      <c r="V66" s="16"/>
      <c r="W66" s="16"/>
      <c r="X66" s="16" t="s">
        <v>196</v>
      </c>
      <c r="Y66" s="16"/>
      <c r="AE66">
        <f t="shared" si="2"/>
        <v>0.19491916083916083</v>
      </c>
      <c r="AF66">
        <f t="shared" si="2"/>
        <v>1.0093062937062938E-2</v>
      </c>
      <c r="AG66">
        <f t="shared" si="3"/>
        <v>0.71639872999999998</v>
      </c>
      <c r="AH66">
        <f t="shared" si="3"/>
        <v>5.1186999999999999E-4</v>
      </c>
      <c r="AI66">
        <f t="shared" si="3"/>
        <v>0.11628561</v>
      </c>
      <c r="AJ66">
        <f t="shared" si="4"/>
        <v>0.20040000000000002</v>
      </c>
      <c r="AK66">
        <f t="shared" si="4"/>
        <v>1.7278479338842974E-2</v>
      </c>
      <c r="AL66">
        <f t="shared" si="5"/>
        <v>0.71685589000000005</v>
      </c>
      <c r="AM66">
        <f t="shared" si="5"/>
        <v>4.6057999999999998E-4</v>
      </c>
      <c r="AN66">
        <f t="shared" si="5"/>
        <v>0.23291285</v>
      </c>
    </row>
    <row r="67" spans="1:40" x14ac:dyDescent="0.2">
      <c r="A67" s="16">
        <v>154</v>
      </c>
      <c r="B67" s="16" t="s">
        <v>169</v>
      </c>
      <c r="C67" s="16">
        <v>0.11976047904191617</v>
      </c>
      <c r="D67" s="16"/>
      <c r="E67" s="16" t="s">
        <v>196</v>
      </c>
      <c r="F67" s="21">
        <v>842664089.39999998</v>
      </c>
      <c r="G67" s="16">
        <v>46935</v>
      </c>
      <c r="H67" s="16">
        <v>53197</v>
      </c>
      <c r="I67" s="16">
        <v>1126.8800000000001</v>
      </c>
      <c r="J67" s="16">
        <v>0.26327959000000001</v>
      </c>
      <c r="K67" s="16">
        <v>9.2926299999999996E-3</v>
      </c>
      <c r="L67" s="16">
        <v>0.71957108000000003</v>
      </c>
      <c r="M67" s="16">
        <v>9.4112999999999998E-4</v>
      </c>
      <c r="N67" s="16">
        <v>0.2604224</v>
      </c>
      <c r="O67" s="16">
        <v>0.229039144</v>
      </c>
      <c r="P67" s="16">
        <v>1.7738960000000002E-2</v>
      </c>
      <c r="Q67" s="16">
        <v>0.72003026000000003</v>
      </c>
      <c r="R67" s="16">
        <v>9.1443999999999998E-4</v>
      </c>
      <c r="S67" s="16">
        <v>0.20965834999999999</v>
      </c>
      <c r="T67" s="16"/>
      <c r="U67" s="16"/>
      <c r="V67" s="16"/>
      <c r="W67" s="16"/>
      <c r="X67" s="16" t="s">
        <v>196</v>
      </c>
      <c r="Y67" s="16"/>
      <c r="AE67">
        <f t="shared" si="2"/>
        <v>0.18411160139860142</v>
      </c>
      <c r="AF67">
        <f t="shared" si="2"/>
        <v>6.4983426573426576E-3</v>
      </c>
      <c r="AG67">
        <f t="shared" si="3"/>
        <v>0.71957108000000003</v>
      </c>
      <c r="AH67">
        <f t="shared" si="3"/>
        <v>9.4112999999999998E-4</v>
      </c>
      <c r="AI67">
        <f t="shared" si="3"/>
        <v>0.2604224</v>
      </c>
      <c r="AJ67">
        <f t="shared" si="4"/>
        <v>0.18928854876033058</v>
      </c>
      <c r="AK67">
        <f t="shared" si="4"/>
        <v>1.4660297520661159E-2</v>
      </c>
      <c r="AL67">
        <f t="shared" si="5"/>
        <v>0.72003026000000003</v>
      </c>
      <c r="AM67">
        <f t="shared" si="5"/>
        <v>9.1443999999999998E-4</v>
      </c>
      <c r="AN67">
        <f t="shared" si="5"/>
        <v>0.20965834999999999</v>
      </c>
    </row>
    <row r="68" spans="1:40" x14ac:dyDescent="0.2">
      <c r="A68" s="16">
        <v>157</v>
      </c>
      <c r="B68" s="16" t="s">
        <v>170</v>
      </c>
      <c r="C68" s="16">
        <v>0.16835443037974684</v>
      </c>
      <c r="D68" s="16"/>
      <c r="E68" s="16" t="s">
        <v>196</v>
      </c>
      <c r="F68" s="21">
        <v>930188794.20000005</v>
      </c>
      <c r="G68" s="16">
        <v>46970</v>
      </c>
      <c r="H68" s="16">
        <v>53090</v>
      </c>
      <c r="I68" s="16">
        <v>1146.56</v>
      </c>
      <c r="J68" s="16">
        <v>0.31971802999999999</v>
      </c>
      <c r="K68" s="16">
        <v>3.7157219999999998E-2</v>
      </c>
      <c r="L68" s="16">
        <v>0.72065312999999998</v>
      </c>
      <c r="M68" s="16">
        <v>8.9190999999999999E-4</v>
      </c>
      <c r="N68" s="16">
        <v>0.73917093</v>
      </c>
      <c r="O68" s="16">
        <v>0.26899650899999999</v>
      </c>
      <c r="P68" s="16">
        <v>3.6337189999999998E-2</v>
      </c>
      <c r="Q68" s="16">
        <v>0.72159934000000003</v>
      </c>
      <c r="R68" s="16">
        <v>9.7725999999999998E-4</v>
      </c>
      <c r="S68" s="16">
        <v>0.62112356999999996</v>
      </c>
      <c r="T68" s="16"/>
      <c r="U68" s="16"/>
      <c r="V68" s="16"/>
      <c r="W68" s="16"/>
      <c r="X68" s="16" t="s">
        <v>196</v>
      </c>
      <c r="Y68" s="16"/>
      <c r="AE68">
        <f t="shared" si="2"/>
        <v>0.22357904195804196</v>
      </c>
      <c r="AF68">
        <f t="shared" si="2"/>
        <v>2.5984069930069929E-2</v>
      </c>
      <c r="AG68">
        <f t="shared" si="3"/>
        <v>0.72065312999999998</v>
      </c>
      <c r="AH68">
        <f t="shared" si="3"/>
        <v>8.9190999999999999E-4</v>
      </c>
      <c r="AI68">
        <f t="shared" si="3"/>
        <v>0.73917093</v>
      </c>
      <c r="AJ68">
        <f t="shared" si="4"/>
        <v>0.22231116446280991</v>
      </c>
      <c r="AK68">
        <f t="shared" si="4"/>
        <v>3.0030735537190083E-2</v>
      </c>
      <c r="AL68">
        <f t="shared" si="5"/>
        <v>0.72159934000000003</v>
      </c>
      <c r="AM68">
        <f t="shared" si="5"/>
        <v>9.7725999999999998E-4</v>
      </c>
      <c r="AN68">
        <f t="shared" si="5"/>
        <v>0.62112356999999996</v>
      </c>
    </row>
    <row r="69" spans="1:40" x14ac:dyDescent="0.2">
      <c r="A69" s="16">
        <v>158</v>
      </c>
      <c r="B69" s="16" t="s">
        <v>171</v>
      </c>
      <c r="C69" s="16">
        <v>0.13800904977375567</v>
      </c>
      <c r="D69" s="16"/>
      <c r="E69" s="16" t="s">
        <v>196</v>
      </c>
      <c r="F69" s="21">
        <v>1112646494</v>
      </c>
      <c r="G69" s="16">
        <v>47023</v>
      </c>
      <c r="H69" s="16">
        <v>52801</v>
      </c>
      <c r="I69" s="16">
        <v>1097.81</v>
      </c>
      <c r="J69" s="16">
        <v>0.26119040999999998</v>
      </c>
      <c r="K69" s="16">
        <v>2.8564659999999999E-2</v>
      </c>
      <c r="L69" s="16">
        <v>0.71917156999999998</v>
      </c>
      <c r="M69" s="16">
        <v>9.4375000000000004E-4</v>
      </c>
      <c r="N69" s="16">
        <v>0.33552377</v>
      </c>
      <c r="O69" s="16">
        <v>0.21975397899999999</v>
      </c>
      <c r="P69" s="16">
        <v>2.8399580000000001E-2</v>
      </c>
      <c r="Q69" s="16">
        <v>0.72011583000000001</v>
      </c>
      <c r="R69" s="16">
        <v>1.02461E-3</v>
      </c>
      <c r="S69" s="16">
        <v>0.30163634</v>
      </c>
      <c r="T69" s="16"/>
      <c r="U69" s="16"/>
      <c r="V69" s="16"/>
      <c r="W69" s="16"/>
      <c r="X69" s="16" t="s">
        <v>196</v>
      </c>
      <c r="Y69" s="16"/>
      <c r="AE69">
        <f t="shared" si="2"/>
        <v>0.18265063636363635</v>
      </c>
      <c r="AF69">
        <f t="shared" si="2"/>
        <v>1.9975286713286713E-2</v>
      </c>
      <c r="AG69">
        <f t="shared" si="3"/>
        <v>0.71917156999999998</v>
      </c>
      <c r="AH69">
        <f t="shared" si="3"/>
        <v>9.4375000000000004E-4</v>
      </c>
      <c r="AI69">
        <f t="shared" si="3"/>
        <v>0.33552377</v>
      </c>
      <c r="AJ69">
        <f t="shared" si="4"/>
        <v>0.18161485867768595</v>
      </c>
      <c r="AK69">
        <f t="shared" si="4"/>
        <v>2.3470727272727275E-2</v>
      </c>
      <c r="AL69">
        <f t="shared" si="5"/>
        <v>0.72011583000000001</v>
      </c>
      <c r="AM69">
        <f t="shared" si="5"/>
        <v>1.02461E-3</v>
      </c>
      <c r="AN69">
        <f t="shared" si="5"/>
        <v>0.30163634</v>
      </c>
    </row>
    <row r="70" spans="1:40" x14ac:dyDescent="0.2">
      <c r="A70" s="16">
        <v>159</v>
      </c>
      <c r="B70" s="16" t="s">
        <v>172</v>
      </c>
      <c r="C70" s="16">
        <v>4.6703296703296704E-2</v>
      </c>
      <c r="D70" s="16"/>
      <c r="E70" s="16" t="s">
        <v>196</v>
      </c>
      <c r="F70" s="21">
        <v>364679002.69999999</v>
      </c>
      <c r="G70" s="16">
        <v>47784</v>
      </c>
      <c r="H70" s="16">
        <v>53178</v>
      </c>
      <c r="I70" s="16">
        <v>1163.1300000000001</v>
      </c>
      <c r="J70" s="16">
        <v>0.58756909999999996</v>
      </c>
      <c r="K70" s="16">
        <v>5.6652630000000002E-2</v>
      </c>
      <c r="L70" s="16">
        <v>0.72712478000000003</v>
      </c>
      <c r="M70" s="16">
        <v>1.55719E-3</v>
      </c>
      <c r="N70" s="16">
        <v>0.11751726999999999</v>
      </c>
      <c r="O70" s="16">
        <v>0.49435446500000002</v>
      </c>
      <c r="P70" s="16">
        <v>5.8571129999999999E-2</v>
      </c>
      <c r="Q70" s="16">
        <v>0.72807949000000005</v>
      </c>
      <c r="R70" s="16">
        <v>1.6098200000000001E-3</v>
      </c>
      <c r="S70" s="16">
        <v>0.12054088</v>
      </c>
      <c r="T70" s="16"/>
      <c r="U70" s="16"/>
      <c r="V70" s="16"/>
      <c r="W70" s="16"/>
      <c r="X70" s="16" t="s">
        <v>196</v>
      </c>
      <c r="Y70" s="16"/>
      <c r="AE70">
        <f t="shared" si="2"/>
        <v>0.41088748251748253</v>
      </c>
      <c r="AF70">
        <f t="shared" si="2"/>
        <v>3.961722377622378E-2</v>
      </c>
      <c r="AG70">
        <f t="shared" si="3"/>
        <v>0.72712478000000003</v>
      </c>
      <c r="AH70">
        <f t="shared" si="3"/>
        <v>1.55719E-3</v>
      </c>
      <c r="AI70">
        <f t="shared" si="3"/>
        <v>0.11751726999999999</v>
      </c>
      <c r="AJ70">
        <f t="shared" si="4"/>
        <v>0.4085574090909091</v>
      </c>
      <c r="AK70">
        <f t="shared" si="4"/>
        <v>4.8405892561983473E-2</v>
      </c>
      <c r="AL70">
        <f t="shared" si="5"/>
        <v>0.72807949000000005</v>
      </c>
      <c r="AM70">
        <f t="shared" si="5"/>
        <v>1.6098200000000001E-3</v>
      </c>
      <c r="AN70">
        <f t="shared" si="5"/>
        <v>0.12054088</v>
      </c>
    </row>
    <row r="71" spans="1:40" x14ac:dyDescent="0.2">
      <c r="A71" s="16">
        <v>160</v>
      </c>
      <c r="B71" s="16" t="s">
        <v>173</v>
      </c>
      <c r="C71" s="16">
        <v>8.6206896551724144E-2</v>
      </c>
      <c r="D71" s="16"/>
      <c r="E71" s="16" t="s">
        <v>196</v>
      </c>
      <c r="F71" s="21">
        <v>377127818.30000001</v>
      </c>
      <c r="G71" s="16">
        <v>47750</v>
      </c>
      <c r="H71" s="16">
        <v>53016</v>
      </c>
      <c r="I71" s="16">
        <v>1155.6300000000001</v>
      </c>
      <c r="J71" s="16">
        <v>0.69010576999999995</v>
      </c>
      <c r="K71" s="16">
        <v>7.6015200000000005E-2</v>
      </c>
      <c r="L71" s="16">
        <v>0.72944807</v>
      </c>
      <c r="M71" s="16">
        <v>3.30912E-3</v>
      </c>
      <c r="N71" s="16">
        <v>0.74000310999999996</v>
      </c>
      <c r="O71" s="16">
        <v>0.58062425399999995</v>
      </c>
      <c r="P71" s="16">
        <v>7.542306E-2</v>
      </c>
      <c r="Q71" s="16">
        <v>0.73040583000000003</v>
      </c>
      <c r="R71" s="16">
        <v>3.3377200000000002E-3</v>
      </c>
      <c r="S71" s="16">
        <v>0.63525111000000001</v>
      </c>
      <c r="T71" s="16"/>
      <c r="U71" s="16"/>
      <c r="V71" s="16"/>
      <c r="W71" s="16"/>
      <c r="X71" s="16" t="s">
        <v>196</v>
      </c>
      <c r="Y71" s="16"/>
      <c r="AE71">
        <f t="shared" si="2"/>
        <v>0.48259144755244754</v>
      </c>
      <c r="AF71">
        <f t="shared" si="2"/>
        <v>5.3157482517482521E-2</v>
      </c>
      <c r="AG71">
        <f t="shared" si="3"/>
        <v>0.72944807</v>
      </c>
      <c r="AH71">
        <f t="shared" si="3"/>
        <v>3.30912E-3</v>
      </c>
      <c r="AI71">
        <f t="shared" si="3"/>
        <v>0.74000310999999996</v>
      </c>
      <c r="AJ71">
        <f t="shared" si="4"/>
        <v>0.47985475537190081</v>
      </c>
      <c r="AK71">
        <f t="shared" si="4"/>
        <v>6.2333107438016531E-2</v>
      </c>
      <c r="AL71">
        <f t="shared" si="5"/>
        <v>0.73040583000000003</v>
      </c>
      <c r="AM71">
        <f t="shared" si="5"/>
        <v>3.3377200000000002E-3</v>
      </c>
      <c r="AN71">
        <f t="shared" si="5"/>
        <v>0.63525111000000001</v>
      </c>
    </row>
    <row r="72" spans="1:40" x14ac:dyDescent="0.2">
      <c r="A72" s="16">
        <v>161</v>
      </c>
      <c r="B72" s="16" t="s">
        <v>174</v>
      </c>
      <c r="C72" s="16">
        <v>4.9999999999999996E-2</v>
      </c>
      <c r="D72" s="16"/>
      <c r="E72" s="16" t="s">
        <v>196</v>
      </c>
      <c r="F72" s="21">
        <v>359839051.10000002</v>
      </c>
      <c r="G72" s="16">
        <v>47331</v>
      </c>
      <c r="H72" s="16">
        <v>53048</v>
      </c>
      <c r="I72" s="16">
        <v>1153.75</v>
      </c>
      <c r="J72" s="16">
        <v>0.91200926000000004</v>
      </c>
      <c r="K72" s="16">
        <v>1.0056057899999999</v>
      </c>
      <c r="L72" s="16">
        <v>0.72995301999999995</v>
      </c>
      <c r="M72" s="16">
        <v>1.125144E-2</v>
      </c>
      <c r="N72" s="16">
        <v>0.97899539999999996</v>
      </c>
      <c r="O72" s="16">
        <v>0.76732396199999997</v>
      </c>
      <c r="P72" s="16">
        <v>0.84771993999999995</v>
      </c>
      <c r="Q72" s="16">
        <v>0.73091143999999997</v>
      </c>
      <c r="R72" s="16">
        <v>1.127338E-2</v>
      </c>
      <c r="S72" s="16">
        <v>0.97690005999999996</v>
      </c>
      <c r="T72" s="16"/>
      <c r="U72" s="16"/>
      <c r="V72" s="16"/>
      <c r="W72" s="16"/>
      <c r="X72" s="16" t="s">
        <v>196</v>
      </c>
      <c r="Y72" s="16"/>
      <c r="AE72">
        <f t="shared" ref="AE72:AF114" si="6">J72/$AE$1</f>
        <v>0.63776871328671336</v>
      </c>
      <c r="AF72">
        <f t="shared" si="6"/>
        <v>0.70322083216783215</v>
      </c>
      <c r="AG72">
        <f t="shared" ref="AG72:AI114" si="7">L72</f>
        <v>0.72995301999999995</v>
      </c>
      <c r="AH72">
        <f t="shared" si="7"/>
        <v>1.125144E-2</v>
      </c>
      <c r="AI72">
        <f t="shared" si="7"/>
        <v>0.97899539999999996</v>
      </c>
      <c r="AJ72">
        <f t="shared" ref="AJ72:AK114" si="8">O72/$AJ$1</f>
        <v>0.63415203471074377</v>
      </c>
      <c r="AK72">
        <f t="shared" si="8"/>
        <v>0.70059499173553719</v>
      </c>
      <c r="AL72">
        <f t="shared" ref="AL72:AN114" si="9">Q72</f>
        <v>0.73091143999999997</v>
      </c>
      <c r="AM72">
        <f t="shared" si="9"/>
        <v>1.127338E-2</v>
      </c>
      <c r="AN72">
        <f t="shared" si="9"/>
        <v>0.97690005999999996</v>
      </c>
    </row>
    <row r="73" spans="1:40" x14ac:dyDescent="0.2">
      <c r="A73" s="16">
        <v>164</v>
      </c>
      <c r="B73" s="16" t="s">
        <v>175</v>
      </c>
      <c r="C73" s="16">
        <v>2.371134020618557E-2</v>
      </c>
      <c r="D73" s="16"/>
      <c r="E73" s="16" t="s">
        <v>196</v>
      </c>
      <c r="F73" s="21">
        <v>308697552.39999998</v>
      </c>
      <c r="G73" s="16">
        <v>47680</v>
      </c>
      <c r="H73" s="16">
        <v>53569</v>
      </c>
      <c r="I73" s="16">
        <v>1181.56</v>
      </c>
      <c r="J73" s="16">
        <v>0.40067679</v>
      </c>
      <c r="K73" s="16">
        <v>3.4755189999999998E-2</v>
      </c>
      <c r="L73" s="16">
        <v>0.72489510000000001</v>
      </c>
      <c r="M73" s="16">
        <v>1.3067300000000001E-3</v>
      </c>
      <c r="N73" s="16">
        <v>0.45899718</v>
      </c>
      <c r="O73" s="16">
        <v>0.34270510100000001</v>
      </c>
      <c r="P73" s="16">
        <v>3.6296210000000002E-2</v>
      </c>
      <c r="Q73" s="16">
        <v>0.72618417000000002</v>
      </c>
      <c r="R73" s="16">
        <v>1.4153E-3</v>
      </c>
      <c r="S73" s="16">
        <v>0.38558931000000002</v>
      </c>
      <c r="T73" s="16"/>
      <c r="U73" s="16"/>
      <c r="V73" s="16"/>
      <c r="W73" s="16"/>
      <c r="X73" s="16" t="s">
        <v>196</v>
      </c>
      <c r="Y73" s="16"/>
      <c r="AE73">
        <f t="shared" si="6"/>
        <v>0.28019355944055946</v>
      </c>
      <c r="AF73">
        <f t="shared" si="6"/>
        <v>2.430432867132867E-2</v>
      </c>
      <c r="AG73">
        <f t="shared" si="7"/>
        <v>0.72489510000000001</v>
      </c>
      <c r="AH73">
        <f t="shared" si="7"/>
        <v>1.3067300000000001E-3</v>
      </c>
      <c r="AI73">
        <f t="shared" si="7"/>
        <v>0.45899718</v>
      </c>
      <c r="AJ73">
        <f t="shared" si="8"/>
        <v>0.2832273561983471</v>
      </c>
      <c r="AK73">
        <f t="shared" si="8"/>
        <v>2.9996867768595045E-2</v>
      </c>
      <c r="AL73">
        <f t="shared" si="9"/>
        <v>0.72618417000000002</v>
      </c>
      <c r="AM73">
        <f t="shared" si="9"/>
        <v>1.4153E-3</v>
      </c>
      <c r="AN73">
        <f t="shared" si="9"/>
        <v>0.38558931000000002</v>
      </c>
    </row>
    <row r="74" spans="1:40" x14ac:dyDescent="0.2">
      <c r="A74" s="16">
        <v>165</v>
      </c>
      <c r="B74" s="16" t="s">
        <v>176</v>
      </c>
      <c r="C74" s="16">
        <v>3.4744842562432134E-2</v>
      </c>
      <c r="D74" s="16"/>
      <c r="E74" s="16" t="s">
        <v>196</v>
      </c>
      <c r="F74" s="21">
        <v>274628092.80000001</v>
      </c>
      <c r="G74" s="16">
        <v>47154</v>
      </c>
      <c r="H74" s="16">
        <v>53703</v>
      </c>
      <c r="I74" s="16">
        <v>1186.25</v>
      </c>
      <c r="J74" s="16">
        <v>1.6201394600000001</v>
      </c>
      <c r="K74" s="16">
        <v>1.3415727200000001</v>
      </c>
      <c r="L74" s="16">
        <v>0.74311108999999997</v>
      </c>
      <c r="M74" s="16">
        <v>1.9185600000000001E-2</v>
      </c>
      <c r="N74" s="16">
        <v>0.95566985999999998</v>
      </c>
      <c r="O74" s="16">
        <v>1.3857305259999999</v>
      </c>
      <c r="P74" s="16">
        <v>1.1505540299999999</v>
      </c>
      <c r="Q74" s="16">
        <v>0.74443254999999997</v>
      </c>
      <c r="R74" s="16">
        <v>1.9227629999999999E-2</v>
      </c>
      <c r="S74" s="16">
        <v>0.95307911000000001</v>
      </c>
      <c r="T74" s="16"/>
      <c r="U74" s="16"/>
      <c r="V74" s="16"/>
      <c r="W74" s="16"/>
      <c r="X74" s="16" t="s">
        <v>196</v>
      </c>
      <c r="Y74" s="16"/>
      <c r="AE74">
        <f t="shared" si="6"/>
        <v>1.1329646573426575</v>
      </c>
      <c r="AF74">
        <f t="shared" si="6"/>
        <v>0.93816274125874133</v>
      </c>
      <c r="AG74">
        <f t="shared" si="7"/>
        <v>0.74311108999999997</v>
      </c>
      <c r="AH74">
        <f t="shared" si="7"/>
        <v>1.9185600000000001E-2</v>
      </c>
      <c r="AI74">
        <f t="shared" si="7"/>
        <v>0.95566985999999998</v>
      </c>
      <c r="AJ74">
        <f t="shared" si="8"/>
        <v>1.1452318396694214</v>
      </c>
      <c r="AK74">
        <f t="shared" si="8"/>
        <v>0.95087109917355361</v>
      </c>
      <c r="AL74">
        <f t="shared" si="9"/>
        <v>0.74443254999999997</v>
      </c>
      <c r="AM74">
        <f t="shared" si="9"/>
        <v>1.9227629999999999E-2</v>
      </c>
      <c r="AN74">
        <f t="shared" si="9"/>
        <v>0.95307911000000001</v>
      </c>
    </row>
    <row r="75" spans="1:40" x14ac:dyDescent="0.2">
      <c r="A75" s="16">
        <v>166</v>
      </c>
      <c r="B75" s="16" t="s">
        <v>177</v>
      </c>
      <c r="C75" s="16">
        <v>9.4736842105263161E-2</v>
      </c>
      <c r="D75" s="16"/>
      <c r="E75" s="16" t="s">
        <v>196</v>
      </c>
      <c r="F75" s="21">
        <v>1296320052</v>
      </c>
      <c r="G75" s="16">
        <v>47458</v>
      </c>
      <c r="H75" s="16">
        <v>53861</v>
      </c>
      <c r="I75" s="16">
        <v>1142.19</v>
      </c>
      <c r="J75" s="16">
        <v>6.5074419999999994E-2</v>
      </c>
      <c r="K75" s="16">
        <v>1.5483490000000001E-2</v>
      </c>
      <c r="L75" s="16">
        <v>0.71736460000000002</v>
      </c>
      <c r="M75" s="16">
        <v>1.1041899999999999E-3</v>
      </c>
      <c r="N75" s="16">
        <v>0.49706423</v>
      </c>
      <c r="O75" s="16">
        <v>5.5659167000000002E-2</v>
      </c>
      <c r="P75" s="16">
        <v>1.3668400000000001E-2</v>
      </c>
      <c r="Q75" s="16">
        <v>0.71864028000000002</v>
      </c>
      <c r="R75" s="16">
        <v>1.22762E-3</v>
      </c>
      <c r="S75" s="16">
        <v>0.45259543000000002</v>
      </c>
      <c r="T75" s="16"/>
      <c r="U75" s="16"/>
      <c r="V75" s="16"/>
      <c r="W75" s="16"/>
      <c r="X75" s="16" t="s">
        <v>196</v>
      </c>
      <c r="Y75" s="16"/>
      <c r="AE75">
        <f t="shared" si="6"/>
        <v>4.550658741258741E-2</v>
      </c>
      <c r="AF75">
        <f t="shared" si="6"/>
        <v>1.0827615384615385E-2</v>
      </c>
      <c r="AG75">
        <f t="shared" si="7"/>
        <v>0.71736460000000002</v>
      </c>
      <c r="AH75">
        <f t="shared" si="7"/>
        <v>1.1041899999999999E-3</v>
      </c>
      <c r="AI75">
        <f t="shared" si="7"/>
        <v>0.49706423</v>
      </c>
      <c r="AJ75">
        <f t="shared" si="8"/>
        <v>4.599931157024794E-2</v>
      </c>
      <c r="AK75">
        <f t="shared" si="8"/>
        <v>1.1296198347107439E-2</v>
      </c>
      <c r="AL75">
        <f t="shared" si="9"/>
        <v>0.71864028000000002</v>
      </c>
      <c r="AM75">
        <f t="shared" si="9"/>
        <v>1.22762E-3</v>
      </c>
      <c r="AN75">
        <f t="shared" si="9"/>
        <v>0.45259543000000002</v>
      </c>
    </row>
    <row r="76" spans="1:40" x14ac:dyDescent="0.2">
      <c r="A76" s="16">
        <v>167</v>
      </c>
      <c r="B76" s="16" t="s">
        <v>178</v>
      </c>
      <c r="C76" s="16">
        <v>3.2873806998939555E-2</v>
      </c>
      <c r="D76" s="16"/>
      <c r="E76" s="16" t="s">
        <v>196</v>
      </c>
      <c r="F76" s="21">
        <v>362833977</v>
      </c>
      <c r="G76" s="16">
        <v>46608</v>
      </c>
      <c r="H76" s="16">
        <v>53624</v>
      </c>
      <c r="I76" s="16">
        <v>1148.44</v>
      </c>
      <c r="J76" s="16">
        <v>0.97835724000000002</v>
      </c>
      <c r="K76" s="16">
        <v>6.1095690000000001E-2</v>
      </c>
      <c r="L76" s="16">
        <v>0.73336630999999997</v>
      </c>
      <c r="M76" s="16">
        <v>3.2411900000000001E-3</v>
      </c>
      <c r="N76" s="16">
        <v>0.86550351000000003</v>
      </c>
      <c r="O76" s="16">
        <v>0.83680419500000003</v>
      </c>
      <c r="P76" s="16">
        <v>7.2916049999999996E-2</v>
      </c>
      <c r="Q76" s="16">
        <v>0.73467044000000004</v>
      </c>
      <c r="R76" s="16">
        <v>3.29226E-3</v>
      </c>
      <c r="S76" s="16">
        <v>0.63176677000000003</v>
      </c>
      <c r="T76" s="16"/>
      <c r="U76" s="16"/>
      <c r="V76" s="16"/>
      <c r="W76" s="16"/>
      <c r="X76" s="16" t="s">
        <v>196</v>
      </c>
      <c r="Y76" s="16"/>
      <c r="AE76">
        <f t="shared" si="6"/>
        <v>0.68416590209790218</v>
      </c>
      <c r="AF76">
        <f t="shared" si="6"/>
        <v>4.2724258741258743E-2</v>
      </c>
      <c r="AG76">
        <f t="shared" si="7"/>
        <v>0.73336630999999997</v>
      </c>
      <c r="AH76">
        <f t="shared" si="7"/>
        <v>3.2411900000000001E-3</v>
      </c>
      <c r="AI76">
        <f t="shared" si="7"/>
        <v>0.86550351000000003</v>
      </c>
      <c r="AJ76">
        <f t="shared" si="8"/>
        <v>0.69157371487603314</v>
      </c>
      <c r="AK76">
        <f t="shared" si="8"/>
        <v>6.0261198347107435E-2</v>
      </c>
      <c r="AL76">
        <f t="shared" si="9"/>
        <v>0.73467044000000004</v>
      </c>
      <c r="AM76">
        <f t="shared" si="9"/>
        <v>3.29226E-3</v>
      </c>
      <c r="AN76">
        <f t="shared" si="9"/>
        <v>0.63176677000000003</v>
      </c>
    </row>
    <row r="77" spans="1:40" x14ac:dyDescent="0.2">
      <c r="A77" s="16">
        <v>168</v>
      </c>
      <c r="B77" s="16" t="s">
        <v>179</v>
      </c>
      <c r="C77" s="16">
        <v>2.1641791044776117E-2</v>
      </c>
      <c r="D77" s="16"/>
      <c r="E77" s="16" t="s">
        <v>196</v>
      </c>
      <c r="F77" s="21">
        <v>470787513.69999999</v>
      </c>
      <c r="G77" s="16">
        <v>47388</v>
      </c>
      <c r="H77" s="16">
        <v>55256</v>
      </c>
      <c r="I77" s="16">
        <v>1148.44</v>
      </c>
      <c r="J77" s="16">
        <v>7.2733149999999996E-2</v>
      </c>
      <c r="K77" s="16">
        <v>5.0537400000000001E-3</v>
      </c>
      <c r="L77" s="16">
        <v>0.71590383000000002</v>
      </c>
      <c r="M77" s="16">
        <v>1.52926E-3</v>
      </c>
      <c r="N77" s="16">
        <v>0.48827124</v>
      </c>
      <c r="O77" s="16">
        <v>6.2209796999999997E-2</v>
      </c>
      <c r="P77" s="16">
        <v>5.7425499999999999E-3</v>
      </c>
      <c r="Q77" s="16">
        <v>0.71717690999999995</v>
      </c>
      <c r="R77" s="16">
        <v>1.6215100000000001E-3</v>
      </c>
      <c r="S77" s="16">
        <v>0.38471515000000001</v>
      </c>
      <c r="T77" s="16"/>
      <c r="U77" s="16"/>
      <c r="V77" s="16"/>
      <c r="W77" s="16"/>
      <c r="X77" s="16" t="s">
        <v>196</v>
      </c>
      <c r="Y77" s="16"/>
      <c r="AE77">
        <f t="shared" si="6"/>
        <v>5.0862342657342657E-2</v>
      </c>
      <c r="AF77">
        <f t="shared" si="6"/>
        <v>3.5340839160839166E-3</v>
      </c>
      <c r="AG77">
        <f t="shared" si="7"/>
        <v>0.71590383000000002</v>
      </c>
      <c r="AH77">
        <f t="shared" si="7"/>
        <v>1.52926E-3</v>
      </c>
      <c r="AI77">
        <f t="shared" si="7"/>
        <v>0.48827124</v>
      </c>
      <c r="AJ77">
        <f t="shared" si="8"/>
        <v>5.1413055371900829E-2</v>
      </c>
      <c r="AK77">
        <f t="shared" si="8"/>
        <v>4.7459090909090906E-3</v>
      </c>
      <c r="AL77">
        <f t="shared" si="9"/>
        <v>0.71717690999999995</v>
      </c>
      <c r="AM77">
        <f t="shared" si="9"/>
        <v>1.6215100000000001E-3</v>
      </c>
      <c r="AN77">
        <f t="shared" si="9"/>
        <v>0.38471515000000001</v>
      </c>
    </row>
    <row r="78" spans="1:40" x14ac:dyDescent="0.2">
      <c r="A78" s="16">
        <v>171</v>
      </c>
      <c r="B78" s="16" t="s">
        <v>180</v>
      </c>
      <c r="C78" s="16">
        <v>3.4180543382997371E-2</v>
      </c>
      <c r="D78" s="16"/>
      <c r="E78" s="16" t="s">
        <v>196</v>
      </c>
      <c r="F78" s="21">
        <v>728053769</v>
      </c>
      <c r="G78" s="16">
        <v>47536</v>
      </c>
      <c r="H78" s="16">
        <v>55552</v>
      </c>
      <c r="I78" s="16">
        <v>1177.81</v>
      </c>
      <c r="J78" s="16">
        <v>5.5075319999999997E-2</v>
      </c>
      <c r="K78" s="16">
        <v>2.1663899999999998E-3</v>
      </c>
      <c r="L78" s="16">
        <v>0.70732432000000001</v>
      </c>
      <c r="M78" s="16">
        <v>8.6720999999999999E-4</v>
      </c>
      <c r="N78" s="16">
        <v>0.18101956999999999</v>
      </c>
      <c r="O78" s="16">
        <v>4.5974718999999997E-2</v>
      </c>
      <c r="P78" s="16">
        <v>3.5978999999999998E-3</v>
      </c>
      <c r="Q78" s="16">
        <v>0.70853697000000004</v>
      </c>
      <c r="R78" s="16">
        <v>9.6099E-4</v>
      </c>
      <c r="S78" s="16">
        <v>8.0964110000000006E-2</v>
      </c>
      <c r="T78" s="16"/>
      <c r="U78" s="16"/>
      <c r="V78" s="16"/>
      <c r="W78" s="16"/>
      <c r="X78" s="16" t="s">
        <v>196</v>
      </c>
      <c r="Y78" s="16"/>
      <c r="AE78">
        <f t="shared" si="6"/>
        <v>3.8514209790209787E-2</v>
      </c>
      <c r="AF78">
        <f t="shared" si="6"/>
        <v>1.5149580419580419E-3</v>
      </c>
      <c r="AG78">
        <f t="shared" si="7"/>
        <v>0.70732432000000001</v>
      </c>
      <c r="AH78">
        <f t="shared" si="7"/>
        <v>8.6720999999999999E-4</v>
      </c>
      <c r="AI78">
        <f t="shared" si="7"/>
        <v>0.18101956999999999</v>
      </c>
      <c r="AJ78">
        <f t="shared" si="8"/>
        <v>3.7995635537190084E-2</v>
      </c>
      <c r="AK78">
        <f t="shared" si="8"/>
        <v>2.9734710743801653E-3</v>
      </c>
      <c r="AL78">
        <f t="shared" si="9"/>
        <v>0.70853697000000004</v>
      </c>
      <c r="AM78">
        <f t="shared" si="9"/>
        <v>9.6099E-4</v>
      </c>
      <c r="AN78">
        <f t="shared" si="9"/>
        <v>8.0964110000000006E-2</v>
      </c>
    </row>
    <row r="79" spans="1:40" x14ac:dyDescent="0.2">
      <c r="A79" s="16">
        <v>172</v>
      </c>
      <c r="B79" s="16" t="s">
        <v>181</v>
      </c>
      <c r="C79" s="16">
        <v>9.6510764662212315E-3</v>
      </c>
      <c r="D79" s="16"/>
      <c r="E79" s="16" t="s">
        <v>196</v>
      </c>
      <c r="F79" s="21">
        <v>521068327.10000002</v>
      </c>
      <c r="G79" s="16">
        <v>47501</v>
      </c>
      <c r="H79" s="16">
        <v>55986</v>
      </c>
      <c r="I79" s="16">
        <v>1184.69</v>
      </c>
      <c r="J79" s="16">
        <v>5.6733440000000003E-2</v>
      </c>
      <c r="K79" s="16">
        <v>2.9273400000000001E-3</v>
      </c>
      <c r="L79" s="16">
        <v>0.70945440999999998</v>
      </c>
      <c r="M79" s="16">
        <v>9.7923999999999993E-4</v>
      </c>
      <c r="N79" s="16">
        <v>0.82585713999999999</v>
      </c>
      <c r="O79" s="16">
        <v>4.7358855999999998E-2</v>
      </c>
      <c r="P79" s="16">
        <v>4.0295399999999999E-3</v>
      </c>
      <c r="Q79" s="16">
        <v>0.71067071000000004</v>
      </c>
      <c r="R79" s="16">
        <v>1.0639899999999999E-3</v>
      </c>
      <c r="S79" s="16">
        <v>0.46064928999999999</v>
      </c>
      <c r="T79" s="16"/>
      <c r="U79" s="16"/>
      <c r="V79" s="16"/>
      <c r="W79" s="16"/>
      <c r="X79" s="16" t="s">
        <v>196</v>
      </c>
      <c r="Y79" s="16"/>
      <c r="AE79">
        <f t="shared" si="6"/>
        <v>3.967373426573427E-2</v>
      </c>
      <c r="AF79">
        <f t="shared" si="6"/>
        <v>2.0470909090909094E-3</v>
      </c>
      <c r="AG79">
        <f t="shared" si="7"/>
        <v>0.70945440999999998</v>
      </c>
      <c r="AH79">
        <f t="shared" si="7"/>
        <v>9.7923999999999993E-4</v>
      </c>
      <c r="AI79">
        <f t="shared" si="7"/>
        <v>0.82585713999999999</v>
      </c>
      <c r="AJ79">
        <f t="shared" si="8"/>
        <v>3.9139550413223138E-2</v>
      </c>
      <c r="AK79">
        <f t="shared" si="8"/>
        <v>3.3301983471074382E-3</v>
      </c>
      <c r="AL79">
        <f t="shared" si="9"/>
        <v>0.71067071000000004</v>
      </c>
      <c r="AM79">
        <f t="shared" si="9"/>
        <v>1.0639899999999999E-3</v>
      </c>
      <c r="AN79">
        <f t="shared" si="9"/>
        <v>0.46064928999999999</v>
      </c>
    </row>
    <row r="80" spans="1:40" x14ac:dyDescent="0.2">
      <c r="A80" s="16">
        <v>173</v>
      </c>
      <c r="B80" s="16" t="s">
        <v>182</v>
      </c>
      <c r="C80" s="16">
        <v>4.4701986754966887E-2</v>
      </c>
      <c r="D80" s="16"/>
      <c r="E80" s="16" t="s">
        <v>196</v>
      </c>
      <c r="F80" s="21">
        <v>460754584.19999999</v>
      </c>
      <c r="G80" s="16">
        <v>47970</v>
      </c>
      <c r="H80" s="16">
        <v>56346</v>
      </c>
      <c r="I80" s="16">
        <v>1185</v>
      </c>
      <c r="J80" s="16">
        <v>6.5988939999999996E-2</v>
      </c>
      <c r="K80" s="16">
        <v>7.9897900000000001E-3</v>
      </c>
      <c r="L80" s="16">
        <v>0.71370771</v>
      </c>
      <c r="M80" s="16">
        <v>3.5797999999999998E-4</v>
      </c>
      <c r="N80" s="16">
        <v>-0.1954697</v>
      </c>
      <c r="O80" s="16">
        <v>5.5084985000000003E-2</v>
      </c>
      <c r="P80" s="16">
        <v>7.6401400000000001E-3</v>
      </c>
      <c r="Q80" s="16">
        <v>0.71493130000000005</v>
      </c>
      <c r="R80" s="16">
        <v>5.4819999999999999E-4</v>
      </c>
      <c r="S80" s="16">
        <v>-0.1129004</v>
      </c>
      <c r="T80" s="16"/>
      <c r="U80" s="16"/>
      <c r="V80" s="16"/>
      <c r="W80" s="16"/>
      <c r="X80" s="16" t="s">
        <v>196</v>
      </c>
      <c r="Y80" s="16"/>
      <c r="AE80">
        <f t="shared" si="6"/>
        <v>4.6146111888111886E-2</v>
      </c>
      <c r="AF80">
        <f t="shared" si="6"/>
        <v>5.5872657342657343E-3</v>
      </c>
      <c r="AG80">
        <f t="shared" si="7"/>
        <v>0.71370771</v>
      </c>
      <c r="AH80">
        <f t="shared" si="7"/>
        <v>3.5797999999999998E-4</v>
      </c>
      <c r="AI80">
        <f t="shared" si="7"/>
        <v>-0.1954697</v>
      </c>
      <c r="AJ80">
        <f t="shared" si="8"/>
        <v>4.5524780991735542E-2</v>
      </c>
      <c r="AK80">
        <f t="shared" si="8"/>
        <v>6.3141652892561989E-3</v>
      </c>
      <c r="AL80">
        <f t="shared" si="9"/>
        <v>0.71493130000000005</v>
      </c>
      <c r="AM80">
        <f t="shared" si="9"/>
        <v>5.4819999999999999E-4</v>
      </c>
      <c r="AN80">
        <f t="shared" si="9"/>
        <v>-0.1129004</v>
      </c>
    </row>
    <row r="81" spans="1:42" x14ac:dyDescent="0.2">
      <c r="A81" s="16">
        <v>174</v>
      </c>
      <c r="B81" s="16" t="s">
        <v>183</v>
      </c>
      <c r="C81" s="16">
        <v>1.1310084825636193E-2</v>
      </c>
      <c r="D81" s="16"/>
      <c r="E81" s="16" t="s">
        <v>196</v>
      </c>
      <c r="F81" s="21">
        <v>481068735.60000002</v>
      </c>
      <c r="G81" s="16">
        <v>48324</v>
      </c>
      <c r="H81" s="16">
        <v>55803</v>
      </c>
      <c r="I81" s="16">
        <v>1169.06</v>
      </c>
      <c r="J81" s="16">
        <v>5.5802730000000002E-2</v>
      </c>
      <c r="K81" s="16">
        <v>5.66118E-3</v>
      </c>
      <c r="L81" s="16">
        <v>0.71541350000000004</v>
      </c>
      <c r="M81" s="16">
        <v>6.6872000000000003E-4</v>
      </c>
      <c r="N81" s="16">
        <v>-0.22580310000000001</v>
      </c>
      <c r="O81" s="16">
        <v>4.6581940000000002E-2</v>
      </c>
      <c r="P81" s="16">
        <v>5.68017E-3</v>
      </c>
      <c r="Q81" s="16">
        <v>0.71664000999999999</v>
      </c>
      <c r="R81" s="16">
        <v>7.8834E-4</v>
      </c>
      <c r="S81" s="16">
        <v>-0.16064519999999999</v>
      </c>
      <c r="T81" s="16"/>
      <c r="U81" s="16"/>
      <c r="V81" s="16"/>
      <c r="W81" s="16"/>
      <c r="X81" s="16" t="s">
        <v>196</v>
      </c>
      <c r="Y81" s="16"/>
      <c r="AE81">
        <f t="shared" si="6"/>
        <v>3.9022888111888115E-2</v>
      </c>
      <c r="AF81">
        <f t="shared" si="6"/>
        <v>3.9588671328671327E-3</v>
      </c>
      <c r="AG81">
        <f t="shared" si="7"/>
        <v>0.71541350000000004</v>
      </c>
      <c r="AH81">
        <f t="shared" si="7"/>
        <v>6.6872000000000003E-4</v>
      </c>
      <c r="AI81">
        <f t="shared" si="7"/>
        <v>-0.22580310000000001</v>
      </c>
      <c r="AJ81">
        <f t="shared" si="8"/>
        <v>3.8497471074380167E-2</v>
      </c>
      <c r="AK81">
        <f t="shared" si="8"/>
        <v>4.6943553719008269E-3</v>
      </c>
      <c r="AL81">
        <f t="shared" si="9"/>
        <v>0.71664000999999999</v>
      </c>
      <c r="AM81">
        <f t="shared" si="9"/>
        <v>7.8834E-4</v>
      </c>
      <c r="AN81">
        <f t="shared" si="9"/>
        <v>-0.16064519999999999</v>
      </c>
    </row>
    <row r="82" spans="1:42" x14ac:dyDescent="0.2">
      <c r="A82" s="16">
        <v>175</v>
      </c>
      <c r="B82" s="16" t="s">
        <v>184</v>
      </c>
      <c r="C82" s="16">
        <v>3.2402234636871509E-2</v>
      </c>
      <c r="D82" s="16"/>
      <c r="E82" s="16" t="s">
        <v>196</v>
      </c>
      <c r="F82" s="21">
        <v>406184004.60000002</v>
      </c>
      <c r="G82" s="16">
        <v>48078</v>
      </c>
      <c r="H82" s="16">
        <v>55255</v>
      </c>
      <c r="I82" s="16">
        <v>1180.31</v>
      </c>
      <c r="J82" s="16">
        <v>0.17316277999999999</v>
      </c>
      <c r="K82" s="16">
        <v>1.156307E-2</v>
      </c>
      <c r="L82" s="16">
        <v>0.71927673000000003</v>
      </c>
      <c r="M82" s="16">
        <v>2.1068900000000002E-3</v>
      </c>
      <c r="N82" s="16">
        <v>0.68411193999999997</v>
      </c>
      <c r="O82" s="16">
        <v>0.14454951799999999</v>
      </c>
      <c r="P82" s="16">
        <v>1.374066E-2</v>
      </c>
      <c r="Q82" s="16">
        <v>0.72050987</v>
      </c>
      <c r="R82" s="16">
        <v>2.1514699999999999E-3</v>
      </c>
      <c r="S82" s="16">
        <v>0.47093587999999997</v>
      </c>
      <c r="T82" s="16"/>
      <c r="U82" s="16"/>
      <c r="V82" s="16"/>
      <c r="W82" s="16"/>
      <c r="X82" s="16" t="s">
        <v>196</v>
      </c>
      <c r="Y82" s="16"/>
      <c r="AE82">
        <f t="shared" si="6"/>
        <v>0.12109285314685314</v>
      </c>
      <c r="AF82">
        <f t="shared" si="6"/>
        <v>8.0860629370629374E-3</v>
      </c>
      <c r="AG82">
        <f t="shared" si="7"/>
        <v>0.71927673000000003</v>
      </c>
      <c r="AH82">
        <f t="shared" si="7"/>
        <v>2.1068900000000002E-3</v>
      </c>
      <c r="AI82">
        <f t="shared" si="7"/>
        <v>0.68411193999999997</v>
      </c>
      <c r="AJ82">
        <f t="shared" si="8"/>
        <v>0.11946241157024792</v>
      </c>
      <c r="AK82">
        <f t="shared" si="8"/>
        <v>1.13559173553719E-2</v>
      </c>
      <c r="AL82">
        <f t="shared" si="9"/>
        <v>0.72050987</v>
      </c>
      <c r="AM82">
        <f t="shared" si="9"/>
        <v>2.1514699999999999E-3</v>
      </c>
      <c r="AN82">
        <f t="shared" si="9"/>
        <v>0.47093587999999997</v>
      </c>
    </row>
    <row r="83" spans="1:42" x14ac:dyDescent="0.2">
      <c r="A83" s="16">
        <v>178</v>
      </c>
      <c r="B83" s="16" t="s">
        <v>185</v>
      </c>
      <c r="C83" s="16">
        <v>2.6785714285714288E-2</v>
      </c>
      <c r="D83" s="16"/>
      <c r="E83" s="16" t="s">
        <v>196</v>
      </c>
      <c r="F83" s="21">
        <v>621901783.20000005</v>
      </c>
      <c r="G83" s="16">
        <v>48001</v>
      </c>
      <c r="H83" s="16">
        <v>55792</v>
      </c>
      <c r="I83" s="16">
        <v>1181.25</v>
      </c>
      <c r="J83" s="16">
        <v>5.6262609999999998E-2</v>
      </c>
      <c r="K83" s="16">
        <v>5.1665799999999996E-3</v>
      </c>
      <c r="L83" s="16">
        <v>0.71161048000000005</v>
      </c>
      <c r="M83" s="16">
        <v>1.1242400000000001E-3</v>
      </c>
      <c r="N83" s="16">
        <v>0.50664432999999998</v>
      </c>
      <c r="O83" s="16">
        <v>4.6374485E-2</v>
      </c>
      <c r="P83" s="16">
        <v>5.3721999999999997E-3</v>
      </c>
      <c r="Q83" s="16">
        <v>0.71256147999999997</v>
      </c>
      <c r="R83" s="16">
        <v>1.1363899999999999E-3</v>
      </c>
      <c r="S83" s="16">
        <v>0.38213149000000002</v>
      </c>
      <c r="T83" s="16"/>
      <c r="U83" s="16"/>
      <c r="V83" s="16"/>
      <c r="W83" s="16"/>
      <c r="X83" s="16" t="s">
        <v>196</v>
      </c>
      <c r="Y83" s="16"/>
      <c r="AE83">
        <f t="shared" si="6"/>
        <v>3.9344482517482515E-2</v>
      </c>
      <c r="AF83">
        <f t="shared" si="6"/>
        <v>3.612993006993007E-3</v>
      </c>
      <c r="AG83">
        <f t="shared" si="7"/>
        <v>0.71161048000000005</v>
      </c>
      <c r="AH83">
        <f t="shared" si="7"/>
        <v>1.1242400000000001E-3</v>
      </c>
      <c r="AI83">
        <f t="shared" si="7"/>
        <v>0.50664432999999998</v>
      </c>
      <c r="AJ83">
        <f t="shared" si="8"/>
        <v>3.8326020661157027E-2</v>
      </c>
      <c r="AK83">
        <f t="shared" si="8"/>
        <v>4.4398347107438016E-3</v>
      </c>
      <c r="AL83">
        <f t="shared" si="9"/>
        <v>0.71256147999999997</v>
      </c>
      <c r="AM83">
        <f t="shared" si="9"/>
        <v>1.1363899999999999E-3</v>
      </c>
      <c r="AN83">
        <f t="shared" si="9"/>
        <v>0.38213149000000002</v>
      </c>
    </row>
    <row r="84" spans="1:42" x14ac:dyDescent="0.2">
      <c r="A84" s="16">
        <v>3</v>
      </c>
      <c r="B84" s="16" t="s">
        <v>197</v>
      </c>
      <c r="C84" s="16">
        <v>1.5602536997885834</v>
      </c>
      <c r="D84" s="16"/>
      <c r="E84" s="16" t="s">
        <v>228</v>
      </c>
      <c r="F84" s="21">
        <v>306105433.5</v>
      </c>
      <c r="G84" s="16">
        <v>55626</v>
      </c>
      <c r="H84" s="16">
        <v>48389</v>
      </c>
      <c r="I84" s="16">
        <v>1366.25</v>
      </c>
      <c r="J84" s="16">
        <v>5.4605079500000002</v>
      </c>
      <c r="K84" s="16">
        <v>0.32566917000000001</v>
      </c>
      <c r="L84" s="16">
        <v>0.84109668000000004</v>
      </c>
      <c r="M84" s="16">
        <v>3.8638399999999999E-3</v>
      </c>
      <c r="N84" s="16">
        <v>0.28787650999999997</v>
      </c>
      <c r="O84" s="16">
        <v>5.1113407479999999</v>
      </c>
      <c r="P84" s="16">
        <v>0.41648579000000002</v>
      </c>
      <c r="Q84" s="16">
        <v>0.84526652999999996</v>
      </c>
      <c r="R84" s="16">
        <v>3.8706399999999998E-3</v>
      </c>
      <c r="S84" s="16">
        <v>0.21250168999999999</v>
      </c>
      <c r="T84" s="16"/>
      <c r="U84" s="16"/>
      <c r="V84" s="16"/>
      <c r="W84" s="16"/>
      <c r="X84" s="16" t="s">
        <v>228</v>
      </c>
      <c r="Y84" s="16"/>
      <c r="AE84">
        <f t="shared" si="6"/>
        <v>3.8185370279720283</v>
      </c>
      <c r="AF84">
        <f t="shared" si="6"/>
        <v>0.22774067832167832</v>
      </c>
      <c r="AG84">
        <f t="shared" si="7"/>
        <v>0.84109668000000004</v>
      </c>
      <c r="AH84">
        <f t="shared" si="7"/>
        <v>3.8638399999999999E-3</v>
      </c>
      <c r="AI84">
        <f t="shared" si="7"/>
        <v>0.28787650999999997</v>
      </c>
      <c r="AJ84">
        <f t="shared" si="8"/>
        <v>4.2242485520661157</v>
      </c>
      <c r="AK84">
        <f t="shared" si="8"/>
        <v>0.34420313223140497</v>
      </c>
      <c r="AL84">
        <f t="shared" si="9"/>
        <v>0.84526652999999996</v>
      </c>
      <c r="AM84">
        <f t="shared" si="9"/>
        <v>3.8706399999999998E-3</v>
      </c>
      <c r="AN84">
        <f t="shared" si="9"/>
        <v>0.21250168999999999</v>
      </c>
    </row>
    <row r="85" spans="1:42" x14ac:dyDescent="0.2">
      <c r="A85" s="16">
        <v>4</v>
      </c>
      <c r="B85" s="16" t="s">
        <v>198</v>
      </c>
      <c r="C85" s="16">
        <v>1.2779552715654953E-2</v>
      </c>
      <c r="D85" s="16"/>
      <c r="E85" s="16" t="s">
        <v>228</v>
      </c>
      <c r="F85" s="21">
        <v>172953801.80000001</v>
      </c>
      <c r="G85" s="16">
        <v>55677</v>
      </c>
      <c r="H85" s="16">
        <v>48297</v>
      </c>
      <c r="I85" s="16">
        <v>1366.25</v>
      </c>
      <c r="J85" s="16">
        <v>0.75748353999999996</v>
      </c>
      <c r="K85" s="16">
        <v>0.13003397</v>
      </c>
      <c r="L85" s="16">
        <v>0.7298692</v>
      </c>
      <c r="M85" s="16">
        <v>3.17535E-3</v>
      </c>
      <c r="N85" s="16">
        <v>0.49511230000000001</v>
      </c>
      <c r="O85" s="16">
        <v>0.70904694300000004</v>
      </c>
      <c r="P85" s="16">
        <v>0.12792654000000001</v>
      </c>
      <c r="Q85" s="16">
        <v>0.73348762999999995</v>
      </c>
      <c r="R85" s="16">
        <v>3.1797700000000002E-3</v>
      </c>
      <c r="S85" s="16">
        <v>0.47329921000000003</v>
      </c>
      <c r="T85" s="16"/>
      <c r="U85" s="16"/>
      <c r="V85" s="16"/>
      <c r="W85" s="16"/>
      <c r="X85" s="16" t="s">
        <v>228</v>
      </c>
      <c r="Y85" s="16"/>
      <c r="AE85">
        <f t="shared" si="6"/>
        <v>0.52970876923076926</v>
      </c>
      <c r="AF85">
        <f t="shared" si="6"/>
        <v>9.0932846153846156E-2</v>
      </c>
      <c r="AG85">
        <f t="shared" si="7"/>
        <v>0.7298692</v>
      </c>
      <c r="AH85">
        <f t="shared" si="7"/>
        <v>3.17535E-3</v>
      </c>
      <c r="AI85">
        <f t="shared" si="7"/>
        <v>0.49511230000000001</v>
      </c>
      <c r="AJ85">
        <f t="shared" si="8"/>
        <v>0.58598920909090912</v>
      </c>
      <c r="AK85">
        <f t="shared" si="8"/>
        <v>0.10572441322314051</v>
      </c>
      <c r="AL85">
        <f t="shared" si="9"/>
        <v>0.73348762999999995</v>
      </c>
      <c r="AM85">
        <f t="shared" si="9"/>
        <v>3.1797700000000002E-3</v>
      </c>
      <c r="AN85">
        <f t="shared" si="9"/>
        <v>0.47329921000000003</v>
      </c>
    </row>
    <row r="86" spans="1:42" x14ac:dyDescent="0.2">
      <c r="A86" s="16">
        <v>5</v>
      </c>
      <c r="B86" s="16" t="s">
        <v>199</v>
      </c>
      <c r="C86" s="16">
        <v>1.7270742358078603</v>
      </c>
      <c r="D86" s="16"/>
      <c r="E86" s="16" t="s">
        <v>228</v>
      </c>
      <c r="F86" s="21">
        <v>512012195.69999999</v>
      </c>
      <c r="G86" s="16">
        <v>55526</v>
      </c>
      <c r="H86" s="16">
        <v>48291</v>
      </c>
      <c r="I86" s="16">
        <v>1366.25</v>
      </c>
      <c r="J86" s="16">
        <v>2.5564639900000001</v>
      </c>
      <c r="K86" s="16">
        <v>1.2105056300000001</v>
      </c>
      <c r="L86" s="16">
        <v>0.77563314999999999</v>
      </c>
      <c r="M86" s="16">
        <v>2.253171E-2</v>
      </c>
      <c r="N86" s="16">
        <v>0.98312758</v>
      </c>
      <c r="O86" s="16">
        <v>2.3929932329999999</v>
      </c>
      <c r="P86" s="16">
        <v>1.14086322</v>
      </c>
      <c r="Q86" s="16">
        <v>0.77947845999999998</v>
      </c>
      <c r="R86" s="16">
        <v>2.264161E-2</v>
      </c>
      <c r="S86" s="16">
        <v>0.97654627000000005</v>
      </c>
      <c r="T86" s="16"/>
      <c r="U86" s="16"/>
      <c r="V86" s="16"/>
      <c r="W86" s="16"/>
      <c r="X86" s="16" t="s">
        <v>228</v>
      </c>
      <c r="Y86" s="16"/>
      <c r="AE86">
        <f t="shared" si="6"/>
        <v>1.7877370559440562</v>
      </c>
      <c r="AF86">
        <f t="shared" si="6"/>
        <v>0.84650743356643365</v>
      </c>
      <c r="AG86">
        <f t="shared" si="7"/>
        <v>0.77563314999999999</v>
      </c>
      <c r="AH86">
        <f t="shared" si="7"/>
        <v>2.253171E-2</v>
      </c>
      <c r="AI86">
        <f t="shared" si="7"/>
        <v>0.98312758</v>
      </c>
      <c r="AJ86">
        <f t="shared" si="8"/>
        <v>1.9776803578512396</v>
      </c>
      <c r="AK86">
        <f t="shared" si="8"/>
        <v>0.94286216528925615</v>
      </c>
      <c r="AL86">
        <f t="shared" si="9"/>
        <v>0.77947845999999998</v>
      </c>
      <c r="AM86">
        <f t="shared" si="9"/>
        <v>2.264161E-2</v>
      </c>
      <c r="AN86">
        <f t="shared" si="9"/>
        <v>0.97654627000000005</v>
      </c>
    </row>
    <row r="87" spans="1:42" x14ac:dyDescent="0.2">
      <c r="A87" s="16">
        <v>6</v>
      </c>
      <c r="B87" s="16" t="s">
        <v>200</v>
      </c>
      <c r="C87" s="16">
        <v>2.6643356643356646</v>
      </c>
      <c r="D87" s="16"/>
      <c r="E87" s="16" t="s">
        <v>228</v>
      </c>
      <c r="F87" s="21">
        <v>263917950</v>
      </c>
      <c r="G87" s="16">
        <v>56279</v>
      </c>
      <c r="H87" s="16">
        <v>50551</v>
      </c>
      <c r="I87" s="16">
        <v>1423.13</v>
      </c>
      <c r="J87" s="16">
        <v>7.9155650499999997</v>
      </c>
      <c r="K87" s="16">
        <v>0.38091865000000003</v>
      </c>
      <c r="L87" s="16">
        <v>0.89332230999999995</v>
      </c>
      <c r="M87" s="16">
        <v>6.5727499999999996E-3</v>
      </c>
      <c r="N87" s="16">
        <v>0.72605790999999997</v>
      </c>
      <c r="O87" s="16">
        <v>7.4094114690000001</v>
      </c>
      <c r="P87" s="16">
        <v>0.54438752999999995</v>
      </c>
      <c r="Q87" s="16">
        <v>0.89775108000000003</v>
      </c>
      <c r="R87" s="16">
        <v>6.5971500000000004E-3</v>
      </c>
      <c r="S87" s="16">
        <v>0.47691466999999998</v>
      </c>
      <c r="T87" s="16"/>
      <c r="U87" s="16"/>
      <c r="V87" s="16"/>
      <c r="W87" s="16"/>
      <c r="X87" s="16" t="s">
        <v>228</v>
      </c>
      <c r="Y87" s="16"/>
      <c r="AE87">
        <f t="shared" si="6"/>
        <v>5.5353601748251746</v>
      </c>
      <c r="AF87">
        <f t="shared" si="6"/>
        <v>0.26637667832167833</v>
      </c>
      <c r="AG87">
        <f t="shared" si="7"/>
        <v>0.89332230999999995</v>
      </c>
      <c r="AH87">
        <f t="shared" si="7"/>
        <v>6.5727499999999996E-3</v>
      </c>
      <c r="AI87">
        <f t="shared" si="7"/>
        <v>0.72605790999999997</v>
      </c>
      <c r="AJ87">
        <f t="shared" si="8"/>
        <v>6.1234805528925627</v>
      </c>
      <c r="AK87">
        <f t="shared" si="8"/>
        <v>0.44990704958677685</v>
      </c>
      <c r="AL87">
        <f t="shared" si="9"/>
        <v>0.89775108000000003</v>
      </c>
      <c r="AM87">
        <f t="shared" si="9"/>
        <v>6.5971500000000004E-3</v>
      </c>
      <c r="AN87">
        <f t="shared" si="9"/>
        <v>0.47691466999999998</v>
      </c>
      <c r="AP87" t="s">
        <v>279</v>
      </c>
    </row>
    <row r="88" spans="1:42" x14ac:dyDescent="0.2">
      <c r="A88" s="16">
        <v>7</v>
      </c>
      <c r="B88" s="16" t="s">
        <v>201</v>
      </c>
      <c r="C88" s="16">
        <v>6.8630952380952381</v>
      </c>
      <c r="D88" s="16"/>
      <c r="E88" s="16" t="s">
        <v>228</v>
      </c>
      <c r="F88" s="21">
        <v>288081537.10000002</v>
      </c>
      <c r="G88" s="16">
        <v>56377</v>
      </c>
      <c r="H88" s="16">
        <v>50617</v>
      </c>
      <c r="I88" s="16">
        <v>1423.13</v>
      </c>
      <c r="J88" s="16">
        <v>9.4222885400000003</v>
      </c>
      <c r="K88" s="16">
        <v>0.57860889000000004</v>
      </c>
      <c r="L88" s="16">
        <v>0.95719261</v>
      </c>
      <c r="M88" s="16">
        <v>1.330868E-2</v>
      </c>
      <c r="N88" s="16">
        <v>0.82545924999999998</v>
      </c>
      <c r="O88" s="16">
        <v>8.8197888990000006</v>
      </c>
      <c r="P88" s="16">
        <v>0.73014904000000003</v>
      </c>
      <c r="Q88" s="16">
        <v>0.96193803</v>
      </c>
      <c r="R88" s="16">
        <v>1.337002E-2</v>
      </c>
      <c r="S88" s="16">
        <v>0.61288498000000002</v>
      </c>
      <c r="T88" s="16"/>
      <c r="U88" s="16"/>
      <c r="V88" s="16"/>
      <c r="W88" s="16"/>
      <c r="X88" s="16" t="s">
        <v>228</v>
      </c>
      <c r="Y88" s="16"/>
      <c r="AE88">
        <f t="shared" si="6"/>
        <v>6.5890129650349651</v>
      </c>
      <c r="AF88">
        <f t="shared" si="6"/>
        <v>0.40462160139860143</v>
      </c>
      <c r="AG88">
        <f t="shared" si="7"/>
        <v>0.95719261</v>
      </c>
      <c r="AH88">
        <f t="shared" si="7"/>
        <v>1.330868E-2</v>
      </c>
      <c r="AI88">
        <f t="shared" si="7"/>
        <v>0.82545924999999998</v>
      </c>
      <c r="AJ88">
        <f t="shared" si="8"/>
        <v>7.2890817347107442</v>
      </c>
      <c r="AK88">
        <f t="shared" si="8"/>
        <v>0.60342895867768598</v>
      </c>
      <c r="AL88">
        <f t="shared" si="9"/>
        <v>0.96193803</v>
      </c>
      <c r="AM88">
        <f t="shared" si="9"/>
        <v>1.337002E-2</v>
      </c>
      <c r="AN88">
        <f t="shared" si="9"/>
        <v>0.61288498000000002</v>
      </c>
      <c r="AP88" t="s">
        <v>279</v>
      </c>
    </row>
    <row r="89" spans="1:42" x14ac:dyDescent="0.2">
      <c r="A89" s="16">
        <v>10</v>
      </c>
      <c r="B89" s="16" t="s">
        <v>202</v>
      </c>
      <c r="C89" s="16">
        <v>4.9389312977099236</v>
      </c>
      <c r="D89" s="16"/>
      <c r="E89" s="16" t="s">
        <v>228</v>
      </c>
      <c r="F89" s="21">
        <v>302015084.69999999</v>
      </c>
      <c r="G89" s="16">
        <v>56441</v>
      </c>
      <c r="H89" s="16">
        <v>50485</v>
      </c>
      <c r="I89" s="16">
        <v>1423.13</v>
      </c>
      <c r="J89" s="16">
        <v>8.6110480999999996</v>
      </c>
      <c r="K89" s="16">
        <v>1.14073924</v>
      </c>
      <c r="L89" s="16">
        <v>0.94843113000000001</v>
      </c>
      <c r="M89" s="16">
        <v>3.856163E-2</v>
      </c>
      <c r="N89" s="16">
        <v>0.97648062999999996</v>
      </c>
      <c r="O89" s="16">
        <v>8.0191268149999999</v>
      </c>
      <c r="P89" s="16">
        <v>1.2197189799999999</v>
      </c>
      <c r="Q89" s="16">
        <v>0.95228027999999998</v>
      </c>
      <c r="R89" s="16">
        <v>3.871749E-2</v>
      </c>
      <c r="S89" s="16">
        <v>0.85014462000000002</v>
      </c>
      <c r="T89" s="16"/>
      <c r="U89" s="16"/>
      <c r="V89" s="16"/>
      <c r="W89" s="16"/>
      <c r="X89" s="16" t="s">
        <v>228</v>
      </c>
      <c r="Y89" s="16"/>
      <c r="AE89">
        <f t="shared" si="6"/>
        <v>6.0217119580419585</v>
      </c>
      <c r="AF89">
        <f t="shared" si="6"/>
        <v>0.7977197482517483</v>
      </c>
      <c r="AG89">
        <f t="shared" si="7"/>
        <v>0.94843113000000001</v>
      </c>
      <c r="AH89">
        <f t="shared" si="7"/>
        <v>3.856163E-2</v>
      </c>
      <c r="AI89">
        <f t="shared" si="7"/>
        <v>0.97648062999999996</v>
      </c>
      <c r="AJ89">
        <f t="shared" si="8"/>
        <v>6.6273775330578513</v>
      </c>
      <c r="AK89">
        <f t="shared" si="8"/>
        <v>1.008032214876033</v>
      </c>
      <c r="AL89">
        <f t="shared" si="9"/>
        <v>0.95228027999999998</v>
      </c>
      <c r="AM89">
        <f t="shared" si="9"/>
        <v>3.871749E-2</v>
      </c>
      <c r="AN89">
        <f t="shared" si="9"/>
        <v>0.85014462000000002</v>
      </c>
      <c r="AP89" t="s">
        <v>279</v>
      </c>
    </row>
    <row r="90" spans="1:42" x14ac:dyDescent="0.2">
      <c r="A90" s="16">
        <v>11</v>
      </c>
      <c r="B90" s="16" t="s">
        <v>203</v>
      </c>
      <c r="C90" s="16">
        <v>5.6956521739130439</v>
      </c>
      <c r="D90" s="16"/>
      <c r="E90" s="16" t="s">
        <v>228</v>
      </c>
      <c r="F90" s="21">
        <v>297267659.5</v>
      </c>
      <c r="G90" s="16">
        <v>56521</v>
      </c>
      <c r="H90" s="16">
        <v>50355</v>
      </c>
      <c r="I90" s="16">
        <v>1423.13</v>
      </c>
      <c r="J90" s="16">
        <v>7.9849524199999999</v>
      </c>
      <c r="K90" s="16">
        <v>0.63360167999999994</v>
      </c>
      <c r="L90" s="16">
        <v>0.90970901000000004</v>
      </c>
      <c r="M90" s="16">
        <v>1.2697109999999999E-2</v>
      </c>
      <c r="N90" s="16">
        <v>0.88819369000000004</v>
      </c>
      <c r="O90" s="16">
        <v>7.4360687939999996</v>
      </c>
      <c r="P90" s="16">
        <v>0.81055814000000004</v>
      </c>
      <c r="Q90" s="16">
        <v>0.91340100999999996</v>
      </c>
      <c r="R90" s="16">
        <v>1.2746840000000001E-2</v>
      </c>
      <c r="S90" s="16">
        <v>0.64525579</v>
      </c>
      <c r="T90" s="16"/>
      <c r="U90" s="16"/>
      <c r="V90" s="16"/>
      <c r="W90" s="16"/>
      <c r="X90" s="16" t="s">
        <v>228</v>
      </c>
      <c r="Y90" s="16"/>
      <c r="AE90">
        <f t="shared" si="6"/>
        <v>5.5838828111888112</v>
      </c>
      <c r="AF90">
        <f t="shared" si="6"/>
        <v>0.4430780979020979</v>
      </c>
      <c r="AG90">
        <f t="shared" si="7"/>
        <v>0.90970901000000004</v>
      </c>
      <c r="AH90">
        <f t="shared" si="7"/>
        <v>1.2697109999999999E-2</v>
      </c>
      <c r="AI90">
        <f t="shared" si="7"/>
        <v>0.88819369000000004</v>
      </c>
      <c r="AJ90">
        <f t="shared" si="8"/>
        <v>6.1455114000000002</v>
      </c>
      <c r="AK90">
        <f t="shared" si="8"/>
        <v>0.66988276033057859</v>
      </c>
      <c r="AL90">
        <f t="shared" si="9"/>
        <v>0.91340100999999996</v>
      </c>
      <c r="AM90">
        <f t="shared" si="9"/>
        <v>1.2746840000000001E-2</v>
      </c>
      <c r="AN90">
        <f t="shared" si="9"/>
        <v>0.64525579</v>
      </c>
      <c r="AP90" t="s">
        <v>279</v>
      </c>
    </row>
    <row r="91" spans="1:42" x14ac:dyDescent="0.2">
      <c r="A91" s="16">
        <v>12</v>
      </c>
      <c r="B91" s="16" t="s">
        <v>204</v>
      </c>
      <c r="C91" s="16">
        <v>2.2819148936170213</v>
      </c>
      <c r="D91" s="16"/>
      <c r="E91" s="16" t="s">
        <v>228</v>
      </c>
      <c r="F91" s="21">
        <v>338071902.60000002</v>
      </c>
      <c r="G91" s="16">
        <v>55042</v>
      </c>
      <c r="H91" s="16">
        <v>52009</v>
      </c>
      <c r="I91" s="16">
        <v>1383.44</v>
      </c>
      <c r="J91" s="16">
        <v>4.9892865799999999</v>
      </c>
      <c r="K91" s="16">
        <v>0.46510375999999998</v>
      </c>
      <c r="L91" s="16">
        <v>0.80063145000000002</v>
      </c>
      <c r="M91" s="16">
        <v>5.2191900000000003E-3</v>
      </c>
      <c r="N91" s="16">
        <v>0.92751698000000005</v>
      </c>
      <c r="O91" s="16">
        <v>4.6463242730000003</v>
      </c>
      <c r="P91" s="16">
        <v>0.55514348000000002</v>
      </c>
      <c r="Q91" s="16">
        <v>0.80388075999999997</v>
      </c>
      <c r="R91" s="16">
        <v>5.2369799999999996E-3</v>
      </c>
      <c r="S91" s="16">
        <v>0.72140037000000001</v>
      </c>
      <c r="T91" s="16"/>
      <c r="U91" s="16"/>
      <c r="V91" s="16"/>
      <c r="W91" s="16"/>
      <c r="X91" s="16" t="s">
        <v>228</v>
      </c>
      <c r="Y91" s="16"/>
      <c r="AE91">
        <f t="shared" si="6"/>
        <v>3.4890115944055946</v>
      </c>
      <c r="AF91">
        <f t="shared" si="6"/>
        <v>0.3252473846153846</v>
      </c>
      <c r="AG91">
        <f t="shared" si="7"/>
        <v>0.80063145000000002</v>
      </c>
      <c r="AH91">
        <f t="shared" si="7"/>
        <v>5.2191900000000003E-3</v>
      </c>
      <c r="AI91">
        <f t="shared" si="7"/>
        <v>0.92751698000000005</v>
      </c>
      <c r="AJ91">
        <f t="shared" si="8"/>
        <v>3.8399374157024795</v>
      </c>
      <c r="AK91">
        <f t="shared" si="8"/>
        <v>0.45879626446280997</v>
      </c>
      <c r="AL91">
        <f t="shared" si="9"/>
        <v>0.80388075999999997</v>
      </c>
      <c r="AM91">
        <f t="shared" si="9"/>
        <v>5.2369799999999996E-3</v>
      </c>
      <c r="AN91">
        <f t="shared" si="9"/>
        <v>0.72140037000000001</v>
      </c>
    </row>
    <row r="92" spans="1:42" x14ac:dyDescent="0.2">
      <c r="A92" s="16">
        <v>13</v>
      </c>
      <c r="B92" s="16" t="s">
        <v>205</v>
      </c>
      <c r="C92" s="16">
        <v>5.7840616966580979E-2</v>
      </c>
      <c r="D92" s="16"/>
      <c r="E92" s="16" t="s">
        <v>228</v>
      </c>
      <c r="F92" s="21">
        <v>290446184</v>
      </c>
      <c r="G92" s="16">
        <v>54973</v>
      </c>
      <c r="H92" s="16">
        <v>52079</v>
      </c>
      <c r="I92" s="16">
        <v>1383.44</v>
      </c>
      <c r="J92" s="16">
        <v>0.21855664</v>
      </c>
      <c r="K92" s="16">
        <v>1.5968840000000002E-2</v>
      </c>
      <c r="L92" s="16">
        <v>0.72386019999999995</v>
      </c>
      <c r="M92" s="16">
        <v>3.2285999999999999E-3</v>
      </c>
      <c r="N92" s="16">
        <v>-4.6894999999999999E-2</v>
      </c>
      <c r="O92" s="16">
        <v>0.20353311199999999</v>
      </c>
      <c r="P92" s="16">
        <v>2.1272800000000001E-2</v>
      </c>
      <c r="Q92" s="16">
        <v>0.72679795000000003</v>
      </c>
      <c r="R92" s="16">
        <v>3.2372199999999999E-3</v>
      </c>
      <c r="S92" s="16">
        <v>-3.7398199999999999E-2</v>
      </c>
      <c r="T92" s="16"/>
      <c r="U92" s="16"/>
      <c r="V92" s="16"/>
      <c r="W92" s="16"/>
      <c r="X92" s="16" t="s">
        <v>228</v>
      </c>
      <c r="Y92" s="16"/>
      <c r="AE92">
        <f t="shared" si="6"/>
        <v>0.15283681118881121</v>
      </c>
      <c r="AF92">
        <f t="shared" si="6"/>
        <v>1.116702097902098E-2</v>
      </c>
      <c r="AG92">
        <f t="shared" si="7"/>
        <v>0.72386019999999995</v>
      </c>
      <c r="AH92">
        <f t="shared" si="7"/>
        <v>3.2285999999999999E-3</v>
      </c>
      <c r="AI92">
        <f t="shared" si="7"/>
        <v>-4.6894999999999999E-2</v>
      </c>
      <c r="AJ92">
        <f t="shared" si="8"/>
        <v>0.16820918347107439</v>
      </c>
      <c r="AK92">
        <f t="shared" si="8"/>
        <v>1.7580826446280992E-2</v>
      </c>
      <c r="AL92">
        <f t="shared" si="9"/>
        <v>0.72679795000000003</v>
      </c>
      <c r="AM92">
        <f t="shared" si="9"/>
        <v>3.2372199999999999E-3</v>
      </c>
      <c r="AN92">
        <f t="shared" si="9"/>
        <v>-3.7398199999999999E-2</v>
      </c>
    </row>
    <row r="93" spans="1:42" x14ac:dyDescent="0.2">
      <c r="A93" s="16">
        <v>14</v>
      </c>
      <c r="B93" s="16" t="s">
        <v>206</v>
      </c>
      <c r="C93" s="16">
        <v>10.893442622950818</v>
      </c>
      <c r="D93" s="16"/>
      <c r="E93" s="16" t="s">
        <v>228</v>
      </c>
      <c r="F93" s="21">
        <v>263357277.90000001</v>
      </c>
      <c r="G93" s="16">
        <v>53921</v>
      </c>
      <c r="H93" s="16">
        <v>53583</v>
      </c>
      <c r="I93" s="16">
        <v>1372.19</v>
      </c>
      <c r="J93" s="16">
        <v>8.1702205899999996</v>
      </c>
      <c r="K93" s="16">
        <v>0.69126341000000002</v>
      </c>
      <c r="L93" s="16">
        <v>0.97952159999999999</v>
      </c>
      <c r="M93" s="16">
        <v>2.4595369999999998E-2</v>
      </c>
      <c r="N93" s="16">
        <v>0.97702791</v>
      </c>
      <c r="O93" s="16">
        <v>7.6086016790000004</v>
      </c>
      <c r="P93" s="16">
        <v>0.85892665999999995</v>
      </c>
      <c r="Q93" s="16">
        <v>0.98349692</v>
      </c>
      <c r="R93" s="16">
        <v>2.4694109999999998E-2</v>
      </c>
      <c r="S93" s="16">
        <v>0.73154171999999995</v>
      </c>
      <c r="T93" s="16"/>
      <c r="U93" s="16"/>
      <c r="V93" s="16"/>
      <c r="W93" s="16"/>
      <c r="X93" s="16" t="s">
        <v>228</v>
      </c>
      <c r="Y93" s="16"/>
      <c r="AE93">
        <f t="shared" si="6"/>
        <v>5.7134409720279722</v>
      </c>
      <c r="AF93">
        <f t="shared" si="6"/>
        <v>0.48340098601398607</v>
      </c>
      <c r="AG93">
        <f t="shared" si="7"/>
        <v>0.97952159999999999</v>
      </c>
      <c r="AH93">
        <f t="shared" si="7"/>
        <v>2.4595369999999998E-2</v>
      </c>
      <c r="AI93">
        <f t="shared" si="7"/>
        <v>0.97702791</v>
      </c>
      <c r="AJ93">
        <f t="shared" si="8"/>
        <v>6.2881005611570249</v>
      </c>
      <c r="AK93">
        <f t="shared" si="8"/>
        <v>0.70985674380165287</v>
      </c>
      <c r="AL93">
        <f t="shared" si="9"/>
        <v>0.98349692</v>
      </c>
      <c r="AM93">
        <f t="shared" si="9"/>
        <v>2.4694109999999998E-2</v>
      </c>
      <c r="AN93">
        <f t="shared" si="9"/>
        <v>0.73154171999999995</v>
      </c>
      <c r="AP93" t="s">
        <v>279</v>
      </c>
    </row>
    <row r="94" spans="1:42" x14ac:dyDescent="0.2">
      <c r="A94" s="16">
        <v>17</v>
      </c>
      <c r="B94" s="16" t="s">
        <v>207</v>
      </c>
      <c r="C94" s="16">
        <v>0.13969335604770017</v>
      </c>
      <c r="D94" s="16"/>
      <c r="E94" s="16" t="s">
        <v>228</v>
      </c>
      <c r="F94" s="21">
        <v>236437857.90000001</v>
      </c>
      <c r="G94" s="16">
        <v>54038</v>
      </c>
      <c r="H94" s="16">
        <v>53574</v>
      </c>
      <c r="I94" s="16">
        <v>1372.19</v>
      </c>
      <c r="J94" s="16">
        <v>0.33795359000000003</v>
      </c>
      <c r="K94" s="16">
        <v>8.0899189999999996E-2</v>
      </c>
      <c r="L94" s="16">
        <v>0.72973416000000002</v>
      </c>
      <c r="M94" s="16">
        <v>2.4796599999999999E-3</v>
      </c>
      <c r="N94" s="16">
        <v>0.68939302999999996</v>
      </c>
      <c r="O94" s="16">
        <v>0.316717262</v>
      </c>
      <c r="P94" s="16">
        <v>7.9434539999999998E-2</v>
      </c>
      <c r="Q94" s="16">
        <v>0.73246538000000005</v>
      </c>
      <c r="R94" s="16">
        <v>2.4813299999999999E-3</v>
      </c>
      <c r="S94" s="16">
        <v>0.65885724999999995</v>
      </c>
      <c r="T94" s="16"/>
      <c r="U94" s="16"/>
      <c r="V94" s="16"/>
      <c r="W94" s="16"/>
      <c r="X94" s="16" t="s">
        <v>228</v>
      </c>
      <c r="Y94" s="16"/>
      <c r="AE94">
        <f t="shared" si="6"/>
        <v>0.23633118181818186</v>
      </c>
      <c r="AF94">
        <f t="shared" si="6"/>
        <v>5.657286013986014E-2</v>
      </c>
      <c r="AG94">
        <f t="shared" si="7"/>
        <v>0.72973416000000002</v>
      </c>
      <c r="AH94">
        <f t="shared" si="7"/>
        <v>2.4796599999999999E-3</v>
      </c>
      <c r="AI94">
        <f t="shared" si="7"/>
        <v>0.68939302999999996</v>
      </c>
      <c r="AJ94">
        <f t="shared" si="8"/>
        <v>0.26174980330578512</v>
      </c>
      <c r="AK94">
        <f t="shared" si="8"/>
        <v>6.5648380165289261E-2</v>
      </c>
      <c r="AL94">
        <f t="shared" si="9"/>
        <v>0.73246538000000005</v>
      </c>
      <c r="AM94">
        <f t="shared" si="9"/>
        <v>2.4813299999999999E-3</v>
      </c>
      <c r="AN94">
        <f t="shared" si="9"/>
        <v>0.65885724999999995</v>
      </c>
    </row>
    <row r="95" spans="1:42" x14ac:dyDescent="0.2">
      <c r="A95" s="16">
        <v>18</v>
      </c>
      <c r="B95" s="16" t="s">
        <v>208</v>
      </c>
      <c r="C95" s="16">
        <v>0.68613138686131381</v>
      </c>
      <c r="D95" s="16"/>
      <c r="E95" s="16" t="s">
        <v>228</v>
      </c>
      <c r="F95" s="21">
        <v>484408849.39999998</v>
      </c>
      <c r="G95" s="16">
        <v>49768</v>
      </c>
      <c r="H95" s="16">
        <v>55238</v>
      </c>
      <c r="I95" s="16">
        <v>1230.31</v>
      </c>
      <c r="J95" s="16">
        <v>2.4663256599999999</v>
      </c>
      <c r="K95" s="16">
        <v>0.59810856000000001</v>
      </c>
      <c r="L95" s="16">
        <v>0.77572646000000001</v>
      </c>
      <c r="M95" s="16">
        <v>1.0355980000000001E-2</v>
      </c>
      <c r="N95" s="16">
        <v>0.99341858000000005</v>
      </c>
      <c r="O95" s="16">
        <v>2.3113466759999999</v>
      </c>
      <c r="P95" s="16">
        <v>0.58660897999999995</v>
      </c>
      <c r="Q95" s="16">
        <v>0.77862982000000003</v>
      </c>
      <c r="R95" s="16">
        <v>1.039269E-2</v>
      </c>
      <c r="S95" s="16">
        <v>0.94914511000000001</v>
      </c>
      <c r="T95" s="16"/>
      <c r="U95" s="16"/>
      <c r="V95" s="16"/>
      <c r="W95" s="16"/>
      <c r="X95" s="16" t="s">
        <v>228</v>
      </c>
      <c r="Y95" s="16"/>
      <c r="AE95">
        <f t="shared" si="6"/>
        <v>1.7247032587412587</v>
      </c>
      <c r="AF95">
        <f t="shared" si="6"/>
        <v>0.41825773426573432</v>
      </c>
      <c r="AG95">
        <f t="shared" si="7"/>
        <v>0.77572646000000001</v>
      </c>
      <c r="AH95">
        <f t="shared" si="7"/>
        <v>1.0355980000000001E-2</v>
      </c>
      <c r="AI95">
        <f t="shared" si="7"/>
        <v>0.99341858000000005</v>
      </c>
      <c r="AJ95">
        <f t="shared" si="8"/>
        <v>1.9102038644628099</v>
      </c>
      <c r="AK95">
        <f t="shared" si="8"/>
        <v>0.48480080991735536</v>
      </c>
      <c r="AL95">
        <f t="shared" si="9"/>
        <v>0.77862982000000003</v>
      </c>
      <c r="AM95">
        <f t="shared" si="9"/>
        <v>1.039269E-2</v>
      </c>
      <c r="AN95">
        <f t="shared" si="9"/>
        <v>0.94914511000000001</v>
      </c>
    </row>
    <row r="96" spans="1:42" x14ac:dyDescent="0.2">
      <c r="A96" s="16">
        <v>19</v>
      </c>
      <c r="B96" s="16" t="s">
        <v>209</v>
      </c>
      <c r="C96" s="16">
        <v>7.4889867841409691E-2</v>
      </c>
      <c r="D96" s="16"/>
      <c r="E96" s="16" t="s">
        <v>228</v>
      </c>
      <c r="F96" s="21">
        <v>337963075.19999999</v>
      </c>
      <c r="G96" s="16">
        <v>49728</v>
      </c>
      <c r="H96" s="16">
        <v>55084</v>
      </c>
      <c r="I96" s="16">
        <v>1230.31</v>
      </c>
      <c r="J96" s="16">
        <v>0.30235649999999997</v>
      </c>
      <c r="K96" s="16">
        <v>2.1666270000000001E-2</v>
      </c>
      <c r="L96" s="16">
        <v>0.72229940999999998</v>
      </c>
      <c r="M96" s="16">
        <v>2.0156100000000001E-3</v>
      </c>
      <c r="N96" s="16">
        <v>5.1502109999999997E-2</v>
      </c>
      <c r="O96" s="16">
        <v>0.28335701899999999</v>
      </c>
      <c r="P96" s="16">
        <v>2.9359739999999999E-2</v>
      </c>
      <c r="Q96" s="16">
        <v>0.72500279999999995</v>
      </c>
      <c r="R96" s="16">
        <v>2.0139699999999999E-3</v>
      </c>
      <c r="S96" s="16">
        <v>3.2395590000000002E-2</v>
      </c>
      <c r="T96" s="16"/>
      <c r="U96" s="16"/>
      <c r="V96" s="16"/>
      <c r="W96" s="16"/>
      <c r="X96" s="16" t="s">
        <v>228</v>
      </c>
      <c r="Y96" s="16"/>
      <c r="AE96">
        <f t="shared" si="6"/>
        <v>0.21143811188811187</v>
      </c>
      <c r="AF96">
        <f t="shared" si="6"/>
        <v>1.5151237762237764E-2</v>
      </c>
      <c r="AG96">
        <f t="shared" si="7"/>
        <v>0.72229940999999998</v>
      </c>
      <c r="AH96">
        <f t="shared" si="7"/>
        <v>2.0156100000000001E-3</v>
      </c>
      <c r="AI96">
        <f t="shared" si="7"/>
        <v>5.1502109999999997E-2</v>
      </c>
      <c r="AJ96">
        <f t="shared" si="8"/>
        <v>0.23417935454545455</v>
      </c>
      <c r="AK96">
        <f t="shared" si="8"/>
        <v>2.4264247933884295E-2</v>
      </c>
      <c r="AL96">
        <f t="shared" si="9"/>
        <v>0.72500279999999995</v>
      </c>
      <c r="AM96">
        <f t="shared" si="9"/>
        <v>2.0139699999999999E-3</v>
      </c>
      <c r="AN96">
        <f t="shared" si="9"/>
        <v>3.2395590000000002E-2</v>
      </c>
    </row>
    <row r="97" spans="1:42" x14ac:dyDescent="0.2">
      <c r="A97" s="16">
        <v>20</v>
      </c>
      <c r="B97" s="16" t="s">
        <v>210</v>
      </c>
      <c r="C97" s="16">
        <v>2.7519083969465647</v>
      </c>
      <c r="D97" s="16"/>
      <c r="E97" s="16" t="s">
        <v>228</v>
      </c>
      <c r="F97" s="21">
        <v>351783493.30000001</v>
      </c>
      <c r="G97" s="16">
        <v>49434</v>
      </c>
      <c r="H97" s="16">
        <v>55599</v>
      </c>
      <c r="I97" s="16">
        <v>1218.1300000000001</v>
      </c>
      <c r="J97" s="16">
        <v>2.8869465000000001</v>
      </c>
      <c r="K97" s="16">
        <v>7.3018410000000006E-2</v>
      </c>
      <c r="L97" s="16">
        <v>0.77116956000000003</v>
      </c>
      <c r="M97" s="16">
        <v>1.94337E-3</v>
      </c>
      <c r="N97" s="16">
        <v>0.22610295999999999</v>
      </c>
      <c r="O97" s="16">
        <v>2.7055365409999999</v>
      </c>
      <c r="P97" s="16">
        <v>0.21373220000000001</v>
      </c>
      <c r="Q97" s="16">
        <v>0.77405586000000004</v>
      </c>
      <c r="R97" s="16">
        <v>1.9397800000000001E-3</v>
      </c>
      <c r="S97" s="16">
        <v>6.7874690000000001E-2</v>
      </c>
      <c r="T97" s="16"/>
      <c r="U97" s="16"/>
      <c r="V97" s="16"/>
      <c r="W97" s="16"/>
      <c r="X97" s="16" t="s">
        <v>228</v>
      </c>
      <c r="Y97" s="16"/>
      <c r="AE97">
        <f t="shared" si="6"/>
        <v>2.0188437062937066</v>
      </c>
      <c r="AF97">
        <f t="shared" si="6"/>
        <v>5.106182517482518E-2</v>
      </c>
      <c r="AG97">
        <f t="shared" si="7"/>
        <v>0.77116956000000003</v>
      </c>
      <c r="AH97">
        <f t="shared" si="7"/>
        <v>1.94337E-3</v>
      </c>
      <c r="AI97">
        <f t="shared" si="7"/>
        <v>0.22610295999999999</v>
      </c>
      <c r="AJ97">
        <f t="shared" si="8"/>
        <v>2.2359806123966943</v>
      </c>
      <c r="AK97">
        <f t="shared" si="8"/>
        <v>0.17663818181818183</v>
      </c>
      <c r="AL97">
        <f t="shared" si="9"/>
        <v>0.77405586000000004</v>
      </c>
      <c r="AM97">
        <f t="shared" si="9"/>
        <v>1.9397800000000001E-3</v>
      </c>
      <c r="AN97">
        <f t="shared" si="9"/>
        <v>6.7874690000000001E-2</v>
      </c>
    </row>
    <row r="98" spans="1:42" x14ac:dyDescent="0.2">
      <c r="A98" s="16">
        <v>21</v>
      </c>
      <c r="B98" s="16" t="s">
        <v>211</v>
      </c>
      <c r="C98" s="16">
        <v>0.20486815415821502</v>
      </c>
      <c r="D98" s="16"/>
      <c r="E98" s="16" t="s">
        <v>228</v>
      </c>
      <c r="F98" s="21">
        <v>186774841.5</v>
      </c>
      <c r="G98" s="16">
        <v>49471</v>
      </c>
      <c r="H98" s="16">
        <v>55714</v>
      </c>
      <c r="I98" s="16">
        <v>1218.1300000000001</v>
      </c>
      <c r="J98" s="16">
        <v>1.51948577</v>
      </c>
      <c r="K98" s="16">
        <v>0.26204621</v>
      </c>
      <c r="L98" s="16">
        <v>0.74633963999999997</v>
      </c>
      <c r="M98" s="16">
        <v>4.4059700000000004E-3</v>
      </c>
      <c r="N98" s="16">
        <v>-0.5857407</v>
      </c>
      <c r="O98" s="16">
        <v>1.4240043170000001</v>
      </c>
      <c r="P98" s="16">
        <v>0.26770695999999999</v>
      </c>
      <c r="Q98" s="16">
        <v>0.74913300999999999</v>
      </c>
      <c r="R98" s="16">
        <v>4.4179800000000002E-3</v>
      </c>
      <c r="S98" s="16">
        <v>-0.5387497</v>
      </c>
      <c r="T98" s="16"/>
      <c r="U98" s="16"/>
      <c r="V98" s="16"/>
      <c r="W98" s="16"/>
      <c r="X98" s="16" t="s">
        <v>228</v>
      </c>
      <c r="Y98" s="16"/>
      <c r="AE98">
        <f t="shared" si="6"/>
        <v>1.0625774615384616</v>
      </c>
      <c r="AF98">
        <f t="shared" si="6"/>
        <v>0.18324909790209792</v>
      </c>
      <c r="AG98">
        <f t="shared" si="7"/>
        <v>0.74633963999999997</v>
      </c>
      <c r="AH98">
        <f t="shared" si="7"/>
        <v>4.4059700000000004E-3</v>
      </c>
      <c r="AI98">
        <f t="shared" si="7"/>
        <v>-0.5857407</v>
      </c>
      <c r="AJ98">
        <f t="shared" si="8"/>
        <v>1.1768630719008266</v>
      </c>
      <c r="AK98">
        <f t="shared" si="8"/>
        <v>0.22124542148760332</v>
      </c>
      <c r="AL98">
        <f t="shared" si="9"/>
        <v>0.74913300999999999</v>
      </c>
      <c r="AM98">
        <f t="shared" si="9"/>
        <v>4.4179800000000002E-3</v>
      </c>
      <c r="AN98">
        <f t="shared" si="9"/>
        <v>-0.5387497</v>
      </c>
    </row>
    <row r="99" spans="1:42" x14ac:dyDescent="0.2">
      <c r="A99" s="16">
        <v>24</v>
      </c>
      <c r="B99" s="16" t="s">
        <v>212</v>
      </c>
      <c r="C99" s="16">
        <v>5.5932203389830508E-2</v>
      </c>
      <c r="D99" s="16"/>
      <c r="E99" s="16" t="s">
        <v>228</v>
      </c>
      <c r="F99" s="21">
        <v>349277820.10000002</v>
      </c>
      <c r="G99" s="16">
        <v>49588</v>
      </c>
      <c r="H99" s="16">
        <v>55822</v>
      </c>
      <c r="I99" s="16">
        <v>1218.1300000000001</v>
      </c>
      <c r="J99" s="16">
        <v>0.55705499999999997</v>
      </c>
      <c r="K99" s="16">
        <v>0.21330378</v>
      </c>
      <c r="L99" s="16">
        <v>0.72882674999999997</v>
      </c>
      <c r="M99" s="16">
        <v>3.8167600000000002E-3</v>
      </c>
      <c r="N99" s="16">
        <v>0.95034065000000001</v>
      </c>
      <c r="O99" s="16">
        <v>0.51679621499999995</v>
      </c>
      <c r="P99" s="16">
        <v>0.20133124999999999</v>
      </c>
      <c r="Q99" s="16">
        <v>0.73167026000000002</v>
      </c>
      <c r="R99" s="16">
        <v>3.8299699999999998E-3</v>
      </c>
      <c r="S99" s="16">
        <v>0.92954700000000001</v>
      </c>
      <c r="T99" s="16"/>
      <c r="U99" s="16"/>
      <c r="V99" s="16"/>
      <c r="W99" s="16"/>
      <c r="X99" s="16" t="s">
        <v>228</v>
      </c>
      <c r="Y99" s="16"/>
      <c r="AE99">
        <f t="shared" si="6"/>
        <v>0.38954895104895104</v>
      </c>
      <c r="AF99">
        <f t="shared" si="6"/>
        <v>0.14916348251748252</v>
      </c>
      <c r="AG99">
        <f t="shared" si="7"/>
        <v>0.72882674999999997</v>
      </c>
      <c r="AH99">
        <f t="shared" si="7"/>
        <v>3.8167600000000002E-3</v>
      </c>
      <c r="AI99">
        <f t="shared" si="7"/>
        <v>0.95034065000000001</v>
      </c>
      <c r="AJ99">
        <f t="shared" si="8"/>
        <v>0.42710430991735532</v>
      </c>
      <c r="AK99">
        <f t="shared" si="8"/>
        <v>0.16638946280991734</v>
      </c>
      <c r="AL99">
        <f t="shared" si="9"/>
        <v>0.73167026000000002</v>
      </c>
      <c r="AM99">
        <f t="shared" si="9"/>
        <v>3.8299699999999998E-3</v>
      </c>
      <c r="AN99">
        <f t="shared" si="9"/>
        <v>0.92954700000000001</v>
      </c>
    </row>
    <row r="100" spans="1:42" x14ac:dyDescent="0.2">
      <c r="A100" s="16">
        <v>25</v>
      </c>
      <c r="B100" s="16" t="s">
        <v>213</v>
      </c>
      <c r="C100" s="16">
        <v>1.0570071258907363</v>
      </c>
      <c r="D100" s="16"/>
      <c r="E100" s="16" t="s">
        <v>228</v>
      </c>
      <c r="F100" s="21">
        <v>448223357</v>
      </c>
      <c r="G100" s="16">
        <v>49325</v>
      </c>
      <c r="H100" s="16">
        <v>55870</v>
      </c>
      <c r="I100" s="16">
        <v>1218.1300000000001</v>
      </c>
      <c r="J100" s="16">
        <v>2.4146224300000001</v>
      </c>
      <c r="K100" s="16">
        <v>0.12760531</v>
      </c>
      <c r="L100" s="16">
        <v>0.76016496</v>
      </c>
      <c r="M100" s="16">
        <v>3.1464800000000001E-3</v>
      </c>
      <c r="N100" s="16">
        <v>0.91307558</v>
      </c>
      <c r="O100" s="16">
        <v>2.2401158579999998</v>
      </c>
      <c r="P100" s="16">
        <v>0.19960191999999999</v>
      </c>
      <c r="Q100" s="16">
        <v>0.76313072999999998</v>
      </c>
      <c r="R100" s="16">
        <v>3.1565400000000002E-3</v>
      </c>
      <c r="S100" s="16">
        <v>0.51452726000000004</v>
      </c>
      <c r="T100" s="16"/>
      <c r="U100" s="16"/>
      <c r="V100" s="16"/>
      <c r="W100" s="16"/>
      <c r="X100" s="16" t="s">
        <v>228</v>
      </c>
      <c r="Y100" s="16"/>
      <c r="AE100">
        <f t="shared" si="6"/>
        <v>1.6885471538461541</v>
      </c>
      <c r="AF100">
        <f t="shared" si="6"/>
        <v>8.9234482517482519E-2</v>
      </c>
      <c r="AG100">
        <f t="shared" si="7"/>
        <v>0.76016496</v>
      </c>
      <c r="AH100">
        <f t="shared" si="7"/>
        <v>3.1464800000000001E-3</v>
      </c>
      <c r="AI100">
        <f t="shared" si="7"/>
        <v>0.91307558</v>
      </c>
      <c r="AJ100">
        <f t="shared" si="8"/>
        <v>1.8513354198347107</v>
      </c>
      <c r="AK100">
        <f t="shared" si="8"/>
        <v>0.16496026446280992</v>
      </c>
      <c r="AL100">
        <f t="shared" si="9"/>
        <v>0.76313072999999998</v>
      </c>
      <c r="AM100">
        <f t="shared" si="9"/>
        <v>3.1565400000000002E-3</v>
      </c>
      <c r="AN100">
        <f t="shared" si="9"/>
        <v>0.51452726000000004</v>
      </c>
    </row>
    <row r="101" spans="1:42" x14ac:dyDescent="0.2">
      <c r="A101" s="16">
        <v>26</v>
      </c>
      <c r="B101" s="16" t="s">
        <v>214</v>
      </c>
      <c r="C101" s="16">
        <v>0.32442748091603052</v>
      </c>
      <c r="D101" s="16"/>
      <c r="E101" s="16" t="s">
        <v>228</v>
      </c>
      <c r="F101" s="21">
        <v>591872759.89999998</v>
      </c>
      <c r="G101" s="16">
        <v>49854</v>
      </c>
      <c r="H101" s="16">
        <v>56155</v>
      </c>
      <c r="I101" s="16">
        <v>1218.1300000000001</v>
      </c>
      <c r="J101" s="16">
        <v>2.85714435</v>
      </c>
      <c r="K101" s="16">
        <v>0.53771871999999998</v>
      </c>
      <c r="L101" s="16">
        <v>0.78104147999999995</v>
      </c>
      <c r="M101" s="16">
        <v>8.4104799999999997E-3</v>
      </c>
      <c r="N101" s="16">
        <v>0.90153817000000003</v>
      </c>
      <c r="O101" s="16">
        <v>2.6506563820000002</v>
      </c>
      <c r="P101" s="16">
        <v>0.53387145999999996</v>
      </c>
      <c r="Q101" s="16">
        <v>0.78408869999999997</v>
      </c>
      <c r="R101" s="16">
        <v>8.4424200000000008E-3</v>
      </c>
      <c r="S101" s="16">
        <v>0.83784217999999999</v>
      </c>
      <c r="T101" s="16"/>
      <c r="U101" s="16"/>
      <c r="V101" s="16"/>
      <c r="W101" s="16"/>
      <c r="X101" s="16" t="s">
        <v>228</v>
      </c>
      <c r="Y101" s="16"/>
      <c r="AE101">
        <f t="shared" si="6"/>
        <v>1.9980030419580421</v>
      </c>
      <c r="AF101">
        <f t="shared" si="6"/>
        <v>0.37602707692307691</v>
      </c>
      <c r="AG101">
        <f t="shared" si="7"/>
        <v>0.78104147999999995</v>
      </c>
      <c r="AH101">
        <f t="shared" si="7"/>
        <v>8.4104799999999997E-3</v>
      </c>
      <c r="AI101">
        <f t="shared" si="7"/>
        <v>0.90153817000000003</v>
      </c>
      <c r="AJ101">
        <f t="shared" si="8"/>
        <v>2.1906251090909095</v>
      </c>
      <c r="AK101">
        <f t="shared" si="8"/>
        <v>0.44121608264462808</v>
      </c>
      <c r="AL101">
        <f t="shared" si="9"/>
        <v>0.78408869999999997</v>
      </c>
      <c r="AM101">
        <f t="shared" si="9"/>
        <v>8.4424200000000008E-3</v>
      </c>
      <c r="AN101">
        <f t="shared" si="9"/>
        <v>0.83784217999999999</v>
      </c>
    </row>
    <row r="102" spans="1:42" x14ac:dyDescent="0.2">
      <c r="A102" s="16">
        <v>27</v>
      </c>
      <c r="B102" s="16" t="s">
        <v>215</v>
      </c>
      <c r="C102" s="16">
        <v>0.31772575250836116</v>
      </c>
      <c r="D102" s="16"/>
      <c r="E102" s="16" t="s">
        <v>228</v>
      </c>
      <c r="F102" s="21">
        <v>431927817.19999999</v>
      </c>
      <c r="G102" s="16">
        <v>49955</v>
      </c>
      <c r="H102" s="16">
        <v>56136</v>
      </c>
      <c r="I102" s="16">
        <v>1218.1300000000001</v>
      </c>
      <c r="J102" s="16">
        <v>1.53280639</v>
      </c>
      <c r="K102" s="16">
        <v>0.39252541000000002</v>
      </c>
      <c r="L102" s="16">
        <v>0.75062857999999999</v>
      </c>
      <c r="M102" s="16">
        <v>8.0401599999999993E-3</v>
      </c>
      <c r="N102" s="16">
        <v>0.95117180000000001</v>
      </c>
      <c r="O102" s="16">
        <v>1.422029322</v>
      </c>
      <c r="P102" s="16">
        <v>0.37817703000000003</v>
      </c>
      <c r="Q102" s="16">
        <v>0.75355715000000001</v>
      </c>
      <c r="R102" s="16">
        <v>8.0706800000000002E-3</v>
      </c>
      <c r="S102" s="16">
        <v>0.91246125</v>
      </c>
      <c r="T102" s="16"/>
      <c r="U102" s="16"/>
      <c r="V102" s="16"/>
      <c r="W102" s="16"/>
      <c r="X102" s="16" t="s">
        <v>228</v>
      </c>
      <c r="Y102" s="16"/>
      <c r="AE102">
        <f t="shared" si="6"/>
        <v>1.0718925804195805</v>
      </c>
      <c r="AF102">
        <f t="shared" si="6"/>
        <v>0.27449329370629372</v>
      </c>
      <c r="AG102">
        <f t="shared" si="7"/>
        <v>0.75062857999999999</v>
      </c>
      <c r="AH102">
        <f t="shared" si="7"/>
        <v>8.0401599999999993E-3</v>
      </c>
      <c r="AI102">
        <f t="shared" si="7"/>
        <v>0.95117180000000001</v>
      </c>
      <c r="AJ102">
        <f t="shared" si="8"/>
        <v>1.1752308446280992</v>
      </c>
      <c r="AK102">
        <f t="shared" si="8"/>
        <v>0.31254300000000002</v>
      </c>
      <c r="AL102">
        <f t="shared" si="9"/>
        <v>0.75355715000000001</v>
      </c>
      <c r="AM102">
        <f t="shared" si="9"/>
        <v>8.0706800000000002E-3</v>
      </c>
      <c r="AN102">
        <f t="shared" si="9"/>
        <v>0.91246125</v>
      </c>
    </row>
    <row r="103" spans="1:42" x14ac:dyDescent="0.2">
      <c r="A103" s="16">
        <v>28</v>
      </c>
      <c r="B103" s="16" t="s">
        <v>216</v>
      </c>
      <c r="C103" s="16">
        <v>2.06</v>
      </c>
      <c r="D103" s="16"/>
      <c r="E103" s="16" t="s">
        <v>228</v>
      </c>
      <c r="F103" s="21">
        <v>529002544.30000001</v>
      </c>
      <c r="G103" s="16">
        <v>46477</v>
      </c>
      <c r="H103" s="16">
        <v>56319</v>
      </c>
      <c r="I103" s="16">
        <v>1099.3800000000001</v>
      </c>
      <c r="J103" s="16">
        <v>1.7062425000000001</v>
      </c>
      <c r="K103" s="16">
        <v>0.41128762000000002</v>
      </c>
      <c r="L103" s="16">
        <v>0.75015083999999999</v>
      </c>
      <c r="M103" s="16">
        <v>8.5372599999999996E-3</v>
      </c>
      <c r="N103" s="16">
        <v>0.94630641999999998</v>
      </c>
      <c r="O103" s="16">
        <v>1.582931071</v>
      </c>
      <c r="P103" s="16">
        <v>0.3981036</v>
      </c>
      <c r="Q103" s="16">
        <v>0.75307754999999998</v>
      </c>
      <c r="R103" s="16">
        <v>8.5697700000000009E-3</v>
      </c>
      <c r="S103" s="16">
        <v>0.90354646999999999</v>
      </c>
      <c r="T103" s="16"/>
      <c r="U103" s="16"/>
      <c r="V103" s="16"/>
      <c r="W103" s="16"/>
      <c r="X103" s="16" t="s">
        <v>228</v>
      </c>
      <c r="Y103" s="16"/>
      <c r="AE103">
        <f t="shared" si="6"/>
        <v>1.1931765734265736</v>
      </c>
      <c r="AF103">
        <f t="shared" si="6"/>
        <v>0.28761372027972032</v>
      </c>
      <c r="AG103">
        <f t="shared" si="7"/>
        <v>0.75015083999999999</v>
      </c>
      <c r="AH103">
        <f t="shared" si="7"/>
        <v>8.5372599999999996E-3</v>
      </c>
      <c r="AI103">
        <f t="shared" si="7"/>
        <v>0.94630641999999998</v>
      </c>
      <c r="AJ103">
        <f t="shared" si="8"/>
        <v>1.308207496694215</v>
      </c>
      <c r="AK103">
        <f t="shared" si="8"/>
        <v>0.32901123966942147</v>
      </c>
      <c r="AL103">
        <f t="shared" si="9"/>
        <v>0.75307754999999998</v>
      </c>
      <c r="AM103">
        <f t="shared" si="9"/>
        <v>8.5697700000000009E-3</v>
      </c>
      <c r="AN103">
        <f t="shared" si="9"/>
        <v>0.90354646999999999</v>
      </c>
    </row>
    <row r="104" spans="1:42" x14ac:dyDescent="0.2">
      <c r="A104" s="16">
        <v>31</v>
      </c>
      <c r="B104" s="16" t="s">
        <v>217</v>
      </c>
      <c r="C104" s="16">
        <v>0.83042789223454838</v>
      </c>
      <c r="D104" s="16"/>
      <c r="E104" s="16" t="s">
        <v>228</v>
      </c>
      <c r="F104" s="21">
        <v>438885152.5</v>
      </c>
      <c r="G104" s="16">
        <v>46594</v>
      </c>
      <c r="H104" s="16">
        <v>56363</v>
      </c>
      <c r="I104" s="16">
        <v>1099.3800000000001</v>
      </c>
      <c r="J104" s="16">
        <v>2.6864507400000002</v>
      </c>
      <c r="K104" s="16">
        <v>0.2309445</v>
      </c>
      <c r="L104" s="16">
        <v>0.77119974999999996</v>
      </c>
      <c r="M104" s="16">
        <v>3.5278900000000001E-3</v>
      </c>
      <c r="N104" s="16">
        <v>0.95858016000000001</v>
      </c>
      <c r="O104" s="16">
        <v>2.504650856</v>
      </c>
      <c r="P104" s="16">
        <v>0.27018260999999999</v>
      </c>
      <c r="Q104" s="16">
        <v>0.77422095999999996</v>
      </c>
      <c r="R104" s="16">
        <v>3.5468800000000001E-3</v>
      </c>
      <c r="S104" s="16">
        <v>0.72684579000000005</v>
      </c>
      <c r="T104" s="16"/>
      <c r="U104" s="16"/>
      <c r="V104" s="16"/>
      <c r="W104" s="16"/>
      <c r="X104" s="16" t="s">
        <v>228</v>
      </c>
      <c r="Y104" s="16"/>
      <c r="AE104">
        <f t="shared" si="6"/>
        <v>1.8786368811188814</v>
      </c>
      <c r="AF104">
        <f t="shared" si="6"/>
        <v>0.16149965034965036</v>
      </c>
      <c r="AG104">
        <f t="shared" si="7"/>
        <v>0.77119974999999996</v>
      </c>
      <c r="AH104">
        <f t="shared" si="7"/>
        <v>3.5278900000000001E-3</v>
      </c>
      <c r="AI104">
        <f t="shared" si="7"/>
        <v>0.95858016000000001</v>
      </c>
      <c r="AJ104">
        <f t="shared" si="8"/>
        <v>2.0699593851239668</v>
      </c>
      <c r="AK104">
        <f t="shared" si="8"/>
        <v>0.2232914132231405</v>
      </c>
      <c r="AL104">
        <f t="shared" si="9"/>
        <v>0.77422095999999996</v>
      </c>
      <c r="AM104">
        <f t="shared" si="9"/>
        <v>3.5468800000000001E-3</v>
      </c>
      <c r="AN104">
        <f t="shared" si="9"/>
        <v>0.72684579000000005</v>
      </c>
    </row>
    <row r="105" spans="1:42" x14ac:dyDescent="0.2">
      <c r="A105" s="16">
        <v>32</v>
      </c>
      <c r="B105" s="16" t="s">
        <v>218</v>
      </c>
      <c r="C105" s="16">
        <v>1.4509345794392523</v>
      </c>
      <c r="D105" s="16"/>
      <c r="E105" s="16" t="s">
        <v>228</v>
      </c>
      <c r="F105" s="21">
        <v>629832652.60000002</v>
      </c>
      <c r="G105" s="16">
        <v>46506</v>
      </c>
      <c r="H105" s="16">
        <v>56415</v>
      </c>
      <c r="I105" s="16">
        <v>1099.3800000000001</v>
      </c>
      <c r="J105" s="16">
        <v>5.9183222799999999</v>
      </c>
      <c r="K105" s="16">
        <v>0.56056649999999997</v>
      </c>
      <c r="L105" s="16">
        <v>0.82851476000000002</v>
      </c>
      <c r="M105" s="16">
        <v>7.7326699999999996E-3</v>
      </c>
      <c r="N105" s="16">
        <v>0.82217019999999996</v>
      </c>
      <c r="O105" s="16">
        <v>5.5178123189999999</v>
      </c>
      <c r="P105" s="16">
        <v>0.63436990000000004</v>
      </c>
      <c r="Q105" s="16">
        <v>0.83176052</v>
      </c>
      <c r="R105" s="16">
        <v>7.7656799999999996E-3</v>
      </c>
      <c r="S105" s="16">
        <v>0.66055905000000004</v>
      </c>
      <c r="T105" s="16"/>
      <c r="U105" s="16"/>
      <c r="V105" s="16"/>
      <c r="W105" s="16"/>
      <c r="X105" s="16" t="s">
        <v>228</v>
      </c>
      <c r="Y105" s="16"/>
      <c r="AE105">
        <f t="shared" si="6"/>
        <v>4.1386869090909091</v>
      </c>
      <c r="AF105">
        <f t="shared" si="6"/>
        <v>0.39200454545454544</v>
      </c>
      <c r="AG105">
        <f t="shared" si="7"/>
        <v>0.82851476000000002</v>
      </c>
      <c r="AH105">
        <f t="shared" si="7"/>
        <v>7.7326699999999996E-3</v>
      </c>
      <c r="AI105">
        <f t="shared" si="7"/>
        <v>0.82217019999999996</v>
      </c>
      <c r="AJ105">
        <f t="shared" si="8"/>
        <v>4.560175470247934</v>
      </c>
      <c r="AK105">
        <f t="shared" si="8"/>
        <v>0.52427264462809919</v>
      </c>
      <c r="AL105">
        <f t="shared" si="9"/>
        <v>0.83176052</v>
      </c>
      <c r="AM105">
        <f t="shared" si="9"/>
        <v>7.7656799999999996E-3</v>
      </c>
      <c r="AN105">
        <f t="shared" si="9"/>
        <v>0.66055905000000004</v>
      </c>
    </row>
    <row r="106" spans="1:42" x14ac:dyDescent="0.2">
      <c r="A106" s="16">
        <v>33</v>
      </c>
      <c r="B106" s="16" t="s">
        <v>219</v>
      </c>
      <c r="C106" s="16">
        <v>0.74850299401197606</v>
      </c>
      <c r="D106" s="16"/>
      <c r="E106" s="16" t="s">
        <v>228</v>
      </c>
      <c r="F106" s="21">
        <v>162500342.40000001</v>
      </c>
      <c r="G106" s="16">
        <v>49526</v>
      </c>
      <c r="H106" s="16">
        <v>59810</v>
      </c>
      <c r="I106" s="16">
        <v>1288.1300000000001</v>
      </c>
      <c r="J106" s="16">
        <v>2.6368520800000002</v>
      </c>
      <c r="K106" s="16">
        <v>0.13870408000000001</v>
      </c>
      <c r="L106" s="16">
        <v>0.78793170999999995</v>
      </c>
      <c r="M106" s="16">
        <v>7.9791099999999993E-3</v>
      </c>
      <c r="N106" s="16">
        <v>-0.22588059999999999</v>
      </c>
      <c r="O106" s="16">
        <v>2.4584086859999998</v>
      </c>
      <c r="P106" s="16">
        <v>0.20587923</v>
      </c>
      <c r="Q106" s="16">
        <v>0.79101847000000003</v>
      </c>
      <c r="R106" s="16">
        <v>8.0127600000000007E-3</v>
      </c>
      <c r="S106" s="16">
        <v>-0.16278719999999999</v>
      </c>
      <c r="T106" s="16"/>
      <c r="U106" s="16"/>
      <c r="V106" s="16"/>
      <c r="W106" s="16"/>
      <c r="X106" s="16" t="s">
        <v>228</v>
      </c>
      <c r="Y106" s="16"/>
      <c r="AE106">
        <f t="shared" si="6"/>
        <v>1.8439525034965036</v>
      </c>
      <c r="AF106">
        <f t="shared" si="6"/>
        <v>9.6995860139860154E-2</v>
      </c>
      <c r="AG106">
        <f t="shared" si="7"/>
        <v>0.78793170999999995</v>
      </c>
      <c r="AH106">
        <f t="shared" si="7"/>
        <v>7.9791099999999993E-3</v>
      </c>
      <c r="AI106">
        <f t="shared" si="7"/>
        <v>-0.22588059999999999</v>
      </c>
      <c r="AJ106">
        <f t="shared" si="8"/>
        <v>2.0317427157024794</v>
      </c>
      <c r="AK106">
        <f t="shared" si="8"/>
        <v>0.17014812396694215</v>
      </c>
      <c r="AL106">
        <f t="shared" si="9"/>
        <v>0.79101847000000003</v>
      </c>
      <c r="AM106">
        <f t="shared" si="9"/>
        <v>8.0127600000000007E-3</v>
      </c>
      <c r="AN106">
        <f t="shared" si="9"/>
        <v>-0.16278719999999999</v>
      </c>
    </row>
    <row r="107" spans="1:42" x14ac:dyDescent="0.2">
      <c r="A107" s="16">
        <v>34</v>
      </c>
      <c r="B107" s="16" t="s">
        <v>220</v>
      </c>
      <c r="C107" s="16">
        <v>9.625</v>
      </c>
      <c r="D107" s="16"/>
      <c r="E107" s="16" t="s">
        <v>228</v>
      </c>
      <c r="F107" s="21">
        <v>301872436.69999999</v>
      </c>
      <c r="G107" s="16">
        <v>49513</v>
      </c>
      <c r="H107" s="16">
        <v>59924</v>
      </c>
      <c r="I107" s="16">
        <v>1288.1300000000001</v>
      </c>
      <c r="J107" s="16">
        <v>8.4743010099999996</v>
      </c>
      <c r="K107" s="16">
        <v>0.37784657999999999</v>
      </c>
      <c r="L107" s="16">
        <v>0.90431244</v>
      </c>
      <c r="M107" s="16">
        <v>5.4799699999999998E-3</v>
      </c>
      <c r="N107" s="16">
        <v>0.72411913000000006</v>
      </c>
      <c r="O107" s="16">
        <v>7.9008205809999996</v>
      </c>
      <c r="P107" s="16">
        <v>0.62382753000000002</v>
      </c>
      <c r="Q107" s="16">
        <v>0.90785512999999995</v>
      </c>
      <c r="R107" s="16">
        <v>5.5060100000000004E-3</v>
      </c>
      <c r="S107" s="16">
        <v>0.37146138000000001</v>
      </c>
      <c r="T107" s="16"/>
      <c r="U107" s="16"/>
      <c r="V107" s="16"/>
      <c r="W107" s="16"/>
      <c r="X107" s="16" t="s">
        <v>228</v>
      </c>
      <c r="Y107" s="16"/>
      <c r="AE107">
        <f t="shared" si="6"/>
        <v>5.9260846223776227</v>
      </c>
      <c r="AF107">
        <f t="shared" si="6"/>
        <v>0.26422837762237761</v>
      </c>
      <c r="AG107">
        <f t="shared" si="7"/>
        <v>0.90431244</v>
      </c>
      <c r="AH107">
        <f t="shared" si="7"/>
        <v>5.4799699999999998E-3</v>
      </c>
      <c r="AI107">
        <f t="shared" si="7"/>
        <v>0.72411913000000006</v>
      </c>
      <c r="AJ107">
        <f t="shared" si="8"/>
        <v>6.529603785950413</v>
      </c>
      <c r="AK107">
        <f t="shared" si="8"/>
        <v>0.51555994214876033</v>
      </c>
      <c r="AL107">
        <f t="shared" si="9"/>
        <v>0.90785512999999995</v>
      </c>
      <c r="AM107">
        <f t="shared" si="9"/>
        <v>5.5060100000000004E-3</v>
      </c>
      <c r="AN107">
        <f t="shared" si="9"/>
        <v>0.37146138000000001</v>
      </c>
      <c r="AP107" t="s">
        <v>279</v>
      </c>
    </row>
    <row r="108" spans="1:42" x14ac:dyDescent="0.2">
      <c r="A108" s="16">
        <v>35</v>
      </c>
      <c r="B108" s="16" t="s">
        <v>221</v>
      </c>
      <c r="C108" s="16">
        <v>1.496382054992764</v>
      </c>
      <c r="D108" s="16"/>
      <c r="E108" s="16" t="s">
        <v>228</v>
      </c>
      <c r="F108" s="21">
        <v>648270641.60000002</v>
      </c>
      <c r="G108" s="16">
        <v>44439</v>
      </c>
      <c r="H108" s="16">
        <v>55469</v>
      </c>
      <c r="I108" s="16">
        <v>988.44</v>
      </c>
      <c r="J108" s="16">
        <v>3.9978211300000002</v>
      </c>
      <c r="K108" s="16">
        <v>0.29482754</v>
      </c>
      <c r="L108" s="16">
        <v>0.80423535999999995</v>
      </c>
      <c r="M108" s="16">
        <v>1.0500280000000001E-2</v>
      </c>
      <c r="N108" s="16">
        <v>0.94176872</v>
      </c>
      <c r="O108" s="16">
        <v>3.7272770309999999</v>
      </c>
      <c r="P108" s="16">
        <v>0.36680750000000001</v>
      </c>
      <c r="Q108" s="16">
        <v>0.80738599</v>
      </c>
      <c r="R108" s="16">
        <v>1.05433E-2</v>
      </c>
      <c r="S108" s="16">
        <v>0.69178161000000005</v>
      </c>
      <c r="T108" s="16"/>
      <c r="U108" s="16"/>
      <c r="V108" s="16"/>
      <c r="W108" s="16"/>
      <c r="X108" s="16" t="s">
        <v>228</v>
      </c>
      <c r="Y108" s="16"/>
      <c r="AE108">
        <f t="shared" si="6"/>
        <v>2.7956791118881119</v>
      </c>
      <c r="AF108">
        <f t="shared" si="6"/>
        <v>0.2061731048951049</v>
      </c>
      <c r="AG108">
        <f t="shared" si="7"/>
        <v>0.80423535999999995</v>
      </c>
      <c r="AH108">
        <f t="shared" si="7"/>
        <v>1.0500280000000001E-2</v>
      </c>
      <c r="AI108">
        <f t="shared" si="7"/>
        <v>0.94176872</v>
      </c>
      <c r="AJ108">
        <f t="shared" si="8"/>
        <v>3.0803942404958677</v>
      </c>
      <c r="AK108">
        <f t="shared" si="8"/>
        <v>0.30314669421487606</v>
      </c>
      <c r="AL108">
        <f t="shared" si="9"/>
        <v>0.80738599</v>
      </c>
      <c r="AM108">
        <f t="shared" si="9"/>
        <v>1.05433E-2</v>
      </c>
      <c r="AN108">
        <f t="shared" si="9"/>
        <v>0.69178161000000005</v>
      </c>
    </row>
    <row r="109" spans="1:42" x14ac:dyDescent="0.2">
      <c r="A109" s="16">
        <v>38</v>
      </c>
      <c r="B109" s="16" t="s">
        <v>222</v>
      </c>
      <c r="C109" s="16">
        <v>15.043956043956042</v>
      </c>
      <c r="D109" s="16"/>
      <c r="E109" s="16" t="s">
        <v>228</v>
      </c>
      <c r="F109" s="21">
        <v>76802411.700000003</v>
      </c>
      <c r="G109" s="16">
        <v>45024</v>
      </c>
      <c r="H109" s="16">
        <v>44575</v>
      </c>
      <c r="I109" s="16">
        <v>930</v>
      </c>
      <c r="J109" s="16">
        <v>26.381904599999999</v>
      </c>
      <c r="K109" s="16">
        <v>2.83026051</v>
      </c>
      <c r="L109" s="16">
        <v>1.2498596399999999</v>
      </c>
      <c r="M109" s="16">
        <v>1.7669819999999999E-2</v>
      </c>
      <c r="N109" s="16">
        <v>8.9847850000000007E-2</v>
      </c>
      <c r="O109" s="16">
        <v>25.005796409999999</v>
      </c>
      <c r="P109" s="16">
        <v>2.9640483899999999</v>
      </c>
      <c r="Q109" s="16">
        <v>1.25450811</v>
      </c>
      <c r="R109" s="16">
        <v>1.7734429999999999E-2</v>
      </c>
      <c r="S109" s="16">
        <v>7.6283089999999998E-2</v>
      </c>
      <c r="T109" s="16"/>
      <c r="U109" s="16"/>
      <c r="V109" s="16"/>
      <c r="W109" s="16"/>
      <c r="X109" s="16" t="s">
        <v>228</v>
      </c>
      <c r="Y109" s="16"/>
      <c r="AE109">
        <f t="shared" si="6"/>
        <v>18.448884335664335</v>
      </c>
      <c r="AF109">
        <f t="shared" si="6"/>
        <v>1.9792031538461539</v>
      </c>
      <c r="AG109">
        <f t="shared" si="7"/>
        <v>1.2498596399999999</v>
      </c>
      <c r="AH109">
        <f t="shared" si="7"/>
        <v>1.7669819999999999E-2</v>
      </c>
      <c r="AI109">
        <f t="shared" si="7"/>
        <v>8.9847850000000007E-2</v>
      </c>
      <c r="AJ109">
        <f t="shared" si="8"/>
        <v>20.665947446280992</v>
      </c>
      <c r="AK109">
        <f t="shared" si="8"/>
        <v>2.4496267685950412</v>
      </c>
      <c r="AL109">
        <f t="shared" si="9"/>
        <v>1.25450811</v>
      </c>
      <c r="AM109">
        <f t="shared" si="9"/>
        <v>1.7734429999999999E-2</v>
      </c>
      <c r="AN109">
        <f t="shared" si="9"/>
        <v>7.6283089999999998E-2</v>
      </c>
      <c r="AP109" t="s">
        <v>279</v>
      </c>
    </row>
    <row r="110" spans="1:42" x14ac:dyDescent="0.2">
      <c r="A110" s="16">
        <v>39</v>
      </c>
      <c r="B110" s="16" t="s">
        <v>223</v>
      </c>
      <c r="C110" s="16">
        <v>16.088888888888889</v>
      </c>
      <c r="D110" s="16"/>
      <c r="E110" s="16" t="s">
        <v>228</v>
      </c>
      <c r="F110" s="21">
        <v>53864169.32</v>
      </c>
      <c r="G110" s="16">
        <v>45149</v>
      </c>
      <c r="H110" s="16">
        <v>44511</v>
      </c>
      <c r="I110" s="16">
        <v>930</v>
      </c>
      <c r="J110" s="16">
        <v>39.5090833</v>
      </c>
      <c r="K110" s="16">
        <v>1.19490202</v>
      </c>
      <c r="L110" s="16">
        <v>1.5641374699999999</v>
      </c>
      <c r="M110" s="16">
        <v>2.7936229999999999E-2</v>
      </c>
      <c r="N110" s="16">
        <v>0.33122596999999998</v>
      </c>
      <c r="O110" s="16">
        <v>37.448247469999998</v>
      </c>
      <c r="P110" s="16">
        <v>2.2015052499999999</v>
      </c>
      <c r="Q110" s="16">
        <v>1.5699548000000001</v>
      </c>
      <c r="R110" s="16">
        <v>2.803903E-2</v>
      </c>
      <c r="S110" s="16">
        <v>0.16236476</v>
      </c>
      <c r="T110" s="16"/>
      <c r="U110" s="16"/>
      <c r="V110" s="16"/>
      <c r="W110" s="16"/>
      <c r="X110" s="16" t="s">
        <v>228</v>
      </c>
      <c r="Y110" s="16"/>
      <c r="AE110">
        <f t="shared" si="6"/>
        <v>27.628729580419581</v>
      </c>
      <c r="AF110">
        <f t="shared" si="6"/>
        <v>0.83559581818181827</v>
      </c>
      <c r="AG110">
        <f t="shared" si="7"/>
        <v>1.5641374699999999</v>
      </c>
      <c r="AH110">
        <f t="shared" si="7"/>
        <v>2.7936229999999999E-2</v>
      </c>
      <c r="AI110">
        <f t="shared" si="7"/>
        <v>0.33122596999999998</v>
      </c>
      <c r="AJ110">
        <f t="shared" si="8"/>
        <v>30.948964851239669</v>
      </c>
      <c r="AK110">
        <f t="shared" si="8"/>
        <v>1.819425826446281</v>
      </c>
      <c r="AL110">
        <f t="shared" si="9"/>
        <v>1.5699548000000001</v>
      </c>
      <c r="AM110">
        <f t="shared" si="9"/>
        <v>2.803903E-2</v>
      </c>
      <c r="AN110">
        <f t="shared" si="9"/>
        <v>0.16236476</v>
      </c>
      <c r="AP110" t="s">
        <v>279</v>
      </c>
    </row>
    <row r="111" spans="1:42" x14ac:dyDescent="0.2">
      <c r="A111" s="16">
        <v>40</v>
      </c>
      <c r="B111" s="16" t="s">
        <v>224</v>
      </c>
      <c r="C111" s="16">
        <v>11.931034482758621</v>
      </c>
      <c r="D111" s="16"/>
      <c r="E111" s="16" t="s">
        <v>228</v>
      </c>
      <c r="F111" s="21">
        <v>72707276.640000001</v>
      </c>
      <c r="G111" s="16">
        <v>45239</v>
      </c>
      <c r="H111" s="16">
        <v>44430</v>
      </c>
      <c r="I111" s="16">
        <v>930</v>
      </c>
      <c r="J111" s="16">
        <v>25.564307299999999</v>
      </c>
      <c r="K111" s="16">
        <v>1.0749414100000001</v>
      </c>
      <c r="L111" s="16">
        <v>1.3958486999999999</v>
      </c>
      <c r="M111" s="16">
        <v>1.9835019999999998E-2</v>
      </c>
      <c r="N111" s="16">
        <v>-0.22891619999999999</v>
      </c>
      <c r="O111" s="16">
        <v>24.230845840000001</v>
      </c>
      <c r="P111" s="16">
        <v>1.5906617300000001</v>
      </c>
      <c r="Q111" s="16">
        <v>1.4010401299999999</v>
      </c>
      <c r="R111" s="16">
        <v>1.9907569999999999E-2</v>
      </c>
      <c r="S111" s="16">
        <v>-0.1556903</v>
      </c>
      <c r="T111" s="16"/>
      <c r="U111" s="16"/>
      <c r="V111" s="16"/>
      <c r="W111" s="16"/>
      <c r="X111" s="16" t="s">
        <v>228</v>
      </c>
      <c r="Y111" s="16"/>
      <c r="AE111">
        <f t="shared" si="6"/>
        <v>17.877137972027974</v>
      </c>
      <c r="AF111">
        <f t="shared" si="6"/>
        <v>0.75170727972027984</v>
      </c>
      <c r="AG111">
        <f t="shared" si="7"/>
        <v>1.3958486999999999</v>
      </c>
      <c r="AH111">
        <f t="shared" si="7"/>
        <v>1.9835019999999998E-2</v>
      </c>
      <c r="AI111">
        <f t="shared" si="7"/>
        <v>-0.22891619999999999</v>
      </c>
      <c r="AJ111">
        <f t="shared" si="8"/>
        <v>20.025492429752067</v>
      </c>
      <c r="AK111">
        <f t="shared" si="8"/>
        <v>1.3145964710743803</v>
      </c>
      <c r="AL111">
        <f t="shared" si="9"/>
        <v>1.4010401299999999</v>
      </c>
      <c r="AM111">
        <f t="shared" si="9"/>
        <v>1.9907569999999999E-2</v>
      </c>
      <c r="AN111">
        <f t="shared" si="9"/>
        <v>-0.1556903</v>
      </c>
      <c r="AP111" t="s">
        <v>279</v>
      </c>
    </row>
    <row r="112" spans="1:42" x14ac:dyDescent="0.2">
      <c r="A112" s="16">
        <v>41</v>
      </c>
      <c r="B112" s="16" t="s">
        <v>225</v>
      </c>
      <c r="C112" s="16">
        <v>6.3096446700507611</v>
      </c>
      <c r="D112" s="16"/>
      <c r="E112" s="16" t="s">
        <v>228</v>
      </c>
      <c r="F112" s="21">
        <v>183992362.30000001</v>
      </c>
      <c r="G112" s="16">
        <v>45279</v>
      </c>
      <c r="H112" s="16">
        <v>44309</v>
      </c>
      <c r="I112" s="16">
        <v>930</v>
      </c>
      <c r="J112" s="16">
        <v>10.6046972</v>
      </c>
      <c r="K112" s="16">
        <v>0.67643421999999997</v>
      </c>
      <c r="L112" s="16">
        <v>0.92929494000000001</v>
      </c>
      <c r="M112" s="16">
        <v>1.123118E-2</v>
      </c>
      <c r="N112" s="16">
        <v>0.81564389999999998</v>
      </c>
      <c r="O112" s="16">
        <v>10.05154495</v>
      </c>
      <c r="P112" s="16">
        <v>0.81721151999999997</v>
      </c>
      <c r="Q112" s="16">
        <v>0.93462424</v>
      </c>
      <c r="R112" s="16">
        <v>1.129463E-2</v>
      </c>
      <c r="S112" s="16">
        <v>0.63138081999999995</v>
      </c>
      <c r="T112" s="16"/>
      <c r="U112" s="16"/>
      <c r="V112" s="16"/>
      <c r="W112" s="16"/>
      <c r="X112" s="16" t="s">
        <v>228</v>
      </c>
      <c r="Y112" s="16"/>
      <c r="AE112">
        <f t="shared" si="6"/>
        <v>7.4158721678321688</v>
      </c>
      <c r="AF112">
        <f t="shared" si="6"/>
        <v>0.47303092307692307</v>
      </c>
      <c r="AG112">
        <f t="shared" si="7"/>
        <v>0.92929494000000001</v>
      </c>
      <c r="AH112">
        <f t="shared" si="7"/>
        <v>1.123118E-2</v>
      </c>
      <c r="AI112">
        <f t="shared" si="7"/>
        <v>0.81564389999999998</v>
      </c>
      <c r="AJ112">
        <f t="shared" si="8"/>
        <v>8.3070619421487599</v>
      </c>
      <c r="AK112">
        <f t="shared" si="8"/>
        <v>0.67538142148760327</v>
      </c>
      <c r="AL112">
        <f t="shared" si="9"/>
        <v>0.93462424</v>
      </c>
      <c r="AM112">
        <f t="shared" si="9"/>
        <v>1.129463E-2</v>
      </c>
      <c r="AN112">
        <f t="shared" si="9"/>
        <v>0.63138081999999995</v>
      </c>
      <c r="AP112" t="s">
        <v>279</v>
      </c>
    </row>
    <row r="113" spans="1:40" x14ac:dyDescent="0.2">
      <c r="A113" s="16">
        <v>42</v>
      </c>
      <c r="B113" s="16" t="s">
        <v>226</v>
      </c>
      <c r="C113" s="16">
        <v>1.1256410256410256</v>
      </c>
      <c r="D113" s="16"/>
      <c r="E113" s="16" t="s">
        <v>228</v>
      </c>
      <c r="F113" s="21">
        <v>495646534.80000001</v>
      </c>
      <c r="G113" s="16">
        <v>46155</v>
      </c>
      <c r="H113" s="16">
        <v>44257</v>
      </c>
      <c r="I113" s="16">
        <v>930</v>
      </c>
      <c r="J113" s="16">
        <v>2.1693777500000002</v>
      </c>
      <c r="K113" s="16">
        <v>6.6988820000000004E-2</v>
      </c>
      <c r="L113" s="16">
        <v>0.75883624000000005</v>
      </c>
      <c r="M113" s="16">
        <v>2.5115200000000002E-3</v>
      </c>
      <c r="N113" s="16">
        <v>0.46836956000000002</v>
      </c>
      <c r="O113" s="16">
        <v>2.0562206999999999</v>
      </c>
      <c r="P113" s="16">
        <v>0.12155844</v>
      </c>
      <c r="Q113" s="16">
        <v>0.76165850000000002</v>
      </c>
      <c r="R113" s="16">
        <v>2.51798E-3</v>
      </c>
      <c r="S113" s="16">
        <v>0.20171918</v>
      </c>
      <c r="T113" s="16"/>
      <c r="U113" s="16"/>
      <c r="V113" s="16"/>
      <c r="W113" s="16"/>
      <c r="X113" s="16" t="s">
        <v>228</v>
      </c>
      <c r="Y113" s="16"/>
      <c r="AE113">
        <f t="shared" si="6"/>
        <v>1.5170473776223778</v>
      </c>
      <c r="AF113">
        <f t="shared" si="6"/>
        <v>4.6845328671328679E-2</v>
      </c>
      <c r="AG113">
        <f t="shared" si="7"/>
        <v>0.75883624000000005</v>
      </c>
      <c r="AH113">
        <f t="shared" si="7"/>
        <v>2.5115200000000002E-3</v>
      </c>
      <c r="AI113">
        <f t="shared" si="7"/>
        <v>0.46836956000000002</v>
      </c>
      <c r="AJ113">
        <f t="shared" si="8"/>
        <v>1.6993559504132232</v>
      </c>
      <c r="AK113">
        <f t="shared" si="8"/>
        <v>0.10046152066115703</v>
      </c>
      <c r="AL113">
        <f t="shared" si="9"/>
        <v>0.76165850000000002</v>
      </c>
      <c r="AM113">
        <f t="shared" si="9"/>
        <v>2.51798E-3</v>
      </c>
      <c r="AN113">
        <f t="shared" si="9"/>
        <v>0.20171918</v>
      </c>
    </row>
    <row r="114" spans="1:40" x14ac:dyDescent="0.2">
      <c r="A114" s="16">
        <v>43</v>
      </c>
      <c r="B114" s="16" t="s">
        <v>227</v>
      </c>
      <c r="C114" s="16">
        <v>0.12827586206896552</v>
      </c>
      <c r="D114" s="16"/>
      <c r="E114" s="16" t="s">
        <v>228</v>
      </c>
      <c r="F114" s="21">
        <v>462282051.10000002</v>
      </c>
      <c r="G114" s="16">
        <v>51485</v>
      </c>
      <c r="H114" s="16">
        <v>46493</v>
      </c>
      <c r="I114" s="16">
        <v>1187.5</v>
      </c>
      <c r="J114" s="16">
        <v>0.47039513999999999</v>
      </c>
      <c r="K114" s="16">
        <v>0.41970286000000001</v>
      </c>
      <c r="L114" s="16">
        <v>0.73125172000000005</v>
      </c>
      <c r="M114" s="16">
        <v>1.8201700000000001E-3</v>
      </c>
      <c r="N114" s="16">
        <v>0.90103359999999999</v>
      </c>
      <c r="O114" s="16">
        <v>0.44585882599999999</v>
      </c>
      <c r="P114" s="16">
        <v>0.41109396999999998</v>
      </c>
      <c r="Q114" s="16">
        <v>0.73397139</v>
      </c>
      <c r="R114" s="16">
        <v>1.8229800000000001E-3</v>
      </c>
      <c r="S114" s="16">
        <v>0.85616868999999995</v>
      </c>
      <c r="T114" s="16"/>
      <c r="U114" s="16"/>
      <c r="V114" s="16"/>
      <c r="W114" s="16"/>
      <c r="X114" s="16" t="s">
        <v>228</v>
      </c>
      <c r="Y114" s="16"/>
      <c r="AE114">
        <f t="shared" si="6"/>
        <v>0.32894765034965034</v>
      </c>
      <c r="AF114">
        <f t="shared" si="6"/>
        <v>0.29349850349650353</v>
      </c>
      <c r="AG114">
        <f t="shared" si="7"/>
        <v>0.73125172000000005</v>
      </c>
      <c r="AH114">
        <f t="shared" si="7"/>
        <v>1.8201700000000001E-3</v>
      </c>
      <c r="AI114">
        <f t="shared" si="7"/>
        <v>0.90103359999999999</v>
      </c>
      <c r="AJ114">
        <f t="shared" si="8"/>
        <v>0.36847836859504129</v>
      </c>
      <c r="AK114">
        <f t="shared" si="8"/>
        <v>0.33974708264462811</v>
      </c>
      <c r="AL114">
        <f t="shared" si="9"/>
        <v>0.73397139</v>
      </c>
      <c r="AM114">
        <f t="shared" si="9"/>
        <v>1.8229800000000001E-3</v>
      </c>
      <c r="AN114">
        <f t="shared" si="9"/>
        <v>0.85616868999999995</v>
      </c>
    </row>
    <row r="115" spans="1:40" ht="17" x14ac:dyDescent="0.2">
      <c r="A115" s="19" t="s">
        <v>280</v>
      </c>
      <c r="B115" s="19"/>
      <c r="C115" s="19"/>
      <c r="D115" s="19"/>
      <c r="E115" s="19"/>
      <c r="F115" s="23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6"/>
      <c r="S115" s="16"/>
      <c r="T115" s="16"/>
      <c r="U115" s="16"/>
      <c r="V115" s="16"/>
      <c r="W115" s="16"/>
      <c r="X115" s="16"/>
      <c r="Y115" s="16"/>
    </row>
    <row r="116" spans="1:40" ht="17" x14ac:dyDescent="0.2">
      <c r="A116" s="19" t="s">
        <v>281</v>
      </c>
      <c r="B116" s="19"/>
      <c r="C116" s="19"/>
      <c r="D116" s="19"/>
      <c r="E116" s="19"/>
      <c r="F116" s="23"/>
      <c r="G116" s="19"/>
      <c r="H116" s="19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40" ht="17" x14ac:dyDescent="0.2">
      <c r="A117" s="19" t="s">
        <v>282</v>
      </c>
      <c r="B117" s="19"/>
      <c r="C117" s="19"/>
      <c r="D117" s="19"/>
      <c r="E117" s="19"/>
      <c r="F117" s="23"/>
      <c r="G117" s="19"/>
      <c r="H117" s="19"/>
      <c r="I117" s="19"/>
      <c r="J117" s="19"/>
      <c r="K117" s="19"/>
      <c r="L117" s="19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40" ht="17" x14ac:dyDescent="0.2">
      <c r="A118" s="19" t="s">
        <v>272</v>
      </c>
      <c r="B118" s="19"/>
      <c r="C118" s="19"/>
      <c r="D118" s="19"/>
      <c r="E118" s="19"/>
      <c r="F118" s="23"/>
      <c r="G118" s="19"/>
      <c r="H118" s="19"/>
      <c r="I118" s="19"/>
      <c r="J118" s="19"/>
      <c r="K118" s="19"/>
      <c r="L118" s="19"/>
      <c r="M118" s="19"/>
      <c r="N118" s="19"/>
      <c r="O118" s="19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22" spans="1:40" x14ac:dyDescent="0.2">
      <c r="A122" s="16">
        <v>94</v>
      </c>
      <c r="B122" s="16" t="s">
        <v>125</v>
      </c>
      <c r="C122" s="16"/>
      <c r="D122" s="16"/>
      <c r="E122" s="16" t="s">
        <v>196</v>
      </c>
      <c r="F122" s="21">
        <v>1102324.808</v>
      </c>
      <c r="G122" s="16">
        <v>48939</v>
      </c>
      <c r="H122" s="16">
        <v>46420</v>
      </c>
      <c r="I122" s="16">
        <v>1124.69</v>
      </c>
      <c r="J122" s="16">
        <v>-0.98267459999999995</v>
      </c>
      <c r="K122" s="16">
        <v>0.62912082000000003</v>
      </c>
      <c r="L122" s="16" t="e">
        <v>#VALUE!</v>
      </c>
      <c r="M122" s="16" t="e">
        <v>#VALUE!</v>
      </c>
      <c r="N122" s="16" t="e">
        <v>#VALUE!</v>
      </c>
      <c r="O122" s="16">
        <v>-0.87893677999999997</v>
      </c>
      <c r="P122" s="16">
        <v>-0.56845639999999997</v>
      </c>
      <c r="Q122" s="16" t="e">
        <v>#VALUE!</v>
      </c>
      <c r="R122" s="16" t="e">
        <v>#VALUE!</v>
      </c>
      <c r="S122" s="16" t="e">
        <v>#VALUE!</v>
      </c>
      <c r="T122" s="16"/>
      <c r="U122" s="16"/>
      <c r="V122" s="16"/>
      <c r="W122" s="16"/>
      <c r="X122" s="16" t="s">
        <v>196</v>
      </c>
      <c r="Y122" s="16"/>
    </row>
    <row r="123" spans="1:40" x14ac:dyDescent="0.2">
      <c r="A123" s="16">
        <v>95</v>
      </c>
      <c r="B123" s="16" t="s">
        <v>126</v>
      </c>
      <c r="C123" s="16"/>
      <c r="D123" s="16"/>
      <c r="E123" s="16" t="s">
        <v>196</v>
      </c>
      <c r="F123" s="21">
        <v>1146712.395</v>
      </c>
      <c r="G123" s="16">
        <v>48810</v>
      </c>
      <c r="H123" s="16">
        <v>46566</v>
      </c>
      <c r="I123" s="16">
        <v>1135</v>
      </c>
      <c r="J123" s="16">
        <v>0.38660567000000001</v>
      </c>
      <c r="K123" s="16">
        <v>1.1950305699999999</v>
      </c>
      <c r="L123" s="16">
        <v>0.73487579999999997</v>
      </c>
      <c r="M123" s="16">
        <v>9.3361881499999999</v>
      </c>
      <c r="N123" s="16" t="e">
        <v>#VALUE!</v>
      </c>
      <c r="O123" s="16">
        <v>0.34579294700000002</v>
      </c>
      <c r="P123" s="16">
        <v>1.0693458300000001</v>
      </c>
      <c r="Q123" s="16">
        <v>0.73638554000000001</v>
      </c>
      <c r="R123" s="16">
        <v>9.3553685099999999</v>
      </c>
      <c r="S123" s="16" t="e">
        <v>#VALUE!</v>
      </c>
      <c r="T123" s="16"/>
      <c r="U123" s="16"/>
      <c r="V123" s="16"/>
      <c r="W123" s="16"/>
      <c r="X123" s="16" t="s">
        <v>196</v>
      </c>
      <c r="Y123" s="16"/>
    </row>
    <row r="124" spans="1:40" x14ac:dyDescent="0.2">
      <c r="A124" s="16">
        <v>96</v>
      </c>
      <c r="B124" s="16" t="s">
        <v>127</v>
      </c>
      <c r="C124" s="16"/>
      <c r="D124" s="16"/>
      <c r="E124" s="16" t="s">
        <v>196</v>
      </c>
      <c r="F124" s="21">
        <v>1529874.2409999999</v>
      </c>
      <c r="G124" s="16">
        <v>48959</v>
      </c>
      <c r="H124" s="16">
        <v>46113</v>
      </c>
      <c r="I124" s="16">
        <v>1138.1300000000001</v>
      </c>
      <c r="J124" s="16">
        <v>-0.1489684</v>
      </c>
      <c r="K124" s="16">
        <v>-2.3643182</v>
      </c>
      <c r="L124" s="16">
        <v>0.76559579</v>
      </c>
      <c r="M124" s="16">
        <v>1.1219762799999999</v>
      </c>
      <c r="N124" s="16" t="e">
        <v>#VALUE!</v>
      </c>
      <c r="O124" s="16">
        <v>-0.133242262</v>
      </c>
      <c r="P124" s="16">
        <v>-2.11476</v>
      </c>
      <c r="Q124" s="16">
        <v>0.76716863999999996</v>
      </c>
      <c r="R124" s="16">
        <v>1.1242812900000001</v>
      </c>
      <c r="S124" s="16" t="e">
        <v>#VALUE!</v>
      </c>
      <c r="T124" s="16"/>
      <c r="U124" s="16"/>
      <c r="V124" s="16"/>
      <c r="W124" s="16"/>
      <c r="X124" s="16" t="s">
        <v>196</v>
      </c>
      <c r="Y124" s="16"/>
    </row>
    <row r="125" spans="1:40" x14ac:dyDescent="0.2">
      <c r="A125" s="16">
        <v>97</v>
      </c>
      <c r="B125" s="16" t="s">
        <v>128</v>
      </c>
      <c r="C125" s="16"/>
      <c r="D125" s="16"/>
      <c r="E125" s="16" t="s">
        <v>196</v>
      </c>
      <c r="F125" s="21">
        <v>1120969.3060000001</v>
      </c>
      <c r="G125" s="16">
        <v>48657</v>
      </c>
      <c r="H125" s="16">
        <v>46308</v>
      </c>
      <c r="I125" s="16">
        <v>1136.56</v>
      </c>
      <c r="J125" s="16">
        <v>0.67292750000000001</v>
      </c>
      <c r="K125" s="16">
        <v>8.6394036100000005</v>
      </c>
      <c r="L125" s="16">
        <v>-0.44184560000000001</v>
      </c>
      <c r="M125" s="16">
        <v>-24.373062999999998</v>
      </c>
      <c r="N125" s="16" t="e">
        <v>#VALUE!</v>
      </c>
      <c r="O125" s="16">
        <v>0.601888698</v>
      </c>
      <c r="P125" s="16">
        <v>7.7275668</v>
      </c>
      <c r="Q125" s="16">
        <v>-0.44275340000000002</v>
      </c>
      <c r="R125" s="16">
        <v>-24.423134999999998</v>
      </c>
      <c r="S125" s="16" t="e">
        <v>#VALUE!</v>
      </c>
      <c r="T125" s="16"/>
      <c r="U125" s="16"/>
      <c r="V125" s="16"/>
      <c r="W125" s="16"/>
      <c r="X125" s="16" t="s">
        <v>196</v>
      </c>
      <c r="Y125" s="16"/>
    </row>
    <row r="126" spans="1:40" x14ac:dyDescent="0.2">
      <c r="A126" s="16">
        <v>98</v>
      </c>
      <c r="B126" s="16" t="s">
        <v>129</v>
      </c>
      <c r="C126" s="16"/>
      <c r="D126" s="16"/>
      <c r="E126" s="16" t="s">
        <v>196</v>
      </c>
      <c r="F126" s="21">
        <v>-13931232.23</v>
      </c>
      <c r="G126" s="16">
        <v>49848</v>
      </c>
      <c r="H126" s="16">
        <v>46718</v>
      </c>
      <c r="I126" s="16">
        <v>1161.56</v>
      </c>
      <c r="J126" s="16">
        <v>-1.02031E-2</v>
      </c>
      <c r="K126" s="16">
        <v>-3.3436800000000003E-2</v>
      </c>
      <c r="L126" s="16">
        <v>0.67730040999999996</v>
      </c>
      <c r="M126" s="16">
        <v>4.1833830000000002E-2</v>
      </c>
      <c r="N126" s="16">
        <v>0.25597437000000001</v>
      </c>
      <c r="O126" s="16">
        <v>-9.1259519999999997E-3</v>
      </c>
      <c r="P126" s="16">
        <v>-2.9918699999999999E-2</v>
      </c>
      <c r="Q126" s="16">
        <v>0.67869186999999997</v>
      </c>
      <c r="R126" s="16">
        <v>4.1919930000000001E-2</v>
      </c>
      <c r="S126" s="16">
        <v>0.25576743000000002</v>
      </c>
      <c r="T126" s="16"/>
      <c r="U126" s="16"/>
      <c r="V126" s="16"/>
      <c r="W126" s="16"/>
      <c r="X126" s="16" t="s">
        <v>196</v>
      </c>
      <c r="Y126" s="16"/>
    </row>
    <row r="127" spans="1:40" x14ac:dyDescent="0.2">
      <c r="A127" s="16">
        <v>101</v>
      </c>
      <c r="B127" s="16" t="s">
        <v>130</v>
      </c>
      <c r="C127" s="16"/>
      <c r="D127" s="16"/>
      <c r="E127" s="16" t="s">
        <v>196</v>
      </c>
      <c r="F127" s="21">
        <v>1099774.0079999999</v>
      </c>
      <c r="G127" s="16">
        <v>49868</v>
      </c>
      <c r="H127" s="16">
        <v>46874</v>
      </c>
      <c r="I127" s="16">
        <v>1169.3800000000001</v>
      </c>
      <c r="J127" s="16">
        <v>-1.2168661999999999</v>
      </c>
      <c r="K127" s="16">
        <v>-0.36281790000000003</v>
      </c>
      <c r="L127" s="16">
        <v>-0.1373057</v>
      </c>
      <c r="M127" s="16">
        <v>-0.89440589999999998</v>
      </c>
      <c r="N127" s="16" t="e">
        <v>#VALUE!</v>
      </c>
      <c r="O127" s="16">
        <v>-1.095187192</v>
      </c>
      <c r="P127" s="16">
        <v>-0.33793000000000001</v>
      </c>
      <c r="Q127" s="16">
        <v>-0.13756109999999999</v>
      </c>
      <c r="R127" s="16">
        <v>-0.89606949999999996</v>
      </c>
      <c r="S127" s="16" t="e">
        <v>#VALUE!</v>
      </c>
      <c r="T127" s="16"/>
      <c r="U127" s="16"/>
      <c r="V127" s="16"/>
      <c r="W127" s="16"/>
      <c r="X127" s="16" t="s">
        <v>196</v>
      </c>
      <c r="Y127" s="16"/>
    </row>
    <row r="133" spans="9:14" x14ac:dyDescent="0.2">
      <c r="I133" t="s">
        <v>329</v>
      </c>
      <c r="J133">
        <v>298</v>
      </c>
      <c r="K133" t="s">
        <v>331</v>
      </c>
      <c r="L133">
        <f>(J133/39.09)/2*(2*39.09+16)</f>
        <v>358.98746482476338</v>
      </c>
      <c r="M133" t="s">
        <v>332</v>
      </c>
      <c r="N133">
        <f>L133*85.46/0.278</f>
        <v>110356.3623882168</v>
      </c>
    </row>
    <row r="134" spans="9:14" x14ac:dyDescent="0.2">
      <c r="I134" t="s">
        <v>330</v>
      </c>
      <c r="J134">
        <v>1170</v>
      </c>
      <c r="K134" t="s">
        <v>333</v>
      </c>
      <c r="L134">
        <f>J134/40.078*(40.078+16)</f>
        <v>1637.089176106592</v>
      </c>
      <c r="M134" t="s">
        <v>334</v>
      </c>
      <c r="N134">
        <f>L134*87.62/0.0986</f>
        <v>1454784.5193758581</v>
      </c>
    </row>
    <row r="135" spans="9:14" x14ac:dyDescent="0.2">
      <c r="N135">
        <f>N134/N133</f>
        <v>13.182606674349675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575D3-D042-4F35-A379-EB8BE94AF7F1}">
  <sheetPr>
    <pageSetUpPr fitToPage="1"/>
  </sheetPr>
  <dimension ref="A1:L45"/>
  <sheetViews>
    <sheetView tabSelected="1" topLeftCell="A12" workbookViewId="0">
      <selection activeCell="A41" sqref="A41:L45"/>
    </sheetView>
  </sheetViews>
  <sheetFormatPr baseColWidth="10" defaultColWidth="8.83203125" defaultRowHeight="16" x14ac:dyDescent="0.2"/>
  <cols>
    <col min="1" max="1" width="26" customWidth="1"/>
    <col min="5" max="5" width="26.1640625" customWidth="1"/>
    <col min="6" max="6" width="24.33203125" customWidth="1"/>
    <col min="7" max="7" width="16" customWidth="1"/>
  </cols>
  <sheetData>
    <row r="1" spans="1:12" ht="17" thickBot="1" x14ac:dyDescent="0.25">
      <c r="A1" s="115" t="s">
        <v>450</v>
      </c>
      <c r="B1" s="73"/>
      <c r="C1" s="73"/>
      <c r="D1" s="73"/>
      <c r="E1" s="73"/>
      <c r="F1" s="73"/>
      <c r="G1" s="73"/>
      <c r="H1" s="40"/>
      <c r="I1" s="40"/>
    </row>
    <row r="2" spans="1:12" ht="17" thickTop="1" x14ac:dyDescent="0.2">
      <c r="A2" s="116" t="s">
        <v>365</v>
      </c>
      <c r="B2" s="116" t="s">
        <v>366</v>
      </c>
      <c r="C2" s="116" t="s">
        <v>367</v>
      </c>
      <c r="D2" s="94"/>
      <c r="E2" s="116" t="s">
        <v>365</v>
      </c>
      <c r="F2" s="116" t="s">
        <v>366</v>
      </c>
      <c r="G2" s="116" t="s">
        <v>367</v>
      </c>
      <c r="K2" s="111"/>
      <c r="L2" s="101"/>
    </row>
    <row r="3" spans="1:12" x14ac:dyDescent="0.2">
      <c r="A3" s="110" t="s">
        <v>379</v>
      </c>
      <c r="E3" s="110" t="s">
        <v>364</v>
      </c>
      <c r="K3" s="111"/>
      <c r="L3" s="101"/>
    </row>
    <row r="4" spans="1:12" x14ac:dyDescent="0.2">
      <c r="A4" t="s">
        <v>380</v>
      </c>
      <c r="B4">
        <v>3.8</v>
      </c>
      <c r="C4" t="s">
        <v>376</v>
      </c>
      <c r="E4" t="s">
        <v>389</v>
      </c>
      <c r="F4">
        <v>1.2</v>
      </c>
      <c r="G4" t="s">
        <v>376</v>
      </c>
      <c r="K4" s="111"/>
    </row>
    <row r="5" spans="1:12" x14ac:dyDescent="0.2">
      <c r="A5" t="s">
        <v>381</v>
      </c>
      <c r="B5">
        <v>3</v>
      </c>
      <c r="C5" t="s">
        <v>387</v>
      </c>
      <c r="E5" t="s">
        <v>381</v>
      </c>
      <c r="F5">
        <v>4</v>
      </c>
      <c r="G5" t="s">
        <v>387</v>
      </c>
      <c r="K5" s="111"/>
    </row>
    <row r="6" spans="1:12" x14ac:dyDescent="0.2">
      <c r="A6" t="s">
        <v>382</v>
      </c>
      <c r="B6">
        <v>140</v>
      </c>
      <c r="C6" s="112" t="s">
        <v>415</v>
      </c>
      <c r="E6" t="s">
        <v>390</v>
      </c>
      <c r="F6">
        <v>100</v>
      </c>
      <c r="G6" t="s">
        <v>394</v>
      </c>
    </row>
    <row r="7" spans="1:12" ht="19" x14ac:dyDescent="0.2">
      <c r="A7" t="s">
        <v>383</v>
      </c>
      <c r="B7">
        <v>3</v>
      </c>
      <c r="C7" s="112" t="s">
        <v>415</v>
      </c>
      <c r="E7" t="s">
        <v>391</v>
      </c>
      <c r="F7">
        <v>5</v>
      </c>
      <c r="G7" t="s">
        <v>395</v>
      </c>
      <c r="K7" s="111"/>
      <c r="L7" s="101"/>
    </row>
    <row r="8" spans="1:12" x14ac:dyDescent="0.2">
      <c r="A8" t="s">
        <v>384</v>
      </c>
      <c r="B8">
        <v>155</v>
      </c>
      <c r="C8" s="112" t="s">
        <v>415</v>
      </c>
      <c r="E8" t="s">
        <v>392</v>
      </c>
      <c r="F8">
        <v>20</v>
      </c>
      <c r="G8" t="s">
        <v>396</v>
      </c>
      <c r="K8" s="111"/>
      <c r="L8" s="101"/>
    </row>
    <row r="9" spans="1:12" x14ac:dyDescent="0.2">
      <c r="A9" t="s">
        <v>385</v>
      </c>
      <c r="B9">
        <v>17</v>
      </c>
      <c r="C9" t="s">
        <v>386</v>
      </c>
      <c r="E9" t="s">
        <v>393</v>
      </c>
      <c r="F9">
        <v>60</v>
      </c>
      <c r="G9" t="s">
        <v>362</v>
      </c>
      <c r="K9" s="111"/>
      <c r="L9" s="99"/>
    </row>
    <row r="10" spans="1:12" x14ac:dyDescent="0.2">
      <c r="K10" s="111"/>
    </row>
    <row r="11" spans="1:12" x14ac:dyDescent="0.2">
      <c r="A11" s="110" t="s">
        <v>368</v>
      </c>
      <c r="E11" s="110" t="s">
        <v>368</v>
      </c>
    </row>
    <row r="12" spans="1:12" x14ac:dyDescent="0.2">
      <c r="A12" t="s">
        <v>370</v>
      </c>
      <c r="B12">
        <v>14</v>
      </c>
      <c r="C12" t="s">
        <v>376</v>
      </c>
      <c r="E12" t="s">
        <v>370</v>
      </c>
      <c r="F12">
        <v>14</v>
      </c>
      <c r="G12" t="s">
        <v>376</v>
      </c>
    </row>
    <row r="13" spans="1:12" x14ac:dyDescent="0.2">
      <c r="A13" t="s">
        <v>371</v>
      </c>
      <c r="B13">
        <v>0.8</v>
      </c>
      <c r="C13" t="s">
        <v>376</v>
      </c>
      <c r="E13" t="s">
        <v>371</v>
      </c>
      <c r="F13">
        <v>0.8</v>
      </c>
      <c r="G13" t="s">
        <v>376</v>
      </c>
    </row>
    <row r="14" spans="1:12" x14ac:dyDescent="0.2">
      <c r="A14" t="s">
        <v>369</v>
      </c>
      <c r="B14">
        <v>0.9</v>
      </c>
      <c r="C14" t="s">
        <v>376</v>
      </c>
      <c r="E14" t="s">
        <v>369</v>
      </c>
      <c r="F14">
        <v>0.89</v>
      </c>
      <c r="G14" t="s">
        <v>376</v>
      </c>
    </row>
    <row r="15" spans="1:12" x14ac:dyDescent="0.2">
      <c r="A15" t="s">
        <v>372</v>
      </c>
      <c r="B15">
        <v>-1.4</v>
      </c>
      <c r="C15" t="s">
        <v>377</v>
      </c>
      <c r="E15" t="s">
        <v>372</v>
      </c>
      <c r="F15">
        <v>-1.35</v>
      </c>
      <c r="G15" t="s">
        <v>377</v>
      </c>
    </row>
    <row r="16" spans="1:12" x14ac:dyDescent="0.2">
      <c r="A16" t="s">
        <v>373</v>
      </c>
      <c r="B16">
        <v>-1.05</v>
      </c>
      <c r="C16" t="s">
        <v>377</v>
      </c>
      <c r="E16" t="s">
        <v>373</v>
      </c>
      <c r="F16">
        <v>-0.95</v>
      </c>
      <c r="G16" t="s">
        <v>377</v>
      </c>
    </row>
    <row r="17" spans="1:7" x14ac:dyDescent="0.2">
      <c r="A17" t="s">
        <v>374</v>
      </c>
      <c r="B17">
        <v>5</v>
      </c>
      <c r="C17" t="s">
        <v>377</v>
      </c>
      <c r="E17" t="s">
        <v>374</v>
      </c>
      <c r="F17">
        <v>6.5</v>
      </c>
      <c r="G17" t="s">
        <v>377</v>
      </c>
    </row>
    <row r="18" spans="1:7" x14ac:dyDescent="0.2">
      <c r="A18" t="s">
        <v>375</v>
      </c>
      <c r="B18">
        <v>1200</v>
      </c>
      <c r="C18" t="s">
        <v>378</v>
      </c>
      <c r="E18" t="s">
        <v>375</v>
      </c>
      <c r="F18">
        <v>1200</v>
      </c>
      <c r="G18" t="s">
        <v>378</v>
      </c>
    </row>
    <row r="19" spans="1:7" x14ac:dyDescent="0.2">
      <c r="A19" t="s">
        <v>398</v>
      </c>
      <c r="B19">
        <v>2100</v>
      </c>
      <c r="C19" t="s">
        <v>397</v>
      </c>
      <c r="E19" t="s">
        <v>398</v>
      </c>
      <c r="F19">
        <v>2100</v>
      </c>
      <c r="G19" t="s">
        <v>397</v>
      </c>
    </row>
    <row r="20" spans="1:7" x14ac:dyDescent="0.2">
      <c r="A20" t="s">
        <v>399</v>
      </c>
      <c r="B20">
        <v>52</v>
      </c>
      <c r="C20" t="s">
        <v>403</v>
      </c>
      <c r="E20" t="s">
        <v>399</v>
      </c>
      <c r="F20">
        <v>52</v>
      </c>
      <c r="G20" t="s">
        <v>403</v>
      </c>
    </row>
    <row r="21" spans="1:7" x14ac:dyDescent="0.2">
      <c r="A21" t="s">
        <v>400</v>
      </c>
      <c r="B21">
        <v>-14.8</v>
      </c>
      <c r="C21" t="s">
        <v>403</v>
      </c>
      <c r="E21" t="s">
        <v>400</v>
      </c>
      <c r="F21">
        <v>-14.8</v>
      </c>
      <c r="G21" t="s">
        <v>403</v>
      </c>
    </row>
    <row r="22" spans="1:7" x14ac:dyDescent="0.2">
      <c r="A22" t="s">
        <v>401</v>
      </c>
      <c r="B22">
        <v>-3</v>
      </c>
      <c r="C22" t="s">
        <v>403</v>
      </c>
      <c r="E22" t="s">
        <v>401</v>
      </c>
      <c r="F22">
        <v>-3</v>
      </c>
      <c r="G22" t="s">
        <v>403</v>
      </c>
    </row>
    <row r="23" spans="1:7" x14ac:dyDescent="0.2">
      <c r="A23" t="s">
        <v>402</v>
      </c>
      <c r="B23">
        <v>46.4</v>
      </c>
      <c r="C23" t="s">
        <v>403</v>
      </c>
      <c r="E23" t="s">
        <v>402</v>
      </c>
      <c r="F23">
        <v>46.4</v>
      </c>
      <c r="G23" t="s">
        <v>403</v>
      </c>
    </row>
    <row r="24" spans="1:7" x14ac:dyDescent="0.2">
      <c r="A24" t="s">
        <v>404</v>
      </c>
      <c r="B24">
        <v>50</v>
      </c>
      <c r="C24" t="s">
        <v>403</v>
      </c>
      <c r="E24" t="s">
        <v>404</v>
      </c>
      <c r="F24">
        <v>50</v>
      </c>
      <c r="G24" t="s">
        <v>403</v>
      </c>
    </row>
    <row r="25" spans="1:7" x14ac:dyDescent="0.2">
      <c r="A25" t="s">
        <v>405</v>
      </c>
      <c r="B25">
        <v>320</v>
      </c>
      <c r="C25" t="s">
        <v>416</v>
      </c>
      <c r="E25" t="s">
        <v>405</v>
      </c>
      <c r="F25">
        <v>320</v>
      </c>
      <c r="G25" t="s">
        <v>416</v>
      </c>
    </row>
    <row r="26" spans="1:7" x14ac:dyDescent="0.2">
      <c r="A26" t="s">
        <v>406</v>
      </c>
      <c r="B26">
        <v>-440</v>
      </c>
      <c r="C26" t="s">
        <v>416</v>
      </c>
      <c r="E26" t="s">
        <v>406</v>
      </c>
      <c r="F26">
        <v>-440</v>
      </c>
      <c r="G26" t="s">
        <v>416</v>
      </c>
    </row>
    <row r="27" spans="1:7" x14ac:dyDescent="0.2">
      <c r="A27" t="s">
        <v>407</v>
      </c>
      <c r="B27">
        <v>0</v>
      </c>
      <c r="C27" t="s">
        <v>416</v>
      </c>
      <c r="E27" t="s">
        <v>407</v>
      </c>
      <c r="F27">
        <v>0</v>
      </c>
      <c r="G27" t="s">
        <v>416</v>
      </c>
    </row>
    <row r="28" spans="1:7" x14ac:dyDescent="0.2">
      <c r="A28" t="s">
        <v>408</v>
      </c>
      <c r="B28">
        <v>15</v>
      </c>
      <c r="C28" t="s">
        <v>416</v>
      </c>
      <c r="E28" t="s">
        <v>408</v>
      </c>
      <c r="F28">
        <v>15</v>
      </c>
      <c r="G28" t="s">
        <v>416</v>
      </c>
    </row>
    <row r="29" spans="1:7" x14ac:dyDescent="0.2">
      <c r="A29" t="s">
        <v>413</v>
      </c>
      <c r="B29">
        <v>60</v>
      </c>
      <c r="C29" s="112" t="s">
        <v>414</v>
      </c>
      <c r="E29" t="s">
        <v>413</v>
      </c>
      <c r="F29">
        <v>60</v>
      </c>
      <c r="G29" s="112" t="s">
        <v>414</v>
      </c>
    </row>
    <row r="30" spans="1:7" x14ac:dyDescent="0.2">
      <c r="A30" t="s">
        <v>409</v>
      </c>
      <c r="B30">
        <v>-395</v>
      </c>
      <c r="C30" s="112" t="s">
        <v>416</v>
      </c>
      <c r="E30" t="s">
        <v>409</v>
      </c>
      <c r="F30">
        <v>-395</v>
      </c>
      <c r="G30" s="112" t="s">
        <v>416</v>
      </c>
    </row>
    <row r="31" spans="1:7" x14ac:dyDescent="0.2">
      <c r="A31" t="s">
        <v>410</v>
      </c>
      <c r="B31">
        <v>-370</v>
      </c>
      <c r="C31" s="112" t="s">
        <v>416</v>
      </c>
      <c r="E31" t="s">
        <v>410</v>
      </c>
      <c r="F31">
        <v>-370</v>
      </c>
      <c r="G31" s="112" t="s">
        <v>416</v>
      </c>
    </row>
    <row r="32" spans="1:7" x14ac:dyDescent="0.2">
      <c r="A32" t="s">
        <v>411</v>
      </c>
      <c r="B32">
        <v>0</v>
      </c>
      <c r="C32" s="112" t="s">
        <v>416</v>
      </c>
      <c r="E32" t="s">
        <v>411</v>
      </c>
      <c r="F32">
        <v>0</v>
      </c>
      <c r="G32" s="112" t="s">
        <v>416</v>
      </c>
    </row>
    <row r="33" spans="1:12" x14ac:dyDescent="0.2">
      <c r="A33" t="s">
        <v>412</v>
      </c>
      <c r="B33">
        <v>-13</v>
      </c>
      <c r="C33" s="112" t="s">
        <v>416</v>
      </c>
      <c r="E33" t="s">
        <v>412</v>
      </c>
      <c r="F33">
        <v>-13</v>
      </c>
      <c r="G33" s="112" t="s">
        <v>416</v>
      </c>
    </row>
    <row r="34" spans="1:12" x14ac:dyDescent="0.2">
      <c r="A34" t="s">
        <v>417</v>
      </c>
      <c r="B34">
        <v>-50</v>
      </c>
      <c r="C34" s="112" t="s">
        <v>416</v>
      </c>
      <c r="E34" t="s">
        <v>417</v>
      </c>
      <c r="F34">
        <v>-50</v>
      </c>
      <c r="G34" s="112" t="s">
        <v>416</v>
      </c>
    </row>
    <row r="35" spans="1:12" x14ac:dyDescent="0.2">
      <c r="A35" t="s">
        <v>418</v>
      </c>
      <c r="B35">
        <v>0</v>
      </c>
      <c r="C35" s="112" t="s">
        <v>416</v>
      </c>
      <c r="E35" t="s">
        <v>418</v>
      </c>
      <c r="F35">
        <v>0</v>
      </c>
      <c r="G35" s="112" t="s">
        <v>416</v>
      </c>
    </row>
    <row r="36" spans="1:12" x14ac:dyDescent="0.2">
      <c r="A36" t="s">
        <v>419</v>
      </c>
      <c r="B36">
        <v>100</v>
      </c>
      <c r="C36" t="s">
        <v>403</v>
      </c>
      <c r="E36" t="s">
        <v>419</v>
      </c>
      <c r="F36">
        <v>100</v>
      </c>
      <c r="G36" t="s">
        <v>403</v>
      </c>
    </row>
    <row r="37" spans="1:12" x14ac:dyDescent="0.2">
      <c r="A37" t="s">
        <v>420</v>
      </c>
      <c r="B37">
        <v>-85</v>
      </c>
      <c r="C37" t="s">
        <v>416</v>
      </c>
      <c r="E37" t="s">
        <v>420</v>
      </c>
      <c r="F37">
        <v>-85</v>
      </c>
      <c r="G37" t="s">
        <v>416</v>
      </c>
    </row>
    <row r="38" spans="1:12" x14ac:dyDescent="0.2">
      <c r="A38" t="s">
        <v>421</v>
      </c>
      <c r="B38">
        <v>-100</v>
      </c>
      <c r="C38" t="s">
        <v>416</v>
      </c>
      <c r="E38" t="s">
        <v>421</v>
      </c>
      <c r="F38">
        <v>-100</v>
      </c>
      <c r="G38" t="s">
        <v>416</v>
      </c>
    </row>
    <row r="39" spans="1:12" ht="18" x14ac:dyDescent="0.25">
      <c r="A39" s="94" t="s">
        <v>422</v>
      </c>
      <c r="B39" s="94">
        <v>36</v>
      </c>
      <c r="C39" s="94" t="s">
        <v>423</v>
      </c>
      <c r="D39" s="94"/>
      <c r="E39" s="94" t="s">
        <v>422</v>
      </c>
      <c r="F39" s="94">
        <v>36</v>
      </c>
      <c r="G39" s="94" t="s">
        <v>423</v>
      </c>
    </row>
    <row r="41" spans="1:12" ht="17" thickBot="1" x14ac:dyDescent="0.25">
      <c r="A41" s="117" t="s">
        <v>451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</row>
    <row r="42" spans="1:12" ht="17" thickTop="1" x14ac:dyDescent="0.2">
      <c r="A42" s="118"/>
      <c r="B42" s="119" t="s">
        <v>424</v>
      </c>
      <c r="C42" s="119" t="s">
        <v>425</v>
      </c>
      <c r="D42" s="119" t="s">
        <v>426</v>
      </c>
      <c r="E42" s="119" t="s">
        <v>427</v>
      </c>
      <c r="F42" s="119" t="s">
        <v>428</v>
      </c>
      <c r="G42" s="119" t="s">
        <v>388</v>
      </c>
      <c r="H42" s="119" t="s">
        <v>429</v>
      </c>
      <c r="I42" s="119" t="s">
        <v>430</v>
      </c>
      <c r="J42" s="119" t="s">
        <v>431</v>
      </c>
      <c r="K42" s="119" t="s">
        <v>432</v>
      </c>
      <c r="L42" s="119" t="s">
        <v>433</v>
      </c>
    </row>
    <row r="43" spans="1:12" ht="19" x14ac:dyDescent="0.2">
      <c r="A43" s="113" t="s">
        <v>434</v>
      </c>
      <c r="B43" s="109"/>
      <c r="C43" s="109"/>
      <c r="D43" s="109" t="s">
        <v>436</v>
      </c>
      <c r="E43" s="109" t="s">
        <v>437</v>
      </c>
      <c r="F43" s="109" t="s">
        <v>438</v>
      </c>
      <c r="G43" s="109" t="s">
        <v>439</v>
      </c>
      <c r="H43" s="109" t="s">
        <v>440</v>
      </c>
      <c r="I43" s="109" t="s">
        <v>441</v>
      </c>
      <c r="J43" s="109"/>
      <c r="K43" s="109"/>
      <c r="L43" s="109"/>
    </row>
    <row r="44" spans="1:12" ht="19" x14ac:dyDescent="0.2">
      <c r="A44" s="113" t="s">
        <v>435</v>
      </c>
      <c r="B44" s="109"/>
      <c r="C44" s="109"/>
      <c r="D44" s="109" t="s">
        <v>447</v>
      </c>
      <c r="E44" s="109" t="s">
        <v>446</v>
      </c>
      <c r="F44" s="109" t="s">
        <v>445</v>
      </c>
      <c r="G44" s="109" t="s">
        <v>444</v>
      </c>
      <c r="H44" s="109" t="s">
        <v>443</v>
      </c>
      <c r="I44" s="109" t="s">
        <v>442</v>
      </c>
      <c r="J44" s="109"/>
      <c r="K44" s="109"/>
      <c r="L44" s="109"/>
    </row>
    <row r="45" spans="1:12" ht="19" x14ac:dyDescent="0.2">
      <c r="A45" s="120" t="s">
        <v>449</v>
      </c>
      <c r="B45" s="94"/>
      <c r="C45" s="94"/>
      <c r="D45" s="121" t="s">
        <v>448</v>
      </c>
      <c r="E45" s="121" t="s">
        <v>448</v>
      </c>
      <c r="F45" s="121" t="s">
        <v>448</v>
      </c>
      <c r="G45" s="121" t="s">
        <v>448</v>
      </c>
      <c r="H45" s="121" t="s">
        <v>448</v>
      </c>
      <c r="I45" s="121" t="s">
        <v>448</v>
      </c>
      <c r="J45" s="94"/>
      <c r="K45" s="94"/>
      <c r="L45" s="94"/>
    </row>
  </sheetData>
  <phoneticPr fontId="20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Main_spreadsheet_Do_Not_Touch</vt:lpstr>
      <vt:lpstr>known_materials</vt:lpstr>
      <vt:lpstr>Hibonites</vt:lpstr>
      <vt:lpstr>Shap_Granite</vt:lpstr>
      <vt:lpstr>BlackBeauty</vt:lpstr>
      <vt:lpstr>NZ_Feldspar</vt:lpstr>
      <vt:lpstr>BlackBeauty_ChemicalComposition</vt:lpstr>
      <vt:lpstr>Instrumental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2022-04-12T01:03:23Z</cp:lastPrinted>
  <dcterms:created xsi:type="dcterms:W3CDTF">2022-03-06T21:57:56Z</dcterms:created>
  <dcterms:modified xsi:type="dcterms:W3CDTF">2022-04-12T01:06:15Z</dcterms:modified>
</cp:coreProperties>
</file>