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4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5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365oist-my.sharepoint.com/personal/satoshi-takebayashi_oist_jp/Documents/Co nomomer-dimer paper/"/>
    </mc:Choice>
  </mc:AlternateContent>
  <xr:revisionPtr revIDLastSave="689" documentId="8_{1B3123C7-7FEF-4D2D-A762-68A84F225306}" xr6:coauthVersionLast="47" xr6:coauthVersionMax="47" xr10:uidLastSave="{05A85B0D-A772-45D1-8676-77DEC908E216}"/>
  <bookViews>
    <workbookView xWindow="-108" yWindow="-108" windowWidth="23256" windowHeight="12576" tabRatio="862" activeTab="4" xr2:uid="{7045EF82-1D43-45E6-9EDA-9C9B673602A8}"/>
  </bookViews>
  <sheets>
    <sheet name="500NMR Temp Cal" sheetId="21" r:id="rId1"/>
    <sheet name="2-Mes NMR" sheetId="10" r:id="rId2"/>
    <sheet name="2-Mes EPR" sheetId="24" r:id="rId3"/>
    <sheet name="2-Me NMR" sheetId="15" r:id="rId4"/>
    <sheet name="2-Et NMR" sheetId="16" r:id="rId5"/>
    <sheet name="2-iPr NMR" sheetId="11" r:id="rId6"/>
    <sheet name="2-Br NMR" sheetId="14" r:id="rId7"/>
    <sheet name="2-EtO NMR" sheetId="23" r:id="rId8"/>
    <sheet name="2-NEt2 NMR" sheetId="1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23" l="1"/>
  <c r="F55" i="23"/>
  <c r="F54" i="23"/>
  <c r="E54" i="23"/>
  <c r="E55" i="23"/>
  <c r="E56" i="23"/>
  <c r="G78" i="14"/>
  <c r="F78" i="14"/>
  <c r="F79" i="14"/>
  <c r="F80" i="14"/>
  <c r="E61" i="11"/>
  <c r="E60" i="16"/>
  <c r="F59" i="11"/>
  <c r="F61" i="11"/>
  <c r="E59" i="11"/>
  <c r="E60" i="11"/>
  <c r="E59" i="16"/>
  <c r="E58" i="16"/>
  <c r="F60" i="16"/>
  <c r="F59" i="16"/>
  <c r="F58" i="16"/>
  <c r="F59" i="15"/>
  <c r="F60" i="15"/>
  <c r="F58" i="15"/>
  <c r="E58" i="15"/>
  <c r="E59" i="15"/>
  <c r="E60" i="15"/>
  <c r="E31" i="24"/>
  <c r="E32" i="24"/>
  <c r="E30" i="24"/>
  <c r="D31" i="24"/>
  <c r="D30" i="24"/>
  <c r="D32" i="24"/>
  <c r="E63" i="10"/>
  <c r="E62" i="10"/>
  <c r="F64" i="10"/>
  <c r="E64" i="10"/>
  <c r="G79" i="14"/>
  <c r="B60" i="13"/>
  <c r="B59" i="13"/>
  <c r="D60" i="13"/>
  <c r="D59" i="13"/>
  <c r="B52" i="13"/>
  <c r="B51" i="13"/>
  <c r="B55" i="23"/>
  <c r="B54" i="23"/>
  <c r="D55" i="23"/>
  <c r="D54" i="23"/>
  <c r="C55" i="23"/>
  <c r="C54" i="23"/>
  <c r="B49" i="23"/>
  <c r="B48" i="23"/>
  <c r="B79" i="14"/>
  <c r="B78" i="14"/>
  <c r="C79" i="14"/>
  <c r="C78" i="14"/>
  <c r="D79" i="14"/>
  <c r="D78" i="14"/>
  <c r="E79" i="14"/>
  <c r="E78" i="14"/>
  <c r="E80" i="14" s="1"/>
  <c r="B73" i="14"/>
  <c r="B72" i="14"/>
  <c r="B60" i="11"/>
  <c r="B59" i="11"/>
  <c r="D60" i="11"/>
  <c r="D59" i="11"/>
  <c r="B52" i="11"/>
  <c r="B51" i="11"/>
  <c r="D59" i="16"/>
  <c r="D58" i="16"/>
  <c r="B59" i="16"/>
  <c r="B58" i="16"/>
  <c r="B53" i="16" l="1"/>
  <c r="B52" i="16"/>
  <c r="B53" i="15"/>
  <c r="B52" i="15"/>
  <c r="B60" i="15"/>
  <c r="D59" i="15"/>
  <c r="D58" i="15"/>
  <c r="C31" i="24"/>
  <c r="C30" i="24"/>
  <c r="B31" i="24"/>
  <c r="B30" i="24"/>
  <c r="B25" i="24"/>
  <c r="B24" i="24"/>
  <c r="D46" i="10"/>
  <c r="D50" i="10"/>
  <c r="D42" i="10"/>
  <c r="C52" i="10"/>
  <c r="D52" i="10" s="1"/>
  <c r="C51" i="10"/>
  <c r="D51" i="10" s="1"/>
  <c r="C50" i="10"/>
  <c r="C49" i="10"/>
  <c r="D49" i="10" s="1"/>
  <c r="C48" i="10"/>
  <c r="D48" i="10" s="1"/>
  <c r="C47" i="10"/>
  <c r="D47" i="10" s="1"/>
  <c r="C46" i="10"/>
  <c r="C45" i="10"/>
  <c r="D45" i="10" s="1"/>
  <c r="C44" i="10"/>
  <c r="D44" i="10" s="1"/>
  <c r="C43" i="10"/>
  <c r="D43" i="10" s="1"/>
  <c r="C42" i="10"/>
  <c r="D7" i="10"/>
  <c r="D8" i="10"/>
  <c r="C14" i="10"/>
  <c r="D14" i="10" s="1"/>
  <c r="C13" i="10"/>
  <c r="D13" i="10" s="1"/>
  <c r="C12" i="10"/>
  <c r="D12" i="10" s="1"/>
  <c r="C11" i="10"/>
  <c r="D11" i="10" s="1"/>
  <c r="C10" i="10"/>
  <c r="D10" i="10" s="1"/>
  <c r="C9" i="10"/>
  <c r="D9" i="10" s="1"/>
  <c r="C8" i="10"/>
  <c r="C7" i="10"/>
  <c r="C6" i="10"/>
  <c r="D6" i="10" s="1"/>
  <c r="C5" i="10"/>
  <c r="D5" i="10" s="1"/>
  <c r="D4" i="10"/>
  <c r="C4" i="10"/>
  <c r="B63" i="10"/>
  <c r="C63" i="10"/>
  <c r="D63" i="10"/>
  <c r="B62" i="10"/>
  <c r="C62" i="10"/>
  <c r="D62" i="10"/>
  <c r="D18" i="21"/>
  <c r="D19" i="21"/>
  <c r="D20" i="21"/>
  <c r="D21" i="21"/>
  <c r="D22" i="21"/>
  <c r="D23" i="21"/>
  <c r="D24" i="21"/>
  <c r="D25" i="21"/>
  <c r="D26" i="21"/>
  <c r="D27" i="21"/>
  <c r="D28" i="21"/>
  <c r="D29" i="21"/>
  <c r="B32" i="24" l="1"/>
  <c r="B64" i="10"/>
  <c r="F63" i="10"/>
  <c r="F62" i="10"/>
  <c r="D64" i="10"/>
  <c r="C64" i="10"/>
  <c r="D2" i="21"/>
  <c r="D3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B59" i="15"/>
  <c r="B58" i="15"/>
  <c r="D60" i="15" s="1"/>
  <c r="C59" i="15"/>
  <c r="C58" i="15"/>
  <c r="G42" i="14"/>
  <c r="F42" i="14" s="1"/>
  <c r="D61" i="11"/>
  <c r="C60" i="11"/>
  <c r="C59" i="11"/>
  <c r="C59" i="16"/>
  <c r="C58" i="16"/>
  <c r="C60" i="16" s="1"/>
  <c r="B60" i="16"/>
  <c r="C80" i="14"/>
  <c r="I69" i="14"/>
  <c r="D69" i="14"/>
  <c r="E69" i="14" s="1"/>
  <c r="G69" i="14" s="1"/>
  <c r="F69" i="14" s="1"/>
  <c r="I68" i="14"/>
  <c r="D68" i="14"/>
  <c r="E68" i="14" s="1"/>
  <c r="G68" i="14" s="1"/>
  <c r="F68" i="14" s="1"/>
  <c r="I67" i="14"/>
  <c r="D67" i="14"/>
  <c r="E67" i="14" s="1"/>
  <c r="G67" i="14" s="1"/>
  <c r="F67" i="14" s="1"/>
  <c r="I66" i="14"/>
  <c r="D66" i="14"/>
  <c r="E66" i="14" s="1"/>
  <c r="G66" i="14" s="1"/>
  <c r="F66" i="14" s="1"/>
  <c r="I65" i="14"/>
  <c r="D65" i="14"/>
  <c r="E65" i="14" s="1"/>
  <c r="G65" i="14" s="1"/>
  <c r="F65" i="14" s="1"/>
  <c r="I64" i="14"/>
  <c r="D64" i="14"/>
  <c r="E64" i="14" s="1"/>
  <c r="G64" i="14" s="1"/>
  <c r="F64" i="14" s="1"/>
  <c r="I63" i="14"/>
  <c r="D63" i="14"/>
  <c r="E63" i="14" s="1"/>
  <c r="G63" i="14" s="1"/>
  <c r="F63" i="14" s="1"/>
  <c r="I62" i="14"/>
  <c r="D62" i="14"/>
  <c r="E62" i="14" s="1"/>
  <c r="G62" i="14" s="1"/>
  <c r="F62" i="14" s="1"/>
  <c r="I61" i="14"/>
  <c r="D61" i="14"/>
  <c r="E61" i="14" s="1"/>
  <c r="G61" i="14" s="1"/>
  <c r="F61" i="14" s="1"/>
  <c r="I60" i="14"/>
  <c r="D60" i="14"/>
  <c r="E60" i="14" s="1"/>
  <c r="G60" i="14" s="1"/>
  <c r="F60" i="14" s="1"/>
  <c r="I59" i="14"/>
  <c r="D59" i="14"/>
  <c r="E59" i="14" s="1"/>
  <c r="G59" i="14" s="1"/>
  <c r="F59" i="14" s="1"/>
  <c r="B54" i="14"/>
  <c r="B53" i="14"/>
  <c r="I50" i="14"/>
  <c r="D50" i="14"/>
  <c r="E50" i="14" s="1"/>
  <c r="G50" i="14" s="1"/>
  <c r="F50" i="14" s="1"/>
  <c r="I49" i="14"/>
  <c r="D49" i="14"/>
  <c r="E49" i="14" s="1"/>
  <c r="G49" i="14" s="1"/>
  <c r="F49" i="14" s="1"/>
  <c r="I48" i="14"/>
  <c r="D48" i="14"/>
  <c r="E48" i="14" s="1"/>
  <c r="G48" i="14" s="1"/>
  <c r="F48" i="14" s="1"/>
  <c r="I47" i="14"/>
  <c r="D47" i="14"/>
  <c r="E47" i="14" s="1"/>
  <c r="G47" i="14" s="1"/>
  <c r="F47" i="14" s="1"/>
  <c r="I46" i="14"/>
  <c r="D46" i="14"/>
  <c r="E46" i="14" s="1"/>
  <c r="G46" i="14" s="1"/>
  <c r="F46" i="14" s="1"/>
  <c r="I45" i="14"/>
  <c r="D45" i="14"/>
  <c r="E45" i="14" s="1"/>
  <c r="G45" i="14" s="1"/>
  <c r="F45" i="14" s="1"/>
  <c r="I44" i="14"/>
  <c r="D44" i="14"/>
  <c r="E44" i="14" s="1"/>
  <c r="G44" i="14" s="1"/>
  <c r="F44" i="14" s="1"/>
  <c r="I43" i="14"/>
  <c r="D43" i="14"/>
  <c r="E43" i="14" s="1"/>
  <c r="G43" i="14" s="1"/>
  <c r="F43" i="14" s="1"/>
  <c r="I42" i="14"/>
  <c r="D42" i="14"/>
  <c r="E42" i="14" s="1"/>
  <c r="I41" i="14"/>
  <c r="D41" i="14"/>
  <c r="E41" i="14" s="1"/>
  <c r="G41" i="14" s="1"/>
  <c r="F41" i="14" s="1"/>
  <c r="I40" i="14"/>
  <c r="D40" i="14"/>
  <c r="E40" i="14" s="1"/>
  <c r="G40" i="14" s="1"/>
  <c r="F40" i="14" s="1"/>
  <c r="C56" i="23"/>
  <c r="D56" i="23"/>
  <c r="D61" i="13"/>
  <c r="C60" i="13"/>
  <c r="C59" i="13"/>
  <c r="E29" i="14"/>
  <c r="C31" i="14"/>
  <c r="E31" i="14" s="1"/>
  <c r="C30" i="14"/>
  <c r="E30" i="14" s="1"/>
  <c r="C29" i="14"/>
  <c r="C28" i="14"/>
  <c r="E28" i="14" s="1"/>
  <c r="C27" i="14"/>
  <c r="E27" i="14" s="1"/>
  <c r="C26" i="14"/>
  <c r="E26" i="14" s="1"/>
  <c r="C25" i="14"/>
  <c r="E25" i="14" s="1"/>
  <c r="C24" i="14"/>
  <c r="E24" i="14" s="1"/>
  <c r="C23" i="14"/>
  <c r="E23" i="14" s="1"/>
  <c r="B56" i="10"/>
  <c r="B55" i="10"/>
  <c r="B37" i="10"/>
  <c r="B36" i="10"/>
  <c r="C33" i="10"/>
  <c r="C32" i="10"/>
  <c r="C31" i="10"/>
  <c r="C30" i="10"/>
  <c r="C29" i="10"/>
  <c r="C28" i="10"/>
  <c r="C27" i="10"/>
  <c r="C26" i="10"/>
  <c r="C25" i="10"/>
  <c r="C24" i="10"/>
  <c r="B24" i="10"/>
  <c r="B25" i="10"/>
  <c r="B26" i="10"/>
  <c r="B27" i="10"/>
  <c r="B28" i="10"/>
  <c r="B29" i="10"/>
  <c r="B30" i="10"/>
  <c r="B31" i="10"/>
  <c r="B32" i="10"/>
  <c r="B33" i="10"/>
  <c r="B23" i="10"/>
  <c r="C23" i="10"/>
  <c r="B61" i="13"/>
  <c r="I48" i="13"/>
  <c r="D48" i="13"/>
  <c r="E48" i="13" s="1"/>
  <c r="G48" i="13" s="1"/>
  <c r="I47" i="13"/>
  <c r="D47" i="13"/>
  <c r="E47" i="13" s="1"/>
  <c r="G47" i="13" s="1"/>
  <c r="I46" i="13"/>
  <c r="D46" i="13"/>
  <c r="E46" i="13" s="1"/>
  <c r="G46" i="13" s="1"/>
  <c r="I45" i="13"/>
  <c r="D45" i="13"/>
  <c r="E45" i="13" s="1"/>
  <c r="G45" i="13" s="1"/>
  <c r="I44" i="13"/>
  <c r="D44" i="13"/>
  <c r="E44" i="13" s="1"/>
  <c r="G44" i="13" s="1"/>
  <c r="I43" i="13"/>
  <c r="D43" i="13"/>
  <c r="E43" i="13" s="1"/>
  <c r="G43" i="13" s="1"/>
  <c r="I42" i="13"/>
  <c r="D42" i="13"/>
  <c r="E42" i="13" s="1"/>
  <c r="G42" i="13" s="1"/>
  <c r="I41" i="13"/>
  <c r="D41" i="13"/>
  <c r="E41" i="13" s="1"/>
  <c r="G41" i="13" s="1"/>
  <c r="I40" i="13"/>
  <c r="D40" i="13"/>
  <c r="E40" i="13" s="1"/>
  <c r="G40" i="13" s="1"/>
  <c r="B35" i="13"/>
  <c r="B34" i="13"/>
  <c r="I31" i="13"/>
  <c r="D31" i="13"/>
  <c r="E31" i="13" s="1"/>
  <c r="G31" i="13" s="1"/>
  <c r="I30" i="13"/>
  <c r="D30" i="13"/>
  <c r="E30" i="13" s="1"/>
  <c r="G30" i="13" s="1"/>
  <c r="I29" i="13"/>
  <c r="D29" i="13"/>
  <c r="E29" i="13" s="1"/>
  <c r="G29" i="13" s="1"/>
  <c r="I28" i="13"/>
  <c r="D28" i="13"/>
  <c r="E28" i="13" s="1"/>
  <c r="G28" i="13" s="1"/>
  <c r="I27" i="13"/>
  <c r="D27" i="13"/>
  <c r="E27" i="13" s="1"/>
  <c r="G27" i="13" s="1"/>
  <c r="I26" i="13"/>
  <c r="D26" i="13"/>
  <c r="E26" i="13" s="1"/>
  <c r="G26" i="13" s="1"/>
  <c r="I25" i="13"/>
  <c r="D25" i="13"/>
  <c r="E25" i="13" s="1"/>
  <c r="G25" i="13" s="1"/>
  <c r="I24" i="13"/>
  <c r="D24" i="13"/>
  <c r="E24" i="13" s="1"/>
  <c r="G24" i="13" s="1"/>
  <c r="I23" i="13"/>
  <c r="D23" i="13"/>
  <c r="E23" i="13" s="1"/>
  <c r="G23" i="13" s="1"/>
  <c r="I45" i="23"/>
  <c r="D45" i="23"/>
  <c r="E45" i="23" s="1"/>
  <c r="G45" i="23" s="1"/>
  <c r="I44" i="23"/>
  <c r="D44" i="23"/>
  <c r="E44" i="23" s="1"/>
  <c r="G44" i="23" s="1"/>
  <c r="I43" i="23"/>
  <c r="D43" i="23"/>
  <c r="E43" i="23" s="1"/>
  <c r="G43" i="23" s="1"/>
  <c r="I42" i="23"/>
  <c r="D42" i="23"/>
  <c r="E42" i="23" s="1"/>
  <c r="G42" i="23" s="1"/>
  <c r="I41" i="23"/>
  <c r="D41" i="23"/>
  <c r="E41" i="23" s="1"/>
  <c r="G41" i="23" s="1"/>
  <c r="I40" i="23"/>
  <c r="D40" i="23"/>
  <c r="E40" i="23" s="1"/>
  <c r="G40" i="23" s="1"/>
  <c r="I39" i="23"/>
  <c r="D39" i="23"/>
  <c r="E39" i="23" s="1"/>
  <c r="G39" i="23" s="1"/>
  <c r="I38" i="23"/>
  <c r="D38" i="23"/>
  <c r="E38" i="23" s="1"/>
  <c r="G38" i="23" s="1"/>
  <c r="I37" i="23"/>
  <c r="D37" i="23"/>
  <c r="E37" i="23" s="1"/>
  <c r="G37" i="23" s="1"/>
  <c r="B33" i="23"/>
  <c r="B32" i="23"/>
  <c r="I29" i="23"/>
  <c r="D29" i="23"/>
  <c r="E29" i="23" s="1"/>
  <c r="G29" i="23" s="1"/>
  <c r="I28" i="23"/>
  <c r="D28" i="23"/>
  <c r="E28" i="23" s="1"/>
  <c r="G28" i="23" s="1"/>
  <c r="I27" i="23"/>
  <c r="D27" i="23"/>
  <c r="E27" i="23" s="1"/>
  <c r="G27" i="23" s="1"/>
  <c r="I26" i="23"/>
  <c r="D26" i="23"/>
  <c r="E26" i="23" s="1"/>
  <c r="G26" i="23" s="1"/>
  <c r="I25" i="23"/>
  <c r="D25" i="23"/>
  <c r="E25" i="23" s="1"/>
  <c r="G25" i="23" s="1"/>
  <c r="I24" i="23"/>
  <c r="D24" i="23"/>
  <c r="E24" i="23" s="1"/>
  <c r="G24" i="23" s="1"/>
  <c r="I23" i="23"/>
  <c r="D23" i="23"/>
  <c r="E23" i="23" s="1"/>
  <c r="G23" i="23" s="1"/>
  <c r="I22" i="23"/>
  <c r="D22" i="23"/>
  <c r="E22" i="23" s="1"/>
  <c r="G22" i="23" s="1"/>
  <c r="I21" i="23"/>
  <c r="D21" i="23"/>
  <c r="E21" i="23" s="1"/>
  <c r="G21" i="23" s="1"/>
  <c r="I49" i="16"/>
  <c r="D49" i="16"/>
  <c r="E49" i="16" s="1"/>
  <c r="G49" i="16" s="1"/>
  <c r="I48" i="16"/>
  <c r="D48" i="16"/>
  <c r="E48" i="16" s="1"/>
  <c r="G48" i="16" s="1"/>
  <c r="I47" i="16"/>
  <c r="D47" i="16"/>
  <c r="E47" i="16" s="1"/>
  <c r="G47" i="16" s="1"/>
  <c r="I46" i="16"/>
  <c r="D46" i="16"/>
  <c r="E46" i="16" s="1"/>
  <c r="G46" i="16" s="1"/>
  <c r="I45" i="16"/>
  <c r="D45" i="16"/>
  <c r="E45" i="16" s="1"/>
  <c r="G45" i="16" s="1"/>
  <c r="I44" i="16"/>
  <c r="D44" i="16"/>
  <c r="E44" i="16" s="1"/>
  <c r="G44" i="16" s="1"/>
  <c r="I43" i="16"/>
  <c r="D43" i="16"/>
  <c r="E43" i="16" s="1"/>
  <c r="G43" i="16" s="1"/>
  <c r="I42" i="16"/>
  <c r="D42" i="16"/>
  <c r="E42" i="16" s="1"/>
  <c r="G42" i="16" s="1"/>
  <c r="I41" i="16"/>
  <c r="D41" i="16"/>
  <c r="E41" i="16" s="1"/>
  <c r="G41" i="16" s="1"/>
  <c r="B36" i="16"/>
  <c r="B35" i="16"/>
  <c r="I32" i="16"/>
  <c r="D32" i="16"/>
  <c r="E32" i="16" s="1"/>
  <c r="G32" i="16" s="1"/>
  <c r="I31" i="16"/>
  <c r="D31" i="16"/>
  <c r="E31" i="16" s="1"/>
  <c r="G31" i="16" s="1"/>
  <c r="I30" i="16"/>
  <c r="D30" i="16"/>
  <c r="E30" i="16" s="1"/>
  <c r="G30" i="16" s="1"/>
  <c r="I29" i="16"/>
  <c r="D29" i="16"/>
  <c r="E29" i="16" s="1"/>
  <c r="G29" i="16" s="1"/>
  <c r="I28" i="16"/>
  <c r="D28" i="16"/>
  <c r="E28" i="16" s="1"/>
  <c r="G28" i="16" s="1"/>
  <c r="I27" i="16"/>
  <c r="D27" i="16"/>
  <c r="E27" i="16" s="1"/>
  <c r="G27" i="16" s="1"/>
  <c r="I26" i="16"/>
  <c r="D26" i="16"/>
  <c r="E26" i="16" s="1"/>
  <c r="G26" i="16" s="1"/>
  <c r="I25" i="16"/>
  <c r="D25" i="16"/>
  <c r="E25" i="16" s="1"/>
  <c r="G25" i="16" s="1"/>
  <c r="I24" i="16"/>
  <c r="D24" i="16"/>
  <c r="E24" i="16" s="1"/>
  <c r="G24" i="16" s="1"/>
  <c r="I49" i="15"/>
  <c r="D49" i="15"/>
  <c r="E49" i="15" s="1"/>
  <c r="G49" i="15" s="1"/>
  <c r="I48" i="15"/>
  <c r="D48" i="15"/>
  <c r="E48" i="15" s="1"/>
  <c r="G48" i="15" s="1"/>
  <c r="I47" i="15"/>
  <c r="D47" i="15"/>
  <c r="E47" i="15" s="1"/>
  <c r="G47" i="15" s="1"/>
  <c r="I46" i="15"/>
  <c r="D46" i="15"/>
  <c r="E46" i="15" s="1"/>
  <c r="G46" i="15" s="1"/>
  <c r="I45" i="15"/>
  <c r="D45" i="15"/>
  <c r="E45" i="15" s="1"/>
  <c r="G45" i="15" s="1"/>
  <c r="I44" i="15"/>
  <c r="D44" i="15"/>
  <c r="E44" i="15" s="1"/>
  <c r="G44" i="15" s="1"/>
  <c r="I43" i="15"/>
  <c r="D43" i="15"/>
  <c r="E43" i="15" s="1"/>
  <c r="G43" i="15" s="1"/>
  <c r="I42" i="15"/>
  <c r="D42" i="15"/>
  <c r="E42" i="15" s="1"/>
  <c r="G42" i="15" s="1"/>
  <c r="I41" i="15"/>
  <c r="D41" i="15"/>
  <c r="E41" i="15" s="1"/>
  <c r="G41" i="15" s="1"/>
  <c r="I40" i="15"/>
  <c r="D40" i="15"/>
  <c r="E40" i="15" s="1"/>
  <c r="G40" i="15" s="1"/>
  <c r="I39" i="15"/>
  <c r="D39" i="15"/>
  <c r="E39" i="15" s="1"/>
  <c r="G39" i="15" s="1"/>
  <c r="B34" i="15"/>
  <c r="B33" i="15"/>
  <c r="I30" i="15"/>
  <c r="D30" i="15"/>
  <c r="E30" i="15" s="1"/>
  <c r="G30" i="15" s="1"/>
  <c r="I29" i="15"/>
  <c r="D29" i="15"/>
  <c r="E29" i="15" s="1"/>
  <c r="G29" i="15" s="1"/>
  <c r="I28" i="15"/>
  <c r="D28" i="15"/>
  <c r="E28" i="15" s="1"/>
  <c r="G28" i="15" s="1"/>
  <c r="I27" i="15"/>
  <c r="D27" i="15"/>
  <c r="E27" i="15" s="1"/>
  <c r="G27" i="15" s="1"/>
  <c r="I26" i="15"/>
  <c r="D26" i="15"/>
  <c r="E26" i="15" s="1"/>
  <c r="G26" i="15" s="1"/>
  <c r="I25" i="15"/>
  <c r="D25" i="15"/>
  <c r="E25" i="15" s="1"/>
  <c r="G25" i="15" s="1"/>
  <c r="I24" i="15"/>
  <c r="D24" i="15"/>
  <c r="E24" i="15" s="1"/>
  <c r="G24" i="15" s="1"/>
  <c r="I23" i="15"/>
  <c r="D23" i="15"/>
  <c r="E23" i="15" s="1"/>
  <c r="G23" i="15" s="1"/>
  <c r="I22" i="15"/>
  <c r="D22" i="15"/>
  <c r="E22" i="15" s="1"/>
  <c r="G22" i="15" s="1"/>
  <c r="E60" i="13" l="1"/>
  <c r="F60" i="13"/>
  <c r="E59" i="13"/>
  <c r="F59" i="13"/>
  <c r="C61" i="13"/>
  <c r="F61" i="13" s="1"/>
  <c r="B56" i="23"/>
  <c r="B80" i="14"/>
  <c r="D80" i="14"/>
  <c r="C61" i="11"/>
  <c r="D60" i="16"/>
  <c r="C60" i="15"/>
  <c r="H62" i="14"/>
  <c r="J62" i="14" s="1"/>
  <c r="K62" i="14" s="1"/>
  <c r="H66" i="14"/>
  <c r="J66" i="14" s="1"/>
  <c r="K66" i="14" s="1"/>
  <c r="H61" i="14"/>
  <c r="J61" i="14" s="1"/>
  <c r="K61" i="14" s="1"/>
  <c r="H65" i="14"/>
  <c r="J65" i="14" s="1"/>
  <c r="K65" i="14" s="1"/>
  <c r="H69" i="14"/>
  <c r="J69" i="14" s="1"/>
  <c r="K69" i="14" s="1"/>
  <c r="H60" i="14"/>
  <c r="J60" i="14" s="1"/>
  <c r="K60" i="14" s="1"/>
  <c r="H64" i="14"/>
  <c r="J64" i="14" s="1"/>
  <c r="K64" i="14" s="1"/>
  <c r="H68" i="14"/>
  <c r="J68" i="14" s="1"/>
  <c r="K68" i="14" s="1"/>
  <c r="H59" i="14"/>
  <c r="J59" i="14" s="1"/>
  <c r="K59" i="14" s="1"/>
  <c r="H63" i="14"/>
  <c r="J63" i="14" s="1"/>
  <c r="K63" i="14" s="1"/>
  <c r="H67" i="14"/>
  <c r="J67" i="14" s="1"/>
  <c r="K67" i="14" s="1"/>
  <c r="H42" i="14"/>
  <c r="J42" i="14" s="1"/>
  <c r="K42" i="14" s="1"/>
  <c r="H46" i="14"/>
  <c r="J46" i="14" s="1"/>
  <c r="K46" i="14" s="1"/>
  <c r="H50" i="14"/>
  <c r="J50" i="14" s="1"/>
  <c r="K50" i="14" s="1"/>
  <c r="H43" i="14"/>
  <c r="J43" i="14" s="1"/>
  <c r="K43" i="14" s="1"/>
  <c r="H49" i="14"/>
  <c r="J49" i="14" s="1"/>
  <c r="K49" i="14" s="1"/>
  <c r="H40" i="14"/>
  <c r="J40" i="14" s="1"/>
  <c r="K40" i="14" s="1"/>
  <c r="H44" i="14"/>
  <c r="J44" i="14" s="1"/>
  <c r="K44" i="14" s="1"/>
  <c r="H48" i="14"/>
  <c r="J48" i="14" s="1"/>
  <c r="K48" i="14" s="1"/>
  <c r="H41" i="14"/>
  <c r="J41" i="14" s="1"/>
  <c r="K41" i="14" s="1"/>
  <c r="H45" i="14"/>
  <c r="J45" i="14" s="1"/>
  <c r="K45" i="14" s="1"/>
  <c r="H47" i="14"/>
  <c r="J47" i="14" s="1"/>
  <c r="K47" i="14" s="1"/>
  <c r="F40" i="13"/>
  <c r="H40" i="13" s="1"/>
  <c r="J40" i="13" s="1"/>
  <c r="K40" i="13" s="1"/>
  <c r="F42" i="13"/>
  <c r="H42" i="13" s="1"/>
  <c r="J42" i="13" s="1"/>
  <c r="K42" i="13" s="1"/>
  <c r="F46" i="13"/>
  <c r="H46" i="13" s="1"/>
  <c r="J46" i="13" s="1"/>
  <c r="K46" i="13" s="1"/>
  <c r="F44" i="13"/>
  <c r="H44" i="13" s="1"/>
  <c r="J44" i="13" s="1"/>
  <c r="K44" i="13" s="1"/>
  <c r="F41" i="13"/>
  <c r="H41" i="13" s="1"/>
  <c r="J41" i="13" s="1"/>
  <c r="K41" i="13" s="1"/>
  <c r="F43" i="13"/>
  <c r="H43" i="13" s="1"/>
  <c r="J43" i="13" s="1"/>
  <c r="K43" i="13" s="1"/>
  <c r="F45" i="13"/>
  <c r="H45" i="13" s="1"/>
  <c r="J45" i="13" s="1"/>
  <c r="K45" i="13" s="1"/>
  <c r="F47" i="13"/>
  <c r="H47" i="13" s="1"/>
  <c r="J47" i="13" s="1"/>
  <c r="K47" i="13" s="1"/>
  <c r="F48" i="13"/>
  <c r="H48" i="13" s="1"/>
  <c r="J48" i="13" s="1"/>
  <c r="K48" i="13" s="1"/>
  <c r="F23" i="13"/>
  <c r="H23" i="13" s="1"/>
  <c r="J23" i="13" s="1"/>
  <c r="K23" i="13" s="1"/>
  <c r="F25" i="13"/>
  <c r="H25" i="13" s="1"/>
  <c r="J25" i="13" s="1"/>
  <c r="K25" i="13" s="1"/>
  <c r="F27" i="13"/>
  <c r="H27" i="13" s="1"/>
  <c r="J27" i="13" s="1"/>
  <c r="K27" i="13" s="1"/>
  <c r="F29" i="13"/>
  <c r="H29" i="13" s="1"/>
  <c r="J29" i="13" s="1"/>
  <c r="K29" i="13" s="1"/>
  <c r="F31" i="13"/>
  <c r="H31" i="13" s="1"/>
  <c r="J31" i="13" s="1"/>
  <c r="K31" i="13" s="1"/>
  <c r="F24" i="13"/>
  <c r="H24" i="13" s="1"/>
  <c r="J24" i="13" s="1"/>
  <c r="K24" i="13" s="1"/>
  <c r="F26" i="13"/>
  <c r="H26" i="13" s="1"/>
  <c r="J26" i="13" s="1"/>
  <c r="K26" i="13" s="1"/>
  <c r="F28" i="13"/>
  <c r="H28" i="13" s="1"/>
  <c r="J28" i="13" s="1"/>
  <c r="K28" i="13" s="1"/>
  <c r="F30" i="13"/>
  <c r="H30" i="13" s="1"/>
  <c r="J30" i="13" s="1"/>
  <c r="K30" i="13" s="1"/>
  <c r="F39" i="23"/>
  <c r="H39" i="23" s="1"/>
  <c r="J39" i="23" s="1"/>
  <c r="K39" i="23" s="1"/>
  <c r="F37" i="23"/>
  <c r="H37" i="23" s="1"/>
  <c r="J37" i="23" s="1"/>
  <c r="K37" i="23" s="1"/>
  <c r="F41" i="23"/>
  <c r="H41" i="23" s="1"/>
  <c r="J41" i="23" s="1"/>
  <c r="K41" i="23" s="1"/>
  <c r="F43" i="23"/>
  <c r="H43" i="23" s="1"/>
  <c r="J43" i="23" s="1"/>
  <c r="K43" i="23" s="1"/>
  <c r="F45" i="23"/>
  <c r="H45" i="23" s="1"/>
  <c r="J45" i="23" s="1"/>
  <c r="K45" i="23" s="1"/>
  <c r="F38" i="23"/>
  <c r="H38" i="23" s="1"/>
  <c r="J38" i="23" s="1"/>
  <c r="K38" i="23" s="1"/>
  <c r="F40" i="23"/>
  <c r="H40" i="23" s="1"/>
  <c r="J40" i="23" s="1"/>
  <c r="K40" i="23" s="1"/>
  <c r="F42" i="23"/>
  <c r="H42" i="23" s="1"/>
  <c r="J42" i="23" s="1"/>
  <c r="K42" i="23" s="1"/>
  <c r="F44" i="23"/>
  <c r="H44" i="23" s="1"/>
  <c r="J44" i="23" s="1"/>
  <c r="K44" i="23" s="1"/>
  <c r="F21" i="23"/>
  <c r="H21" i="23" s="1"/>
  <c r="J21" i="23" s="1"/>
  <c r="K21" i="23" s="1"/>
  <c r="F23" i="23"/>
  <c r="H23" i="23" s="1"/>
  <c r="J23" i="23" s="1"/>
  <c r="K23" i="23" s="1"/>
  <c r="F25" i="23"/>
  <c r="H25" i="23" s="1"/>
  <c r="J25" i="23" s="1"/>
  <c r="K25" i="23" s="1"/>
  <c r="F29" i="23"/>
  <c r="H29" i="23" s="1"/>
  <c r="J29" i="23" s="1"/>
  <c r="K29" i="23" s="1"/>
  <c r="F22" i="23"/>
  <c r="H22" i="23" s="1"/>
  <c r="J22" i="23" s="1"/>
  <c r="K22" i="23" s="1"/>
  <c r="F24" i="23"/>
  <c r="H24" i="23" s="1"/>
  <c r="J24" i="23" s="1"/>
  <c r="K24" i="23" s="1"/>
  <c r="F26" i="23"/>
  <c r="H26" i="23" s="1"/>
  <c r="J26" i="23" s="1"/>
  <c r="K26" i="23" s="1"/>
  <c r="F28" i="23"/>
  <c r="H28" i="23" s="1"/>
  <c r="J28" i="23" s="1"/>
  <c r="K28" i="23" s="1"/>
  <c r="F27" i="23"/>
  <c r="H27" i="23" s="1"/>
  <c r="J27" i="23" s="1"/>
  <c r="K27" i="23" s="1"/>
  <c r="F41" i="16"/>
  <c r="H41" i="16" s="1"/>
  <c r="J41" i="16" s="1"/>
  <c r="K41" i="16" s="1"/>
  <c r="F43" i="16"/>
  <c r="H43" i="16" s="1"/>
  <c r="J43" i="16" s="1"/>
  <c r="K43" i="16" s="1"/>
  <c r="F45" i="16"/>
  <c r="H45" i="16" s="1"/>
  <c r="J45" i="16" s="1"/>
  <c r="K45" i="16" s="1"/>
  <c r="F49" i="16"/>
  <c r="H49" i="16" s="1"/>
  <c r="J49" i="16" s="1"/>
  <c r="K49" i="16" s="1"/>
  <c r="F42" i="16"/>
  <c r="H42" i="16" s="1"/>
  <c r="J42" i="16" s="1"/>
  <c r="K42" i="16" s="1"/>
  <c r="F44" i="16"/>
  <c r="H44" i="16" s="1"/>
  <c r="J44" i="16" s="1"/>
  <c r="K44" i="16" s="1"/>
  <c r="F46" i="16"/>
  <c r="H46" i="16" s="1"/>
  <c r="J46" i="16" s="1"/>
  <c r="K46" i="16" s="1"/>
  <c r="F48" i="16"/>
  <c r="H48" i="16" s="1"/>
  <c r="J48" i="16" s="1"/>
  <c r="K48" i="16" s="1"/>
  <c r="F47" i="16"/>
  <c r="H47" i="16" s="1"/>
  <c r="J47" i="16" s="1"/>
  <c r="K47" i="16" s="1"/>
  <c r="F24" i="16"/>
  <c r="H24" i="16" s="1"/>
  <c r="J24" i="16" s="1"/>
  <c r="K24" i="16" s="1"/>
  <c r="F26" i="16"/>
  <c r="H26" i="16" s="1"/>
  <c r="J26" i="16" s="1"/>
  <c r="K26" i="16" s="1"/>
  <c r="F28" i="16"/>
  <c r="H28" i="16" s="1"/>
  <c r="J28" i="16" s="1"/>
  <c r="K28" i="16" s="1"/>
  <c r="F30" i="16"/>
  <c r="H30" i="16" s="1"/>
  <c r="J30" i="16" s="1"/>
  <c r="K30" i="16" s="1"/>
  <c r="F32" i="16"/>
  <c r="H32" i="16" s="1"/>
  <c r="J32" i="16" s="1"/>
  <c r="K32" i="16" s="1"/>
  <c r="F25" i="16"/>
  <c r="H25" i="16" s="1"/>
  <c r="J25" i="16" s="1"/>
  <c r="K25" i="16" s="1"/>
  <c r="F27" i="16"/>
  <c r="H27" i="16" s="1"/>
  <c r="J27" i="16" s="1"/>
  <c r="K27" i="16" s="1"/>
  <c r="F29" i="16"/>
  <c r="H29" i="16" s="1"/>
  <c r="J29" i="16" s="1"/>
  <c r="K29" i="16" s="1"/>
  <c r="F31" i="16"/>
  <c r="H31" i="16" s="1"/>
  <c r="J31" i="16" s="1"/>
  <c r="K31" i="16" s="1"/>
  <c r="F43" i="15"/>
  <c r="H43" i="15" s="1"/>
  <c r="J43" i="15" s="1"/>
  <c r="K43" i="15" s="1"/>
  <c r="F45" i="15"/>
  <c r="H45" i="15" s="1"/>
  <c r="J45" i="15" s="1"/>
  <c r="K45" i="15" s="1"/>
  <c r="F47" i="15"/>
  <c r="H47" i="15" s="1"/>
  <c r="J47" i="15" s="1"/>
  <c r="K47" i="15" s="1"/>
  <c r="F49" i="15"/>
  <c r="H49" i="15" s="1"/>
  <c r="J49" i="15" s="1"/>
  <c r="K49" i="15" s="1"/>
  <c r="F40" i="15"/>
  <c r="H40" i="15" s="1"/>
  <c r="J40" i="15" s="1"/>
  <c r="K40" i="15" s="1"/>
  <c r="F42" i="15"/>
  <c r="H42" i="15" s="1"/>
  <c r="J42" i="15" s="1"/>
  <c r="K42" i="15" s="1"/>
  <c r="F44" i="15"/>
  <c r="H44" i="15" s="1"/>
  <c r="J44" i="15" s="1"/>
  <c r="K44" i="15" s="1"/>
  <c r="F46" i="15"/>
  <c r="H46" i="15" s="1"/>
  <c r="J46" i="15" s="1"/>
  <c r="K46" i="15" s="1"/>
  <c r="F48" i="15"/>
  <c r="H48" i="15" s="1"/>
  <c r="J48" i="15" s="1"/>
  <c r="K48" i="15" s="1"/>
  <c r="F39" i="15"/>
  <c r="H39" i="15" s="1"/>
  <c r="J39" i="15" s="1"/>
  <c r="K39" i="15" s="1"/>
  <c r="F41" i="15"/>
  <c r="H41" i="15" s="1"/>
  <c r="J41" i="15" s="1"/>
  <c r="K41" i="15" s="1"/>
  <c r="F22" i="15"/>
  <c r="H22" i="15" s="1"/>
  <c r="J22" i="15" s="1"/>
  <c r="K22" i="15" s="1"/>
  <c r="F24" i="15"/>
  <c r="H24" i="15" s="1"/>
  <c r="J24" i="15" s="1"/>
  <c r="K24" i="15" s="1"/>
  <c r="F26" i="15"/>
  <c r="H26" i="15" s="1"/>
  <c r="J26" i="15" s="1"/>
  <c r="K26" i="15" s="1"/>
  <c r="F28" i="15"/>
  <c r="H28" i="15" s="1"/>
  <c r="J28" i="15" s="1"/>
  <c r="K28" i="15" s="1"/>
  <c r="F30" i="15"/>
  <c r="H30" i="15" s="1"/>
  <c r="J30" i="15" s="1"/>
  <c r="K30" i="15" s="1"/>
  <c r="F23" i="15"/>
  <c r="H23" i="15" s="1"/>
  <c r="J23" i="15" s="1"/>
  <c r="K23" i="15" s="1"/>
  <c r="F25" i="15"/>
  <c r="H25" i="15" s="1"/>
  <c r="J25" i="15" s="1"/>
  <c r="K25" i="15" s="1"/>
  <c r="F27" i="15"/>
  <c r="H27" i="15" s="1"/>
  <c r="J27" i="15" s="1"/>
  <c r="K27" i="15" s="1"/>
  <c r="F29" i="15"/>
  <c r="H29" i="15" s="1"/>
  <c r="J29" i="15" s="1"/>
  <c r="K29" i="15" s="1"/>
  <c r="E61" i="13" l="1"/>
  <c r="G80" i="14"/>
  <c r="I48" i="11"/>
  <c r="D48" i="11"/>
  <c r="E48" i="11" s="1"/>
  <c r="G48" i="11" s="1"/>
  <c r="I47" i="11"/>
  <c r="D47" i="11"/>
  <c r="E47" i="11" s="1"/>
  <c r="G47" i="11" s="1"/>
  <c r="I46" i="11"/>
  <c r="D46" i="11"/>
  <c r="E46" i="11" s="1"/>
  <c r="G46" i="11" s="1"/>
  <c r="I45" i="11"/>
  <c r="D45" i="11"/>
  <c r="E45" i="11" s="1"/>
  <c r="G45" i="11" s="1"/>
  <c r="I44" i="11"/>
  <c r="D44" i="11"/>
  <c r="E44" i="11" s="1"/>
  <c r="G44" i="11" s="1"/>
  <c r="I43" i="11"/>
  <c r="D43" i="11"/>
  <c r="E43" i="11" s="1"/>
  <c r="G43" i="11" s="1"/>
  <c r="I42" i="11"/>
  <c r="D42" i="11"/>
  <c r="E42" i="11" s="1"/>
  <c r="G42" i="11" s="1"/>
  <c r="I41" i="11"/>
  <c r="D41" i="11"/>
  <c r="E41" i="11" s="1"/>
  <c r="G41" i="11" s="1"/>
  <c r="I40" i="11"/>
  <c r="D40" i="11"/>
  <c r="E40" i="11" s="1"/>
  <c r="G40" i="11" s="1"/>
  <c r="B35" i="11"/>
  <c r="B34" i="11"/>
  <c r="I31" i="11"/>
  <c r="D31" i="11"/>
  <c r="E31" i="11" s="1"/>
  <c r="G31" i="11" s="1"/>
  <c r="I30" i="11"/>
  <c r="D30" i="11"/>
  <c r="E30" i="11" s="1"/>
  <c r="G30" i="11" s="1"/>
  <c r="I29" i="11"/>
  <c r="D29" i="11"/>
  <c r="E29" i="11" s="1"/>
  <c r="G29" i="11" s="1"/>
  <c r="I28" i="11"/>
  <c r="D28" i="11"/>
  <c r="E28" i="11" s="1"/>
  <c r="G28" i="11" s="1"/>
  <c r="I27" i="11"/>
  <c r="D27" i="11"/>
  <c r="E27" i="11" s="1"/>
  <c r="G27" i="11" s="1"/>
  <c r="I26" i="11"/>
  <c r="D26" i="11"/>
  <c r="E26" i="11" s="1"/>
  <c r="G26" i="11" s="1"/>
  <c r="I25" i="11"/>
  <c r="D25" i="11"/>
  <c r="E25" i="11" s="1"/>
  <c r="G25" i="11" s="1"/>
  <c r="I24" i="11"/>
  <c r="D24" i="11"/>
  <c r="E24" i="11" s="1"/>
  <c r="G24" i="11" s="1"/>
  <c r="I23" i="11"/>
  <c r="D23" i="11"/>
  <c r="E23" i="11" s="1"/>
  <c r="G23" i="11" s="1"/>
  <c r="I52" i="10"/>
  <c r="E52" i="10"/>
  <c r="G52" i="10" s="1"/>
  <c r="I51" i="10"/>
  <c r="E51" i="10"/>
  <c r="G51" i="10" s="1"/>
  <c r="I50" i="10"/>
  <c r="E50" i="10"/>
  <c r="G50" i="10" s="1"/>
  <c r="I49" i="10"/>
  <c r="E49" i="10"/>
  <c r="G49" i="10" s="1"/>
  <c r="I48" i="10"/>
  <c r="E48" i="10"/>
  <c r="G48" i="10" s="1"/>
  <c r="I47" i="10"/>
  <c r="E47" i="10"/>
  <c r="G47" i="10" s="1"/>
  <c r="I46" i="10"/>
  <c r="E46" i="10"/>
  <c r="G46" i="10" s="1"/>
  <c r="I45" i="10"/>
  <c r="E45" i="10"/>
  <c r="G45" i="10" s="1"/>
  <c r="I44" i="10"/>
  <c r="E44" i="10"/>
  <c r="G44" i="10" s="1"/>
  <c r="I43" i="10"/>
  <c r="E43" i="10"/>
  <c r="G43" i="10" s="1"/>
  <c r="I42" i="10"/>
  <c r="E42" i="10"/>
  <c r="G42" i="10" s="1"/>
  <c r="I33" i="10"/>
  <c r="D33" i="10"/>
  <c r="E33" i="10" s="1"/>
  <c r="G33" i="10" s="1"/>
  <c r="I32" i="10"/>
  <c r="D32" i="10"/>
  <c r="E32" i="10" s="1"/>
  <c r="G32" i="10" s="1"/>
  <c r="I31" i="10"/>
  <c r="D31" i="10"/>
  <c r="E31" i="10" s="1"/>
  <c r="G31" i="10" s="1"/>
  <c r="I30" i="10"/>
  <c r="D30" i="10"/>
  <c r="E30" i="10" s="1"/>
  <c r="G30" i="10" s="1"/>
  <c r="I29" i="10"/>
  <c r="D29" i="10"/>
  <c r="E29" i="10" s="1"/>
  <c r="G29" i="10" s="1"/>
  <c r="I28" i="10"/>
  <c r="D28" i="10"/>
  <c r="E28" i="10" s="1"/>
  <c r="G28" i="10" s="1"/>
  <c r="I27" i="10"/>
  <c r="D27" i="10"/>
  <c r="E27" i="10" s="1"/>
  <c r="G27" i="10" s="1"/>
  <c r="I26" i="10"/>
  <c r="D26" i="10"/>
  <c r="E26" i="10" s="1"/>
  <c r="G26" i="10" s="1"/>
  <c r="I25" i="10"/>
  <c r="D25" i="10"/>
  <c r="E25" i="10" s="1"/>
  <c r="G25" i="10" s="1"/>
  <c r="I24" i="10"/>
  <c r="D24" i="10"/>
  <c r="E24" i="10" s="1"/>
  <c r="G24" i="10" s="1"/>
  <c r="I23" i="10"/>
  <c r="D23" i="10"/>
  <c r="E23" i="10" s="1"/>
  <c r="G23" i="10" s="1"/>
  <c r="B61" i="11" l="1"/>
  <c r="C32" i="24"/>
  <c r="F60" i="11"/>
  <c r="F44" i="11"/>
  <c r="H44" i="11" s="1"/>
  <c r="J44" i="11" s="1"/>
  <c r="K44" i="11" s="1"/>
  <c r="F43" i="11"/>
  <c r="H43" i="11" s="1"/>
  <c r="J43" i="11" s="1"/>
  <c r="K43" i="11" s="1"/>
  <c r="F42" i="11"/>
  <c r="H42" i="11" s="1"/>
  <c r="J42" i="11" s="1"/>
  <c r="K42" i="11" s="1"/>
  <c r="F46" i="11"/>
  <c r="H46" i="11" s="1"/>
  <c r="J46" i="11" s="1"/>
  <c r="K46" i="11" s="1"/>
  <c r="F40" i="11"/>
  <c r="H40" i="11" s="1"/>
  <c r="J40" i="11" s="1"/>
  <c r="K40" i="11" s="1"/>
  <c r="F48" i="11"/>
  <c r="H48" i="11" s="1"/>
  <c r="J48" i="11" s="1"/>
  <c r="K48" i="11" s="1"/>
  <c r="F47" i="11"/>
  <c r="H47" i="11" s="1"/>
  <c r="J47" i="11" s="1"/>
  <c r="K47" i="11" s="1"/>
  <c r="F41" i="11"/>
  <c r="H41" i="11" s="1"/>
  <c r="J41" i="11" s="1"/>
  <c r="K41" i="11" s="1"/>
  <c r="F45" i="11"/>
  <c r="H45" i="11" s="1"/>
  <c r="J45" i="11" s="1"/>
  <c r="K45" i="11" s="1"/>
  <c r="F24" i="11"/>
  <c r="H24" i="11" s="1"/>
  <c r="J24" i="11" s="1"/>
  <c r="K24" i="11" s="1"/>
  <c r="F30" i="11"/>
  <c r="H30" i="11" s="1"/>
  <c r="J30" i="11" s="1"/>
  <c r="K30" i="11" s="1"/>
  <c r="F23" i="11"/>
  <c r="H23" i="11" s="1"/>
  <c r="J23" i="11" s="1"/>
  <c r="K23" i="11" s="1"/>
  <c r="F27" i="11"/>
  <c r="H27" i="11" s="1"/>
  <c r="J27" i="11" s="1"/>
  <c r="K27" i="11" s="1"/>
  <c r="F26" i="11"/>
  <c r="H26" i="11" s="1"/>
  <c r="J26" i="11" s="1"/>
  <c r="K26" i="11" s="1"/>
  <c r="F28" i="11"/>
  <c r="H28" i="11" s="1"/>
  <c r="J28" i="11" s="1"/>
  <c r="K28" i="11" s="1"/>
  <c r="F25" i="11"/>
  <c r="H25" i="11" s="1"/>
  <c r="J25" i="11" s="1"/>
  <c r="K25" i="11" s="1"/>
  <c r="F29" i="11"/>
  <c r="H29" i="11"/>
  <c r="J29" i="11" s="1"/>
  <c r="K29" i="11" s="1"/>
  <c r="F31" i="11"/>
  <c r="H31" i="11" s="1"/>
  <c r="J31" i="11" s="1"/>
  <c r="K31" i="11" s="1"/>
  <c r="F50" i="10"/>
  <c r="H50" i="10" s="1"/>
  <c r="J50" i="10" s="1"/>
  <c r="K50" i="10" s="1"/>
  <c r="F46" i="10"/>
  <c r="H46" i="10" s="1"/>
  <c r="J46" i="10" s="1"/>
  <c r="K46" i="10" s="1"/>
  <c r="F42" i="10"/>
  <c r="H42" i="10" s="1"/>
  <c r="J42" i="10" s="1"/>
  <c r="K42" i="10" s="1"/>
  <c r="F45" i="10"/>
  <c r="H45" i="10" s="1"/>
  <c r="J45" i="10" s="1"/>
  <c r="K45" i="10" s="1"/>
  <c r="F49" i="10"/>
  <c r="H49" i="10" s="1"/>
  <c r="J49" i="10" s="1"/>
  <c r="K49" i="10" s="1"/>
  <c r="F44" i="10"/>
  <c r="H44" i="10" s="1"/>
  <c r="J44" i="10" s="1"/>
  <c r="K44" i="10" s="1"/>
  <c r="F48" i="10"/>
  <c r="H48" i="10" s="1"/>
  <c r="J48" i="10" s="1"/>
  <c r="K48" i="10" s="1"/>
  <c r="F52" i="10"/>
  <c r="H52" i="10" s="1"/>
  <c r="J52" i="10" s="1"/>
  <c r="K52" i="10" s="1"/>
  <c r="F43" i="10"/>
  <c r="H43" i="10" s="1"/>
  <c r="J43" i="10" s="1"/>
  <c r="K43" i="10" s="1"/>
  <c r="F47" i="10"/>
  <c r="H47" i="10" s="1"/>
  <c r="J47" i="10" s="1"/>
  <c r="K47" i="10" s="1"/>
  <c r="F51" i="10"/>
  <c r="H51" i="10" s="1"/>
  <c r="J51" i="10" s="1"/>
  <c r="K51" i="10" s="1"/>
  <c r="F23" i="10"/>
  <c r="H23" i="10" s="1"/>
  <c r="J23" i="10" s="1"/>
  <c r="K23" i="10" s="1"/>
  <c r="F24" i="10"/>
  <c r="H24" i="10" s="1"/>
  <c r="J24" i="10" s="1"/>
  <c r="K24" i="10" s="1"/>
  <c r="F25" i="10"/>
  <c r="H25" i="10" s="1"/>
  <c r="J25" i="10" s="1"/>
  <c r="K25" i="10" s="1"/>
  <c r="F26" i="10"/>
  <c r="H26" i="10" s="1"/>
  <c r="J26" i="10" s="1"/>
  <c r="K26" i="10" s="1"/>
  <c r="F27" i="10"/>
  <c r="H27" i="10" s="1"/>
  <c r="J27" i="10" s="1"/>
  <c r="K27" i="10" s="1"/>
  <c r="F28" i="10"/>
  <c r="H28" i="10" s="1"/>
  <c r="J28" i="10" s="1"/>
  <c r="K28" i="10" s="1"/>
  <c r="F29" i="10"/>
  <c r="H29" i="10" s="1"/>
  <c r="J29" i="10" s="1"/>
  <c r="K29" i="10" s="1"/>
  <c r="F30" i="10"/>
  <c r="H30" i="10" s="1"/>
  <c r="J30" i="10" s="1"/>
  <c r="K30" i="10" s="1"/>
  <c r="F31" i="10"/>
  <c r="H31" i="10" s="1"/>
  <c r="J31" i="10" s="1"/>
  <c r="K31" i="10" s="1"/>
  <c r="F32" i="10"/>
  <c r="H32" i="10" s="1"/>
  <c r="J32" i="10" s="1"/>
  <c r="K32" i="10" s="1"/>
  <c r="F33" i="10"/>
  <c r="H33" i="10" s="1"/>
  <c r="J33" i="10" s="1"/>
  <c r="K33" i="10" s="1"/>
  <c r="B35" i="14"/>
  <c r="B34" i="14"/>
  <c r="J31" i="14"/>
  <c r="F31" i="14"/>
  <c r="H31" i="14" s="1"/>
  <c r="G31" i="14" s="1"/>
  <c r="J30" i="14"/>
  <c r="F30" i="14"/>
  <c r="H30" i="14" s="1"/>
  <c r="G30" i="14" s="1"/>
  <c r="J29" i="14"/>
  <c r="F29" i="14"/>
  <c r="H29" i="14" s="1"/>
  <c r="G29" i="14" s="1"/>
  <c r="J28" i="14"/>
  <c r="F28" i="14"/>
  <c r="H28" i="14" s="1"/>
  <c r="G28" i="14" s="1"/>
  <c r="J27" i="14"/>
  <c r="F27" i="14"/>
  <c r="H27" i="14" s="1"/>
  <c r="G27" i="14" s="1"/>
  <c r="J26" i="14"/>
  <c r="F26" i="14"/>
  <c r="H26" i="14" s="1"/>
  <c r="G26" i="14" s="1"/>
  <c r="J25" i="14"/>
  <c r="F25" i="14"/>
  <c r="H25" i="14" s="1"/>
  <c r="G25" i="14" s="1"/>
  <c r="J24" i="14"/>
  <c r="F24" i="14"/>
  <c r="H24" i="14" s="1"/>
  <c r="G24" i="14" s="1"/>
  <c r="J23" i="14"/>
  <c r="F23" i="14"/>
  <c r="H23" i="14" s="1"/>
  <c r="G23" i="14" s="1"/>
  <c r="B18" i="10"/>
  <c r="B17" i="10"/>
  <c r="I23" i="14" l="1"/>
  <c r="K23" i="14" s="1"/>
  <c r="L23" i="14" s="1"/>
  <c r="I25" i="14"/>
  <c r="K25" i="14" s="1"/>
  <c r="L25" i="14" s="1"/>
  <c r="I27" i="14"/>
  <c r="K27" i="14" s="1"/>
  <c r="L27" i="14" s="1"/>
  <c r="I29" i="14"/>
  <c r="K29" i="14" s="1"/>
  <c r="L29" i="14" s="1"/>
  <c r="I31" i="14"/>
  <c r="K31" i="14" s="1"/>
  <c r="L31" i="14" s="1"/>
  <c r="I24" i="14"/>
  <c r="K24" i="14" s="1"/>
  <c r="L24" i="14" s="1"/>
  <c r="I26" i="14"/>
  <c r="K26" i="14" s="1"/>
  <c r="L26" i="14" s="1"/>
  <c r="I28" i="14"/>
  <c r="K28" i="14" s="1"/>
  <c r="L28" i="14" s="1"/>
  <c r="I30" i="14"/>
  <c r="K30" i="14" s="1"/>
  <c r="L30" i="14" s="1"/>
  <c r="D21" i="24" l="1"/>
  <c r="C21" i="24" s="1"/>
  <c r="B21" i="24"/>
  <c r="H21" i="24" s="1"/>
  <c r="D20" i="24"/>
  <c r="C20" i="24" s="1"/>
  <c r="B20" i="24"/>
  <c r="H20" i="24" s="1"/>
  <c r="D19" i="24"/>
  <c r="C19" i="24" s="1"/>
  <c r="B19" i="24"/>
  <c r="H19" i="24" s="1"/>
  <c r="D18" i="24"/>
  <c r="B18" i="24"/>
  <c r="H18" i="24" s="1"/>
  <c r="D17" i="24"/>
  <c r="C17" i="24" s="1"/>
  <c r="B17" i="24"/>
  <c r="H17" i="24" s="1"/>
  <c r="D16" i="24"/>
  <c r="C16" i="24" s="1"/>
  <c r="B16" i="24"/>
  <c r="H16" i="24" s="1"/>
  <c r="D4" i="24"/>
  <c r="C4" i="24" s="1"/>
  <c r="D5" i="24"/>
  <c r="D6" i="24"/>
  <c r="C6" i="24" s="1"/>
  <c r="D7" i="24"/>
  <c r="C7" i="24" s="1"/>
  <c r="D8" i="24"/>
  <c r="C8" i="24" s="1"/>
  <c r="C5" i="24"/>
  <c r="D3" i="24"/>
  <c r="C3" i="24" s="1"/>
  <c r="G3" i="24" s="1"/>
  <c r="I3" i="24" s="1"/>
  <c r="B12" i="24"/>
  <c r="B11" i="24"/>
  <c r="B8" i="24"/>
  <c r="H8" i="24" s="1"/>
  <c r="B7" i="24"/>
  <c r="H7" i="24" s="1"/>
  <c r="B6" i="24"/>
  <c r="H6" i="24" s="1"/>
  <c r="B5" i="24"/>
  <c r="H5" i="24" s="1"/>
  <c r="B4" i="24"/>
  <c r="H4" i="24" s="1"/>
  <c r="B3" i="24"/>
  <c r="H3" i="24" s="1"/>
  <c r="G20" i="24" l="1"/>
  <c r="I20" i="24" s="1"/>
  <c r="C18" i="24"/>
  <c r="G18" i="24" s="1"/>
  <c r="I18" i="24" s="1"/>
  <c r="G16" i="24"/>
  <c r="I16" i="24" s="1"/>
  <c r="G17" i="24"/>
  <c r="I17" i="24" s="1"/>
  <c r="G19" i="24"/>
  <c r="I19" i="24" s="1"/>
  <c r="G21" i="24"/>
  <c r="I21" i="24" s="1"/>
  <c r="G5" i="24"/>
  <c r="I5" i="24" s="1"/>
  <c r="G8" i="24"/>
  <c r="I8" i="24" s="1"/>
  <c r="G7" i="24"/>
  <c r="I7" i="24" s="1"/>
  <c r="G6" i="24"/>
  <c r="I6" i="24" s="1"/>
  <c r="G4" i="24"/>
  <c r="I4" i="24" s="1"/>
  <c r="B17" i="23"/>
  <c r="B16" i="23"/>
  <c r="I13" i="23"/>
  <c r="D13" i="23"/>
  <c r="E13" i="23" s="1"/>
  <c r="G13" i="23" s="1"/>
  <c r="I12" i="23"/>
  <c r="D12" i="23"/>
  <c r="E12" i="23" s="1"/>
  <c r="G12" i="23" s="1"/>
  <c r="I11" i="23"/>
  <c r="D11" i="23"/>
  <c r="E11" i="23" s="1"/>
  <c r="G11" i="23" s="1"/>
  <c r="I10" i="23"/>
  <c r="D10" i="23"/>
  <c r="E10" i="23" s="1"/>
  <c r="G10" i="23" s="1"/>
  <c r="I9" i="23"/>
  <c r="D9" i="23"/>
  <c r="E9" i="23" s="1"/>
  <c r="G9" i="23" s="1"/>
  <c r="I8" i="23"/>
  <c r="D8" i="23"/>
  <c r="E8" i="23" s="1"/>
  <c r="G8" i="23" s="1"/>
  <c r="I7" i="23"/>
  <c r="D7" i="23"/>
  <c r="E7" i="23" s="1"/>
  <c r="G7" i="23" s="1"/>
  <c r="I6" i="23"/>
  <c r="D6" i="23"/>
  <c r="E6" i="23" s="1"/>
  <c r="G6" i="23" s="1"/>
  <c r="I5" i="23"/>
  <c r="D5" i="23"/>
  <c r="E5" i="23" s="1"/>
  <c r="G5" i="23" s="1"/>
  <c r="I4" i="23"/>
  <c r="D4" i="23"/>
  <c r="E4" i="23" s="1"/>
  <c r="G4" i="23" s="1"/>
  <c r="I3" i="23"/>
  <c r="D3" i="23"/>
  <c r="E3" i="23" s="1"/>
  <c r="G3" i="23" s="1"/>
  <c r="D14" i="16"/>
  <c r="E14" i="16" s="1"/>
  <c r="G14" i="16" s="1"/>
  <c r="I14" i="16"/>
  <c r="D15" i="16"/>
  <c r="E15" i="16" s="1"/>
  <c r="G15" i="16" s="1"/>
  <c r="I15" i="16"/>
  <c r="F5" i="23" l="1"/>
  <c r="H5" i="23" s="1"/>
  <c r="J5" i="23" s="1"/>
  <c r="K5" i="23" s="1"/>
  <c r="F9" i="23"/>
  <c r="H9" i="23" s="1"/>
  <c r="J9" i="23" s="1"/>
  <c r="K9" i="23" s="1"/>
  <c r="F4" i="23"/>
  <c r="H4" i="23" s="1"/>
  <c r="J4" i="23" s="1"/>
  <c r="K4" i="23" s="1"/>
  <c r="F12" i="23"/>
  <c r="H12" i="23" s="1"/>
  <c r="J12" i="23" s="1"/>
  <c r="K12" i="23" s="1"/>
  <c r="F3" i="23"/>
  <c r="H3" i="23" s="1"/>
  <c r="J3" i="23" s="1"/>
  <c r="K3" i="23" s="1"/>
  <c r="F7" i="23"/>
  <c r="H7" i="23" s="1"/>
  <c r="J7" i="23" s="1"/>
  <c r="K7" i="23" s="1"/>
  <c r="F11" i="23"/>
  <c r="H11" i="23" s="1"/>
  <c r="J11" i="23" s="1"/>
  <c r="K11" i="23" s="1"/>
  <c r="F13" i="23"/>
  <c r="H13" i="23" s="1"/>
  <c r="J13" i="23" s="1"/>
  <c r="K13" i="23" s="1"/>
  <c r="F8" i="23"/>
  <c r="H8" i="23" s="1"/>
  <c r="J8" i="23" s="1"/>
  <c r="K8" i="23" s="1"/>
  <c r="F6" i="23"/>
  <c r="H6" i="23" s="1"/>
  <c r="J6" i="23" s="1"/>
  <c r="K6" i="23" s="1"/>
  <c r="F10" i="23"/>
  <c r="H10" i="23" s="1"/>
  <c r="J10" i="23" s="1"/>
  <c r="K10" i="23" s="1"/>
  <c r="F15" i="16"/>
  <c r="H15" i="16" s="1"/>
  <c r="J15" i="16" s="1"/>
  <c r="K15" i="16" s="1"/>
  <c r="F14" i="16"/>
  <c r="H14" i="16" s="1"/>
  <c r="J14" i="16" s="1"/>
  <c r="K14" i="16" s="1"/>
  <c r="B17" i="15"/>
  <c r="B16" i="15"/>
  <c r="I13" i="15"/>
  <c r="D13" i="15"/>
  <c r="E13" i="15" s="1"/>
  <c r="G13" i="15" s="1"/>
  <c r="I12" i="15"/>
  <c r="D12" i="15"/>
  <c r="E12" i="15" s="1"/>
  <c r="G12" i="15" s="1"/>
  <c r="I11" i="15"/>
  <c r="D11" i="15"/>
  <c r="E11" i="15" s="1"/>
  <c r="G11" i="15" s="1"/>
  <c r="I10" i="15"/>
  <c r="D10" i="15"/>
  <c r="E10" i="15" s="1"/>
  <c r="G10" i="15" s="1"/>
  <c r="I9" i="15"/>
  <c r="D9" i="15"/>
  <c r="E9" i="15" s="1"/>
  <c r="G9" i="15" s="1"/>
  <c r="I8" i="15"/>
  <c r="D8" i="15"/>
  <c r="E8" i="15" s="1"/>
  <c r="G8" i="15" s="1"/>
  <c r="I7" i="15"/>
  <c r="D7" i="15"/>
  <c r="E7" i="15" s="1"/>
  <c r="G7" i="15" s="1"/>
  <c r="I6" i="15"/>
  <c r="D6" i="15"/>
  <c r="E6" i="15" s="1"/>
  <c r="G6" i="15" s="1"/>
  <c r="I5" i="15"/>
  <c r="D5" i="15"/>
  <c r="E5" i="15" s="1"/>
  <c r="G5" i="15" s="1"/>
  <c r="I4" i="15"/>
  <c r="D4" i="15"/>
  <c r="E4" i="15" s="1"/>
  <c r="G4" i="15" s="1"/>
  <c r="I3" i="15"/>
  <c r="D3" i="15"/>
  <c r="E3" i="15" s="1"/>
  <c r="G3" i="15" s="1"/>
  <c r="D13" i="14"/>
  <c r="E13" i="14" s="1"/>
  <c r="G13" i="14" s="1"/>
  <c r="F13" i="14" s="1"/>
  <c r="I13" i="14"/>
  <c r="D6" i="14"/>
  <c r="E6" i="14" s="1"/>
  <c r="G6" i="14" s="1"/>
  <c r="F6" i="14" s="1"/>
  <c r="I6" i="14"/>
  <c r="D14" i="14"/>
  <c r="E14" i="14" s="1"/>
  <c r="G14" i="14" s="1"/>
  <c r="F14" i="14" s="1"/>
  <c r="I14" i="14"/>
  <c r="D7" i="14"/>
  <c r="E7" i="14" s="1"/>
  <c r="G7" i="14" s="1"/>
  <c r="F7" i="14" s="1"/>
  <c r="I7" i="14"/>
  <c r="D12" i="14"/>
  <c r="E12" i="14" s="1"/>
  <c r="G12" i="14" s="1"/>
  <c r="F12" i="14" s="1"/>
  <c r="I12" i="14"/>
  <c r="D10" i="14"/>
  <c r="E10" i="14" s="1"/>
  <c r="G10" i="14" s="1"/>
  <c r="F10" i="14" s="1"/>
  <c r="I10" i="14"/>
  <c r="D8" i="14"/>
  <c r="E8" i="14" s="1"/>
  <c r="G8" i="14" s="1"/>
  <c r="F8" i="14" s="1"/>
  <c r="I8" i="14"/>
  <c r="B19" i="14"/>
  <c r="B18" i="14"/>
  <c r="I15" i="14"/>
  <c r="D15" i="14"/>
  <c r="E15" i="14" s="1"/>
  <c r="G15" i="14" s="1"/>
  <c r="F15" i="14" s="1"/>
  <c r="I11" i="14"/>
  <c r="D11" i="14"/>
  <c r="E11" i="14" s="1"/>
  <c r="G11" i="14" s="1"/>
  <c r="F11" i="14" s="1"/>
  <c r="I9" i="14"/>
  <c r="D9" i="14"/>
  <c r="E9" i="14" s="1"/>
  <c r="G9" i="14" s="1"/>
  <c r="F9" i="14" s="1"/>
  <c r="I5" i="14"/>
  <c r="D5" i="14"/>
  <c r="E5" i="14" s="1"/>
  <c r="G5" i="14" s="1"/>
  <c r="F5" i="14" s="1"/>
  <c r="I4" i="14"/>
  <c r="D4" i="14"/>
  <c r="E4" i="14" s="1"/>
  <c r="G4" i="14" s="1"/>
  <c r="F4" i="14" s="1"/>
  <c r="I3" i="14"/>
  <c r="D3" i="14"/>
  <c r="E3" i="14" s="1"/>
  <c r="G3" i="14" s="1"/>
  <c r="F3" i="14" s="1"/>
  <c r="B18" i="13"/>
  <c r="B17" i="13"/>
  <c r="I14" i="13"/>
  <c r="D14" i="13"/>
  <c r="E14" i="13" s="1"/>
  <c r="G14" i="13" s="1"/>
  <c r="I13" i="13"/>
  <c r="D13" i="13"/>
  <c r="E13" i="13" s="1"/>
  <c r="G13" i="13" s="1"/>
  <c r="I12" i="13"/>
  <c r="D12" i="13"/>
  <c r="E12" i="13" s="1"/>
  <c r="G12" i="13" s="1"/>
  <c r="I11" i="13"/>
  <c r="D11" i="13"/>
  <c r="E11" i="13" s="1"/>
  <c r="G11" i="13" s="1"/>
  <c r="I10" i="13"/>
  <c r="D10" i="13"/>
  <c r="E10" i="13" s="1"/>
  <c r="G10" i="13" s="1"/>
  <c r="I9" i="13"/>
  <c r="D9" i="13"/>
  <c r="E9" i="13" s="1"/>
  <c r="G9" i="13" s="1"/>
  <c r="I8" i="13"/>
  <c r="D8" i="13"/>
  <c r="E8" i="13" s="1"/>
  <c r="G8" i="13" s="1"/>
  <c r="I7" i="13"/>
  <c r="D7" i="13"/>
  <c r="E7" i="13" s="1"/>
  <c r="G7" i="13" s="1"/>
  <c r="I6" i="13"/>
  <c r="D6" i="13"/>
  <c r="E6" i="13" s="1"/>
  <c r="G6" i="13" s="1"/>
  <c r="I5" i="13"/>
  <c r="D5" i="13"/>
  <c r="E5" i="13" s="1"/>
  <c r="G5" i="13" s="1"/>
  <c r="I4" i="13"/>
  <c r="D4" i="13"/>
  <c r="E4" i="13" s="1"/>
  <c r="G4" i="13" s="1"/>
  <c r="B18" i="11"/>
  <c r="B17" i="11"/>
  <c r="I14" i="11"/>
  <c r="D14" i="11"/>
  <c r="E14" i="11" s="1"/>
  <c r="G14" i="11" s="1"/>
  <c r="I13" i="11"/>
  <c r="D13" i="11"/>
  <c r="E13" i="11" s="1"/>
  <c r="G13" i="11" s="1"/>
  <c r="I12" i="11"/>
  <c r="D12" i="11"/>
  <c r="E12" i="11" s="1"/>
  <c r="G12" i="11" s="1"/>
  <c r="I11" i="11"/>
  <c r="D11" i="11"/>
  <c r="E11" i="11" s="1"/>
  <c r="G11" i="11" s="1"/>
  <c r="I10" i="11"/>
  <c r="D10" i="11"/>
  <c r="E10" i="11" s="1"/>
  <c r="G10" i="11" s="1"/>
  <c r="I9" i="11"/>
  <c r="D9" i="11"/>
  <c r="E9" i="11" s="1"/>
  <c r="G9" i="11" s="1"/>
  <c r="I8" i="11"/>
  <c r="D8" i="11"/>
  <c r="E8" i="11" s="1"/>
  <c r="G8" i="11" s="1"/>
  <c r="I7" i="11"/>
  <c r="D7" i="11"/>
  <c r="E7" i="11" s="1"/>
  <c r="G7" i="11" s="1"/>
  <c r="I6" i="11"/>
  <c r="D6" i="11"/>
  <c r="E6" i="11" s="1"/>
  <c r="G6" i="11" s="1"/>
  <c r="I5" i="11"/>
  <c r="D5" i="11"/>
  <c r="E5" i="11" s="1"/>
  <c r="G5" i="11" s="1"/>
  <c r="I4" i="11"/>
  <c r="D4" i="11"/>
  <c r="E4" i="11" s="1"/>
  <c r="G4" i="11" s="1"/>
  <c r="B19" i="16"/>
  <c r="B18" i="16"/>
  <c r="I13" i="16"/>
  <c r="D13" i="16"/>
  <c r="E13" i="16" s="1"/>
  <c r="G13" i="16" s="1"/>
  <c r="I12" i="16"/>
  <c r="D12" i="16"/>
  <c r="E12" i="16" s="1"/>
  <c r="G12" i="16" s="1"/>
  <c r="I11" i="16"/>
  <c r="D11" i="16"/>
  <c r="E11" i="16" s="1"/>
  <c r="G11" i="16" s="1"/>
  <c r="I10" i="16"/>
  <c r="D10" i="16"/>
  <c r="E10" i="16" s="1"/>
  <c r="G10" i="16" s="1"/>
  <c r="I9" i="16"/>
  <c r="D9" i="16"/>
  <c r="E9" i="16" s="1"/>
  <c r="G9" i="16" s="1"/>
  <c r="I8" i="16"/>
  <c r="D8" i="16"/>
  <c r="E8" i="16" s="1"/>
  <c r="G8" i="16" s="1"/>
  <c r="I7" i="16"/>
  <c r="D7" i="16"/>
  <c r="E7" i="16" s="1"/>
  <c r="G7" i="16" s="1"/>
  <c r="I6" i="16"/>
  <c r="D6" i="16"/>
  <c r="E6" i="16" s="1"/>
  <c r="G6" i="16" s="1"/>
  <c r="I5" i="16"/>
  <c r="D5" i="16"/>
  <c r="E5" i="16" s="1"/>
  <c r="G5" i="16" s="1"/>
  <c r="E12" i="10"/>
  <c r="G12" i="10" s="1"/>
  <c r="I12" i="10"/>
  <c r="E13" i="10"/>
  <c r="G13" i="10" s="1"/>
  <c r="I13" i="10"/>
  <c r="E14" i="10"/>
  <c r="G14" i="10" s="1"/>
  <c r="I14" i="10"/>
  <c r="E8" i="10"/>
  <c r="G8" i="10" s="1"/>
  <c r="E9" i="10"/>
  <c r="G9" i="10" s="1"/>
  <c r="E4" i="10"/>
  <c r="G4" i="10" s="1"/>
  <c r="I11" i="10"/>
  <c r="E11" i="10"/>
  <c r="G11" i="10" s="1"/>
  <c r="I10" i="10"/>
  <c r="E10" i="10"/>
  <c r="G10" i="10" s="1"/>
  <c r="I9" i="10"/>
  <c r="I8" i="10"/>
  <c r="I7" i="10"/>
  <c r="E7" i="10"/>
  <c r="G7" i="10" s="1"/>
  <c r="I6" i="10"/>
  <c r="E6" i="10"/>
  <c r="G6" i="10" s="1"/>
  <c r="I5" i="10"/>
  <c r="E5" i="10"/>
  <c r="G5" i="10" s="1"/>
  <c r="I4" i="10"/>
  <c r="F3" i="15" l="1"/>
  <c r="H3" i="15" s="1"/>
  <c r="J3" i="15" s="1"/>
  <c r="K3" i="15" s="1"/>
  <c r="F7" i="15"/>
  <c r="H7" i="15" s="1"/>
  <c r="J7" i="15" s="1"/>
  <c r="K7" i="15" s="1"/>
  <c r="F13" i="15"/>
  <c r="H13" i="15" s="1"/>
  <c r="J13" i="15" s="1"/>
  <c r="K13" i="15" s="1"/>
  <c r="F5" i="15"/>
  <c r="H5" i="15" s="1"/>
  <c r="J5" i="15" s="1"/>
  <c r="K5" i="15" s="1"/>
  <c r="F9" i="15"/>
  <c r="H9" i="15" s="1"/>
  <c r="J9" i="15" s="1"/>
  <c r="K9" i="15" s="1"/>
  <c r="F11" i="15"/>
  <c r="H11" i="15" s="1"/>
  <c r="J11" i="15" s="1"/>
  <c r="K11" i="15" s="1"/>
  <c r="F4" i="15"/>
  <c r="H4" i="15" s="1"/>
  <c r="J4" i="15" s="1"/>
  <c r="K4" i="15" s="1"/>
  <c r="F6" i="15"/>
  <c r="H6" i="15" s="1"/>
  <c r="J6" i="15" s="1"/>
  <c r="K6" i="15" s="1"/>
  <c r="F8" i="15"/>
  <c r="H8" i="15" s="1"/>
  <c r="J8" i="15" s="1"/>
  <c r="K8" i="15" s="1"/>
  <c r="F10" i="15"/>
  <c r="H10" i="15" s="1"/>
  <c r="J10" i="15" s="1"/>
  <c r="K10" i="15" s="1"/>
  <c r="F12" i="15"/>
  <c r="H12" i="15" s="1"/>
  <c r="J12" i="15" s="1"/>
  <c r="K12" i="15" s="1"/>
  <c r="H13" i="14"/>
  <c r="J13" i="14" s="1"/>
  <c r="K13" i="14" s="1"/>
  <c r="H6" i="14"/>
  <c r="J6" i="14" s="1"/>
  <c r="K6" i="14" s="1"/>
  <c r="H14" i="14"/>
  <c r="J14" i="14" s="1"/>
  <c r="K14" i="14" s="1"/>
  <c r="H7" i="14"/>
  <c r="J7" i="14" s="1"/>
  <c r="K7" i="14" s="1"/>
  <c r="H12" i="14"/>
  <c r="J12" i="14" s="1"/>
  <c r="K12" i="14" s="1"/>
  <c r="H10" i="14"/>
  <c r="J10" i="14" s="1"/>
  <c r="K10" i="14" s="1"/>
  <c r="H8" i="14"/>
  <c r="J8" i="14" s="1"/>
  <c r="K8" i="14" s="1"/>
  <c r="H4" i="14"/>
  <c r="J4" i="14" s="1"/>
  <c r="K4" i="14" s="1"/>
  <c r="H15" i="14"/>
  <c r="J15" i="14" s="1"/>
  <c r="K15" i="14" s="1"/>
  <c r="H11" i="14"/>
  <c r="J11" i="14" s="1"/>
  <c r="K11" i="14" s="1"/>
  <c r="H3" i="14"/>
  <c r="J3" i="14" s="1"/>
  <c r="K3" i="14" s="1"/>
  <c r="H5" i="14"/>
  <c r="J5" i="14" s="1"/>
  <c r="K5" i="14" s="1"/>
  <c r="H9" i="14"/>
  <c r="J9" i="14" s="1"/>
  <c r="K9" i="14" s="1"/>
  <c r="F4" i="13"/>
  <c r="H4" i="13" s="1"/>
  <c r="J4" i="13" s="1"/>
  <c r="K4" i="13" s="1"/>
  <c r="F6" i="13"/>
  <c r="H6" i="13" s="1"/>
  <c r="J6" i="13" s="1"/>
  <c r="K6" i="13" s="1"/>
  <c r="F8" i="13"/>
  <c r="H8" i="13" s="1"/>
  <c r="J8" i="13" s="1"/>
  <c r="K8" i="13" s="1"/>
  <c r="F10" i="13"/>
  <c r="H10" i="13" s="1"/>
  <c r="J10" i="13" s="1"/>
  <c r="K10" i="13" s="1"/>
  <c r="F12" i="13"/>
  <c r="H12" i="13" s="1"/>
  <c r="J12" i="13" s="1"/>
  <c r="K12" i="13" s="1"/>
  <c r="F14" i="13"/>
  <c r="H14" i="13" s="1"/>
  <c r="J14" i="13" s="1"/>
  <c r="K14" i="13" s="1"/>
  <c r="F5" i="13"/>
  <c r="H5" i="13" s="1"/>
  <c r="J5" i="13" s="1"/>
  <c r="K5" i="13" s="1"/>
  <c r="F7" i="13"/>
  <c r="H7" i="13" s="1"/>
  <c r="J7" i="13" s="1"/>
  <c r="K7" i="13" s="1"/>
  <c r="F9" i="13"/>
  <c r="H9" i="13" s="1"/>
  <c r="J9" i="13" s="1"/>
  <c r="K9" i="13" s="1"/>
  <c r="F11" i="13"/>
  <c r="H11" i="13" s="1"/>
  <c r="J11" i="13" s="1"/>
  <c r="K11" i="13" s="1"/>
  <c r="F13" i="13"/>
  <c r="H13" i="13"/>
  <c r="J13" i="13" s="1"/>
  <c r="K13" i="13" s="1"/>
  <c r="F6" i="11"/>
  <c r="H6" i="11" s="1"/>
  <c r="J6" i="11" s="1"/>
  <c r="K6" i="11" s="1"/>
  <c r="F10" i="11"/>
  <c r="H10" i="11" s="1"/>
  <c r="J10" i="11" s="1"/>
  <c r="K10" i="11" s="1"/>
  <c r="F14" i="11"/>
  <c r="H14" i="11" s="1"/>
  <c r="J14" i="11" s="1"/>
  <c r="K14" i="11" s="1"/>
  <c r="F5" i="11"/>
  <c r="H5" i="11" s="1"/>
  <c r="J5" i="11" s="1"/>
  <c r="K5" i="11" s="1"/>
  <c r="F9" i="11"/>
  <c r="H9" i="11" s="1"/>
  <c r="J9" i="11" s="1"/>
  <c r="K9" i="11" s="1"/>
  <c r="F13" i="11"/>
  <c r="H13" i="11" s="1"/>
  <c r="J13" i="11" s="1"/>
  <c r="K13" i="11" s="1"/>
  <c r="F4" i="11"/>
  <c r="H4" i="11" s="1"/>
  <c r="J4" i="11" s="1"/>
  <c r="K4" i="11" s="1"/>
  <c r="F8" i="11"/>
  <c r="H8" i="11" s="1"/>
  <c r="J8" i="11" s="1"/>
  <c r="K8" i="11" s="1"/>
  <c r="F12" i="11"/>
  <c r="H12" i="11" s="1"/>
  <c r="J12" i="11" s="1"/>
  <c r="K12" i="11" s="1"/>
  <c r="F7" i="11"/>
  <c r="H7" i="11" s="1"/>
  <c r="J7" i="11" s="1"/>
  <c r="K7" i="11" s="1"/>
  <c r="F11" i="11"/>
  <c r="H11" i="11" s="1"/>
  <c r="J11" i="11" s="1"/>
  <c r="K11" i="11" s="1"/>
  <c r="F9" i="16"/>
  <c r="H9" i="16" s="1"/>
  <c r="J9" i="16" s="1"/>
  <c r="K9" i="16" s="1"/>
  <c r="F6" i="16"/>
  <c r="H6" i="16" s="1"/>
  <c r="J6" i="16" s="1"/>
  <c r="K6" i="16" s="1"/>
  <c r="F8" i="16"/>
  <c r="H8" i="16" s="1"/>
  <c r="J8" i="16" s="1"/>
  <c r="K8" i="16" s="1"/>
  <c r="F7" i="16"/>
  <c r="H7" i="16" s="1"/>
  <c r="J7" i="16" s="1"/>
  <c r="K7" i="16" s="1"/>
  <c r="F5" i="16"/>
  <c r="H5" i="16" s="1"/>
  <c r="J5" i="16" s="1"/>
  <c r="K5" i="16" s="1"/>
  <c r="F11" i="16"/>
  <c r="H11" i="16" s="1"/>
  <c r="J11" i="16" s="1"/>
  <c r="K11" i="16" s="1"/>
  <c r="F13" i="16"/>
  <c r="H13" i="16" s="1"/>
  <c r="J13" i="16" s="1"/>
  <c r="K13" i="16" s="1"/>
  <c r="F10" i="16"/>
  <c r="H10" i="16" s="1"/>
  <c r="J10" i="16" s="1"/>
  <c r="K10" i="16" s="1"/>
  <c r="F12" i="16"/>
  <c r="H12" i="16" s="1"/>
  <c r="J12" i="16" s="1"/>
  <c r="K12" i="16" s="1"/>
  <c r="F13" i="10"/>
  <c r="H13" i="10" s="1"/>
  <c r="J13" i="10" s="1"/>
  <c r="K13" i="10" s="1"/>
  <c r="F14" i="10"/>
  <c r="H14" i="10" s="1"/>
  <c r="J14" i="10" s="1"/>
  <c r="K14" i="10" s="1"/>
  <c r="F12" i="10"/>
  <c r="H12" i="10" s="1"/>
  <c r="J12" i="10" s="1"/>
  <c r="K12" i="10" s="1"/>
  <c r="F9" i="10"/>
  <c r="H9" i="10" s="1"/>
  <c r="J9" i="10" s="1"/>
  <c r="K9" i="10" s="1"/>
  <c r="F6" i="10"/>
  <c r="H6" i="10" s="1"/>
  <c r="J6" i="10" s="1"/>
  <c r="K6" i="10" s="1"/>
  <c r="F11" i="10"/>
  <c r="H11" i="10" s="1"/>
  <c r="J11" i="10" s="1"/>
  <c r="K11" i="10" s="1"/>
  <c r="F8" i="10"/>
  <c r="H8" i="10" s="1"/>
  <c r="J8" i="10" s="1"/>
  <c r="K8" i="10" s="1"/>
  <c r="F10" i="10"/>
  <c r="H10" i="10" s="1"/>
  <c r="J10" i="10" s="1"/>
  <c r="K10" i="10" s="1"/>
  <c r="F4" i="10"/>
  <c r="H4" i="10" s="1"/>
  <c r="J4" i="10" s="1"/>
  <c r="K4" i="10" s="1"/>
  <c r="F5" i="10"/>
  <c r="H5" i="10" s="1"/>
  <c r="J5" i="10" s="1"/>
  <c r="K5" i="10" s="1"/>
  <c r="F7" i="10"/>
  <c r="H7" i="10" s="1"/>
  <c r="J7" i="10" s="1"/>
  <c r="K7" i="10" s="1"/>
</calcChain>
</file>

<file path=xl/sharedStrings.xml><?xml version="1.0" encoding="utf-8"?>
<sst xmlns="http://schemas.openxmlformats.org/spreadsheetml/2006/main" count="448" uniqueCount="33">
  <si>
    <t>Keq</t>
  </si>
  <si>
    <t>1/T</t>
  </si>
  <si>
    <t>lnKeq</t>
  </si>
  <si>
    <t>T(K)</t>
  </si>
  <si>
    <t>[dimer] (mol/L)</t>
  </si>
  <si>
    <t>[monomer] (mol/L)</t>
  </si>
  <si>
    <t>slope</t>
  </si>
  <si>
    <t>Y-intersect</t>
  </si>
  <si>
    <t>delta H (kcal/mol)</t>
  </si>
  <si>
    <t>delta S (cal/mol)</t>
  </si>
  <si>
    <t>Dimer%</t>
  </si>
  <si>
    <t>Monomer%</t>
  </si>
  <si>
    <t>delta G (kcal/mol)</t>
  </si>
  <si>
    <t>Monomer</t>
  </si>
  <si>
    <t xml:space="preserve">setT(C) </t>
  </si>
  <si>
    <t>set T(K)</t>
  </si>
  <si>
    <t>actual T(K)</t>
  </si>
  <si>
    <r>
      <t>actual T (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charset val="128"/>
        <scheme val="minor"/>
      </rPr>
      <t>C)</t>
    </r>
  </si>
  <si>
    <t>delta S (cal/molT)</t>
  </si>
  <si>
    <t>delta G at 298.15K  (kcal/mol)</t>
  </si>
  <si>
    <t>Run</t>
  </si>
  <si>
    <t>Average</t>
  </si>
  <si>
    <t>standard deviation</t>
  </si>
  <si>
    <t>Run 1</t>
  </si>
  <si>
    <t>Run 2</t>
  </si>
  <si>
    <t>Run 3</t>
  </si>
  <si>
    <r>
      <t>T(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charset val="128"/>
        <scheme val="minor"/>
      </rPr>
      <t>C)</t>
    </r>
  </si>
  <si>
    <r>
      <t>EPR integration of</t>
    </r>
    <r>
      <rPr>
        <b/>
        <sz val="11"/>
        <color theme="1"/>
        <rFont val="Calibri"/>
        <family val="2"/>
        <scheme val="minor"/>
      </rPr>
      <t xml:space="preserve"> 2-Mes*</t>
    </r>
  </si>
  <si>
    <r>
      <t xml:space="preserve">EPR integration of 0.020 mol/L </t>
    </r>
    <r>
      <rPr>
        <b/>
        <sz val="11"/>
        <color theme="1"/>
        <rFont val="Calibri"/>
        <family val="2"/>
        <scheme val="minor"/>
      </rPr>
      <t>1</t>
    </r>
  </si>
  <si>
    <r>
      <t>delta S (cal mol</t>
    </r>
    <r>
      <rPr>
        <vertAlign val="superscript"/>
        <sz val="11"/>
        <color theme="1"/>
        <rFont val="Calibri"/>
        <family val="2"/>
        <scheme val="minor"/>
      </rPr>
      <t xml:space="preserve">-1 </t>
    </r>
    <r>
      <rPr>
        <sz val="11"/>
        <color theme="1"/>
        <rFont val="Calibri"/>
        <family val="2"/>
        <charset val="128"/>
        <scheme val="minor"/>
      </rPr>
      <t>K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charset val="128"/>
        <scheme val="minor"/>
      </rPr>
      <t>)</t>
    </r>
  </si>
  <si>
    <t>NMR integration of Monomer (corrected by # of proton)</t>
  </si>
  <si>
    <t>NMR integration of Dimer (corrected by # of proton)</t>
  </si>
  <si>
    <t>Run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</si>
</sst>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Bruker 500MHz NMR Temperature Caliburation </a:t>
            </a:r>
          </a:p>
          <a:p>
            <a:pPr>
              <a:defRPr/>
            </a:pPr>
            <a:r>
              <a:rPr lang="en-US"/>
              <a:t>(25-100</a:t>
            </a:r>
            <a:r>
              <a:rPr lang="en-US" baseline="0"/>
              <a:t> °C, </a:t>
            </a:r>
            <a:r>
              <a:rPr lang="en-US"/>
              <a:t>2021/04/16) (105-160</a:t>
            </a:r>
            <a:r>
              <a:rPr lang="en-US" sz="1400" b="0" i="0" u="none" strike="noStrike" baseline="0">
                <a:effectLst/>
              </a:rPr>
              <a:t>°C, 2021/10/05)</a:t>
            </a:r>
            <a:endParaRPr lang="en-US"/>
          </a:p>
        </c:rich>
      </c:tx>
      <c:layout>
        <c:manualLayout>
          <c:xMode val="edge"/>
          <c:yMode val="edge"/>
          <c:x val="0.18711615487316421"/>
          <c:y val="1.053740779768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'500NMR Temp Cal'!$C$1</c:f>
              <c:strCache>
                <c:ptCount val="1"/>
                <c:pt idx="0">
                  <c:v>actual T(K)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8739260717410325"/>
                  <c:y val="2.18726305045202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'500NMR Temp Cal'!$B$2:$B$29</c:f>
              <c:numCache>
                <c:formatCode>General</c:formatCode>
                <c:ptCount val="28"/>
                <c:pt idx="0">
                  <c:v>298.14999999999998</c:v>
                </c:pt>
                <c:pt idx="1">
                  <c:v>303.14999999999998</c:v>
                </c:pt>
                <c:pt idx="2">
                  <c:v>308.14999999999998</c:v>
                </c:pt>
                <c:pt idx="3">
                  <c:v>313.14999999999998</c:v>
                </c:pt>
                <c:pt idx="4">
                  <c:v>318.14999999999998</c:v>
                </c:pt>
                <c:pt idx="5">
                  <c:v>323.14999999999998</c:v>
                </c:pt>
                <c:pt idx="6">
                  <c:v>328.15</c:v>
                </c:pt>
                <c:pt idx="7">
                  <c:v>333.15</c:v>
                </c:pt>
                <c:pt idx="8">
                  <c:v>338.15</c:v>
                </c:pt>
                <c:pt idx="9">
                  <c:v>343.15</c:v>
                </c:pt>
                <c:pt idx="10">
                  <c:v>348.15</c:v>
                </c:pt>
                <c:pt idx="11">
                  <c:v>353.15</c:v>
                </c:pt>
                <c:pt idx="12">
                  <c:v>358.15</c:v>
                </c:pt>
                <c:pt idx="13">
                  <c:v>363.15</c:v>
                </c:pt>
                <c:pt idx="14">
                  <c:v>368.15</c:v>
                </c:pt>
                <c:pt idx="15">
                  <c:v>373.15</c:v>
                </c:pt>
                <c:pt idx="16">
                  <c:v>378.15</c:v>
                </c:pt>
                <c:pt idx="17">
                  <c:v>383.15</c:v>
                </c:pt>
                <c:pt idx="18">
                  <c:v>388.15</c:v>
                </c:pt>
                <c:pt idx="19">
                  <c:v>393.15</c:v>
                </c:pt>
                <c:pt idx="20">
                  <c:v>398.15</c:v>
                </c:pt>
                <c:pt idx="21">
                  <c:v>403.15</c:v>
                </c:pt>
                <c:pt idx="22">
                  <c:v>408.15</c:v>
                </c:pt>
                <c:pt idx="23">
                  <c:v>413.15</c:v>
                </c:pt>
                <c:pt idx="24">
                  <c:v>418.15</c:v>
                </c:pt>
                <c:pt idx="25">
                  <c:v>423.15</c:v>
                </c:pt>
                <c:pt idx="26">
                  <c:v>428.15</c:v>
                </c:pt>
                <c:pt idx="27">
                  <c:v>433.15</c:v>
                </c:pt>
              </c:numCache>
            </c:numRef>
          </c:xVal>
          <c:yVal>
            <c:numRef>
              <c:f>'500NMR Temp Cal'!$C$2:$C$29</c:f>
              <c:numCache>
                <c:formatCode>General</c:formatCode>
                <c:ptCount val="28"/>
                <c:pt idx="0">
                  <c:v>297.18</c:v>
                </c:pt>
                <c:pt idx="1">
                  <c:v>301.68</c:v>
                </c:pt>
                <c:pt idx="2">
                  <c:v>306.18</c:v>
                </c:pt>
                <c:pt idx="3">
                  <c:v>310.67</c:v>
                </c:pt>
                <c:pt idx="4">
                  <c:v>315.26</c:v>
                </c:pt>
                <c:pt idx="5">
                  <c:v>319.85000000000002</c:v>
                </c:pt>
                <c:pt idx="6">
                  <c:v>324.45</c:v>
                </c:pt>
                <c:pt idx="7">
                  <c:v>329.03</c:v>
                </c:pt>
                <c:pt idx="8">
                  <c:v>333.72</c:v>
                </c:pt>
                <c:pt idx="9">
                  <c:v>338.41</c:v>
                </c:pt>
                <c:pt idx="10">
                  <c:v>343</c:v>
                </c:pt>
                <c:pt idx="11">
                  <c:v>347.68</c:v>
                </c:pt>
                <c:pt idx="12">
                  <c:v>352.26</c:v>
                </c:pt>
                <c:pt idx="13">
                  <c:v>356.84</c:v>
                </c:pt>
                <c:pt idx="14">
                  <c:v>361.62</c:v>
                </c:pt>
                <c:pt idx="15">
                  <c:v>366.2</c:v>
                </c:pt>
                <c:pt idx="16">
                  <c:v>370.27</c:v>
                </c:pt>
                <c:pt idx="17">
                  <c:v>374.74</c:v>
                </c:pt>
                <c:pt idx="18">
                  <c:v>379.31</c:v>
                </c:pt>
                <c:pt idx="19">
                  <c:v>383.78</c:v>
                </c:pt>
                <c:pt idx="20">
                  <c:v>388.35</c:v>
                </c:pt>
                <c:pt idx="21">
                  <c:v>392.81</c:v>
                </c:pt>
                <c:pt idx="22">
                  <c:v>397.28</c:v>
                </c:pt>
                <c:pt idx="23">
                  <c:v>401.64</c:v>
                </c:pt>
                <c:pt idx="24">
                  <c:v>406.1</c:v>
                </c:pt>
                <c:pt idx="25">
                  <c:v>410.46</c:v>
                </c:pt>
                <c:pt idx="26">
                  <c:v>414.91</c:v>
                </c:pt>
                <c:pt idx="27">
                  <c:v>419.27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57-4F10-8E68-1468DC9F4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483560"/>
        <c:axId val="679480280"/>
      </c:scatterChart>
      <c:valAx>
        <c:axId val="679483560"/>
        <c:scaling>
          <c:orientation val="minMax"/>
          <c:min val="2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NMR</a:t>
                </a:r>
                <a:r>
                  <a:rPr lang="en-US" baseline="0"/>
                  <a:t> set temperature (K)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480280"/>
        <c:crosses val="autoZero"/>
        <c:crossBetween val="midCat"/>
      </c:valAx>
      <c:valAx>
        <c:axId val="679480280"/>
        <c:scaling>
          <c:orientation val="minMax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Actual</a:t>
                </a:r>
                <a:r>
                  <a:rPr lang="en-US" baseline="0"/>
                  <a:t> sample temperature (K)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483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0115923009624"/>
          <c:y val="0.18518518518518517"/>
          <c:w val="0.8103912948381452"/>
          <c:h val="0.74074074074074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7025809273840771E-2"/>
                  <c:y val="-0.261113298337707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'2-Et NMR'!$I$5:$I$15</c:f>
              <c:numCache>
                <c:formatCode>General</c:formatCode>
                <c:ptCount val="11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  <c:pt idx="9">
                  <c:v>2.9549954197570991E-3</c:v>
                </c:pt>
                <c:pt idx="10">
                  <c:v>2.9154518950437317E-3</c:v>
                </c:pt>
              </c:numCache>
            </c:numRef>
          </c:xVal>
          <c:yVal>
            <c:numRef>
              <c:f>'2-Et NMR'!$J$5:$J$15</c:f>
              <c:numCache>
                <c:formatCode>General</c:formatCode>
                <c:ptCount val="11"/>
                <c:pt idx="0">
                  <c:v>-8.9300572052531635</c:v>
                </c:pt>
                <c:pt idx="1">
                  <c:v>-8.6050545472075708</c:v>
                </c:pt>
                <c:pt idx="2">
                  <c:v>-8.1684206895570526</c:v>
                </c:pt>
                <c:pt idx="3">
                  <c:v>-7.598148030430071</c:v>
                </c:pt>
                <c:pt idx="4">
                  <c:v>-7.084428848953837</c:v>
                </c:pt>
                <c:pt idx="5">
                  <c:v>-6.6440746683428262</c:v>
                </c:pt>
                <c:pt idx="6">
                  <c:v>-6.081863968018232</c:v>
                </c:pt>
                <c:pt idx="7">
                  <c:v>-5.6236061156532395</c:v>
                </c:pt>
                <c:pt idx="8">
                  <c:v>-5.1636147841757758</c:v>
                </c:pt>
                <c:pt idx="9">
                  <c:v>-4.954393619869677</c:v>
                </c:pt>
                <c:pt idx="10">
                  <c:v>-4.526464086185424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2C-40BD-9A90-5F31DA357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685328"/>
        <c:axId val="805691888"/>
      </c:scatterChart>
      <c:valAx>
        <c:axId val="80568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691888"/>
        <c:crosses val="autoZero"/>
        <c:crossBetween val="midCat"/>
      </c:valAx>
      <c:valAx>
        <c:axId val="80569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685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</a:t>
            </a:r>
            <a:r>
              <a:rPr lang="en-US" baseline="0"/>
              <a:t> </a:t>
            </a:r>
            <a:r>
              <a:rPr lang="en-US"/>
              <a:t>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SIEt repeat-1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458136482939633"/>
                  <c:y val="-0.304136045494313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'2-Et NMR'!$I$24:$I$32</c:f>
              <c:numCache>
                <c:formatCode>General</c:formatCode>
                <c:ptCount val="9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</c:numCache>
            </c:numRef>
          </c:xVal>
          <c:yVal>
            <c:numRef>
              <c:f>'2-Et NMR'!$J$24:$J$32</c:f>
              <c:numCache>
                <c:formatCode>General</c:formatCode>
                <c:ptCount val="9"/>
                <c:pt idx="0">
                  <c:v>-9.1639283302117196</c:v>
                </c:pt>
                <c:pt idx="1">
                  <c:v>-8.7485866422025893</c:v>
                </c:pt>
                <c:pt idx="2">
                  <c:v>-8.027484351813861</c:v>
                </c:pt>
                <c:pt idx="3">
                  <c:v>-7.6045585086340548</c:v>
                </c:pt>
                <c:pt idx="4">
                  <c:v>-6.963430455842528</c:v>
                </c:pt>
                <c:pt idx="5">
                  <c:v>-6.6712497444991978</c:v>
                </c:pt>
                <c:pt idx="6">
                  <c:v>-6.182521797675661</c:v>
                </c:pt>
                <c:pt idx="7">
                  <c:v>-5.6898441380205194</c:v>
                </c:pt>
                <c:pt idx="8">
                  <c:v>-5.4269941758030491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0E-419E-AE13-55FBEB979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180888"/>
        <c:axId val="837157928"/>
      </c:scatterChart>
      <c:valAx>
        <c:axId val="837180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157928"/>
        <c:crosses val="autoZero"/>
        <c:crossBetween val="midCat"/>
      </c:valAx>
      <c:valAx>
        <c:axId val="83715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180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</a:t>
            </a:r>
            <a:r>
              <a:rPr lang="en-US" baseline="0"/>
              <a:t> </a:t>
            </a:r>
            <a:r>
              <a:rPr lang="en-US"/>
              <a:t>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SIEt repeat-2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235914260717411"/>
                  <c:y val="-0.3928849518810148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'2-Et NMR'!$I$41:$I$49</c:f>
              <c:numCache>
                <c:formatCode>General</c:formatCode>
                <c:ptCount val="9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</c:numCache>
            </c:numRef>
          </c:xVal>
          <c:yVal>
            <c:numRef>
              <c:f>'2-Et NMR'!$J$41:$J$49</c:f>
              <c:numCache>
                <c:formatCode>General</c:formatCode>
                <c:ptCount val="9"/>
                <c:pt idx="0">
                  <c:v>-9.0037185540514777</c:v>
                </c:pt>
                <c:pt idx="1">
                  <c:v>-8.5107399087315923</c:v>
                </c:pt>
                <c:pt idx="2">
                  <c:v>-7.9003642068904982</c:v>
                </c:pt>
                <c:pt idx="3">
                  <c:v>-7.5337226634971826</c:v>
                </c:pt>
                <c:pt idx="4">
                  <c:v>-7.0266494444246872</c:v>
                </c:pt>
                <c:pt idx="5">
                  <c:v>-6.6571397198998801</c:v>
                </c:pt>
                <c:pt idx="6">
                  <c:v>-6.1406891280914699</c:v>
                </c:pt>
                <c:pt idx="7">
                  <c:v>-5.6211134129606677</c:v>
                </c:pt>
                <c:pt idx="8">
                  <c:v>-5.1855785533150112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92-4CA9-8F4B-B2DB0BED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169664"/>
        <c:axId val="698171632"/>
      </c:scatterChart>
      <c:valAx>
        <c:axId val="69816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171632"/>
        <c:crosses val="autoZero"/>
        <c:crossBetween val="midCat"/>
      </c:valAx>
      <c:valAx>
        <c:axId val="69817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169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Run 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667889791545331"/>
          <c:y val="0.20647482840155185"/>
          <c:w val="0.83078447384337273"/>
          <c:h val="0.5510043387433714"/>
        </c:manualLayout>
      </c:layout>
      <c:scatterChart>
        <c:scatterStyle val="lineMarker"/>
        <c:varyColors val="0"/>
        <c:ser>
          <c:idx val="1"/>
          <c:order val="0"/>
          <c:spPr>
            <a:ln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8.4905563206360488E-3"/>
                  <c:y val="-0.36980670783499003"/>
                </c:manualLayout>
              </c:layout>
              <c:numFmt formatCode="General" sourceLinked="0"/>
            </c:trendlineLbl>
          </c:trendline>
          <c:xVal>
            <c:numRef>
              <c:f>'2-iPr NMR'!$I$4:$I$14</c:f>
              <c:numCache>
                <c:formatCode>General</c:formatCode>
                <c:ptCount val="11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  <c:pt idx="9">
                  <c:v>2.9549954197570991E-3</c:v>
                </c:pt>
                <c:pt idx="10">
                  <c:v>2.9154518950437317E-3</c:v>
                </c:pt>
              </c:numCache>
            </c:numRef>
          </c:xVal>
          <c:yVal>
            <c:numRef>
              <c:f>'2-iPr NMR'!$J$4:$J$14</c:f>
              <c:numCache>
                <c:formatCode>General</c:formatCode>
                <c:ptCount val="11"/>
                <c:pt idx="0">
                  <c:v>-8.3666538111031254</c:v>
                </c:pt>
                <c:pt idx="1">
                  <c:v>-7.5853950179391108</c:v>
                </c:pt>
                <c:pt idx="2">
                  <c:v>-7.2608048074937273</c:v>
                </c:pt>
                <c:pt idx="3">
                  <c:v>-6.5694986840006031</c:v>
                </c:pt>
                <c:pt idx="4">
                  <c:v>-6.0699527332803909</c:v>
                </c:pt>
                <c:pt idx="5">
                  <c:v>-5.518455226467391</c:v>
                </c:pt>
                <c:pt idx="6">
                  <c:v>-5.2748003046172105</c:v>
                </c:pt>
                <c:pt idx="7">
                  <c:v>-4.8320167958297686</c:v>
                </c:pt>
                <c:pt idx="8">
                  <c:v>-4.5581818128052616</c:v>
                </c:pt>
                <c:pt idx="9">
                  <c:v>-4.1110471556924804</c:v>
                </c:pt>
                <c:pt idx="10">
                  <c:v>-3.6153568652227448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AA7-4085-A951-8FCA22177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529776"/>
        <c:axId val="824526168"/>
      </c:scatterChart>
      <c:valAx>
        <c:axId val="824529776"/>
        <c:scaling>
          <c:orientation val="minMax"/>
          <c:min val="2.9000000000000007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 (K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4526168"/>
        <c:crossesAt val="-12"/>
        <c:crossBetween val="midCat"/>
      </c:valAx>
      <c:valAx>
        <c:axId val="824526168"/>
        <c:scaling>
          <c:orientation val="minMax"/>
          <c:max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</a:t>
                </a:r>
                <a:r>
                  <a:rPr lang="en-US" baseline="-25000"/>
                  <a:t>eq</a:t>
                </a:r>
              </a:p>
            </c:rich>
          </c:tx>
          <c:layout>
            <c:manualLayout>
              <c:xMode val="edge"/>
              <c:yMode val="edge"/>
              <c:x val="3.2305382495246553E-2"/>
              <c:y val="0.410399143490419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4529776"/>
        <c:crossesAt val="-12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597112860892388E-2"/>
          <c:y val="0.16288132870679539"/>
          <c:w val="0.86291688538932632"/>
          <c:h val="0.6788889169825970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7263779527559058E-3"/>
                  <c:y val="-0.2563564080178120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'2-iPr NMR'!$I$23:$I$31</c:f>
              <c:numCache>
                <c:formatCode>General</c:formatCode>
                <c:ptCount val="9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</c:numCache>
            </c:numRef>
          </c:xVal>
          <c:yVal>
            <c:numRef>
              <c:f>'2-iPr NMR'!$J$23:$J$31</c:f>
              <c:numCache>
                <c:formatCode>General</c:formatCode>
                <c:ptCount val="9"/>
                <c:pt idx="0">
                  <c:v>-8.4059878745681491</c:v>
                </c:pt>
                <c:pt idx="1">
                  <c:v>-7.4626017626227643</c:v>
                </c:pt>
                <c:pt idx="2">
                  <c:v>-7.2848135316518183</c:v>
                </c:pt>
                <c:pt idx="3">
                  <c:v>-6.867140656374751</c:v>
                </c:pt>
                <c:pt idx="4">
                  <c:v>-6.0646865992495584</c:v>
                </c:pt>
                <c:pt idx="5">
                  <c:v>-5.6660861213170195</c:v>
                </c:pt>
                <c:pt idx="6">
                  <c:v>-5.127470196204821</c:v>
                </c:pt>
                <c:pt idx="7">
                  <c:v>-4.8660263542500868</c:v>
                </c:pt>
                <c:pt idx="8">
                  <c:v>-4.5822056394180972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DD-4080-8A57-563407CB7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425288"/>
        <c:axId val="651425616"/>
      </c:scatterChart>
      <c:valAx>
        <c:axId val="65142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425616"/>
        <c:crosses val="autoZero"/>
        <c:crossBetween val="midCat"/>
      </c:valAx>
      <c:valAx>
        <c:axId val="65142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425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</a:t>
            </a:r>
            <a:r>
              <a:rPr lang="en-US" baseline="0"/>
              <a:t> </a:t>
            </a:r>
            <a:r>
              <a:rPr lang="en-US"/>
              <a:t>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SIPr repeat-2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9581364829396325E-2"/>
                  <c:y val="-0.3519907407407407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'2-iPr NMR'!$I$40:$I$48</c:f>
              <c:numCache>
                <c:formatCode>General</c:formatCode>
                <c:ptCount val="9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</c:numCache>
            </c:numRef>
          </c:xVal>
          <c:yVal>
            <c:numRef>
              <c:f>'2-iPr NMR'!$J$40:$J$48</c:f>
              <c:numCache>
                <c:formatCode>General</c:formatCode>
                <c:ptCount val="9"/>
                <c:pt idx="0">
                  <c:v>-8.1727978207239644</c:v>
                </c:pt>
                <c:pt idx="1">
                  <c:v>-7.5617236167013484</c:v>
                </c:pt>
                <c:pt idx="2">
                  <c:v>-7.3214463713444777</c:v>
                </c:pt>
                <c:pt idx="3">
                  <c:v>-6.5703887335989846</c:v>
                </c:pt>
                <c:pt idx="4">
                  <c:v>-6.0496404232201932</c:v>
                </c:pt>
                <c:pt idx="5">
                  <c:v>-5.6431862823569583</c:v>
                </c:pt>
                <c:pt idx="6">
                  <c:v>-5.3599020253357628</c:v>
                </c:pt>
                <c:pt idx="7">
                  <c:v>-4.8633120807422756</c:v>
                </c:pt>
                <c:pt idx="8">
                  <c:v>-4.4551611964775546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DF-4E78-A1C3-7BE4FEE7F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350904"/>
        <c:axId val="703350248"/>
      </c:scatterChart>
      <c:valAx>
        <c:axId val="703350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350248"/>
        <c:crosses val="autoZero"/>
        <c:crossBetween val="midCat"/>
      </c:valAx>
      <c:valAx>
        <c:axId val="70335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350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7841377047696624"/>
                  <c:y val="1.19351701149088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'2-Br NMR'!$I$3:$I$15</c:f>
              <c:numCache>
                <c:formatCode>General</c:formatCode>
                <c:ptCount val="13"/>
                <c:pt idx="0">
                  <c:v>3.2188495831589788E-3</c:v>
                </c:pt>
                <c:pt idx="1">
                  <c:v>3.1719850282306669E-3</c:v>
                </c:pt>
                <c:pt idx="2">
                  <c:v>3.1264655307175235E-3</c:v>
                </c:pt>
                <c:pt idx="3">
                  <c:v>3.1027956188525861E-3</c:v>
                </c:pt>
                <c:pt idx="4">
                  <c:v>3.0821390044691015E-3</c:v>
                </c:pt>
                <c:pt idx="5">
                  <c:v>3.0590394616090552E-3</c:v>
                </c:pt>
                <c:pt idx="6">
                  <c:v>3.0392365437802026E-3</c:v>
                </c:pt>
                <c:pt idx="7">
                  <c:v>3.0165002564025217E-3</c:v>
                </c:pt>
                <c:pt idx="8">
                  <c:v>2.9965240321227372E-3</c:v>
                </c:pt>
                <c:pt idx="9">
                  <c:v>2.9750394192723053E-3</c:v>
                </c:pt>
                <c:pt idx="10">
                  <c:v>2.9549954197570991E-3</c:v>
                </c:pt>
                <c:pt idx="11">
                  <c:v>2.9347889886717146E-3</c:v>
                </c:pt>
                <c:pt idx="12">
                  <c:v>2.9154518950437317E-3</c:v>
                </c:pt>
              </c:numCache>
            </c:numRef>
          </c:xVal>
          <c:yVal>
            <c:numRef>
              <c:f>'2-Br NMR'!$J$3:$J$15</c:f>
              <c:numCache>
                <c:formatCode>General</c:formatCode>
                <c:ptCount val="13"/>
                <c:pt idx="0">
                  <c:v>-10.312452476491458</c:v>
                </c:pt>
                <c:pt idx="1">
                  <c:v>-9.8303858007380658</c:v>
                </c:pt>
                <c:pt idx="2">
                  <c:v>-9.1701223251563047</c:v>
                </c:pt>
                <c:pt idx="3">
                  <c:v>-8.8167789206592015</c:v>
                </c:pt>
                <c:pt idx="4">
                  <c:v>-8.7106046298657329</c:v>
                </c:pt>
                <c:pt idx="5">
                  <c:v>-8.4866831590839595</c:v>
                </c:pt>
                <c:pt idx="6">
                  <c:v>-8.2450280865496381</c:v>
                </c:pt>
                <c:pt idx="7">
                  <c:v>-8.0413640974336875</c:v>
                </c:pt>
                <c:pt idx="8">
                  <c:v>-7.6655559325599993</c:v>
                </c:pt>
                <c:pt idx="9">
                  <c:v>-7.5063545011564319</c:v>
                </c:pt>
                <c:pt idx="10">
                  <c:v>-7.2757915315385846</c:v>
                </c:pt>
                <c:pt idx="11">
                  <c:v>-6.9150334152856008</c:v>
                </c:pt>
                <c:pt idx="12">
                  <c:v>-6.6434613099483979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0B-4FFD-B647-ABCD368C1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863752"/>
        <c:axId val="850861128"/>
      </c:scatterChart>
      <c:valAx>
        <c:axId val="850863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layout>
            <c:manualLayout>
              <c:xMode val="edge"/>
              <c:yMode val="edge"/>
              <c:x val="0.50055548013394879"/>
              <c:y val="0.874580761203732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0861128"/>
        <c:crosses val="autoZero"/>
        <c:crossBetween val="midCat"/>
      </c:valAx>
      <c:valAx>
        <c:axId val="850861128"/>
        <c:scaling>
          <c:orientation val="minMax"/>
          <c:max val="-6"/>
          <c:min val="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0863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678258967629047E-2"/>
          <c:y val="0.16666666666666666"/>
          <c:w val="0.85405796150481195"/>
          <c:h val="0.7268518518518517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2270341207349085E-3"/>
                  <c:y val="-0.291805555555555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'2-Br NMR'!$J$23:$J$31</c:f>
              <c:numCache>
                <c:formatCode>General</c:formatCode>
                <c:ptCount val="9"/>
                <c:pt idx="0">
                  <c:v>3.3649639948852548E-3</c:v>
                </c:pt>
                <c:pt idx="1">
                  <c:v>3.2188495831589788E-3</c:v>
                </c:pt>
                <c:pt idx="2">
                  <c:v>3.1719850282306669E-3</c:v>
                </c:pt>
                <c:pt idx="3">
                  <c:v>3.1264655307175235E-3</c:v>
                </c:pt>
                <c:pt idx="4">
                  <c:v>3.0821390044691015E-3</c:v>
                </c:pt>
                <c:pt idx="5">
                  <c:v>3.0392365437802026E-3</c:v>
                </c:pt>
                <c:pt idx="6">
                  <c:v>2.9965240321227372E-3</c:v>
                </c:pt>
                <c:pt idx="7">
                  <c:v>2.9549954197570991E-3</c:v>
                </c:pt>
                <c:pt idx="8">
                  <c:v>2.9154518950437317E-3</c:v>
                </c:pt>
              </c:numCache>
            </c:numRef>
          </c:xVal>
          <c:yVal>
            <c:numRef>
              <c:f>'2-Br NMR'!$K$23:$K$31</c:f>
              <c:numCache>
                <c:formatCode>General</c:formatCode>
                <c:ptCount val="9"/>
                <c:pt idx="0">
                  <c:v>-11.866876702987367</c:v>
                </c:pt>
                <c:pt idx="1">
                  <c:v>-9.8309242841488995</c:v>
                </c:pt>
                <c:pt idx="2">
                  <c:v>-9.421149499411257</c:v>
                </c:pt>
                <c:pt idx="3">
                  <c:v>-8.9042552352399866</c:v>
                </c:pt>
                <c:pt idx="4">
                  <c:v>-8.3871737200090486</c:v>
                </c:pt>
                <c:pt idx="5">
                  <c:v>-7.9401433937938375</c:v>
                </c:pt>
                <c:pt idx="6">
                  <c:v>-7.4697654769401369</c:v>
                </c:pt>
                <c:pt idx="7">
                  <c:v>-7.0271074532666997</c:v>
                </c:pt>
                <c:pt idx="8">
                  <c:v>-6.5738198220128945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22-4D3A-B97E-D386DDC20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376272"/>
        <c:axId val="826379224"/>
      </c:scatterChart>
      <c:valAx>
        <c:axId val="826376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379224"/>
        <c:crosses val="autoZero"/>
        <c:crossBetween val="midCat"/>
      </c:valAx>
      <c:valAx>
        <c:axId val="826379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376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22703412073497E-2"/>
          <c:y val="0.14165500145815108"/>
          <c:w val="0.86039129483814525"/>
          <c:h val="0.7773611111111110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3.2439632545931761E-2"/>
                  <c:y val="-0.326562408865558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'2-Br NMR'!$I$40:$I$50</c:f>
              <c:numCache>
                <c:formatCode>General</c:formatCode>
                <c:ptCount val="11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  <c:pt idx="9">
                  <c:v>2.9549954197570991E-3</c:v>
                </c:pt>
                <c:pt idx="10">
                  <c:v>2.9154518950437317E-3</c:v>
                </c:pt>
              </c:numCache>
            </c:numRef>
          </c:xVal>
          <c:yVal>
            <c:numRef>
              <c:f>'2-Br NMR'!$J$40:$J$50</c:f>
              <c:numCache>
                <c:formatCode>General</c:formatCode>
                <c:ptCount val="11"/>
                <c:pt idx="0">
                  <c:v>-11.89008458566685</c:v>
                </c:pt>
                <c:pt idx="1">
                  <c:v>-11.393124235291937</c:v>
                </c:pt>
                <c:pt idx="2">
                  <c:v>-10.906972192968842</c:v>
                </c:pt>
                <c:pt idx="3">
                  <c:v>-10.278920228727749</c:v>
                </c:pt>
                <c:pt idx="4">
                  <c:v>-9.7901872981065949</c:v>
                </c:pt>
                <c:pt idx="5">
                  <c:v>-9.2017315773568722</c:v>
                </c:pt>
                <c:pt idx="6">
                  <c:v>-8.8147850418094045</c:v>
                </c:pt>
                <c:pt idx="7">
                  <c:v>-8.3224147182036656</c:v>
                </c:pt>
                <c:pt idx="8">
                  <c:v>-7.9221951901928405</c:v>
                </c:pt>
                <c:pt idx="9">
                  <c:v>-7.2103028475890873</c:v>
                </c:pt>
                <c:pt idx="10">
                  <c:v>-6.7313525957668023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EF-46F7-847B-47489E6D2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184784"/>
        <c:axId val="691185440"/>
      </c:scatterChart>
      <c:valAx>
        <c:axId val="691184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185440"/>
        <c:crosses val="autoZero"/>
        <c:crossBetween val="midCat"/>
      </c:valAx>
      <c:valAx>
        <c:axId val="6911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184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2995188101487315E-2"/>
                  <c:y val="-0.3519907407407407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'2-Br NMR'!$I$59:$I$69</c:f>
              <c:numCache>
                <c:formatCode>General</c:formatCode>
                <c:ptCount val="11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  <c:pt idx="9">
                  <c:v>2.9549954197570991E-3</c:v>
                </c:pt>
                <c:pt idx="10">
                  <c:v>2.9154518950437317E-3</c:v>
                </c:pt>
              </c:numCache>
            </c:numRef>
          </c:xVal>
          <c:yVal>
            <c:numRef>
              <c:f>'2-Br NMR'!$J$59:$J$69</c:f>
              <c:numCache>
                <c:formatCode>General</c:formatCode>
                <c:ptCount val="11"/>
                <c:pt idx="0">
                  <c:v>-12.172878765578712</c:v>
                </c:pt>
                <c:pt idx="1">
                  <c:v>-11.526170466808134</c:v>
                </c:pt>
                <c:pt idx="2">
                  <c:v>-10.883549384865065</c:v>
                </c:pt>
                <c:pt idx="3">
                  <c:v>-10.232708092329746</c:v>
                </c:pt>
                <c:pt idx="4">
                  <c:v>-9.7446834210122173</c:v>
                </c:pt>
                <c:pt idx="5">
                  <c:v>-9.1566023419589921</c:v>
                </c:pt>
                <c:pt idx="6">
                  <c:v>-8.8742302361305949</c:v>
                </c:pt>
                <c:pt idx="7">
                  <c:v>-8.3076152812998423</c:v>
                </c:pt>
                <c:pt idx="8">
                  <c:v>-8.024741330577049</c:v>
                </c:pt>
                <c:pt idx="9">
                  <c:v>-7.1518512167749613</c:v>
                </c:pt>
                <c:pt idx="10">
                  <c:v>-6.719127255520946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D7-4645-B161-D63F017DF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133224"/>
        <c:axId val="700134536"/>
      </c:scatterChart>
      <c:valAx>
        <c:axId val="700133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134536"/>
        <c:crosses val="autoZero"/>
        <c:crossBetween val="midCat"/>
      </c:valAx>
      <c:valAx>
        <c:axId val="700134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133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134472976030359"/>
                  <c:y val="-0.298213603648479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'2-Mes NMR'!$I$4:$I$14</c:f>
              <c:numCache>
                <c:formatCode>General</c:formatCode>
                <c:ptCount val="11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  <c:pt idx="9">
                  <c:v>2.9549954197570991E-3</c:v>
                </c:pt>
                <c:pt idx="10">
                  <c:v>2.9154518950437317E-3</c:v>
                </c:pt>
              </c:numCache>
            </c:numRef>
          </c:xVal>
          <c:yVal>
            <c:numRef>
              <c:f>'2-Mes NMR'!$J$4:$J$14</c:f>
              <c:numCache>
                <c:formatCode>General</c:formatCode>
                <c:ptCount val="11"/>
                <c:pt idx="0">
                  <c:v>-9.4854806526649789</c:v>
                </c:pt>
                <c:pt idx="1">
                  <c:v>-8.7746185800570871</c:v>
                </c:pt>
                <c:pt idx="2">
                  <c:v>-8.3537250130834426</c:v>
                </c:pt>
                <c:pt idx="3">
                  <c:v>-7.789196870761109</c:v>
                </c:pt>
                <c:pt idx="4">
                  <c:v>-7.3458309345376156</c:v>
                </c:pt>
                <c:pt idx="5">
                  <c:v>-6.8895107222428136</c:v>
                </c:pt>
                <c:pt idx="6">
                  <c:v>-6.3747279472324587</c:v>
                </c:pt>
                <c:pt idx="7">
                  <c:v>-5.9640251515812075</c:v>
                </c:pt>
                <c:pt idx="8">
                  <c:v>-5.5858138160431841</c:v>
                </c:pt>
                <c:pt idx="9">
                  <c:v>-5.2101542984386606</c:v>
                </c:pt>
                <c:pt idx="10">
                  <c:v>-4.8932476125521243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50-4756-A2C1-9EC9BB242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918976"/>
        <c:axId val="699921600"/>
      </c:scatterChart>
      <c:valAx>
        <c:axId val="699918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21600"/>
        <c:crosses val="autoZero"/>
        <c:crossBetween val="midCat"/>
      </c:valAx>
      <c:valAx>
        <c:axId val="69992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918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Run 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4577212008112033E-2"/>
          <c:y val="0.16354318269458024"/>
          <c:w val="0.85597707934633926"/>
          <c:h val="0.66773395031782179"/>
        </c:manualLayout>
      </c:layout>
      <c:scatterChart>
        <c:scatterStyle val="lineMarker"/>
        <c:varyColors val="0"/>
        <c:ser>
          <c:idx val="5"/>
          <c:order val="0"/>
          <c:spPr>
            <a:ln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1.9738504909108584E-2"/>
                  <c:y val="-0.43079946760209475"/>
                </c:manualLayout>
              </c:layout>
              <c:numFmt formatCode="General" sourceLinked="0"/>
            </c:trendlineLbl>
          </c:trendline>
          <c:xVal>
            <c:numRef>
              <c:f>'2-EtO NMR'!$I$3:$I$13</c:f>
              <c:numCache>
                <c:formatCode>General</c:formatCode>
                <c:ptCount val="11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  <c:pt idx="9">
                  <c:v>2.9549954197570991E-3</c:v>
                </c:pt>
                <c:pt idx="10">
                  <c:v>2.9154518950437317E-3</c:v>
                </c:pt>
              </c:numCache>
            </c:numRef>
          </c:xVal>
          <c:yVal>
            <c:numRef>
              <c:f>'2-EtO NMR'!$J$3:$J$13</c:f>
              <c:numCache>
                <c:formatCode>General</c:formatCode>
                <c:ptCount val="11"/>
                <c:pt idx="0">
                  <c:v>-9.1528172829969616</c:v>
                </c:pt>
                <c:pt idx="1">
                  <c:v>-8.5721802613914431</c:v>
                </c:pt>
                <c:pt idx="2">
                  <c:v>-8.2718113103540247</c:v>
                </c:pt>
                <c:pt idx="3">
                  <c:v>-7.7481839314957108</c:v>
                </c:pt>
                <c:pt idx="4">
                  <c:v>-7.2794501192468388</c:v>
                </c:pt>
                <c:pt idx="5">
                  <c:v>-6.8618567381527225</c:v>
                </c:pt>
                <c:pt idx="6">
                  <c:v>-6.4262473975097398</c:v>
                </c:pt>
                <c:pt idx="7">
                  <c:v>-5.9468200647600549</c:v>
                </c:pt>
                <c:pt idx="8">
                  <c:v>-5.5677361055150119</c:v>
                </c:pt>
                <c:pt idx="9">
                  <c:v>-5.2101542984386606</c:v>
                </c:pt>
                <c:pt idx="10">
                  <c:v>-4.6636479546954117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4E7-42F3-8645-13687B82A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529776"/>
        <c:axId val="824526168"/>
      </c:scatterChart>
      <c:valAx>
        <c:axId val="824529776"/>
        <c:scaling>
          <c:orientation val="minMax"/>
          <c:min val="2.9000000000000007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1/T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4526168"/>
        <c:crossesAt val="-12"/>
        <c:crossBetween val="midCat"/>
      </c:valAx>
      <c:valAx>
        <c:axId val="824526168"/>
        <c:scaling>
          <c:orientation val="minMax"/>
          <c:max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</a:t>
                </a:r>
                <a:r>
                  <a:rPr lang="en-US" baseline="-25000"/>
                  <a:t>eq</a:t>
                </a:r>
              </a:p>
            </c:rich>
          </c:tx>
          <c:layout>
            <c:manualLayout>
              <c:xMode val="edge"/>
              <c:yMode val="edge"/>
              <c:x val="3.2305382495246553E-2"/>
              <c:y val="0.410399143490419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4529776"/>
        <c:crossesAt val="-12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SIOEt repeat-1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938692038495187"/>
                  <c:y val="-0.3210633566637503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'2-EtO NMR'!$I$21:$I$29</c:f>
              <c:numCache>
                <c:formatCode>General</c:formatCode>
                <c:ptCount val="9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</c:numCache>
            </c:numRef>
          </c:xVal>
          <c:yVal>
            <c:numRef>
              <c:f>'2-EtO NMR'!$J$21:$J$29</c:f>
              <c:numCache>
                <c:formatCode>General</c:formatCode>
                <c:ptCount val="9"/>
                <c:pt idx="0">
                  <c:v>-9.0381711866462435</c:v>
                </c:pt>
                <c:pt idx="1">
                  <c:v>-8.8402715355620369</c:v>
                </c:pt>
                <c:pt idx="2">
                  <c:v>-7.8445445324046315</c:v>
                </c:pt>
                <c:pt idx="3">
                  <c:v>-7.510717003093899</c:v>
                </c:pt>
                <c:pt idx="4">
                  <c:v>-7.1037153460911249</c:v>
                </c:pt>
                <c:pt idx="5">
                  <c:v>-6.8555372422326073</c:v>
                </c:pt>
                <c:pt idx="6">
                  <c:v>-6.3652419343704096</c:v>
                </c:pt>
                <c:pt idx="7">
                  <c:v>-5.8657674435244926</c:v>
                </c:pt>
                <c:pt idx="8">
                  <c:v>-5.5036009818035687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8B-4350-A424-F799BDB75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702056"/>
        <c:axId val="805695168"/>
      </c:scatterChart>
      <c:valAx>
        <c:axId val="805702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695168"/>
        <c:crosses val="autoZero"/>
        <c:crossBetween val="midCat"/>
      </c:valAx>
      <c:valAx>
        <c:axId val="80569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702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5136920384951881E-2"/>
                  <c:y val="-0.360861038203557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'2-EtO NMR'!$I$37:$I$45</c:f>
              <c:numCache>
                <c:formatCode>General</c:formatCode>
                <c:ptCount val="9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</c:numCache>
            </c:numRef>
          </c:xVal>
          <c:yVal>
            <c:numRef>
              <c:f>'2-EtO NMR'!$J$37:$J$45</c:f>
              <c:numCache>
                <c:formatCode>General</c:formatCode>
                <c:ptCount val="9"/>
                <c:pt idx="0">
                  <c:v>-9.2591305361456122</c:v>
                </c:pt>
                <c:pt idx="1">
                  <c:v>-8.4976461925108051</c:v>
                </c:pt>
                <c:pt idx="2">
                  <c:v>-7.7377856665718836</c:v>
                </c:pt>
                <c:pt idx="3">
                  <c:v>-7.3644579882362136</c:v>
                </c:pt>
                <c:pt idx="4">
                  <c:v>-7.0558906959293468</c:v>
                </c:pt>
                <c:pt idx="5">
                  <c:v>-6.6200732065303569</c:v>
                </c:pt>
                <c:pt idx="6">
                  <c:v>-6.2732339140303894</c:v>
                </c:pt>
                <c:pt idx="7">
                  <c:v>-5.8199326977354078</c:v>
                </c:pt>
                <c:pt idx="8">
                  <c:v>-5.5036009818035687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37-4384-B993-E85086401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412168"/>
        <c:axId val="651422664"/>
      </c:scatterChart>
      <c:valAx>
        <c:axId val="651412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422664"/>
        <c:crosses val="autoZero"/>
        <c:crossBetween val="midCat"/>
      </c:valAx>
      <c:valAx>
        <c:axId val="65142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412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597112860892388E-2"/>
          <c:y val="0.18283573928258967"/>
          <c:w val="0.86291688538932632"/>
          <c:h val="0.74074074074074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5022965879265093E-2"/>
                  <c:y val="-0.4372440944881889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'2-NEt2 NMR'!$I$4:$I$14</c:f>
              <c:numCache>
                <c:formatCode>General</c:formatCode>
                <c:ptCount val="11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  <c:pt idx="9">
                  <c:v>2.9549954197570991E-3</c:v>
                </c:pt>
                <c:pt idx="10">
                  <c:v>2.9154518950437317E-3</c:v>
                </c:pt>
              </c:numCache>
            </c:numRef>
          </c:xVal>
          <c:yVal>
            <c:numRef>
              <c:f>'2-NEt2 NMR'!$J$4:$J$14</c:f>
              <c:numCache>
                <c:formatCode>General</c:formatCode>
                <c:ptCount val="11"/>
                <c:pt idx="0">
                  <c:v>-7.4804940986470196</c:v>
                </c:pt>
                <c:pt idx="1">
                  <c:v>-6.8895107222428136</c:v>
                </c:pt>
                <c:pt idx="2">
                  <c:v>-6.6091085635083449</c:v>
                </c:pt>
                <c:pt idx="3">
                  <c:v>-6.223270751321512</c:v>
                </c:pt>
                <c:pt idx="4">
                  <c:v>-5.7775746154205248</c:v>
                </c:pt>
                <c:pt idx="5">
                  <c:v>-5.37257817060049</c:v>
                </c:pt>
                <c:pt idx="6">
                  <c:v>-4.9646950069374016</c:v>
                </c:pt>
                <c:pt idx="7">
                  <c:v>-4.5936261334582653</c:v>
                </c:pt>
                <c:pt idx="8">
                  <c:v>-4.2294347291339029</c:v>
                </c:pt>
                <c:pt idx="9">
                  <c:v>-3.819171880657632</c:v>
                </c:pt>
                <c:pt idx="10">
                  <c:v>-3.5108299899698929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19-42FB-8693-979CAE742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684384"/>
        <c:axId val="784684712"/>
      </c:scatterChart>
      <c:valAx>
        <c:axId val="784684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684712"/>
        <c:crosses val="autoZero"/>
        <c:crossBetween val="midCat"/>
      </c:valAx>
      <c:valAx>
        <c:axId val="78468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684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SINEt repeat-1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020909886264222"/>
                  <c:y val="-0.314918708078156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'2-NEt2 NMR'!$I$23:$I$31</c:f>
              <c:numCache>
                <c:formatCode>General</c:formatCode>
                <c:ptCount val="9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</c:numCache>
            </c:numRef>
          </c:xVal>
          <c:yVal>
            <c:numRef>
              <c:f>'2-NEt2 NMR'!$J$23:$J$31</c:f>
              <c:numCache>
                <c:formatCode>General</c:formatCode>
                <c:ptCount val="9"/>
                <c:pt idx="0">
                  <c:v>-7.6369568645788632</c:v>
                </c:pt>
                <c:pt idx="1">
                  <c:v>-7.1779831332016206</c:v>
                </c:pt>
                <c:pt idx="2">
                  <c:v>-6.73377367811303</c:v>
                </c:pt>
                <c:pt idx="3">
                  <c:v>-6.2583819265630583</c:v>
                </c:pt>
                <c:pt idx="4">
                  <c:v>-5.8426860699203331</c:v>
                </c:pt>
                <c:pt idx="5">
                  <c:v>-5.4226042651637787</c:v>
                </c:pt>
                <c:pt idx="6">
                  <c:v>-5.0106352940962555</c:v>
                </c:pt>
                <c:pt idx="7">
                  <c:v>-4.6469778878331054</c:v>
                </c:pt>
                <c:pt idx="8">
                  <c:v>-4.2685959137563616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59-48A4-B22D-A7409BF44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565680"/>
        <c:axId val="775585688"/>
      </c:scatterChart>
      <c:valAx>
        <c:axId val="77556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585688"/>
        <c:crosses val="autoZero"/>
        <c:crossBetween val="midCat"/>
      </c:valAx>
      <c:valAx>
        <c:axId val="77558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565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22703412073497E-2"/>
          <c:y val="0.13801184687979579"/>
          <c:w val="0.86039129483814525"/>
          <c:h val="0.77736111111111106"/>
        </c:manualLayout>
      </c:layout>
      <c:scatterChart>
        <c:scatterStyle val="lineMarker"/>
        <c:varyColors val="0"/>
        <c:ser>
          <c:idx val="0"/>
          <c:order val="0"/>
          <c:tx>
            <c:v>SINEt repeat-2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938692038495187"/>
                  <c:y val="-0.352279735524862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'2-NEt2 NMR'!$I$40:$I$48</c:f>
              <c:numCache>
                <c:formatCode>General</c:formatCode>
                <c:ptCount val="9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</c:numCache>
            </c:numRef>
          </c:xVal>
          <c:yVal>
            <c:numRef>
              <c:f>'2-NEt2 NMR'!$J$40:$J$48</c:f>
              <c:numCache>
                <c:formatCode>General</c:formatCode>
                <c:ptCount val="9"/>
                <c:pt idx="0">
                  <c:v>-7.6045585086340548</c:v>
                </c:pt>
                <c:pt idx="1">
                  <c:v>-7.2034507577083513</c:v>
                </c:pt>
                <c:pt idx="2">
                  <c:v>-6.73377367811303</c:v>
                </c:pt>
                <c:pt idx="3">
                  <c:v>-6.2436617313330114</c:v>
                </c:pt>
                <c:pt idx="4">
                  <c:v>-5.8657674435244926</c:v>
                </c:pt>
                <c:pt idx="5">
                  <c:v>-5.4226042651637787</c:v>
                </c:pt>
                <c:pt idx="6">
                  <c:v>-5.0375464516294279</c:v>
                </c:pt>
                <c:pt idx="7">
                  <c:v>-4.6521661530473377</c:v>
                </c:pt>
                <c:pt idx="8">
                  <c:v>-4.2764878798680392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B4-4B2C-B585-401941114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858112"/>
        <c:axId val="802859096"/>
      </c:scatterChart>
      <c:valAx>
        <c:axId val="802858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859096"/>
        <c:crosses val="autoZero"/>
        <c:crossBetween val="midCat"/>
      </c:valAx>
      <c:valAx>
        <c:axId val="80285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858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07416393491494E-2"/>
          <c:y val="0.18455086064504606"/>
          <c:w val="0.86039129483814525"/>
          <c:h val="0.7418687167356592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7.5581364829396327E-2"/>
                  <c:y val="-0.363849518810148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'2-Mes NMR'!$I$23:$I$33</c:f>
              <c:numCache>
                <c:formatCode>General</c:formatCode>
                <c:ptCount val="11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  <c:pt idx="9">
                  <c:v>2.9549954197570991E-3</c:v>
                </c:pt>
                <c:pt idx="10">
                  <c:v>2.9154518950437317E-3</c:v>
                </c:pt>
              </c:numCache>
            </c:numRef>
          </c:xVal>
          <c:yVal>
            <c:numRef>
              <c:f>'2-Mes NMR'!$J$23:$J$33</c:f>
              <c:numCache>
                <c:formatCode>General</c:formatCode>
                <c:ptCount val="11"/>
                <c:pt idx="0">
                  <c:v>-9.4913500017989527</c:v>
                </c:pt>
                <c:pt idx="1">
                  <c:v>-8.8153831707876922</c:v>
                </c:pt>
                <c:pt idx="2">
                  <c:v>-8.3313136425006942</c:v>
                </c:pt>
                <c:pt idx="3">
                  <c:v>-7.8010867303857987</c:v>
                </c:pt>
                <c:pt idx="4">
                  <c:v>-7.3495408017792929</c:v>
                </c:pt>
                <c:pt idx="5">
                  <c:v>-6.8513370233847954</c:v>
                </c:pt>
                <c:pt idx="6">
                  <c:v>-6.3906583923832416</c:v>
                </c:pt>
                <c:pt idx="7">
                  <c:v>-5.9731108786402318</c:v>
                </c:pt>
                <c:pt idx="8">
                  <c:v>-5.5511351854329343</c:v>
                </c:pt>
                <c:pt idx="9">
                  <c:v>-5.1562419964137316</c:v>
                </c:pt>
                <c:pt idx="10">
                  <c:v>-4.8373337191713226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9D-45D4-AD4B-752E18DD2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5197808"/>
        <c:axId val="815198464"/>
      </c:scatterChart>
      <c:valAx>
        <c:axId val="815197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5198464"/>
        <c:crosses val="autoZero"/>
        <c:crossBetween val="midCat"/>
      </c:valAx>
      <c:valAx>
        <c:axId val="81519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5197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51195112792421"/>
          <c:y val="0.13198101725684702"/>
          <c:w val="0.79604681235664887"/>
          <c:h val="0.7941468935631614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4106299212598426E-2"/>
                  <c:y val="-0.3290190288713910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'2-Mes NMR'!$I$42:$I$52</c:f>
              <c:numCache>
                <c:formatCode>General</c:formatCode>
                <c:ptCount val="11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  <c:pt idx="9">
                  <c:v>2.9549954197570991E-3</c:v>
                </c:pt>
                <c:pt idx="10">
                  <c:v>2.9154518950437317E-3</c:v>
                </c:pt>
              </c:numCache>
            </c:numRef>
          </c:xVal>
          <c:yVal>
            <c:numRef>
              <c:f>'2-Mes NMR'!$J$42:$J$52</c:f>
              <c:numCache>
                <c:formatCode>General</c:formatCode>
                <c:ptCount val="11"/>
                <c:pt idx="0">
                  <c:v>-9.5329461644295428</c:v>
                </c:pt>
                <c:pt idx="1">
                  <c:v>-8.8195085067686563</c:v>
                </c:pt>
                <c:pt idx="2">
                  <c:v>-8.3731520529122268</c:v>
                </c:pt>
                <c:pt idx="3">
                  <c:v>-7.8106548427046594</c:v>
                </c:pt>
                <c:pt idx="4">
                  <c:v>-7.373845008906736</c:v>
                </c:pt>
                <c:pt idx="5">
                  <c:v>-6.8583430601855815</c:v>
                </c:pt>
                <c:pt idx="6">
                  <c:v>-6.4338945271812218</c:v>
                </c:pt>
                <c:pt idx="7">
                  <c:v>-5.9855832017562323</c:v>
                </c:pt>
                <c:pt idx="8">
                  <c:v>-5.5172119265700115</c:v>
                </c:pt>
                <c:pt idx="9">
                  <c:v>-5.1621373155801349</c:v>
                </c:pt>
                <c:pt idx="10">
                  <c:v>-4.8278949338422832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CC-4609-B3D5-8AC8C0230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0562488"/>
        <c:axId val="860555928"/>
      </c:scatterChart>
      <c:valAx>
        <c:axId val="860562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555928"/>
        <c:crosses val="autoZero"/>
        <c:crossBetween val="midCat"/>
      </c:valAx>
      <c:valAx>
        <c:axId val="86055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562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'2-Mes EPR'!$H$16:$H$21</c:f>
              <c:numCache>
                <c:formatCode>General</c:formatCode>
                <c:ptCount val="6"/>
                <c:pt idx="0">
                  <c:v>3.4170510849137197E-3</c:v>
                </c:pt>
                <c:pt idx="1">
                  <c:v>3.3217073575817976E-3</c:v>
                </c:pt>
                <c:pt idx="2">
                  <c:v>3.230495881117752E-3</c:v>
                </c:pt>
                <c:pt idx="3">
                  <c:v>3.1441597233139449E-3</c:v>
                </c:pt>
                <c:pt idx="4">
                  <c:v>3.0651340996168583E-3</c:v>
                </c:pt>
                <c:pt idx="5">
                  <c:v>2.9873039581777448E-3</c:v>
                </c:pt>
              </c:numCache>
            </c:numRef>
          </c:xVal>
          <c:yVal>
            <c:numRef>
              <c:f>'2-Mes EPR'!$I$16:$I$21</c:f>
              <c:numCache>
                <c:formatCode>General</c:formatCode>
                <c:ptCount val="6"/>
                <c:pt idx="0">
                  <c:v>-10.727372839455604</c:v>
                </c:pt>
                <c:pt idx="1">
                  <c:v>-9.6782904618010033</c:v>
                </c:pt>
                <c:pt idx="2">
                  <c:v>-8.6913585515879159</c:v>
                </c:pt>
                <c:pt idx="3">
                  <c:v>-7.8168615749869952</c:v>
                </c:pt>
                <c:pt idx="4">
                  <c:v>-7.0140550011481553</c:v>
                </c:pt>
                <c:pt idx="5">
                  <c:v>-6.2615030543429908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E5-4D17-AF6F-52E80DF07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851632"/>
        <c:axId val="426848352"/>
      </c:scatterChart>
      <c:valAx>
        <c:axId val="426851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848352"/>
        <c:crosses val="autoZero"/>
        <c:crossBetween val="midCat"/>
      </c:valAx>
      <c:valAx>
        <c:axId val="4268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851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3489063867016625E-2"/>
                  <c:y val="-0.336159959171770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'2-Mes EPR'!$H$3:$H$8</c:f>
              <c:numCache>
                <c:formatCode>General</c:formatCode>
                <c:ptCount val="6"/>
                <c:pt idx="0">
                  <c:v>3.4170510849137197E-3</c:v>
                </c:pt>
                <c:pt idx="1">
                  <c:v>3.3217073575817976E-3</c:v>
                </c:pt>
                <c:pt idx="2">
                  <c:v>3.230495881117752E-3</c:v>
                </c:pt>
                <c:pt idx="3">
                  <c:v>3.1441597233139449E-3</c:v>
                </c:pt>
                <c:pt idx="4">
                  <c:v>3.0651340996168583E-3</c:v>
                </c:pt>
                <c:pt idx="5">
                  <c:v>2.9873039581777448E-3</c:v>
                </c:pt>
              </c:numCache>
            </c:numRef>
          </c:xVal>
          <c:yVal>
            <c:numRef>
              <c:f>'2-Mes EPR'!$I$3:$I$8</c:f>
              <c:numCache>
                <c:formatCode>General</c:formatCode>
                <c:ptCount val="6"/>
                <c:pt idx="0">
                  <c:v>-10.742688494640484</c:v>
                </c:pt>
                <c:pt idx="1">
                  <c:v>-9.7871445371558714</c:v>
                </c:pt>
                <c:pt idx="2">
                  <c:v>-8.8003956864086561</c:v>
                </c:pt>
                <c:pt idx="3">
                  <c:v>-7.9434403944931171</c:v>
                </c:pt>
                <c:pt idx="4">
                  <c:v>-7.1541338387868461</c:v>
                </c:pt>
                <c:pt idx="5">
                  <c:v>-6.4563739501449078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24-4D79-A256-7490AD351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291744"/>
        <c:axId val="627291088"/>
      </c:scatterChart>
      <c:valAx>
        <c:axId val="62729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291088"/>
        <c:crosses val="autoZero"/>
        <c:crossBetween val="midCat"/>
      </c:valAx>
      <c:valAx>
        <c:axId val="62729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291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Run 1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spPr>
            <a:ln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2.4703412073490815E-2"/>
                  <c:y val="-0.31120197196445781"/>
                </c:manualLayout>
              </c:layout>
              <c:numFmt formatCode="General" sourceLinked="0"/>
            </c:trendlineLbl>
          </c:trendline>
          <c:xVal>
            <c:numRef>
              <c:f>'2-Me NMR'!$I$3:$I$13</c:f>
              <c:numCache>
                <c:formatCode>General</c:formatCode>
                <c:ptCount val="11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  <c:pt idx="9">
                  <c:v>2.9549954197570991E-3</c:v>
                </c:pt>
                <c:pt idx="10">
                  <c:v>2.9154518950437317E-3</c:v>
                </c:pt>
              </c:numCache>
            </c:numRef>
          </c:xVal>
          <c:yVal>
            <c:numRef>
              <c:f>'2-Me NMR'!$J$3:$J$13</c:f>
              <c:numCache>
                <c:formatCode>General</c:formatCode>
                <c:ptCount val="11"/>
                <c:pt idx="0">
                  <c:v>-10.020894413670176</c:v>
                </c:pt>
                <c:pt idx="1">
                  <c:v>-9.4391618331196625</c:v>
                </c:pt>
                <c:pt idx="2">
                  <c:v>-8.9039661665122463</c:v>
                </c:pt>
                <c:pt idx="3">
                  <c:v>-8.410963552905411</c:v>
                </c:pt>
                <c:pt idx="4">
                  <c:v>-7.8890629809760222</c:v>
                </c:pt>
                <c:pt idx="5">
                  <c:v>-7.4774996164566288</c:v>
                </c:pt>
                <c:pt idx="6">
                  <c:v>-6.907833499102134</c:v>
                </c:pt>
                <c:pt idx="7">
                  <c:v>-6.4777098161261319</c:v>
                </c:pt>
                <c:pt idx="8">
                  <c:v>-6.0444393366520153</c:v>
                </c:pt>
                <c:pt idx="9">
                  <c:v>-5.6950566110345555</c:v>
                </c:pt>
                <c:pt idx="10">
                  <c:v>-5.3053455846825583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17-4322-BAD8-EFD11946F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529776"/>
        <c:axId val="824526168"/>
      </c:scatterChart>
      <c:valAx>
        <c:axId val="824529776"/>
        <c:scaling>
          <c:orientation val="minMax"/>
          <c:min val="2.9000000000000007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 (K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4526168"/>
        <c:crossesAt val="-12"/>
        <c:crossBetween val="midCat"/>
      </c:valAx>
      <c:valAx>
        <c:axId val="824526168"/>
        <c:scaling>
          <c:orientation val="minMax"/>
          <c:max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</a:t>
                </a:r>
                <a:r>
                  <a:rPr lang="en-US" baseline="-25000"/>
                  <a:t>eq</a:t>
                </a:r>
              </a:p>
            </c:rich>
          </c:tx>
          <c:layout>
            <c:manualLayout>
              <c:xMode val="edge"/>
              <c:yMode val="edge"/>
              <c:x val="3.2305382495246553E-2"/>
              <c:y val="0.410399143490419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4529776"/>
        <c:crossesAt val="-12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791469816272967"/>
                  <c:y val="-0.365879629629629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'2-Me NMR'!$I$22:$I$30</c:f>
              <c:numCache>
                <c:formatCode>General</c:formatCode>
                <c:ptCount val="9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</c:numCache>
            </c:numRef>
          </c:xVal>
          <c:yVal>
            <c:numRef>
              <c:f>'2-Me NMR'!$J$22:$J$30</c:f>
              <c:numCache>
                <c:formatCode>General</c:formatCode>
                <c:ptCount val="9"/>
                <c:pt idx="0">
                  <c:v>-9.8488824867914193</c:v>
                </c:pt>
                <c:pt idx="1">
                  <c:v>-9.6001890895969133</c:v>
                </c:pt>
                <c:pt idx="2">
                  <c:v>-8.7938719266933401</c:v>
                </c:pt>
                <c:pt idx="3">
                  <c:v>-8.3593703104846302</c:v>
                </c:pt>
                <c:pt idx="4">
                  <c:v>-7.7903823676351633</c:v>
                </c:pt>
                <c:pt idx="5">
                  <c:v>-7.3365899316593293</c:v>
                </c:pt>
                <c:pt idx="6">
                  <c:v>-6.9921931059180675</c:v>
                </c:pt>
                <c:pt idx="7">
                  <c:v>-6.4501228564758604</c:v>
                </c:pt>
                <c:pt idx="8">
                  <c:v>-5.9864181117778319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2E-4E2F-919C-59897B2E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844992"/>
        <c:axId val="802841712"/>
      </c:scatterChart>
      <c:valAx>
        <c:axId val="802844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841712"/>
        <c:crosses val="autoZero"/>
        <c:crossBetween val="midCat"/>
      </c:valAx>
      <c:valAx>
        <c:axId val="80284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844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22703412073497E-2"/>
          <c:y val="0.12653138026864288"/>
          <c:w val="0.86039129483814525"/>
          <c:h val="0.77736111111111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835914260717409"/>
                  <c:y val="-0.4183391659375911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'2-Me NMR'!$I$39:$I$49</c:f>
              <c:numCache>
                <c:formatCode>General</c:formatCode>
                <c:ptCount val="11"/>
                <c:pt idx="0">
                  <c:v>3.3649639948852548E-3</c:v>
                </c:pt>
                <c:pt idx="1">
                  <c:v>3.3147706178732429E-3</c:v>
                </c:pt>
                <c:pt idx="2">
                  <c:v>3.2660526487686982E-3</c:v>
                </c:pt>
                <c:pt idx="3">
                  <c:v>3.2188495831589788E-3</c:v>
                </c:pt>
                <c:pt idx="4">
                  <c:v>3.1719850282306669E-3</c:v>
                </c:pt>
                <c:pt idx="5">
                  <c:v>3.1264655307175235E-3</c:v>
                </c:pt>
                <c:pt idx="6">
                  <c:v>3.0821390044691015E-3</c:v>
                </c:pt>
                <c:pt idx="7">
                  <c:v>3.0392365437802026E-3</c:v>
                </c:pt>
                <c:pt idx="8">
                  <c:v>2.9965240321227372E-3</c:v>
                </c:pt>
                <c:pt idx="9">
                  <c:v>2.9549954197570991E-3</c:v>
                </c:pt>
                <c:pt idx="10">
                  <c:v>2.9154518950437317E-3</c:v>
                </c:pt>
              </c:numCache>
            </c:numRef>
          </c:xVal>
          <c:yVal>
            <c:numRef>
              <c:f>'2-Me NMR'!$J$39:$J$49</c:f>
              <c:numCache>
                <c:formatCode>General</c:formatCode>
                <c:ptCount val="11"/>
                <c:pt idx="0">
                  <c:v>-10.196941178897013</c:v>
                </c:pt>
                <c:pt idx="1">
                  <c:v>-9.5862420204911487</c:v>
                </c:pt>
                <c:pt idx="2">
                  <c:v>-9.1090107398230948</c:v>
                </c:pt>
                <c:pt idx="3">
                  <c:v>-8.4461701639994047</c:v>
                </c:pt>
                <c:pt idx="4">
                  <c:v>-7.8555727805400126</c:v>
                </c:pt>
                <c:pt idx="5">
                  <c:v>-7.3644579882362136</c:v>
                </c:pt>
                <c:pt idx="6">
                  <c:v>-6.9707171933801302</c:v>
                </c:pt>
                <c:pt idx="7">
                  <c:v>-6.5793149749395514</c:v>
                </c:pt>
                <c:pt idx="8">
                  <c:v>-6.1938589397500063</c:v>
                </c:pt>
                <c:pt idx="9">
                  <c:v>-5.710270770442353</c:v>
                </c:pt>
                <c:pt idx="10">
                  <c:v>-5.3999767524409794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AB-4767-B067-BB0D119BA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734536"/>
        <c:axId val="826742080"/>
      </c:scatterChart>
      <c:valAx>
        <c:axId val="826734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742080"/>
        <c:crosses val="autoZero"/>
        <c:crossBetween val="midCat"/>
      </c:valAx>
      <c:valAx>
        <c:axId val="82674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lnKeq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734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573405</xdr:colOff>
      <xdr:row>4</xdr:row>
      <xdr:rowOff>3810</xdr:rowOff>
    </xdr:from>
    <xdr:to>
      <xdr:col>14</xdr:col>
      <xdr:colOff>184785</xdr:colOff>
      <xdr:row>23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7D3217-D615-4071-BD1D-D46020544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273219</xdr:colOff>
      <xdr:row>0</xdr:row>
      <xdr:rowOff>46766</xdr:rowOff>
    </xdr:from>
    <xdr:to>
      <xdr:col>19</xdr:col>
      <xdr:colOff>397665</xdr:colOff>
      <xdr:row>15</xdr:row>
      <xdr:rowOff>111544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11B4B08-E074-414B-ABC3-A22C50C182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465263</xdr:colOff>
      <xdr:row>19</xdr:row>
      <xdr:rowOff>138287</xdr:rowOff>
    </xdr:from>
    <xdr:to>
      <xdr:col>19</xdr:col>
      <xdr:colOff>585678</xdr:colOff>
      <xdr:row>35</xdr:row>
      <xdr:rowOff>21635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CB713DC-9768-4700-8B44-5951AB449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592129</xdr:colOff>
      <xdr:row>39</xdr:row>
      <xdr:rowOff>64509</xdr:rowOff>
    </xdr:from>
    <xdr:to>
      <xdr:col>20</xdr:col>
      <xdr:colOff>102944</xdr:colOff>
      <xdr:row>54</xdr:row>
      <xdr:rowOff>126598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FD9D3B3-B385-4A29-AE7D-3F31D1C5F4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129540</xdr:colOff>
      <xdr:row>12</xdr:row>
      <xdr:rowOff>118110</xdr:rowOff>
    </xdr:from>
    <xdr:to>
      <xdr:col>16</xdr:col>
      <xdr:colOff>434340</xdr:colOff>
      <xdr:row>27</xdr:row>
      <xdr:rowOff>140970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1E4419-CC13-49BF-BB81-2E22C6FD0D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152400</xdr:colOff>
      <xdr:row>0</xdr:row>
      <xdr:rowOff>0</xdr:rowOff>
    </xdr:from>
    <xdr:to>
      <xdr:col>15</xdr:col>
      <xdr:colOff>594360</xdr:colOff>
      <xdr:row>12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7C32AB-4C5D-4DDB-9A89-444848D5E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2</xdr:row>
      <xdr:rowOff>5080</xdr:rowOff>
    </xdr:from>
    <xdr:to>
      <xdr:col>20</xdr:col>
      <xdr:colOff>419100</xdr:colOff>
      <xdr:row>12</xdr:row>
      <xdr:rowOff>62230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C10D4A3-6D9C-458B-9A62-2C215AEB80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106680</xdr:colOff>
      <xdr:row>18</xdr:row>
      <xdr:rowOff>34290</xdr:rowOff>
    </xdr:from>
    <xdr:to>
      <xdr:col>20</xdr:col>
      <xdr:colOff>411480</xdr:colOff>
      <xdr:row>33</xdr:row>
      <xdr:rowOff>34290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3F3C9AD-2AEB-4457-AD26-B88B9F8F4F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</xdr:colOff>
      <xdr:row>39</xdr:row>
      <xdr:rowOff>41910</xdr:rowOff>
    </xdr:from>
    <xdr:to>
      <xdr:col>20</xdr:col>
      <xdr:colOff>312420</xdr:colOff>
      <xdr:row>54</xdr:row>
      <xdr:rowOff>41910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8B9AD23-204F-4634-8CCB-E5CA1B76E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106680</xdr:colOff>
      <xdr:row>3</xdr:row>
      <xdr:rowOff>57150</xdr:rowOff>
    </xdr:from>
    <xdr:to>
      <xdr:col>20</xdr:col>
      <xdr:colOff>411480</xdr:colOff>
      <xdr:row>18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CF7622C-C6FD-429E-A118-341AA15384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457200</xdr:colOff>
      <xdr:row>21</xdr:row>
      <xdr:rowOff>163830</xdr:rowOff>
    </xdr:from>
    <xdr:to>
      <xdr:col>20</xdr:col>
      <xdr:colOff>152400</xdr:colOff>
      <xdr:row>36</xdr:row>
      <xdr:rowOff>163830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7885302-9AA9-457B-90D4-C95C0281B2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525780</xdr:colOff>
      <xdr:row>40</xdr:row>
      <xdr:rowOff>118110</xdr:rowOff>
    </xdr:from>
    <xdr:to>
      <xdr:col>20</xdr:col>
      <xdr:colOff>220980</xdr:colOff>
      <xdr:row>55</xdr:row>
      <xdr:rowOff>118110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732B972-82EA-4439-8874-A672ED1836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185570</xdr:colOff>
      <xdr:row>1</xdr:row>
      <xdr:rowOff>75751</xdr:rowOff>
    </xdr:from>
    <xdr:to>
      <xdr:col>20</xdr:col>
      <xdr:colOff>322730</xdr:colOff>
      <xdr:row>14</xdr:row>
      <xdr:rowOff>125505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C1DDC6-CB0B-42C9-A697-8911D0EC4C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77545</xdr:colOff>
      <xdr:row>18</xdr:row>
      <xdr:rowOff>131110</xdr:rowOff>
    </xdr:from>
    <xdr:to>
      <xdr:col>20</xdr:col>
      <xdr:colOff>382345</xdr:colOff>
      <xdr:row>33</xdr:row>
      <xdr:rowOff>131110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8B1A06F-EF84-4E04-A757-EB0019EF26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398930</xdr:colOff>
      <xdr:row>36</xdr:row>
      <xdr:rowOff>62752</xdr:rowOff>
    </xdr:from>
    <xdr:to>
      <xdr:col>21</xdr:col>
      <xdr:colOff>94130</xdr:colOff>
      <xdr:row>51</xdr:row>
      <xdr:rowOff>116540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2976FDA-1998-42F2-8895-3990E909F7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251460</xdr:colOff>
      <xdr:row>4</xdr:row>
      <xdr:rowOff>99060</xdr:rowOff>
    </xdr:from>
    <xdr:to>
      <xdr:col>19</xdr:col>
      <xdr:colOff>129540</xdr:colOff>
      <xdr:row>15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CD4AD9-D094-44AB-9B59-1750F1F0DB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541020</xdr:colOff>
      <xdr:row>20</xdr:row>
      <xdr:rowOff>22860</xdr:rowOff>
    </xdr:from>
    <xdr:to>
      <xdr:col>20</xdr:col>
      <xdr:colOff>152400</xdr:colOff>
      <xdr:row>32</xdr:row>
      <xdr:rowOff>148590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C7B0770-920D-49D7-923D-FA1E61C16A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228600</xdr:colOff>
      <xdr:row>36</xdr:row>
      <xdr:rowOff>80010</xdr:rowOff>
    </xdr:from>
    <xdr:to>
      <xdr:col>19</xdr:col>
      <xdr:colOff>533400</xdr:colOff>
      <xdr:row>51</xdr:row>
      <xdr:rowOff>80010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FE651C4-DAA9-47AB-9981-49B7155F52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205740</xdr:colOff>
      <xdr:row>55</xdr:row>
      <xdr:rowOff>34290</xdr:rowOff>
    </xdr:from>
    <xdr:to>
      <xdr:col>19</xdr:col>
      <xdr:colOff>510540</xdr:colOff>
      <xdr:row>70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DD1EC5F-A443-4D46-A2CE-A194256101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129540</xdr:colOff>
      <xdr:row>0</xdr:row>
      <xdr:rowOff>110490</xdr:rowOff>
    </xdr:from>
    <xdr:to>
      <xdr:col>22</xdr:col>
      <xdr:colOff>0</xdr:colOff>
      <xdr:row>13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6F8962-141A-4F23-9FF7-D9A2680E55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68580</xdr:colOff>
      <xdr:row>17</xdr:row>
      <xdr:rowOff>179070</xdr:rowOff>
    </xdr:from>
    <xdr:to>
      <xdr:col>19</xdr:col>
      <xdr:colOff>373380</xdr:colOff>
      <xdr:row>32</xdr:row>
      <xdr:rowOff>179070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6CB248-4EFB-4AAC-8E09-981F0AA6FD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510540</xdr:colOff>
      <xdr:row>36</xdr:row>
      <xdr:rowOff>171450</xdr:rowOff>
    </xdr:from>
    <xdr:to>
      <xdr:col>19</xdr:col>
      <xdr:colOff>205740</xdr:colOff>
      <xdr:row>51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0A2CFE-4DA9-431B-AA24-4EBE3093CB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434340</xdr:colOff>
      <xdr:row>0</xdr:row>
      <xdr:rowOff>0</xdr:rowOff>
    </xdr:from>
    <xdr:to>
      <xdr:col>19</xdr:col>
      <xdr:colOff>129540</xdr:colOff>
      <xdr:row>15</xdr:row>
      <xdr:rowOff>22860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DDFE74-489C-4954-8390-37904AD87F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22860</xdr:colOff>
      <xdr:row>20</xdr:row>
      <xdr:rowOff>102870</xdr:rowOff>
    </xdr:from>
    <xdr:to>
      <xdr:col>19</xdr:col>
      <xdr:colOff>327660</xdr:colOff>
      <xdr:row>35</xdr:row>
      <xdr:rowOff>102870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314549B-5070-4101-9AA3-FB9E4894A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91440</xdr:colOff>
      <xdr:row>37</xdr:row>
      <xdr:rowOff>64770</xdr:rowOff>
    </xdr:from>
    <xdr:to>
      <xdr:col>19</xdr:col>
      <xdr:colOff>396240</xdr:colOff>
      <xdr:row>52</xdr:row>
      <xdr:rowOff>87630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FA27835-33D4-4DF3-9678-0FB730225E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9035-D617-4297-96DF-97386B6DC169}">
  <dimension ref="A1:D39"/>
  <sheetViews>
    <sheetView topLeftCell="B10" workbookViewId="0">
      <selection activeCell="Q9" sqref="Q9"/>
    </sheetView>
  </sheetViews>
  <sheetFormatPr defaultRowHeight="14.4"/>
  <cols>
    <col min="3" max="3" width="15.109375" customWidth="1"/>
    <col min="4" max="4" width="16.21875" customWidth="1"/>
  </cols>
  <sheetData>
    <row r="1" spans="1:4">
      <c r="A1" t="s">
        <v>14</v>
      </c>
      <c r="B1" t="s">
        <v>15</v>
      </c>
      <c r="C1" t="s">
        <v>16</v>
      </c>
      <c r="D1" t="s">
        <v>17</v>
      </c>
    </row>
    <row r="2" spans="1:4">
      <c r="A2">
        <v>15</v>
      </c>
      <c r="B2">
        <v>298.14999999999998</v>
      </c>
      <c r="C2">
        <v>297.18</v>
      </c>
      <c r="D2">
        <f t="shared" ref="D2:D16" si="0">C2-273.15</f>
        <v>24.03000000000003</v>
      </c>
    </row>
    <row r="3" spans="1:4">
      <c r="A3">
        <v>25</v>
      </c>
      <c r="B3">
        <v>303.14999999999998</v>
      </c>
      <c r="C3">
        <v>301.68</v>
      </c>
      <c r="D3">
        <f t="shared" si="0"/>
        <v>28.53000000000003</v>
      </c>
    </row>
    <row r="4" spans="1:4">
      <c r="A4">
        <v>30</v>
      </c>
      <c r="B4">
        <v>308.14999999999998</v>
      </c>
      <c r="C4">
        <v>306.18</v>
      </c>
      <c r="D4">
        <f t="shared" si="0"/>
        <v>33.03000000000003</v>
      </c>
    </row>
    <row r="5" spans="1:4">
      <c r="A5">
        <v>35</v>
      </c>
      <c r="B5">
        <v>313.14999999999998</v>
      </c>
      <c r="C5">
        <v>310.67</v>
      </c>
      <c r="D5">
        <f t="shared" si="0"/>
        <v>37.520000000000039</v>
      </c>
    </row>
    <row r="6" spans="1:4">
      <c r="A6">
        <v>40</v>
      </c>
      <c r="B6">
        <v>318.14999999999998</v>
      </c>
      <c r="C6">
        <v>315.26</v>
      </c>
      <c r="D6">
        <f t="shared" si="0"/>
        <v>42.110000000000014</v>
      </c>
    </row>
    <row r="7" spans="1:4">
      <c r="A7">
        <v>45</v>
      </c>
      <c r="B7">
        <v>323.14999999999998</v>
      </c>
      <c r="C7">
        <v>319.85000000000002</v>
      </c>
      <c r="D7">
        <f t="shared" si="0"/>
        <v>46.700000000000045</v>
      </c>
    </row>
    <row r="8" spans="1:4">
      <c r="A8">
        <v>50</v>
      </c>
      <c r="B8">
        <v>328.15</v>
      </c>
      <c r="C8">
        <v>324.45</v>
      </c>
      <c r="D8">
        <f t="shared" si="0"/>
        <v>51.300000000000011</v>
      </c>
    </row>
    <row r="9" spans="1:4">
      <c r="A9">
        <v>55</v>
      </c>
      <c r="B9">
        <v>333.15</v>
      </c>
      <c r="C9">
        <v>329.03</v>
      </c>
      <c r="D9">
        <f t="shared" si="0"/>
        <v>55.879999999999995</v>
      </c>
    </row>
    <row r="10" spans="1:4">
      <c r="A10">
        <v>60</v>
      </c>
      <c r="B10">
        <v>338.15</v>
      </c>
      <c r="C10">
        <v>333.72</v>
      </c>
      <c r="D10">
        <f t="shared" si="0"/>
        <v>60.57000000000005</v>
      </c>
    </row>
    <row r="11" spans="1:4">
      <c r="A11">
        <v>65</v>
      </c>
      <c r="B11">
        <v>343.15</v>
      </c>
      <c r="C11">
        <v>338.41</v>
      </c>
      <c r="D11">
        <f t="shared" si="0"/>
        <v>65.260000000000048</v>
      </c>
    </row>
    <row r="12" spans="1:4">
      <c r="A12">
        <v>70</v>
      </c>
      <c r="B12">
        <v>348.15</v>
      </c>
      <c r="C12">
        <v>343</v>
      </c>
      <c r="D12">
        <f t="shared" si="0"/>
        <v>69.850000000000023</v>
      </c>
    </row>
    <row r="13" spans="1:4">
      <c r="A13">
        <v>75</v>
      </c>
      <c r="B13">
        <v>353.15</v>
      </c>
      <c r="C13">
        <v>347.68</v>
      </c>
      <c r="D13">
        <f t="shared" si="0"/>
        <v>74.53000000000003</v>
      </c>
    </row>
    <row r="14" spans="1:4">
      <c r="A14">
        <v>80</v>
      </c>
      <c r="B14">
        <v>358.15</v>
      </c>
      <c r="C14">
        <v>352.26</v>
      </c>
      <c r="D14">
        <f t="shared" si="0"/>
        <v>79.110000000000014</v>
      </c>
    </row>
    <row r="15" spans="1:4">
      <c r="A15">
        <v>85</v>
      </c>
      <c r="B15">
        <v>363.15</v>
      </c>
      <c r="C15">
        <v>356.84</v>
      </c>
      <c r="D15">
        <f t="shared" si="0"/>
        <v>83.69</v>
      </c>
    </row>
    <row r="16" spans="1:4">
      <c r="A16">
        <v>90</v>
      </c>
      <c r="B16">
        <v>368.15</v>
      </c>
      <c r="C16">
        <v>361.62</v>
      </c>
      <c r="D16">
        <f t="shared" si="0"/>
        <v>88.470000000000027</v>
      </c>
    </row>
    <row r="17" spans="1:4">
      <c r="A17">
        <v>95</v>
      </c>
      <c r="B17">
        <v>373.15</v>
      </c>
      <c r="C17">
        <v>366.2</v>
      </c>
      <c r="D17">
        <f>C17-273.15</f>
        <v>93.050000000000011</v>
      </c>
    </row>
    <row r="18" spans="1:4">
      <c r="A18">
        <v>100</v>
      </c>
      <c r="B18">
        <v>378.15</v>
      </c>
      <c r="C18">
        <v>370.27</v>
      </c>
      <c r="D18">
        <f t="shared" ref="D18:D29" si="1">C18-273.15</f>
        <v>97.12</v>
      </c>
    </row>
    <row r="19" spans="1:4">
      <c r="A19">
        <v>105</v>
      </c>
      <c r="B19">
        <v>383.15</v>
      </c>
      <c r="C19">
        <v>374.74</v>
      </c>
      <c r="D19">
        <f t="shared" si="1"/>
        <v>101.59000000000003</v>
      </c>
    </row>
    <row r="20" spans="1:4">
      <c r="A20">
        <v>110</v>
      </c>
      <c r="B20">
        <v>388.15</v>
      </c>
      <c r="C20">
        <v>379.31</v>
      </c>
      <c r="D20">
        <f t="shared" si="1"/>
        <v>106.16000000000003</v>
      </c>
    </row>
    <row r="21" spans="1:4">
      <c r="A21">
        <v>115</v>
      </c>
      <c r="B21">
        <v>393.15</v>
      </c>
      <c r="C21">
        <v>383.78</v>
      </c>
      <c r="D21">
        <f t="shared" si="1"/>
        <v>110.63</v>
      </c>
    </row>
    <row r="22" spans="1:4">
      <c r="A22">
        <v>120</v>
      </c>
      <c r="B22">
        <v>398.15</v>
      </c>
      <c r="C22">
        <v>388.35</v>
      </c>
      <c r="D22">
        <f t="shared" si="1"/>
        <v>115.20000000000005</v>
      </c>
    </row>
    <row r="23" spans="1:4">
      <c r="A23">
        <v>125</v>
      </c>
      <c r="B23">
        <v>403.15</v>
      </c>
      <c r="C23">
        <v>392.81</v>
      </c>
      <c r="D23">
        <f t="shared" si="1"/>
        <v>119.66000000000003</v>
      </c>
    </row>
    <row r="24" spans="1:4">
      <c r="A24">
        <v>130</v>
      </c>
      <c r="B24">
        <v>408.15</v>
      </c>
      <c r="C24">
        <v>397.28</v>
      </c>
      <c r="D24">
        <f t="shared" si="1"/>
        <v>124.13</v>
      </c>
    </row>
    <row r="25" spans="1:4">
      <c r="A25">
        <v>135</v>
      </c>
      <c r="B25">
        <v>413.15</v>
      </c>
      <c r="C25">
        <v>401.64</v>
      </c>
      <c r="D25">
        <f t="shared" si="1"/>
        <v>128.49</v>
      </c>
    </row>
    <row r="26" spans="1:4">
      <c r="A26">
        <v>140</v>
      </c>
      <c r="B26">
        <v>418.15</v>
      </c>
      <c r="C26">
        <v>406.1</v>
      </c>
      <c r="D26">
        <f t="shared" si="1"/>
        <v>132.95000000000005</v>
      </c>
    </row>
    <row r="27" spans="1:4">
      <c r="A27">
        <v>145</v>
      </c>
      <c r="B27">
        <v>423.15</v>
      </c>
      <c r="C27">
        <v>410.46</v>
      </c>
      <c r="D27">
        <f t="shared" si="1"/>
        <v>137.31</v>
      </c>
    </row>
    <row r="28" spans="1:4">
      <c r="A28">
        <v>150</v>
      </c>
      <c r="B28">
        <v>428.15</v>
      </c>
      <c r="C28">
        <v>414.91</v>
      </c>
      <c r="D28">
        <f t="shared" si="1"/>
        <v>141.76000000000005</v>
      </c>
    </row>
    <row r="29" spans="1:4">
      <c r="A29">
        <v>155</v>
      </c>
      <c r="B29">
        <v>433.15</v>
      </c>
      <c r="C29">
        <v>419.27</v>
      </c>
      <c r="D29">
        <f t="shared" si="1"/>
        <v>146.12</v>
      </c>
    </row>
    <row r="30" spans="1:4">
      <c r="A30">
        <v>160</v>
      </c>
    </row>
    <row r="32" spans="1:4">
      <c r="A32">
        <v>15</v>
      </c>
    </row>
    <row r="33" spans="1:1">
      <c r="A33">
        <v>25</v>
      </c>
    </row>
    <row r="34" spans="1:1">
      <c r="A34">
        <v>10</v>
      </c>
    </row>
    <row r="35" spans="1:1">
      <c r="A35">
        <v>0</v>
      </c>
    </row>
    <row r="36" spans="1:1">
      <c r="A36">
        <v>-10</v>
      </c>
    </row>
    <row r="37" spans="1:1">
      <c r="A37">
        <v>-20</v>
      </c>
    </row>
    <row r="38" spans="1:1">
      <c r="A38">
        <v>-30</v>
      </c>
    </row>
    <row r="39" spans="1:1">
      <c r="A39">
        <v>-40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3A2C5-421F-4014-8036-75E353778C84}">
  <dimension ref="A2:K64"/>
  <sheetViews>
    <sheetView topLeftCell="A25" zoomScale="70" zoomScaleNormal="70" workbookViewId="0">
      <selection activeCell="J62" sqref="J62"/>
    </sheetView>
  </sheetViews>
  <sheetFormatPr defaultRowHeight="14.4"/>
  <cols>
    <col min="1" max="1" width="29" customWidth="1"/>
    <col min="2" max="2" width="31.44140625" customWidth="1"/>
    <col min="3" max="3" width="34.33203125" customWidth="1"/>
    <col min="4" max="4" width="30.88671875" customWidth="1"/>
    <col min="5" max="5" width="20.5546875" customWidth="1"/>
    <col min="6" max="6" width="25.88671875" customWidth="1"/>
    <col min="7" max="7" width="18.109375" customWidth="1"/>
    <col min="8" max="8" width="13.44140625" customWidth="1"/>
    <col min="9" max="9" width="11.109375" customWidth="1"/>
    <col min="10" max="10" width="22" customWidth="1"/>
    <col min="11" max="11" width="12.44140625" customWidth="1"/>
    <col min="14" max="14" width="20.33203125" customWidth="1"/>
  </cols>
  <sheetData>
    <row r="2" spans="1:11">
      <c r="A2" t="s">
        <v>23</v>
      </c>
    </row>
    <row r="3" spans="1:11">
      <c r="A3" t="s">
        <v>3</v>
      </c>
      <c r="B3" t="s">
        <v>31</v>
      </c>
      <c r="C3" t="s">
        <v>30</v>
      </c>
      <c r="D3" t="s">
        <v>10</v>
      </c>
      <c r="E3" t="s">
        <v>11</v>
      </c>
      <c r="F3" t="s">
        <v>4</v>
      </c>
      <c r="G3" t="s">
        <v>5</v>
      </c>
      <c r="H3" t="s">
        <v>0</v>
      </c>
      <c r="I3" t="s">
        <v>1</v>
      </c>
      <c r="J3" t="s">
        <v>2</v>
      </c>
      <c r="K3" t="s">
        <v>12</v>
      </c>
    </row>
    <row r="4" spans="1:11">
      <c r="A4">
        <v>297.18</v>
      </c>
      <c r="B4">
        <v>0.125</v>
      </c>
      <c r="C4">
        <f xml:space="preserve"> 0.0334/6</f>
        <v>5.5666666666666668E-3</v>
      </c>
      <c r="D4">
        <f t="shared" ref="D4:D14" si="0">B4/(B4+C4)</f>
        <v>0.95736533061016083</v>
      </c>
      <c r="E4">
        <f>1-D4</f>
        <v>4.2634669389839175E-2</v>
      </c>
      <c r="F4">
        <f t="shared" ref="F4:F5" si="1">(0.02-G4)/2</f>
        <v>9.573653306101609E-3</v>
      </c>
      <c r="G4">
        <f>0.02*E4</f>
        <v>8.5269338779678347E-4</v>
      </c>
      <c r="H4">
        <f t="shared" ref="H4:H14" si="2">G4*G4/F4</f>
        <v>7.5946557739766854E-5</v>
      </c>
      <c r="I4">
        <f t="shared" ref="I4:I14" si="3">1/A4</f>
        <v>3.3649639948852548E-3</v>
      </c>
      <c r="J4">
        <f t="shared" ref="J4:J14" si="4">LN(H4)</f>
        <v>-9.4854806526649789</v>
      </c>
      <c r="K4">
        <f t="shared" ref="K4:K14" si="5">-8.314*A4*J4/4184</f>
        <v>5.6014087468796712</v>
      </c>
    </row>
    <row r="5" spans="1:11">
      <c r="A5">
        <v>301.68</v>
      </c>
      <c r="B5">
        <v>0.125</v>
      </c>
      <c r="C5">
        <f xml:space="preserve"> 0.0481/6</f>
        <v>8.0166666666666667E-3</v>
      </c>
      <c r="D5">
        <f t="shared" si="0"/>
        <v>0.93973186317504065</v>
      </c>
      <c r="E5">
        <f t="shared" ref="E5:E11" si="6">1-D5</f>
        <v>6.0268136824959351E-2</v>
      </c>
      <c r="F5">
        <f t="shared" si="1"/>
        <v>9.3973186317504072E-3</v>
      </c>
      <c r="G5">
        <f t="shared" ref="G5:G11" si="7">0.02*E5</f>
        <v>1.2053627364991871E-3</v>
      </c>
      <c r="H5">
        <f t="shared" si="2"/>
        <v>1.5460786033496261E-4</v>
      </c>
      <c r="I5">
        <f t="shared" si="3"/>
        <v>3.3147706178732429E-3</v>
      </c>
      <c r="J5">
        <f t="shared" si="4"/>
        <v>-8.7746185800570871</v>
      </c>
      <c r="K5">
        <f t="shared" si="5"/>
        <v>5.2600892263115933</v>
      </c>
    </row>
    <row r="6" spans="1:11">
      <c r="A6">
        <v>306.18</v>
      </c>
      <c r="B6">
        <v>0.125</v>
      </c>
      <c r="C6">
        <f>0.0598/6</f>
        <v>9.9666666666666671E-3</v>
      </c>
      <c r="D6">
        <f t="shared" si="0"/>
        <v>0.92615460607557409</v>
      </c>
      <c r="E6">
        <f t="shared" si="6"/>
        <v>7.3845393924425906E-2</v>
      </c>
      <c r="F6">
        <f>(0.02-G6)/2</f>
        <v>9.2615460607557414E-3</v>
      </c>
      <c r="G6">
        <f t="shared" si="7"/>
        <v>1.4769078784885182E-3</v>
      </c>
      <c r="H6">
        <f t="shared" si="2"/>
        <v>2.3551757635630277E-4</v>
      </c>
      <c r="I6">
        <f t="shared" si="3"/>
        <v>3.2660526487686982E-3</v>
      </c>
      <c r="J6">
        <f t="shared" si="4"/>
        <v>-8.3537250130834426</v>
      </c>
      <c r="K6">
        <f t="shared" si="5"/>
        <v>5.0824760188197793</v>
      </c>
    </row>
    <row r="7" spans="1:11">
      <c r="A7">
        <v>310.67</v>
      </c>
      <c r="B7">
        <v>0.125</v>
      </c>
      <c r="C7">
        <f>0.0803/6</f>
        <v>1.3383333333333332E-2</v>
      </c>
      <c r="D7">
        <f t="shared" si="0"/>
        <v>0.90328796820426349</v>
      </c>
      <c r="E7">
        <f t="shared" si="6"/>
        <v>9.6712031795736508E-2</v>
      </c>
      <c r="F7">
        <f t="shared" ref="F7:F11" si="8">(0.02-G7)/2</f>
        <v>9.0328796820426348E-3</v>
      </c>
      <c r="G7">
        <f t="shared" si="7"/>
        <v>1.9342406359147302E-3</v>
      </c>
      <c r="H7">
        <f t="shared" si="2"/>
        <v>4.1418539483720771E-4</v>
      </c>
      <c r="I7">
        <f t="shared" si="3"/>
        <v>3.2188495831589788E-3</v>
      </c>
      <c r="J7">
        <f t="shared" si="4"/>
        <v>-7.789196870761109</v>
      </c>
      <c r="K7">
        <f t="shared" si="5"/>
        <v>4.8085079945870914</v>
      </c>
    </row>
    <row r="8" spans="1:11">
      <c r="A8">
        <v>315.26</v>
      </c>
      <c r="B8">
        <v>0.125</v>
      </c>
      <c r="C8">
        <f>0.1015/6</f>
        <v>1.6916666666666667E-2</v>
      </c>
      <c r="D8">
        <f t="shared" si="0"/>
        <v>0.88079859072225486</v>
      </c>
      <c r="E8">
        <f t="shared" si="6"/>
        <v>0.11920140927774514</v>
      </c>
      <c r="F8">
        <f t="shared" si="8"/>
        <v>8.8079859072225479E-3</v>
      </c>
      <c r="G8">
        <f t="shared" si="7"/>
        <v>2.3840281855549029E-3</v>
      </c>
      <c r="H8">
        <f t="shared" si="2"/>
        <v>6.4527696222352706E-4</v>
      </c>
      <c r="I8">
        <f t="shared" si="3"/>
        <v>3.1719850282306669E-3</v>
      </c>
      <c r="J8">
        <f t="shared" si="4"/>
        <v>-7.3458309345376156</v>
      </c>
      <c r="K8">
        <f t="shared" si="5"/>
        <v>4.6018042865084228</v>
      </c>
    </row>
    <row r="9" spans="1:11">
      <c r="A9">
        <v>319.85000000000002</v>
      </c>
      <c r="B9">
        <v>0.125</v>
      </c>
      <c r="C9">
        <f>0.1296/6</f>
        <v>2.1599999999999998E-2</v>
      </c>
      <c r="D9">
        <f t="shared" si="0"/>
        <v>0.85266030013642558</v>
      </c>
      <c r="E9">
        <f t="shared" si="6"/>
        <v>0.14733969986357442</v>
      </c>
      <c r="F9">
        <f t="shared" si="8"/>
        <v>8.5266030013642566E-3</v>
      </c>
      <c r="G9">
        <f t="shared" si="7"/>
        <v>2.9467939972714885E-3</v>
      </c>
      <c r="H9">
        <f t="shared" si="2"/>
        <v>1.018412005457027E-3</v>
      </c>
      <c r="I9">
        <f t="shared" si="3"/>
        <v>3.1264655307175235E-3</v>
      </c>
      <c r="J9">
        <f t="shared" si="4"/>
        <v>-6.8895107222428136</v>
      </c>
      <c r="K9">
        <f t="shared" si="5"/>
        <v>4.3787795357291719</v>
      </c>
    </row>
    <row r="10" spans="1:11">
      <c r="A10">
        <v>324.45</v>
      </c>
      <c r="B10">
        <v>0.125</v>
      </c>
      <c r="C10">
        <f>0.1716/6</f>
        <v>2.86E-2</v>
      </c>
      <c r="D10">
        <f t="shared" si="0"/>
        <v>0.81380208333333326</v>
      </c>
      <c r="E10">
        <f t="shared" si="6"/>
        <v>0.18619791666666674</v>
      </c>
      <c r="F10">
        <f t="shared" si="8"/>
        <v>8.1380208333333322E-3</v>
      </c>
      <c r="G10">
        <f t="shared" si="7"/>
        <v>3.7239583333333348E-3</v>
      </c>
      <c r="H10">
        <f t="shared" si="2"/>
        <v>1.7040833333333348E-3</v>
      </c>
      <c r="I10">
        <f t="shared" si="3"/>
        <v>3.0821390044691015E-3</v>
      </c>
      <c r="J10">
        <f t="shared" si="4"/>
        <v>-6.3747279472324587</v>
      </c>
      <c r="K10">
        <f t="shared" si="5"/>
        <v>4.1098670963994159</v>
      </c>
    </row>
    <row r="11" spans="1:11">
      <c r="A11">
        <v>329.03</v>
      </c>
      <c r="B11">
        <v>0.125</v>
      </c>
      <c r="C11">
        <f>0.2157/6</f>
        <v>3.5950000000000003E-2</v>
      </c>
      <c r="D11">
        <f t="shared" si="0"/>
        <v>0.77663870767319043</v>
      </c>
      <c r="E11">
        <f t="shared" si="6"/>
        <v>0.22336129232680957</v>
      </c>
      <c r="F11">
        <f t="shared" si="8"/>
        <v>7.7663870767319043E-3</v>
      </c>
      <c r="G11">
        <f t="shared" si="7"/>
        <v>4.4672258465361919E-3</v>
      </c>
      <c r="H11">
        <f t="shared" si="2"/>
        <v>2.5695483069276179E-3</v>
      </c>
      <c r="I11">
        <f t="shared" si="3"/>
        <v>3.0392365437802026E-3</v>
      </c>
      <c r="J11">
        <f t="shared" si="4"/>
        <v>-5.9640251515812075</v>
      </c>
      <c r="K11">
        <f t="shared" si="5"/>
        <v>3.8993597821281769</v>
      </c>
    </row>
    <row r="12" spans="1:11">
      <c r="A12">
        <v>333.72</v>
      </c>
      <c r="B12">
        <v>0.125</v>
      </c>
      <c r="C12">
        <f>0.2675/6</f>
        <v>4.4583333333333336E-2</v>
      </c>
      <c r="D12">
        <f t="shared" si="0"/>
        <v>0.73710073710073709</v>
      </c>
      <c r="E12">
        <f t="shared" ref="E12:E14" si="9">1-D12</f>
        <v>0.26289926289926291</v>
      </c>
      <c r="F12">
        <f t="shared" ref="F12:F14" si="10">(0.02-G12)/2</f>
        <v>7.3710073710073713E-3</v>
      </c>
      <c r="G12">
        <f t="shared" ref="G12:G14" si="11">0.02*E12</f>
        <v>5.2579852579852579E-3</v>
      </c>
      <c r="H12">
        <f t="shared" si="2"/>
        <v>3.7506961506961508E-3</v>
      </c>
      <c r="I12">
        <f t="shared" si="3"/>
        <v>2.9965240321227372E-3</v>
      </c>
      <c r="J12">
        <f t="shared" si="4"/>
        <v>-5.5858138160431841</v>
      </c>
      <c r="K12">
        <f t="shared" si="5"/>
        <v>3.70413694993788</v>
      </c>
    </row>
    <row r="13" spans="1:11">
      <c r="A13">
        <v>338.41</v>
      </c>
      <c r="B13">
        <v>0.125</v>
      </c>
      <c r="C13">
        <f>0.333/6</f>
        <v>5.5500000000000001E-2</v>
      </c>
      <c r="D13">
        <f t="shared" si="0"/>
        <v>0.69252077562326875</v>
      </c>
      <c r="E13">
        <f t="shared" si="9"/>
        <v>0.30747922437673125</v>
      </c>
      <c r="F13">
        <f t="shared" si="10"/>
        <v>6.9252077562326876E-3</v>
      </c>
      <c r="G13">
        <f t="shared" si="11"/>
        <v>6.1495844875346251E-3</v>
      </c>
      <c r="H13">
        <f t="shared" si="2"/>
        <v>5.4608310249307452E-3</v>
      </c>
      <c r="I13">
        <f t="shared" si="3"/>
        <v>2.9549954197570991E-3</v>
      </c>
      <c r="J13">
        <f t="shared" si="4"/>
        <v>-5.2101542984386606</v>
      </c>
      <c r="K13">
        <f t="shared" si="5"/>
        <v>3.5035806358373067</v>
      </c>
    </row>
    <row r="14" spans="1:11">
      <c r="A14">
        <v>343</v>
      </c>
      <c r="B14">
        <v>0.125</v>
      </c>
      <c r="C14">
        <f>0.4025/6</f>
        <v>6.7083333333333342E-2</v>
      </c>
      <c r="D14">
        <f t="shared" si="0"/>
        <v>0.65075921908893708</v>
      </c>
      <c r="E14">
        <f t="shared" si="9"/>
        <v>0.34924078091106292</v>
      </c>
      <c r="F14">
        <f t="shared" si="10"/>
        <v>6.5075921908893716E-3</v>
      </c>
      <c r="G14">
        <f t="shared" si="11"/>
        <v>6.9848156182212582E-3</v>
      </c>
      <c r="H14">
        <f t="shared" si="2"/>
        <v>7.4970354302241497E-3</v>
      </c>
      <c r="I14">
        <f t="shared" si="3"/>
        <v>2.9154518950437317E-3</v>
      </c>
      <c r="J14">
        <f t="shared" si="4"/>
        <v>-4.8932476125521243</v>
      </c>
      <c r="K14">
        <f t="shared" si="5"/>
        <v>3.3351061193140819</v>
      </c>
    </row>
    <row r="15" spans="1:11">
      <c r="A15" t="s">
        <v>6</v>
      </c>
      <c r="B15">
        <v>10156</v>
      </c>
    </row>
    <row r="16" spans="1:11">
      <c r="A16" t="s">
        <v>7</v>
      </c>
      <c r="B16" s="2">
        <v>24.84</v>
      </c>
    </row>
    <row r="17" spans="1:11">
      <c r="A17" t="s">
        <v>8</v>
      </c>
      <c r="B17">
        <f>B15*8.314/4.184/1000</f>
        <v>20.180923518164434</v>
      </c>
    </row>
    <row r="18" spans="1:11">
      <c r="A18" t="s">
        <v>9</v>
      </c>
      <c r="B18">
        <f>B16*8.314/4.184</f>
        <v>49.359407265774372</v>
      </c>
    </row>
    <row r="21" spans="1:11">
      <c r="A21" t="s">
        <v>24</v>
      </c>
    </row>
    <row r="22" spans="1:11">
      <c r="A22" t="s">
        <v>3</v>
      </c>
      <c r="B22" t="s">
        <v>31</v>
      </c>
      <c r="C22" t="s">
        <v>30</v>
      </c>
      <c r="D22" t="s">
        <v>10</v>
      </c>
      <c r="E22" t="s">
        <v>11</v>
      </c>
      <c r="F22" t="s">
        <v>4</v>
      </c>
      <c r="G22" t="s">
        <v>5</v>
      </c>
      <c r="H22" t="s">
        <v>0</v>
      </c>
      <c r="I22" t="s">
        <v>1</v>
      </c>
      <c r="J22" t="s">
        <v>2</v>
      </c>
      <c r="K22" t="s">
        <v>12</v>
      </c>
    </row>
    <row r="23" spans="1:11">
      <c r="A23">
        <v>297.18</v>
      </c>
      <c r="B23">
        <f>1/8</f>
        <v>0.125</v>
      </c>
      <c r="C23">
        <f>0.0333/6</f>
        <v>5.5500000000000002E-3</v>
      </c>
      <c r="D23">
        <f t="shared" ref="D23:D33" si="12">B23/(B23+C23)</f>
        <v>0.9574875526618154</v>
      </c>
      <c r="E23">
        <f>1-D23</f>
        <v>4.25124473381846E-2</v>
      </c>
      <c r="F23">
        <f t="shared" ref="F23:F24" si="13">(0.02-G23)/2</f>
        <v>9.5748755266181537E-3</v>
      </c>
      <c r="G23">
        <f>0.02*E23</f>
        <v>8.5024894676369203E-4</v>
      </c>
      <c r="H23">
        <f t="shared" ref="H23:H33" si="14">G23*G23/F23</f>
        <v>7.5502106472615849E-5</v>
      </c>
      <c r="I23">
        <f t="shared" ref="I23:I33" si="15">1/A23</f>
        <v>3.3649639948852548E-3</v>
      </c>
      <c r="J23">
        <f t="shared" ref="J23:J33" si="16">LN(H23)</f>
        <v>-9.4913500017989527</v>
      </c>
      <c r="K23">
        <f t="shared" ref="K23:K33" si="17">-8.314*A23*J23/4184</f>
        <v>5.6048747413591711</v>
      </c>
    </row>
    <row r="24" spans="1:11">
      <c r="A24">
        <v>301.68</v>
      </c>
      <c r="B24">
        <f t="shared" ref="B24:B33" si="18">1/8</f>
        <v>0.125</v>
      </c>
      <c r="C24">
        <f>0.0471/6</f>
        <v>7.8500000000000011E-3</v>
      </c>
      <c r="D24">
        <f t="shared" si="12"/>
        <v>0.94091080165600305</v>
      </c>
      <c r="E24">
        <f t="shared" ref="E24:E33" si="19">1-D24</f>
        <v>5.9089198343996951E-2</v>
      </c>
      <c r="F24">
        <f t="shared" si="13"/>
        <v>9.4091080165600305E-3</v>
      </c>
      <c r="G24">
        <f t="shared" ref="G24:G33" si="20">0.02*E24</f>
        <v>1.181783966879939E-3</v>
      </c>
      <c r="H24">
        <f t="shared" si="14"/>
        <v>1.4843206624012023E-4</v>
      </c>
      <c r="I24">
        <f t="shared" si="15"/>
        <v>3.3147706178732429E-3</v>
      </c>
      <c r="J24">
        <f t="shared" si="16"/>
        <v>-8.8153831707876922</v>
      </c>
      <c r="K24">
        <f t="shared" si="17"/>
        <v>5.2845262297620232</v>
      </c>
    </row>
    <row r="25" spans="1:11">
      <c r="A25">
        <v>306.18</v>
      </c>
      <c r="B25">
        <f t="shared" si="18"/>
        <v>0.125</v>
      </c>
      <c r="C25">
        <f>0.0605/6</f>
        <v>1.0083333333333333E-2</v>
      </c>
      <c r="D25">
        <f t="shared" si="12"/>
        <v>0.92535471930906843</v>
      </c>
      <c r="E25">
        <f t="shared" si="19"/>
        <v>7.464528069093157E-2</v>
      </c>
      <c r="F25">
        <f>(0.02-G25)/2</f>
        <v>9.2535471930906849E-3</v>
      </c>
      <c r="G25">
        <f t="shared" si="20"/>
        <v>1.4929056138186314E-3</v>
      </c>
      <c r="H25">
        <f t="shared" si="14"/>
        <v>2.4085543902940603E-4</v>
      </c>
      <c r="I25">
        <f t="shared" si="15"/>
        <v>3.2660526487686982E-3</v>
      </c>
      <c r="J25">
        <f t="shared" si="16"/>
        <v>-8.3313136425006942</v>
      </c>
      <c r="K25">
        <f t="shared" si="17"/>
        <v>5.0688407539101368</v>
      </c>
    </row>
    <row r="26" spans="1:11">
      <c r="A26">
        <v>310.67</v>
      </c>
      <c r="B26">
        <f t="shared" si="18"/>
        <v>0.125</v>
      </c>
      <c r="C26">
        <f>0.0798/6</f>
        <v>1.3299999999999999E-2</v>
      </c>
      <c r="D26">
        <f t="shared" si="12"/>
        <v>0.90383224873463486</v>
      </c>
      <c r="E26">
        <f t="shared" si="19"/>
        <v>9.6167751265365142E-2</v>
      </c>
      <c r="F26">
        <f t="shared" ref="F26:F33" si="21">(0.02-G26)/2</f>
        <v>9.0383224873463487E-3</v>
      </c>
      <c r="G26">
        <f t="shared" si="20"/>
        <v>1.923355025307303E-3</v>
      </c>
      <c r="H26">
        <f t="shared" si="14"/>
        <v>4.0928994938539405E-4</v>
      </c>
      <c r="I26">
        <f t="shared" si="15"/>
        <v>3.2188495831589788E-3</v>
      </c>
      <c r="J26">
        <f t="shared" si="16"/>
        <v>-7.8010867303857987</v>
      </c>
      <c r="K26">
        <f t="shared" si="17"/>
        <v>4.8158479663464968</v>
      </c>
    </row>
    <row r="27" spans="1:11">
      <c r="A27">
        <v>315.26</v>
      </c>
      <c r="B27">
        <f t="shared" si="18"/>
        <v>0.125</v>
      </c>
      <c r="C27">
        <f>0.1013/6</f>
        <v>1.6883333333333334E-2</v>
      </c>
      <c r="D27">
        <f t="shared" si="12"/>
        <v>0.88100552096793139</v>
      </c>
      <c r="E27">
        <f t="shared" si="19"/>
        <v>0.11899447903206861</v>
      </c>
      <c r="F27">
        <f t="shared" si="21"/>
        <v>8.8100552096793145E-3</v>
      </c>
      <c r="G27">
        <f t="shared" si="20"/>
        <v>2.3798895806413723E-3</v>
      </c>
      <c r="H27">
        <f t="shared" si="14"/>
        <v>6.4288750538392273E-4</v>
      </c>
      <c r="I27">
        <f t="shared" si="15"/>
        <v>3.1719850282306669E-3</v>
      </c>
      <c r="J27">
        <f t="shared" si="16"/>
        <v>-7.3495408017792929</v>
      </c>
      <c r="K27">
        <f t="shared" si="17"/>
        <v>4.6041283371335009</v>
      </c>
    </row>
    <row r="28" spans="1:11">
      <c r="A28">
        <v>319.85000000000002</v>
      </c>
      <c r="B28">
        <f t="shared" si="18"/>
        <v>0.125</v>
      </c>
      <c r="C28">
        <f>0.1323/6</f>
        <v>2.205E-2</v>
      </c>
      <c r="D28">
        <f t="shared" si="12"/>
        <v>0.85005100306018355</v>
      </c>
      <c r="E28">
        <f t="shared" si="19"/>
        <v>0.14994899693981645</v>
      </c>
      <c r="F28">
        <f t="shared" si="21"/>
        <v>8.5005100306018364E-3</v>
      </c>
      <c r="G28">
        <f t="shared" si="20"/>
        <v>2.998979938796329E-3</v>
      </c>
      <c r="H28">
        <f t="shared" si="14"/>
        <v>1.0580401224073452E-3</v>
      </c>
      <c r="I28">
        <f t="shared" si="15"/>
        <v>3.1264655307175235E-3</v>
      </c>
      <c r="J28">
        <f t="shared" si="16"/>
        <v>-6.8513370233847954</v>
      </c>
      <c r="K28">
        <f t="shared" si="17"/>
        <v>4.3545174047736426</v>
      </c>
    </row>
    <row r="29" spans="1:11">
      <c r="A29">
        <v>324.45</v>
      </c>
      <c r="B29">
        <f t="shared" si="18"/>
        <v>0.125</v>
      </c>
      <c r="C29">
        <f>0.1701/6</f>
        <v>2.835E-2</v>
      </c>
      <c r="D29">
        <f t="shared" si="12"/>
        <v>0.8151287903488752</v>
      </c>
      <c r="E29">
        <f t="shared" si="19"/>
        <v>0.1848712096511248</v>
      </c>
      <c r="F29">
        <f t="shared" si="21"/>
        <v>8.1512879034887527E-3</v>
      </c>
      <c r="G29">
        <f t="shared" si="20"/>
        <v>3.6974241930224959E-3</v>
      </c>
      <c r="H29">
        <f t="shared" si="14"/>
        <v>1.6771516139550031E-3</v>
      </c>
      <c r="I29">
        <f t="shared" si="15"/>
        <v>3.0821390044691015E-3</v>
      </c>
      <c r="J29">
        <f t="shared" si="16"/>
        <v>-6.3906583923832416</v>
      </c>
      <c r="K29">
        <f t="shared" si="17"/>
        <v>4.1201376542801835</v>
      </c>
    </row>
    <row r="30" spans="1:11">
      <c r="A30">
        <v>329.03</v>
      </c>
      <c r="B30">
        <f t="shared" si="18"/>
        <v>0.125</v>
      </c>
      <c r="C30">
        <f>0.2146/6</f>
        <v>3.5766666666666669E-2</v>
      </c>
      <c r="D30">
        <f t="shared" si="12"/>
        <v>0.77752436243002276</v>
      </c>
      <c r="E30">
        <f t="shared" si="19"/>
        <v>0.22247563756997724</v>
      </c>
      <c r="F30">
        <f t="shared" si="21"/>
        <v>7.7752436243002272E-3</v>
      </c>
      <c r="G30">
        <f t="shared" si="20"/>
        <v>4.4495127513995451E-3</v>
      </c>
      <c r="H30">
        <f t="shared" si="14"/>
        <v>2.5463078305342471E-3</v>
      </c>
      <c r="I30">
        <f t="shared" si="15"/>
        <v>3.0392365437802026E-3</v>
      </c>
      <c r="J30">
        <f t="shared" si="16"/>
        <v>-5.9731108786402318</v>
      </c>
      <c r="K30">
        <f t="shared" si="17"/>
        <v>3.9053001525633952</v>
      </c>
    </row>
    <row r="31" spans="1:11">
      <c r="A31">
        <v>333.72</v>
      </c>
      <c r="B31">
        <f t="shared" si="18"/>
        <v>0.125</v>
      </c>
      <c r="C31">
        <f>0.2729/6</f>
        <v>4.5483333333333327E-2</v>
      </c>
      <c r="D31">
        <f t="shared" si="12"/>
        <v>0.73320950239515115</v>
      </c>
      <c r="E31">
        <f t="shared" si="19"/>
        <v>0.26679049760484885</v>
      </c>
      <c r="F31">
        <f t="shared" si="21"/>
        <v>7.3320950239515112E-3</v>
      </c>
      <c r="G31">
        <f t="shared" si="20"/>
        <v>5.3358099520969772E-3</v>
      </c>
      <c r="H31">
        <f t="shared" si="14"/>
        <v>3.883046762472705E-3</v>
      </c>
      <c r="I31">
        <f t="shared" si="15"/>
        <v>2.9965240321227372E-3</v>
      </c>
      <c r="J31">
        <f t="shared" si="16"/>
        <v>-5.5511351854329343</v>
      </c>
      <c r="K31">
        <f t="shared" si="17"/>
        <v>3.6811404088344628</v>
      </c>
    </row>
    <row r="32" spans="1:11">
      <c r="A32">
        <v>338.41</v>
      </c>
      <c r="B32">
        <f t="shared" si="18"/>
        <v>0.125</v>
      </c>
      <c r="C32">
        <f>0.3438/6</f>
        <v>5.7299999999999997E-2</v>
      </c>
      <c r="D32">
        <f t="shared" si="12"/>
        <v>0.68568294020844767</v>
      </c>
      <c r="E32">
        <f t="shared" si="19"/>
        <v>0.31431705979155233</v>
      </c>
      <c r="F32">
        <f t="shared" si="21"/>
        <v>6.8568294020844769E-3</v>
      </c>
      <c r="G32">
        <f t="shared" si="20"/>
        <v>6.2863411958310467E-3</v>
      </c>
      <c r="H32">
        <f t="shared" si="14"/>
        <v>5.7633176083379013E-3</v>
      </c>
      <c r="I32">
        <f t="shared" si="15"/>
        <v>2.9549954197570991E-3</v>
      </c>
      <c r="J32">
        <f t="shared" si="16"/>
        <v>-5.1562419964137316</v>
      </c>
      <c r="K32">
        <f t="shared" si="17"/>
        <v>3.4673271802602703</v>
      </c>
    </row>
    <row r="33" spans="1:11">
      <c r="A33">
        <v>343</v>
      </c>
      <c r="B33">
        <f t="shared" si="18"/>
        <v>0.125</v>
      </c>
      <c r="C33">
        <f>0.4164/6</f>
        <v>6.9400000000000003E-2</v>
      </c>
      <c r="D33">
        <f t="shared" si="12"/>
        <v>0.64300411522633738</v>
      </c>
      <c r="E33">
        <f t="shared" si="19"/>
        <v>0.35699588477366262</v>
      </c>
      <c r="F33">
        <f t="shared" si="21"/>
        <v>6.4300411522633738E-3</v>
      </c>
      <c r="G33">
        <f t="shared" si="20"/>
        <v>7.1399176954732527E-3</v>
      </c>
      <c r="H33">
        <f t="shared" si="14"/>
        <v>7.9281646090535018E-3</v>
      </c>
      <c r="I33">
        <f t="shared" si="15"/>
        <v>2.9154518950437317E-3</v>
      </c>
      <c r="J33">
        <f t="shared" si="16"/>
        <v>-4.8373337191713226</v>
      </c>
      <c r="K33">
        <f t="shared" si="17"/>
        <v>3.2969967116702441</v>
      </c>
    </row>
    <row r="34" spans="1:11">
      <c r="A34" t="s">
        <v>6</v>
      </c>
      <c r="B34">
        <v>10300</v>
      </c>
    </row>
    <row r="35" spans="1:11">
      <c r="A35" t="s">
        <v>7</v>
      </c>
      <c r="B35" s="2">
        <v>25.3</v>
      </c>
    </row>
    <row r="36" spans="1:11">
      <c r="A36" t="s">
        <v>8</v>
      </c>
      <c r="B36">
        <f>B34*8.314/4.184/1000</f>
        <v>20.46706500956023</v>
      </c>
    </row>
    <row r="37" spans="1:11">
      <c r="A37" t="s">
        <v>18</v>
      </c>
      <c r="B37">
        <f>B35*8.314/4.184</f>
        <v>50.273470363288716</v>
      </c>
    </row>
    <row r="40" spans="1:11">
      <c r="A40" t="s">
        <v>25</v>
      </c>
    </row>
    <row r="41" spans="1:11">
      <c r="A41" t="s">
        <v>3</v>
      </c>
      <c r="B41" t="s">
        <v>31</v>
      </c>
      <c r="C41" t="s">
        <v>30</v>
      </c>
      <c r="D41" t="s">
        <v>10</v>
      </c>
      <c r="E41" t="s">
        <v>11</v>
      </c>
      <c r="F41" t="s">
        <v>4</v>
      </c>
      <c r="G41" t="s">
        <v>5</v>
      </c>
      <c r="H41" t="s">
        <v>0</v>
      </c>
      <c r="I41" t="s">
        <v>1</v>
      </c>
      <c r="J41" t="s">
        <v>2</v>
      </c>
      <c r="K41" t="s">
        <v>12</v>
      </c>
    </row>
    <row r="42" spans="1:11">
      <c r="A42">
        <v>297.18</v>
      </c>
      <c r="B42">
        <v>0.125</v>
      </c>
      <c r="C42">
        <f>0.0326/6</f>
        <v>5.4333333333333326E-3</v>
      </c>
      <c r="D42">
        <f t="shared" ref="D42:D52" si="22">B42/(B42+C42)</f>
        <v>0.9583439815997955</v>
      </c>
      <c r="E42">
        <f>1-D42</f>
        <v>4.1656018400204498E-2</v>
      </c>
      <c r="F42">
        <f t="shared" ref="F42:F43" si="23">(0.02-G42)/2</f>
        <v>9.5834398159979559E-3</v>
      </c>
      <c r="G42">
        <f>0.02*E42</f>
        <v>8.3312036800409E-4</v>
      </c>
      <c r="H42">
        <f t="shared" ref="H42:H52" si="24">G42*G42/F42</f>
        <v>7.2425930658488979E-5</v>
      </c>
      <c r="I42">
        <f t="shared" ref="I42:I52" si="25">1/A42</f>
        <v>3.3649639948852548E-3</v>
      </c>
      <c r="J42">
        <f t="shared" ref="J42:J52" si="26">LN(H42)</f>
        <v>-9.5329461644295428</v>
      </c>
      <c r="K42">
        <f t="shared" ref="K42:K52" si="27">-8.314*A42*J42/4184</f>
        <v>5.6294382946178194</v>
      </c>
    </row>
    <row r="43" spans="1:11">
      <c r="A43">
        <v>301.68</v>
      </c>
      <c r="B43">
        <v>0.125</v>
      </c>
      <c r="C43">
        <f>0.047/6</f>
        <v>7.8333333333333328E-3</v>
      </c>
      <c r="D43">
        <f t="shared" si="22"/>
        <v>0.94102885821831872</v>
      </c>
      <c r="E43">
        <f t="shared" ref="E43:E52" si="28">1-D43</f>
        <v>5.897114178168128E-2</v>
      </c>
      <c r="F43">
        <f t="shared" si="23"/>
        <v>9.4102885821831881E-3</v>
      </c>
      <c r="G43">
        <f t="shared" ref="G43:G52" si="29">0.02*E43</f>
        <v>1.1794228356336257E-3</v>
      </c>
      <c r="H43">
        <f t="shared" si="24"/>
        <v>1.4782099539941437E-4</v>
      </c>
      <c r="I43">
        <f t="shared" si="25"/>
        <v>3.3147706178732429E-3</v>
      </c>
      <c r="J43">
        <f t="shared" si="26"/>
        <v>-8.8195085067686563</v>
      </c>
      <c r="K43">
        <f t="shared" si="27"/>
        <v>5.2869992301722855</v>
      </c>
    </row>
    <row r="44" spans="1:11">
      <c r="A44">
        <v>306.18</v>
      </c>
      <c r="B44">
        <v>0.125</v>
      </c>
      <c r="C44">
        <f>0.0592/6</f>
        <v>9.8666666666666677E-3</v>
      </c>
      <c r="D44">
        <f t="shared" si="22"/>
        <v>0.9268413247652002</v>
      </c>
      <c r="E44">
        <f t="shared" si="28"/>
        <v>7.3158675234799797E-2</v>
      </c>
      <c r="F44">
        <f>(0.02-G44)/2</f>
        <v>9.2684132476520027E-3</v>
      </c>
      <c r="G44">
        <f t="shared" si="29"/>
        <v>1.4631735046959961E-3</v>
      </c>
      <c r="H44">
        <f t="shared" si="24"/>
        <v>2.309863239413412E-4</v>
      </c>
      <c r="I44">
        <f t="shared" si="25"/>
        <v>3.2660526487686982E-3</v>
      </c>
      <c r="J44">
        <f t="shared" si="26"/>
        <v>-8.3731520529122268</v>
      </c>
      <c r="K44">
        <f t="shared" si="27"/>
        <v>5.094295591991246</v>
      </c>
    </row>
    <row r="45" spans="1:11">
      <c r="A45">
        <v>310.67</v>
      </c>
      <c r="B45">
        <v>0.125</v>
      </c>
      <c r="C45">
        <f>0.0794/6</f>
        <v>1.3233333333333333E-2</v>
      </c>
      <c r="D45">
        <f t="shared" si="22"/>
        <v>0.90426814564745606</v>
      </c>
      <c r="E45">
        <f t="shared" si="28"/>
        <v>9.5731854352543944E-2</v>
      </c>
      <c r="F45">
        <f t="shared" ref="F45:F52" si="30">(0.02-G45)/2</f>
        <v>9.0426814564745599E-3</v>
      </c>
      <c r="G45">
        <f t="shared" si="29"/>
        <v>1.9146370870508789E-3</v>
      </c>
      <c r="H45">
        <f t="shared" si="24"/>
        <v>4.0539249256490583E-4</v>
      </c>
      <c r="I45">
        <f t="shared" si="25"/>
        <v>3.2188495831589788E-3</v>
      </c>
      <c r="J45">
        <f t="shared" si="26"/>
        <v>-7.8106548427046594</v>
      </c>
      <c r="K45">
        <f t="shared" si="27"/>
        <v>4.8217546529204434</v>
      </c>
    </row>
    <row r="46" spans="1:11">
      <c r="A46">
        <v>315.26</v>
      </c>
      <c r="B46">
        <v>0.125</v>
      </c>
      <c r="C46">
        <f>0.1/6</f>
        <v>1.6666666666666666E-2</v>
      </c>
      <c r="D46">
        <f t="shared" si="22"/>
        <v>0.88235294117647056</v>
      </c>
      <c r="E46">
        <f t="shared" si="28"/>
        <v>0.11764705882352944</v>
      </c>
      <c r="F46">
        <f t="shared" si="30"/>
        <v>8.8235294117647058E-3</v>
      </c>
      <c r="G46">
        <f t="shared" si="29"/>
        <v>2.3529411764705889E-3</v>
      </c>
      <c r="H46">
        <f t="shared" si="24"/>
        <v>6.2745098039215721E-4</v>
      </c>
      <c r="I46">
        <f t="shared" si="25"/>
        <v>3.1719850282306669E-3</v>
      </c>
      <c r="J46">
        <f t="shared" si="26"/>
        <v>-7.373845008906736</v>
      </c>
      <c r="K46">
        <f t="shared" si="27"/>
        <v>4.6193537358032968</v>
      </c>
    </row>
    <row r="47" spans="1:11">
      <c r="A47">
        <v>319.85000000000002</v>
      </c>
      <c r="B47">
        <v>0.125</v>
      </c>
      <c r="C47">
        <f>0.1318/6</f>
        <v>2.1966666666666666E-2</v>
      </c>
      <c r="D47">
        <f t="shared" si="22"/>
        <v>0.85053300068042648</v>
      </c>
      <c r="E47">
        <f t="shared" si="28"/>
        <v>0.14946699931957352</v>
      </c>
      <c r="F47">
        <f t="shared" si="30"/>
        <v>8.5053300068042657E-3</v>
      </c>
      <c r="G47">
        <f t="shared" si="29"/>
        <v>2.9893399863914704E-3</v>
      </c>
      <c r="H47">
        <f t="shared" si="24"/>
        <v>1.0506533605503879E-3</v>
      </c>
      <c r="I47">
        <f t="shared" si="25"/>
        <v>3.1264655307175235E-3</v>
      </c>
      <c r="J47">
        <f t="shared" si="26"/>
        <v>-6.8583430601855815</v>
      </c>
      <c r="K47">
        <f t="shared" si="27"/>
        <v>4.3589702450124719</v>
      </c>
    </row>
    <row r="48" spans="1:11">
      <c r="A48">
        <v>324.45</v>
      </c>
      <c r="B48">
        <v>0.125</v>
      </c>
      <c r="C48">
        <f>0.1661/6</f>
        <v>2.7683333333333334E-2</v>
      </c>
      <c r="D48">
        <f t="shared" si="22"/>
        <v>0.81868791616635739</v>
      </c>
      <c r="E48">
        <f t="shared" si="28"/>
        <v>0.18131208383364261</v>
      </c>
      <c r="F48">
        <f t="shared" si="30"/>
        <v>8.1868791616635742E-3</v>
      </c>
      <c r="G48">
        <f t="shared" si="29"/>
        <v>3.6262416766728524E-3</v>
      </c>
      <c r="H48">
        <f t="shared" si="24"/>
        <v>1.606183313320962E-3</v>
      </c>
      <c r="I48">
        <f t="shared" si="25"/>
        <v>3.0821390044691015E-3</v>
      </c>
      <c r="J48">
        <f t="shared" si="26"/>
        <v>-6.4338945271812218</v>
      </c>
      <c r="K48">
        <f t="shared" si="27"/>
        <v>4.1480125329028628</v>
      </c>
    </row>
    <row r="49" spans="1:11">
      <c r="A49">
        <v>329.03</v>
      </c>
      <c r="B49">
        <v>0.125</v>
      </c>
      <c r="C49">
        <f>0.2131/6</f>
        <v>3.5516666666666669E-2</v>
      </c>
      <c r="D49">
        <f t="shared" si="22"/>
        <v>0.77873533381787974</v>
      </c>
      <c r="E49">
        <f t="shared" si="28"/>
        <v>0.22126466618212026</v>
      </c>
      <c r="F49">
        <f t="shared" si="30"/>
        <v>7.7873533381787978E-3</v>
      </c>
      <c r="G49">
        <f t="shared" si="29"/>
        <v>4.4252933236424057E-3</v>
      </c>
      <c r="H49">
        <f t="shared" si="24"/>
        <v>2.5147466860485248E-3</v>
      </c>
      <c r="I49">
        <f t="shared" si="25"/>
        <v>3.0392365437802026E-3</v>
      </c>
      <c r="J49">
        <f t="shared" si="26"/>
        <v>-5.9855832017562323</v>
      </c>
      <c r="K49">
        <f t="shared" si="27"/>
        <v>3.9134547250060261</v>
      </c>
    </row>
    <row r="50" spans="1:11">
      <c r="A50">
        <v>333.72</v>
      </c>
      <c r="B50">
        <v>0.125</v>
      </c>
      <c r="C50">
        <f>0.2783/6</f>
        <v>4.6383333333333332E-2</v>
      </c>
      <c r="D50">
        <f t="shared" si="22"/>
        <v>0.72935913643878247</v>
      </c>
      <c r="E50">
        <f t="shared" si="28"/>
        <v>0.27064086356121753</v>
      </c>
      <c r="F50">
        <f t="shared" si="30"/>
        <v>7.2935913643878249E-3</v>
      </c>
      <c r="G50">
        <f t="shared" si="29"/>
        <v>5.4128172712243506E-3</v>
      </c>
      <c r="H50">
        <f t="shared" si="24"/>
        <v>4.0170321242179643E-3</v>
      </c>
      <c r="I50">
        <f t="shared" si="25"/>
        <v>2.9965240321227372E-3</v>
      </c>
      <c r="J50">
        <f t="shared" si="26"/>
        <v>-5.5172119265700115</v>
      </c>
      <c r="K50">
        <f t="shared" si="27"/>
        <v>3.6586447795931947</v>
      </c>
    </row>
    <row r="51" spans="1:11">
      <c r="A51">
        <v>338.41</v>
      </c>
      <c r="B51">
        <v>0.125</v>
      </c>
      <c r="C51">
        <f>0.3426/6</f>
        <v>5.7100000000000005E-2</v>
      </c>
      <c r="D51">
        <f t="shared" si="22"/>
        <v>0.68643602416254801</v>
      </c>
      <c r="E51">
        <f t="shared" si="28"/>
        <v>0.31356397583745199</v>
      </c>
      <c r="F51">
        <f t="shared" si="30"/>
        <v>6.8643602416254799E-3</v>
      </c>
      <c r="G51">
        <f t="shared" si="29"/>
        <v>6.2712795167490397E-3</v>
      </c>
      <c r="H51">
        <f t="shared" si="24"/>
        <v>5.7294409665019242E-3</v>
      </c>
      <c r="I51">
        <f t="shared" si="25"/>
        <v>2.9549954197570991E-3</v>
      </c>
      <c r="J51">
        <f t="shared" si="26"/>
        <v>-5.1621373155801349</v>
      </c>
      <c r="K51">
        <f t="shared" si="27"/>
        <v>3.4712915016393278</v>
      </c>
    </row>
    <row r="52" spans="1:11">
      <c r="A52">
        <v>343</v>
      </c>
      <c r="B52">
        <v>0.125</v>
      </c>
      <c r="C52">
        <f>0.4188/6</f>
        <v>6.9800000000000001E-2</v>
      </c>
      <c r="D52">
        <f t="shared" si="22"/>
        <v>0.64168377823408629</v>
      </c>
      <c r="E52">
        <f t="shared" si="28"/>
        <v>0.35831622176591371</v>
      </c>
      <c r="F52">
        <f t="shared" si="30"/>
        <v>6.416837782340863E-3</v>
      </c>
      <c r="G52">
        <f t="shared" si="29"/>
        <v>7.1663244353182744E-3</v>
      </c>
      <c r="H52">
        <f t="shared" si="24"/>
        <v>8.0033511293634476E-3</v>
      </c>
      <c r="I52">
        <f t="shared" si="25"/>
        <v>2.9154518950437317E-3</v>
      </c>
      <c r="J52">
        <f t="shared" si="26"/>
        <v>-4.8278949338422832</v>
      </c>
      <c r="K52">
        <f t="shared" si="27"/>
        <v>3.2905634891558098</v>
      </c>
    </row>
    <row r="53" spans="1:11">
      <c r="A53" t="s">
        <v>6</v>
      </c>
      <c r="B53">
        <v>10390</v>
      </c>
    </row>
    <row r="54" spans="1:11">
      <c r="A54" t="s">
        <v>7</v>
      </c>
      <c r="B54" s="2">
        <v>25.57</v>
      </c>
    </row>
    <row r="55" spans="1:11">
      <c r="A55" t="s">
        <v>8</v>
      </c>
      <c r="B55">
        <f>B53*8.314/4.184/1000</f>
        <v>20.645903441682599</v>
      </c>
    </row>
    <row r="56" spans="1:11">
      <c r="A56" t="s">
        <v>18</v>
      </c>
      <c r="B56">
        <f>B54*8.314/4.184</f>
        <v>50.80998565965583</v>
      </c>
    </row>
    <row r="59" spans="1:11">
      <c r="A59" t="s">
        <v>20</v>
      </c>
      <c r="B59">
        <v>1</v>
      </c>
      <c r="C59">
        <v>2</v>
      </c>
      <c r="D59">
        <v>3</v>
      </c>
      <c r="E59" t="s">
        <v>21</v>
      </c>
      <c r="F59" t="s">
        <v>22</v>
      </c>
    </row>
    <row r="60" spans="1:11">
      <c r="A60" t="s">
        <v>6</v>
      </c>
      <c r="B60">
        <v>10156</v>
      </c>
      <c r="C60">
        <v>10300</v>
      </c>
      <c r="D60">
        <v>10390</v>
      </c>
    </row>
    <row r="61" spans="1:11">
      <c r="A61" t="s">
        <v>7</v>
      </c>
      <c r="B61" s="2">
        <v>24.84</v>
      </c>
      <c r="C61" s="2">
        <v>25.3</v>
      </c>
      <c r="D61" s="2">
        <v>25.57</v>
      </c>
    </row>
    <row r="62" spans="1:11">
      <c r="A62" t="s">
        <v>8</v>
      </c>
      <c r="B62">
        <f>B60*8.314/4.184/1000</f>
        <v>20.180923518164434</v>
      </c>
      <c r="C62">
        <f>C60*8.314/4.184/1000</f>
        <v>20.46706500956023</v>
      </c>
      <c r="D62">
        <f>D60*8.314/4.184/1000</f>
        <v>20.645903441682599</v>
      </c>
      <c r="E62">
        <f t="shared" ref="E62" si="31" xml:space="preserve"> AVERAGE(B62:D62)</f>
        <v>20.431297323135755</v>
      </c>
      <c r="F62">
        <f>_xlfn.STDEV.S(B62:D62)</f>
        <v>0.234544404885001</v>
      </c>
    </row>
    <row r="63" spans="1:11" ht="16.2">
      <c r="A63" t="s">
        <v>29</v>
      </c>
      <c r="B63">
        <f>B61*8.314/4.184</f>
        <v>49.359407265774372</v>
      </c>
      <c r="C63">
        <f>C61*8.314/4.184</f>
        <v>50.273470363288716</v>
      </c>
      <c r="D63">
        <f>D61*8.314/4.184</f>
        <v>50.80998565965583</v>
      </c>
      <c r="E63">
        <f xml:space="preserve"> AVERAGE(B63:D63)</f>
        <v>50.147621096239639</v>
      </c>
      <c r="F63">
        <f>_xlfn.STDEV.S(B63:D63)</f>
        <v>0.73343230615478039</v>
      </c>
    </row>
    <row r="64" spans="1:11">
      <c r="A64" t="s">
        <v>19</v>
      </c>
      <c r="B64">
        <f>B62-298.15*B63/1000</f>
        <v>5.4644162418738063</v>
      </c>
      <c r="C64">
        <f>C62-298.15*C63/1000</f>
        <v>5.4780298207457019</v>
      </c>
      <c r="D64">
        <f>D62-298.15*D63/1000</f>
        <v>5.496906217256214</v>
      </c>
      <c r="E64">
        <f xml:space="preserve"> AVERAGE(B64:D64)</f>
        <v>5.4797840932919071</v>
      </c>
      <c r="F64">
        <f>_xlfn.STDEV.S(B64:D64)</f>
        <v>1.6315873535062187E-2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691A1-DAEC-4E3E-B201-D95AE336B495}">
  <dimension ref="A1:I32"/>
  <sheetViews>
    <sheetView zoomScale="75" zoomScaleNormal="75" workbookViewId="0">
      <selection activeCell="F28" sqref="F28"/>
    </sheetView>
  </sheetViews>
  <sheetFormatPr defaultRowHeight="14.4"/>
  <cols>
    <col min="1" max="1" width="25.77734375" customWidth="1"/>
    <col min="3" max="3" width="20.44140625" customWidth="1"/>
    <col min="4" max="4" width="17.88671875" customWidth="1"/>
    <col min="5" max="5" width="27" customWidth="1"/>
    <col min="6" max="6" width="32.77734375" customWidth="1"/>
  </cols>
  <sheetData>
    <row r="1" spans="1:9">
      <c r="A1" t="s">
        <v>23</v>
      </c>
    </row>
    <row r="2" spans="1:9">
      <c r="A2" t="s">
        <v>26</v>
      </c>
      <c r="B2" t="s">
        <v>3</v>
      </c>
      <c r="C2" t="s">
        <v>4</v>
      </c>
      <c r="D2" t="s">
        <v>5</v>
      </c>
      <c r="E2" t="s">
        <v>27</v>
      </c>
      <c r="F2" t="s">
        <v>28</v>
      </c>
      <c r="G2" t="s">
        <v>0</v>
      </c>
      <c r="H2" t="s">
        <v>1</v>
      </c>
      <c r="I2" t="s">
        <v>2</v>
      </c>
    </row>
    <row r="3" spans="1:9">
      <c r="A3">
        <v>19.5</v>
      </c>
      <c r="B3">
        <f>273.15+A3</f>
        <v>292.64999999999998</v>
      </c>
      <c r="C3">
        <f>(0.02-D3)/2</f>
        <v>9.7702906990677508E-3</v>
      </c>
      <c r="D3">
        <f>0.02*E3/F3</f>
        <v>4.5941860186450025E-4</v>
      </c>
      <c r="E3">
        <v>4792.54</v>
      </c>
      <c r="F3">
        <v>208635</v>
      </c>
      <c r="G3">
        <f t="shared" ref="G3:G8" si="0">D3*D3/C3</f>
        <v>2.1602781149518033E-5</v>
      </c>
      <c r="H3">
        <f t="shared" ref="H3:H8" si="1">1/B3</f>
        <v>3.4170510849137197E-3</v>
      </c>
      <c r="I3">
        <f>LN(G3)</f>
        <v>-10.742688494640484</v>
      </c>
    </row>
    <row r="4" spans="1:9">
      <c r="A4">
        <v>27.9</v>
      </c>
      <c r="B4">
        <f t="shared" ref="B4:B8" si="2">273.15+A4</f>
        <v>301.04999999999995</v>
      </c>
      <c r="C4">
        <f t="shared" ref="C4:C8" si="3">(0.02-D4)/2</f>
        <v>9.6322252688006409E-3</v>
      </c>
      <c r="D4">
        <f t="shared" ref="D4:D8" si="4">0.02*E4/F4</f>
        <v>7.3554946239871844E-4</v>
      </c>
      <c r="E4">
        <v>7162.56</v>
      </c>
      <c r="F4">
        <v>194754</v>
      </c>
      <c r="G4">
        <f t="shared" si="0"/>
        <v>5.6169057153125586E-5</v>
      </c>
      <c r="H4">
        <f t="shared" si="1"/>
        <v>3.3217073575817976E-3</v>
      </c>
      <c r="I4">
        <f t="shared" ref="I4:I8" si="5">LN(G4)</f>
        <v>-9.7871445371558714</v>
      </c>
    </row>
    <row r="5" spans="1:9">
      <c r="A5">
        <v>36.4</v>
      </c>
      <c r="B5">
        <f t="shared" si="2"/>
        <v>309.54999999999995</v>
      </c>
      <c r="C5">
        <f t="shared" si="3"/>
        <v>9.4047997058676076E-3</v>
      </c>
      <c r="D5">
        <f t="shared" si="4"/>
        <v>1.1904005882647859E-3</v>
      </c>
      <c r="E5">
        <v>10684.5</v>
      </c>
      <c r="F5">
        <v>179511</v>
      </c>
      <c r="G5">
        <f t="shared" si="0"/>
        <v>1.5067344386473811E-4</v>
      </c>
      <c r="H5">
        <f t="shared" si="1"/>
        <v>3.230495881117752E-3</v>
      </c>
      <c r="I5">
        <f t="shared" si="5"/>
        <v>-8.8003956864086561</v>
      </c>
    </row>
    <row r="6" spans="1:9">
      <c r="A6">
        <v>44.9</v>
      </c>
      <c r="B6">
        <f t="shared" si="2"/>
        <v>318.04999999999995</v>
      </c>
      <c r="C6">
        <f t="shared" si="3"/>
        <v>9.1012786782042679E-3</v>
      </c>
      <c r="D6">
        <f t="shared" si="4"/>
        <v>1.7974426435914646E-3</v>
      </c>
      <c r="E6">
        <v>15132.4</v>
      </c>
      <c r="F6">
        <v>168377</v>
      </c>
      <c r="G6">
        <f t="shared" si="0"/>
        <v>3.5498309317109357E-4</v>
      </c>
      <c r="H6">
        <f t="shared" si="1"/>
        <v>3.1441597233139449E-3</v>
      </c>
      <c r="I6">
        <f t="shared" si="5"/>
        <v>-7.9434403944931171</v>
      </c>
    </row>
    <row r="7" spans="1:9">
      <c r="A7">
        <v>53.1</v>
      </c>
      <c r="B7">
        <f t="shared" si="2"/>
        <v>326.25</v>
      </c>
      <c r="C7">
        <f t="shared" si="3"/>
        <v>8.6964140127388529E-3</v>
      </c>
      <c r="D7">
        <f t="shared" si="4"/>
        <v>2.6071719745222933E-3</v>
      </c>
      <c r="E7">
        <v>20466.3</v>
      </c>
      <c r="F7">
        <v>157000</v>
      </c>
      <c r="G7">
        <f t="shared" si="0"/>
        <v>7.8162627662131212E-4</v>
      </c>
      <c r="H7">
        <f t="shared" si="1"/>
        <v>3.0651340996168583E-3</v>
      </c>
      <c r="I7">
        <f t="shared" si="5"/>
        <v>-7.1541338387868461</v>
      </c>
    </row>
    <row r="8" spans="1:9">
      <c r="A8">
        <v>61.6</v>
      </c>
      <c r="B8">
        <f t="shared" si="2"/>
        <v>334.75</v>
      </c>
      <c r="C8">
        <f t="shared" si="3"/>
        <v>8.2051450915826309E-3</v>
      </c>
      <c r="D8">
        <f t="shared" si="4"/>
        <v>3.5897098168347391E-3</v>
      </c>
      <c r="E8">
        <v>26163.599999999999</v>
      </c>
      <c r="F8">
        <v>145770</v>
      </c>
      <c r="G8">
        <f t="shared" si="0"/>
        <v>1.5704800372511396E-3</v>
      </c>
      <c r="H8">
        <f t="shared" si="1"/>
        <v>2.9873039581777448E-3</v>
      </c>
      <c r="I8">
        <f t="shared" si="5"/>
        <v>-6.4563739501449078</v>
      </c>
    </row>
    <row r="9" spans="1:9">
      <c r="A9" t="s">
        <v>6</v>
      </c>
      <c r="B9">
        <v>10055</v>
      </c>
    </row>
    <row r="10" spans="1:9">
      <c r="A10" t="s">
        <v>7</v>
      </c>
      <c r="B10">
        <v>23.638999999999999</v>
      </c>
    </row>
    <row r="11" spans="1:9">
      <c r="A11" t="s">
        <v>8</v>
      </c>
      <c r="B11">
        <f>B9*8.314/4.184/1000</f>
        <v>19.98022705544933</v>
      </c>
    </row>
    <row r="12" spans="1:9">
      <c r="A12" t="s">
        <v>9</v>
      </c>
      <c r="B12">
        <f>B10*8.314/4.184</f>
        <v>46.972907743785854</v>
      </c>
    </row>
    <row r="14" spans="1:9">
      <c r="A14" t="s">
        <v>24</v>
      </c>
    </row>
    <row r="15" spans="1:9">
      <c r="B15" t="s">
        <v>3</v>
      </c>
      <c r="C15" t="s">
        <v>4</v>
      </c>
      <c r="D15" t="s">
        <v>5</v>
      </c>
      <c r="E15" t="s">
        <v>27</v>
      </c>
      <c r="F15" t="s">
        <v>28</v>
      </c>
      <c r="G15" t="s">
        <v>0</v>
      </c>
      <c r="H15" t="s">
        <v>1</v>
      </c>
      <c r="I15" t="s">
        <v>2</v>
      </c>
    </row>
    <row r="16" spans="1:9">
      <c r="A16">
        <v>19.5</v>
      </c>
      <c r="B16">
        <f>273.15+A16</f>
        <v>292.64999999999998</v>
      </c>
      <c r="C16">
        <f>(0.02-D16)/2</f>
        <v>9.7685455460493203E-3</v>
      </c>
      <c r="D16">
        <f>0.02*E16/F16</f>
        <v>4.629089079013588E-4</v>
      </c>
      <c r="E16">
        <v>4828.95</v>
      </c>
      <c r="F16">
        <v>208635</v>
      </c>
      <c r="G16">
        <f t="shared" ref="G16:G21" si="6">D16*D16/C16</f>
        <v>2.193618855583793E-5</v>
      </c>
      <c r="H16">
        <f t="shared" ref="H16:H21" si="7">1/B16</f>
        <v>3.4170510849137197E-3</v>
      </c>
      <c r="I16">
        <f>LN(G16)</f>
        <v>-10.727372839455604</v>
      </c>
    </row>
    <row r="17" spans="1:9">
      <c r="A17">
        <v>27.9</v>
      </c>
      <c r="B17">
        <f t="shared" ref="B17:B21" si="8">273.15+A17</f>
        <v>301.04999999999995</v>
      </c>
      <c r="C17">
        <f t="shared" ref="C17:C21" si="9">(0.02-D17)/2</f>
        <v>9.6120603427914189E-3</v>
      </c>
      <c r="D17">
        <f t="shared" ref="D17:D21" si="10">0.02*E17/F17</f>
        <v>7.7587931441716216E-4</v>
      </c>
      <c r="E17">
        <v>7555.28</v>
      </c>
      <c r="F17">
        <v>194754</v>
      </c>
      <c r="G17">
        <f t="shared" si="6"/>
        <v>6.2628478086064875E-5</v>
      </c>
      <c r="H17">
        <f t="shared" si="7"/>
        <v>3.3217073575817976E-3</v>
      </c>
      <c r="I17">
        <f t="shared" ref="I17:I21" si="11">LN(G17)</f>
        <v>-9.6782904618010033</v>
      </c>
    </row>
    <row r="18" spans="1:9">
      <c r="A18">
        <v>36.4</v>
      </c>
      <c r="B18">
        <f t="shared" si="8"/>
        <v>309.54999999999995</v>
      </c>
      <c r="C18">
        <f t="shared" si="9"/>
        <v>9.3725287029764199E-3</v>
      </c>
      <c r="D18">
        <f t="shared" si="10"/>
        <v>1.2549425940471613E-3</v>
      </c>
      <c r="E18">
        <v>11263.8</v>
      </c>
      <c r="F18">
        <v>179511</v>
      </c>
      <c r="G18">
        <f t="shared" si="6"/>
        <v>1.6803159150141473E-4</v>
      </c>
      <c r="H18">
        <f t="shared" si="7"/>
        <v>3.230495881117752E-3</v>
      </c>
      <c r="I18">
        <f t="shared" si="11"/>
        <v>-8.6913585515879159</v>
      </c>
    </row>
    <row r="19" spans="1:9">
      <c r="A19">
        <v>44.9</v>
      </c>
      <c r="B19">
        <f t="shared" si="8"/>
        <v>318.04999999999995</v>
      </c>
      <c r="C19">
        <f t="shared" si="9"/>
        <v>9.0454990883552973E-3</v>
      </c>
      <c r="D19">
        <f t="shared" si="10"/>
        <v>1.9090018232894043E-3</v>
      </c>
      <c r="E19">
        <v>16071.6</v>
      </c>
      <c r="F19">
        <v>168377</v>
      </c>
      <c r="G19">
        <f t="shared" si="6"/>
        <v>4.0288412233811794E-4</v>
      </c>
      <c r="H19">
        <f t="shared" si="7"/>
        <v>3.1441597233139449E-3</v>
      </c>
      <c r="I19">
        <f t="shared" si="11"/>
        <v>-7.8168615749869952</v>
      </c>
    </row>
    <row r="20" spans="1:9">
      <c r="A20">
        <v>53.1</v>
      </c>
      <c r="B20">
        <f t="shared" si="8"/>
        <v>326.25</v>
      </c>
      <c r="C20">
        <f t="shared" si="9"/>
        <v>8.6088917197452222E-3</v>
      </c>
      <c r="D20">
        <f t="shared" si="10"/>
        <v>2.7822165605095543E-3</v>
      </c>
      <c r="E20">
        <v>21840.400000000001</v>
      </c>
      <c r="F20">
        <v>157000</v>
      </c>
      <c r="G20">
        <f t="shared" si="6"/>
        <v>8.9915511096737299E-4</v>
      </c>
      <c r="H20">
        <f t="shared" si="7"/>
        <v>3.0651340996168583E-3</v>
      </c>
      <c r="I20">
        <f t="shared" si="11"/>
        <v>-7.0140550011481553</v>
      </c>
    </row>
    <row r="21" spans="1:9">
      <c r="A21">
        <v>61.6</v>
      </c>
      <c r="B21">
        <f t="shared" si="8"/>
        <v>334.75</v>
      </c>
      <c r="C21">
        <f t="shared" si="9"/>
        <v>8.0413116553474662E-3</v>
      </c>
      <c r="D21">
        <f t="shared" si="10"/>
        <v>3.9173766893050689E-3</v>
      </c>
      <c r="E21">
        <v>28551.8</v>
      </c>
      <c r="F21">
        <v>145770</v>
      </c>
      <c r="G21">
        <f t="shared" si="6"/>
        <v>1.9083752481730727E-3</v>
      </c>
      <c r="H21">
        <f t="shared" si="7"/>
        <v>2.9873039581777448E-3</v>
      </c>
      <c r="I21">
        <f t="shared" si="11"/>
        <v>-6.2615030543429908</v>
      </c>
    </row>
    <row r="22" spans="1:9">
      <c r="A22" t="s">
        <v>6</v>
      </c>
      <c r="B22">
        <v>10392</v>
      </c>
    </row>
    <row r="23" spans="1:9">
      <c r="A23" t="s">
        <v>7</v>
      </c>
      <c r="B23">
        <v>24.831</v>
      </c>
    </row>
    <row r="24" spans="1:9">
      <c r="A24" t="s">
        <v>8</v>
      </c>
      <c r="B24">
        <f>B22*8.314/4.184/1000</f>
        <v>20.649877629063095</v>
      </c>
    </row>
    <row r="25" spans="1:9">
      <c r="A25" t="s">
        <v>9</v>
      </c>
      <c r="B25">
        <f>B23*8.314/4.184</f>
        <v>49.34152342256214</v>
      </c>
    </row>
    <row r="27" spans="1:9">
      <c r="A27" t="s">
        <v>20</v>
      </c>
      <c r="B27">
        <v>1</v>
      </c>
      <c r="C27">
        <v>2</v>
      </c>
      <c r="D27" t="s">
        <v>21</v>
      </c>
      <c r="E27" t="s">
        <v>22</v>
      </c>
    </row>
    <row r="28" spans="1:9">
      <c r="A28" t="s">
        <v>6</v>
      </c>
      <c r="B28">
        <v>10055</v>
      </c>
      <c r="C28">
        <v>10392</v>
      </c>
    </row>
    <row r="29" spans="1:9">
      <c r="A29" t="s">
        <v>7</v>
      </c>
      <c r="B29">
        <v>23.638999999999999</v>
      </c>
      <c r="C29">
        <v>24.831</v>
      </c>
    </row>
    <row r="30" spans="1:9">
      <c r="A30" t="s">
        <v>8</v>
      </c>
      <c r="B30">
        <f>B28*8.314/4.184/1000</f>
        <v>19.98022705544933</v>
      </c>
      <c r="C30">
        <f>C28*8.314/4.184/1000</f>
        <v>20.649877629063095</v>
      </c>
      <c r="D30">
        <f xml:space="preserve"> AVERAGE(B30:C30)</f>
        <v>20.315052342256212</v>
      </c>
      <c r="E30">
        <f>_xlfn.STDEV.S(B30:C30)</f>
        <v>0.47351446162775473</v>
      </c>
    </row>
    <row r="31" spans="1:9" ht="16.2">
      <c r="A31" t="s">
        <v>29</v>
      </c>
      <c r="B31">
        <f>B29*8.314/4.184</f>
        <v>46.972907743785854</v>
      </c>
      <c r="C31">
        <f>C29*8.314/4.184</f>
        <v>49.34152342256214</v>
      </c>
      <c r="D31">
        <f xml:space="preserve"> AVERAGE(B31:C31)</f>
        <v>48.157215583173993</v>
      </c>
      <c r="E31">
        <f>_xlfn.STDEV.S(B31:C31)</f>
        <v>1.6748642084874896</v>
      </c>
    </row>
    <row r="32" spans="1:9">
      <c r="A32" t="s">
        <v>19</v>
      </c>
      <c r="B32">
        <f>B30-298.15*B31/1000</f>
        <v>5.9752546116395795</v>
      </c>
      <c r="C32">
        <f>C30-298.15*C31/1000</f>
        <v>5.9387024206261927</v>
      </c>
      <c r="D32">
        <f xml:space="preserve"> AVERAGE(B32:C32)</f>
        <v>5.9569785161328861</v>
      </c>
      <c r="E32">
        <f>_xlfn.STDEV.S(B32:C32)</f>
        <v>2.584630213279179E-2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A59F3-2670-45E6-B0D3-71D53E2407A9}">
  <dimension ref="A1:K60"/>
  <sheetViews>
    <sheetView topLeftCell="A34" zoomScale="75" zoomScaleNormal="75" workbookViewId="0">
      <selection activeCell="E55" sqref="E55:F55"/>
    </sheetView>
  </sheetViews>
  <sheetFormatPr defaultRowHeight="14.4"/>
  <cols>
    <col min="1" max="1" width="28.5546875" customWidth="1"/>
    <col min="2" max="2" width="23" customWidth="1"/>
    <col min="3" max="3" width="39.109375" customWidth="1"/>
    <col min="4" max="4" width="11.44140625" customWidth="1"/>
    <col min="5" max="5" width="14.88671875" customWidth="1"/>
  </cols>
  <sheetData>
    <row r="1" spans="1:11">
      <c r="A1" t="s">
        <v>23</v>
      </c>
    </row>
    <row r="2" spans="1:11">
      <c r="A2" t="s">
        <v>3</v>
      </c>
      <c r="B2" t="s">
        <v>31</v>
      </c>
      <c r="C2" t="s">
        <v>30</v>
      </c>
      <c r="D2" t="s">
        <v>10</v>
      </c>
      <c r="E2" t="s">
        <v>11</v>
      </c>
      <c r="F2" t="s">
        <v>4</v>
      </c>
      <c r="G2" t="s">
        <v>5</v>
      </c>
      <c r="H2" t="s">
        <v>0</v>
      </c>
      <c r="I2" t="s">
        <v>1</v>
      </c>
      <c r="J2" t="s">
        <v>2</v>
      </c>
      <c r="K2" t="s">
        <v>12</v>
      </c>
    </row>
    <row r="3" spans="1:11" ht="13.95" customHeight="1">
      <c r="A3">
        <v>297.18</v>
      </c>
      <c r="B3">
        <v>0.5</v>
      </c>
      <c r="C3">
        <v>1.695E-2</v>
      </c>
      <c r="D3">
        <f t="shared" ref="D3:D10" si="0">B3/(B3+C3)</f>
        <v>0.96721152916142761</v>
      </c>
      <c r="E3">
        <f>1-D3</f>
        <v>3.2788470838572392E-2</v>
      </c>
      <c r="F3">
        <f t="shared" ref="F3:F4" si="1">(0.02-G3)/2</f>
        <v>9.6721152916142764E-3</v>
      </c>
      <c r="G3">
        <f>0.02*E3</f>
        <v>6.5576941677144781E-4</v>
      </c>
      <c r="H3">
        <f t="shared" ref="H3:H13" si="2">G3*G3/F3</f>
        <v>4.446116645710415E-5</v>
      </c>
      <c r="I3">
        <f t="shared" ref="I3:I10" si="3">1/A3</f>
        <v>3.3649639948852548E-3</v>
      </c>
      <c r="J3">
        <f t="shared" ref="J3:J4" si="4">LN(H3)</f>
        <v>-10.020894413670176</v>
      </c>
      <c r="K3">
        <f t="shared" ref="K3:K13" si="5">-8.314*A3*J3/4184</f>
        <v>5.9175836919259881</v>
      </c>
    </row>
    <row r="4" spans="1:11">
      <c r="A4">
        <v>301.68</v>
      </c>
      <c r="B4">
        <v>0.5</v>
      </c>
      <c r="C4">
        <v>2.2800000000000001E-2</v>
      </c>
      <c r="D4">
        <f t="shared" si="0"/>
        <v>0.95638867635807179</v>
      </c>
      <c r="E4">
        <f t="shared" ref="E4:E13" si="6">1-D4</f>
        <v>4.3611323641928212E-2</v>
      </c>
      <c r="F4">
        <f t="shared" si="1"/>
        <v>9.5638867635807184E-3</v>
      </c>
      <c r="G4">
        <f t="shared" ref="G4:G13" si="7">0.02*E4</f>
        <v>8.7222647283856424E-4</v>
      </c>
      <c r="H4">
        <f t="shared" si="2"/>
        <v>7.9547054322877308E-5</v>
      </c>
      <c r="I4">
        <f t="shared" si="3"/>
        <v>3.3147706178732429E-3</v>
      </c>
      <c r="J4">
        <f t="shared" si="4"/>
        <v>-9.4391618331196625</v>
      </c>
      <c r="K4">
        <f t="shared" si="5"/>
        <v>5.6584605941334596</v>
      </c>
    </row>
    <row r="5" spans="1:11">
      <c r="A5">
        <v>306.18</v>
      </c>
      <c r="B5">
        <v>0.5</v>
      </c>
      <c r="C5">
        <v>0.03</v>
      </c>
      <c r="D5">
        <f t="shared" si="0"/>
        <v>0.94339622641509424</v>
      </c>
      <c r="E5">
        <f t="shared" si="6"/>
        <v>5.6603773584905759E-2</v>
      </c>
      <c r="F5">
        <f>(0.02-G5)/2</f>
        <v>9.433962264150943E-3</v>
      </c>
      <c r="G5">
        <f t="shared" si="7"/>
        <v>1.1320754716981152E-3</v>
      </c>
      <c r="H5">
        <f t="shared" si="2"/>
        <v>1.3584905660377408E-4</v>
      </c>
      <c r="I5">
        <f t="shared" si="3"/>
        <v>3.2660526487686982E-3</v>
      </c>
      <c r="J5">
        <f>LN(H5)</f>
        <v>-8.9039661665122463</v>
      </c>
      <c r="K5">
        <f t="shared" si="5"/>
        <v>5.4172473289227181</v>
      </c>
    </row>
    <row r="6" spans="1:11">
      <c r="A6">
        <v>310.67</v>
      </c>
      <c r="B6">
        <v>0.5</v>
      </c>
      <c r="C6">
        <v>3.8699999999999998E-2</v>
      </c>
      <c r="D6">
        <f t="shared" si="0"/>
        <v>0.92816038611472074</v>
      </c>
      <c r="E6">
        <f t="shared" si="6"/>
        <v>7.1839613885279263E-2</v>
      </c>
      <c r="F6">
        <f t="shared" ref="F6:F13" si="8">(0.02-G6)/2</f>
        <v>9.2816038611472085E-3</v>
      </c>
      <c r="G6">
        <f t="shared" si="7"/>
        <v>1.4367922777055852E-3</v>
      </c>
      <c r="H6">
        <f t="shared" si="2"/>
        <v>2.2241544458882417E-4</v>
      </c>
      <c r="I6">
        <f t="shared" si="3"/>
        <v>3.2188495831589788E-3</v>
      </c>
      <c r="J6">
        <f t="shared" ref="J6:J13" si="9">LN(H6)</f>
        <v>-8.410963552905411</v>
      </c>
      <c r="K6">
        <f t="shared" si="5"/>
        <v>5.1923434671608666</v>
      </c>
    </row>
    <row r="7" spans="1:11">
      <c r="A7">
        <v>315.26</v>
      </c>
      <c r="B7">
        <v>0.5</v>
      </c>
      <c r="C7">
        <v>5.0799999999999998E-2</v>
      </c>
      <c r="D7">
        <f t="shared" si="0"/>
        <v>0.90777051561365296</v>
      </c>
      <c r="E7">
        <f t="shared" si="6"/>
        <v>9.2229484386347038E-2</v>
      </c>
      <c r="F7">
        <f t="shared" si="8"/>
        <v>9.0777051561365292E-3</v>
      </c>
      <c r="G7">
        <f t="shared" si="7"/>
        <v>1.8445896877269407E-3</v>
      </c>
      <c r="H7">
        <f t="shared" si="2"/>
        <v>3.7482062454611393E-4</v>
      </c>
      <c r="I7">
        <f t="shared" si="3"/>
        <v>3.1719850282306669E-3</v>
      </c>
      <c r="J7">
        <f t="shared" si="9"/>
        <v>-7.8890629809760222</v>
      </c>
      <c r="K7">
        <f t="shared" si="5"/>
        <v>4.9421126304039467</v>
      </c>
    </row>
    <row r="8" spans="1:11">
      <c r="A8">
        <v>319.85000000000002</v>
      </c>
      <c r="B8">
        <v>0.5</v>
      </c>
      <c r="C8">
        <v>6.3100000000000003E-2</v>
      </c>
      <c r="D8">
        <f t="shared" si="0"/>
        <v>0.88794175102113293</v>
      </c>
      <c r="E8">
        <f t="shared" si="6"/>
        <v>0.11205824897886707</v>
      </c>
      <c r="F8">
        <f t="shared" si="8"/>
        <v>8.8794175102113286E-3</v>
      </c>
      <c r="G8">
        <f t="shared" si="7"/>
        <v>2.2411649795773415E-3</v>
      </c>
      <c r="H8">
        <f t="shared" si="2"/>
        <v>5.6567004084532148E-4</v>
      </c>
      <c r="I8">
        <f t="shared" si="3"/>
        <v>3.1264655307175235E-3</v>
      </c>
      <c r="J8">
        <f t="shared" si="9"/>
        <v>-7.4774996164566288</v>
      </c>
      <c r="K8">
        <f t="shared" si="5"/>
        <v>4.7524887642970484</v>
      </c>
    </row>
    <row r="9" spans="1:11">
      <c r="A9">
        <v>324.45</v>
      </c>
      <c r="B9">
        <v>0.5</v>
      </c>
      <c r="C9">
        <v>8.5550000000000001E-2</v>
      </c>
      <c r="D9">
        <f t="shared" si="0"/>
        <v>0.85389804457347795</v>
      </c>
      <c r="E9">
        <f t="shared" si="6"/>
        <v>0.14610195542652205</v>
      </c>
      <c r="F9">
        <f t="shared" si="8"/>
        <v>8.5389804457347805E-3</v>
      </c>
      <c r="G9">
        <f t="shared" si="7"/>
        <v>2.9220391085304411E-3</v>
      </c>
      <c r="H9">
        <f t="shared" si="2"/>
        <v>9.9992178293911672E-4</v>
      </c>
      <c r="I9">
        <f t="shared" si="3"/>
        <v>3.0821390044691015E-3</v>
      </c>
      <c r="J9">
        <f t="shared" si="9"/>
        <v>-6.907833499102134</v>
      </c>
      <c r="K9">
        <f t="shared" si="5"/>
        <v>4.4535669349922511</v>
      </c>
    </row>
    <row r="10" spans="1:11">
      <c r="A10">
        <v>329.03</v>
      </c>
      <c r="B10">
        <v>0.5</v>
      </c>
      <c r="C10">
        <v>0.1081</v>
      </c>
      <c r="D10">
        <f t="shared" si="0"/>
        <v>0.82223318533136003</v>
      </c>
      <c r="E10">
        <f t="shared" si="6"/>
        <v>0.17776681466863997</v>
      </c>
      <c r="F10">
        <f t="shared" si="8"/>
        <v>8.2223318533135997E-3</v>
      </c>
      <c r="G10">
        <f t="shared" si="7"/>
        <v>3.5553362933727997E-3</v>
      </c>
      <c r="H10">
        <f t="shared" si="2"/>
        <v>1.5373274132543982E-3</v>
      </c>
      <c r="I10">
        <f t="shared" si="3"/>
        <v>3.0392365437802026E-3</v>
      </c>
      <c r="J10">
        <f t="shared" si="9"/>
        <v>-6.4777098161261319</v>
      </c>
      <c r="K10">
        <f t="shared" si="5"/>
        <v>4.235213718138394</v>
      </c>
    </row>
    <row r="11" spans="1:11">
      <c r="A11">
        <v>333.72</v>
      </c>
      <c r="B11">
        <v>0.5</v>
      </c>
      <c r="C11">
        <v>0.13744999999999999</v>
      </c>
      <c r="D11">
        <f t="shared" ref="D11:D13" si="10">B11/(B11+C11)</f>
        <v>0.7843752451172642</v>
      </c>
      <c r="E11">
        <f t="shared" si="6"/>
        <v>0.2156247548827358</v>
      </c>
      <c r="F11">
        <f t="shared" si="8"/>
        <v>7.8437524511726416E-3</v>
      </c>
      <c r="G11">
        <f t="shared" si="7"/>
        <v>4.3124950976547163E-3</v>
      </c>
      <c r="H11">
        <f t="shared" si="2"/>
        <v>2.3710098046905619E-3</v>
      </c>
      <c r="I11">
        <f t="shared" ref="I11:I13" si="11">1/A11</f>
        <v>2.9965240321227372E-3</v>
      </c>
      <c r="J11">
        <f t="shared" si="9"/>
        <v>-6.0444393366520153</v>
      </c>
      <c r="K11">
        <f t="shared" si="5"/>
        <v>4.0082666243270371</v>
      </c>
    </row>
    <row r="12" spans="1:11">
      <c r="A12">
        <v>338.41</v>
      </c>
      <c r="B12">
        <v>0.5</v>
      </c>
      <c r="C12">
        <v>0.16750000000000001</v>
      </c>
      <c r="D12">
        <f t="shared" si="10"/>
        <v>0.74906367041198507</v>
      </c>
      <c r="E12">
        <f t="shared" si="6"/>
        <v>0.25093632958801493</v>
      </c>
      <c r="F12">
        <f t="shared" si="8"/>
        <v>7.4906367041198511E-3</v>
      </c>
      <c r="G12">
        <f t="shared" si="7"/>
        <v>5.018726591760299E-3</v>
      </c>
      <c r="H12">
        <f t="shared" si="2"/>
        <v>3.3625468164793994E-3</v>
      </c>
      <c r="I12">
        <f t="shared" si="11"/>
        <v>2.9549954197570991E-3</v>
      </c>
      <c r="J12">
        <f t="shared" si="9"/>
        <v>-5.6950566110345555</v>
      </c>
      <c r="K12">
        <f t="shared" si="5"/>
        <v>3.8296543479330922</v>
      </c>
    </row>
    <row r="13" spans="1:11">
      <c r="A13">
        <v>343</v>
      </c>
      <c r="B13">
        <v>0.5</v>
      </c>
      <c r="C13">
        <v>0.2099</v>
      </c>
      <c r="D13">
        <f t="shared" si="10"/>
        <v>0.70432455275390904</v>
      </c>
      <c r="E13">
        <f t="shared" si="6"/>
        <v>0.29567544724609096</v>
      </c>
      <c r="F13">
        <f t="shared" si="8"/>
        <v>7.0432455275390906E-3</v>
      </c>
      <c r="G13">
        <f t="shared" si="7"/>
        <v>5.9135089449218192E-3</v>
      </c>
      <c r="H13">
        <f t="shared" si="2"/>
        <v>4.9649821101563586E-3</v>
      </c>
      <c r="I13">
        <f t="shared" si="11"/>
        <v>2.9154518950437317E-3</v>
      </c>
      <c r="J13">
        <f t="shared" si="9"/>
        <v>-5.3053455846825583</v>
      </c>
      <c r="K13">
        <f t="shared" si="5"/>
        <v>3.6159810264174048</v>
      </c>
    </row>
    <row r="14" spans="1:11">
      <c r="A14" t="s">
        <v>6</v>
      </c>
      <c r="B14">
        <v>10522</v>
      </c>
    </row>
    <row r="15" spans="1:11">
      <c r="A15" t="s">
        <v>7</v>
      </c>
      <c r="B15" s="2">
        <v>25.446999999999999</v>
      </c>
    </row>
    <row r="16" spans="1:11">
      <c r="A16" t="s">
        <v>8</v>
      </c>
      <c r="B16">
        <f>B14*8.314/4.184/1000</f>
        <v>20.908199808795409</v>
      </c>
    </row>
    <row r="17" spans="1:11">
      <c r="A17" t="s">
        <v>9</v>
      </c>
      <c r="B17">
        <f>B15*8.314/4.184</f>
        <v>50.565573135755258</v>
      </c>
    </row>
    <row r="20" spans="1:11">
      <c r="A20" t="s">
        <v>24</v>
      </c>
    </row>
    <row r="21" spans="1:11">
      <c r="A21" t="s">
        <v>3</v>
      </c>
      <c r="B21" t="s">
        <v>31</v>
      </c>
      <c r="C21" t="s">
        <v>30</v>
      </c>
      <c r="D21" t="s">
        <v>10</v>
      </c>
      <c r="E21" t="s">
        <v>11</v>
      </c>
      <c r="F21" t="s">
        <v>4</v>
      </c>
      <c r="G21" t="s">
        <v>5</v>
      </c>
      <c r="H21" t="s">
        <v>0</v>
      </c>
      <c r="I21" t="s">
        <v>1</v>
      </c>
      <c r="J21" t="s">
        <v>2</v>
      </c>
      <c r="K21" t="s">
        <v>12</v>
      </c>
    </row>
    <row r="22" spans="1:11">
      <c r="A22">
        <v>297.18</v>
      </c>
      <c r="B22">
        <v>0.5</v>
      </c>
      <c r="C22">
        <v>1.8499999999999999E-2</v>
      </c>
      <c r="D22">
        <f t="shared" ref="D22:D30" si="12">B22/(B22+C22)</f>
        <v>0.96432015429122475</v>
      </c>
      <c r="E22">
        <f>1-D22</f>
        <v>3.5679845708775249E-2</v>
      </c>
      <c r="F22">
        <f t="shared" ref="F22:F23" si="13">(0.02-G22)/2</f>
        <v>9.643201542912247E-3</v>
      </c>
      <c r="G22">
        <f>0.02*E22</f>
        <v>7.1359691417550498E-4</v>
      </c>
      <c r="H22">
        <f t="shared" ref="H22:H30" si="14">G22*G22/F22</f>
        <v>5.2806171648987269E-5</v>
      </c>
      <c r="I22">
        <f t="shared" ref="I22:I30" si="15">1/A22</f>
        <v>3.3649639948852548E-3</v>
      </c>
      <c r="J22">
        <f t="shared" ref="J22:J23" si="16">LN(H22)</f>
        <v>-9.8488824867914193</v>
      </c>
      <c r="K22">
        <f t="shared" ref="K22:K30" si="17">-8.314*A22*J22/4184</f>
        <v>5.816006434318532</v>
      </c>
    </row>
    <row r="23" spans="1:11">
      <c r="A23">
        <v>301.68</v>
      </c>
      <c r="B23">
        <v>0.5</v>
      </c>
      <c r="C23">
        <v>2.1000000000000001E-2</v>
      </c>
      <c r="D23">
        <f t="shared" si="12"/>
        <v>0.95969289827255277</v>
      </c>
      <c r="E23">
        <f t="shared" ref="E23:E30" si="18">1-D23</f>
        <v>4.0307101727447225E-2</v>
      </c>
      <c r="F23">
        <f t="shared" si="13"/>
        <v>9.5969289827255271E-3</v>
      </c>
      <c r="G23">
        <f t="shared" ref="G23:G30" si="19">0.02*E23</f>
        <v>8.0614203454894458E-4</v>
      </c>
      <c r="H23">
        <f t="shared" si="14"/>
        <v>6.7715930902111375E-5</v>
      </c>
      <c r="I23">
        <f t="shared" si="15"/>
        <v>3.3147706178732429E-3</v>
      </c>
      <c r="J23">
        <f t="shared" si="16"/>
        <v>-9.6001890895969133</v>
      </c>
      <c r="K23">
        <f t="shared" si="17"/>
        <v>5.7549910278167653</v>
      </c>
    </row>
    <row r="24" spans="1:11">
      <c r="A24">
        <v>306.18</v>
      </c>
      <c r="B24">
        <v>0.5</v>
      </c>
      <c r="C24">
        <v>3.175E-2</v>
      </c>
      <c r="D24">
        <f t="shared" si="12"/>
        <v>0.94029149036201232</v>
      </c>
      <c r="E24">
        <f t="shared" si="18"/>
        <v>5.9708509637987683E-2</v>
      </c>
      <c r="F24">
        <f>(0.02-G24)/2</f>
        <v>9.4029149036201232E-3</v>
      </c>
      <c r="G24">
        <f t="shared" si="19"/>
        <v>1.1941701927597537E-3</v>
      </c>
      <c r="H24">
        <f t="shared" si="14"/>
        <v>1.5165961448048847E-4</v>
      </c>
      <c r="I24">
        <f t="shared" si="15"/>
        <v>3.2660526487686982E-3</v>
      </c>
      <c r="J24">
        <f>LN(H24)</f>
        <v>-8.7938719266933401</v>
      </c>
      <c r="K24">
        <f t="shared" si="17"/>
        <v>5.3502650745615279</v>
      </c>
    </row>
    <row r="25" spans="1:11">
      <c r="A25">
        <v>310.67</v>
      </c>
      <c r="B25">
        <v>0.5</v>
      </c>
      <c r="C25">
        <v>3.9750000000000001E-2</v>
      </c>
      <c r="D25">
        <f t="shared" si="12"/>
        <v>0.92635479388605846</v>
      </c>
      <c r="E25">
        <f t="shared" si="18"/>
        <v>7.3645206113941541E-2</v>
      </c>
      <c r="F25">
        <f t="shared" ref="F25:F30" si="20">(0.02-G25)/2</f>
        <v>9.2635479388605852E-3</v>
      </c>
      <c r="G25">
        <f t="shared" si="19"/>
        <v>1.4729041222788309E-3</v>
      </c>
      <c r="H25">
        <f t="shared" si="14"/>
        <v>2.3419175544233374E-4</v>
      </c>
      <c r="I25">
        <f t="shared" si="15"/>
        <v>3.2188495831589788E-3</v>
      </c>
      <c r="J25">
        <f t="shared" ref="J25:J30" si="21">LN(H25)</f>
        <v>-8.3593703104846302</v>
      </c>
      <c r="K25">
        <f t="shared" si="17"/>
        <v>5.1604933903476518</v>
      </c>
    </row>
    <row r="26" spans="1:11">
      <c r="A26">
        <v>315.26</v>
      </c>
      <c r="B26">
        <v>0.5</v>
      </c>
      <c r="C26">
        <v>5.3499999999999999E-2</v>
      </c>
      <c r="D26">
        <f t="shared" si="12"/>
        <v>0.90334236675700097</v>
      </c>
      <c r="E26">
        <f t="shared" si="18"/>
        <v>9.665763324299903E-2</v>
      </c>
      <c r="F26">
        <f t="shared" si="20"/>
        <v>9.0334236675700102E-3</v>
      </c>
      <c r="G26">
        <f t="shared" si="19"/>
        <v>1.9331526648599807E-3</v>
      </c>
      <c r="H26">
        <f t="shared" si="14"/>
        <v>4.1369467028003556E-4</v>
      </c>
      <c r="I26">
        <f t="shared" si="15"/>
        <v>3.1719850282306669E-3</v>
      </c>
      <c r="J26">
        <f t="shared" si="21"/>
        <v>-7.7903823676351633</v>
      </c>
      <c r="K26">
        <f t="shared" si="17"/>
        <v>4.8802940460240398</v>
      </c>
    </row>
    <row r="27" spans="1:11">
      <c r="A27">
        <v>319.85000000000002</v>
      </c>
      <c r="B27">
        <v>0.5</v>
      </c>
      <c r="C27">
        <v>6.8000000000000005E-2</v>
      </c>
      <c r="D27">
        <f t="shared" si="12"/>
        <v>0.88028169014084501</v>
      </c>
      <c r="E27">
        <f t="shared" si="18"/>
        <v>0.11971830985915499</v>
      </c>
      <c r="F27">
        <f t="shared" si="20"/>
        <v>8.8028169014084494E-3</v>
      </c>
      <c r="G27">
        <f t="shared" si="19"/>
        <v>2.3943661971830999E-3</v>
      </c>
      <c r="H27">
        <f t="shared" si="14"/>
        <v>6.512676056338036E-4</v>
      </c>
      <c r="I27">
        <f t="shared" si="15"/>
        <v>3.1264655307175235E-3</v>
      </c>
      <c r="J27">
        <f t="shared" si="21"/>
        <v>-7.3365899316593293</v>
      </c>
      <c r="K27">
        <f t="shared" si="17"/>
        <v>4.6629305258310811</v>
      </c>
    </row>
    <row r="28" spans="1:11">
      <c r="A28">
        <v>324.45</v>
      </c>
      <c r="B28">
        <v>0.5</v>
      </c>
      <c r="C28">
        <v>8.1750000000000003E-2</v>
      </c>
      <c r="D28">
        <f t="shared" si="12"/>
        <v>0.85947571981091531</v>
      </c>
      <c r="E28">
        <f t="shared" si="18"/>
        <v>0.14052428018908469</v>
      </c>
      <c r="F28">
        <f t="shared" si="20"/>
        <v>8.5947571981091538E-3</v>
      </c>
      <c r="G28">
        <f t="shared" si="19"/>
        <v>2.8104856037816941E-3</v>
      </c>
      <c r="H28">
        <f t="shared" si="14"/>
        <v>9.1902879243661428E-4</v>
      </c>
      <c r="I28">
        <f t="shared" si="15"/>
        <v>3.0821390044691015E-3</v>
      </c>
      <c r="J28">
        <f t="shared" si="21"/>
        <v>-6.9921931059180675</v>
      </c>
      <c r="K28">
        <f t="shared" si="17"/>
        <v>4.5079546320340542</v>
      </c>
    </row>
    <row r="29" spans="1:11">
      <c r="A29">
        <v>329.03</v>
      </c>
      <c r="B29">
        <v>0.5</v>
      </c>
      <c r="C29">
        <v>0.10975</v>
      </c>
      <c r="D29">
        <f t="shared" si="12"/>
        <v>0.82000820008200082</v>
      </c>
      <c r="E29">
        <f t="shared" si="18"/>
        <v>0.17999179991799918</v>
      </c>
      <c r="F29">
        <f t="shared" si="20"/>
        <v>8.2000820008200082E-3</v>
      </c>
      <c r="G29">
        <f t="shared" si="19"/>
        <v>3.5998359983599837E-3</v>
      </c>
      <c r="H29">
        <f t="shared" si="14"/>
        <v>1.5803280032800329E-3</v>
      </c>
      <c r="I29">
        <f t="shared" si="15"/>
        <v>3.0392365437802026E-3</v>
      </c>
      <c r="J29">
        <f t="shared" si="21"/>
        <v>-6.4501228564758604</v>
      </c>
      <c r="K29">
        <f t="shared" si="17"/>
        <v>4.2171769932357606</v>
      </c>
    </row>
    <row r="30" spans="1:11">
      <c r="A30">
        <v>333.72</v>
      </c>
      <c r="B30">
        <v>0.5</v>
      </c>
      <c r="C30">
        <v>0.14199999999999999</v>
      </c>
      <c r="D30">
        <f t="shared" si="12"/>
        <v>0.77881619937694702</v>
      </c>
      <c r="E30">
        <f t="shared" si="18"/>
        <v>0.22118380062305298</v>
      </c>
      <c r="F30">
        <f t="shared" si="20"/>
        <v>7.7881619937694704E-3</v>
      </c>
      <c r="G30">
        <f t="shared" si="19"/>
        <v>4.4236760124610596E-3</v>
      </c>
      <c r="H30">
        <f t="shared" si="14"/>
        <v>2.5126479750778824E-3</v>
      </c>
      <c r="I30">
        <f t="shared" si="15"/>
        <v>2.9965240321227372E-3</v>
      </c>
      <c r="J30">
        <f t="shared" si="21"/>
        <v>-5.9864181117778319</v>
      </c>
      <c r="K30">
        <f t="shared" si="17"/>
        <v>3.9697908408485678</v>
      </c>
    </row>
    <row r="31" spans="1:11">
      <c r="A31" t="s">
        <v>6</v>
      </c>
      <c r="B31">
        <v>10697</v>
      </c>
    </row>
    <row r="32" spans="1:11">
      <c r="A32" t="s">
        <v>7</v>
      </c>
      <c r="B32" s="2">
        <v>26.065000000000001</v>
      </c>
    </row>
    <row r="33" spans="1:11">
      <c r="A33" t="s">
        <v>8</v>
      </c>
      <c r="B33">
        <f>B31*8.314/4.184/1000</f>
        <v>21.255941204588911</v>
      </c>
    </row>
    <row r="34" spans="1:11">
      <c r="A34" t="s">
        <v>9</v>
      </c>
      <c r="B34">
        <f>B32*8.314/4.184</f>
        <v>51.793597036328876</v>
      </c>
    </row>
    <row r="37" spans="1:11">
      <c r="A37" t="s">
        <v>25</v>
      </c>
    </row>
    <row r="38" spans="1:11">
      <c r="A38" t="s">
        <v>3</v>
      </c>
      <c r="B38" t="s">
        <v>31</v>
      </c>
      <c r="C38" t="s">
        <v>30</v>
      </c>
      <c r="D38" t="s">
        <v>10</v>
      </c>
      <c r="E38" t="s">
        <v>11</v>
      </c>
      <c r="F38" t="s">
        <v>4</v>
      </c>
      <c r="G38" t="s">
        <v>5</v>
      </c>
      <c r="H38" t="s">
        <v>0</v>
      </c>
      <c r="I38" t="s">
        <v>1</v>
      </c>
      <c r="J38" t="s">
        <v>2</v>
      </c>
      <c r="K38" t="s">
        <v>12</v>
      </c>
    </row>
    <row r="39" spans="1:11">
      <c r="A39">
        <v>297.18</v>
      </c>
      <c r="B39">
        <v>1</v>
      </c>
      <c r="C39">
        <v>3.1E-2</v>
      </c>
      <c r="D39">
        <f t="shared" ref="D39:D49" si="22">B39/(B39+C39)</f>
        <v>0.96993210475266745</v>
      </c>
      <c r="E39">
        <f>1-D39</f>
        <v>3.0067895247332554E-2</v>
      </c>
      <c r="F39">
        <f t="shared" ref="F39:F40" si="23">(0.02-G39)/2</f>
        <v>9.6993210475266739E-3</v>
      </c>
      <c r="G39">
        <f>0.02*E39</f>
        <v>6.013579049466511E-4</v>
      </c>
      <c r="H39">
        <f t="shared" ref="H39:H49" si="24">G39*G39/F39</f>
        <v>3.7284190106692199E-5</v>
      </c>
      <c r="I39">
        <f t="shared" ref="I39:I49" si="25">1/A39</f>
        <v>3.3649639948852548E-3</v>
      </c>
      <c r="J39">
        <f t="shared" ref="J39:J40" si="26">LN(H39)</f>
        <v>-10.196941178897013</v>
      </c>
      <c r="K39">
        <f t="shared" ref="K39:K49" si="27">-8.314*A39*J39/4184</f>
        <v>6.0215436204430981</v>
      </c>
    </row>
    <row r="40" spans="1:11">
      <c r="A40">
        <v>301.68</v>
      </c>
      <c r="B40">
        <v>1</v>
      </c>
      <c r="C40">
        <v>4.2299999999999997E-2</v>
      </c>
      <c r="D40">
        <f t="shared" si="22"/>
        <v>0.95941667466180558</v>
      </c>
      <c r="E40">
        <f t="shared" ref="E40:E49" si="28">1-D40</f>
        <v>4.058332533819442E-2</v>
      </c>
      <c r="F40">
        <f t="shared" si="23"/>
        <v>9.5941667466180568E-3</v>
      </c>
      <c r="G40">
        <f t="shared" ref="G40:G49" si="29">0.02*E40</f>
        <v>8.116665067638884E-4</v>
      </c>
      <c r="H40">
        <f t="shared" si="24"/>
        <v>6.8666986472225015E-5</v>
      </c>
      <c r="I40">
        <f t="shared" si="25"/>
        <v>3.3147706178732429E-3</v>
      </c>
      <c r="J40">
        <f t="shared" si="26"/>
        <v>-9.5862420204911487</v>
      </c>
      <c r="K40">
        <f t="shared" si="27"/>
        <v>5.7466302281680379</v>
      </c>
    </row>
    <row r="41" spans="1:11">
      <c r="A41">
        <v>306.18</v>
      </c>
      <c r="B41">
        <v>1</v>
      </c>
      <c r="C41">
        <v>5.3999999999999999E-2</v>
      </c>
      <c r="D41">
        <f t="shared" si="22"/>
        <v>0.94876660341555974</v>
      </c>
      <c r="E41">
        <f t="shared" si="28"/>
        <v>5.1233396584440261E-2</v>
      </c>
      <c r="F41">
        <f>(0.02-G41)/2</f>
        <v>9.4876660341555973E-3</v>
      </c>
      <c r="G41">
        <f t="shared" si="29"/>
        <v>1.0246679316888053E-3</v>
      </c>
      <c r="H41">
        <f t="shared" si="24"/>
        <v>1.1066413662239104E-4</v>
      </c>
      <c r="I41">
        <f t="shared" si="25"/>
        <v>3.2660526487686982E-3</v>
      </c>
      <c r="J41">
        <f>LN(H41)</f>
        <v>-9.1090107398230948</v>
      </c>
      <c r="K41">
        <f t="shared" si="27"/>
        <v>5.541998158643513</v>
      </c>
    </row>
    <row r="42" spans="1:11">
      <c r="A42">
        <v>310.67</v>
      </c>
      <c r="B42">
        <v>1</v>
      </c>
      <c r="C42">
        <v>7.5999999999999998E-2</v>
      </c>
      <c r="D42">
        <f t="shared" si="22"/>
        <v>0.92936802973977695</v>
      </c>
      <c r="E42">
        <f t="shared" si="28"/>
        <v>7.0631970260223054E-2</v>
      </c>
      <c r="F42">
        <f t="shared" ref="F42:F49" si="30">(0.02-G42)/2</f>
        <v>9.2936802973977699E-3</v>
      </c>
      <c r="G42">
        <f t="shared" si="29"/>
        <v>1.4126394052044612E-3</v>
      </c>
      <c r="H42">
        <f t="shared" si="24"/>
        <v>2.1472118959107813E-4</v>
      </c>
      <c r="I42">
        <f t="shared" si="25"/>
        <v>3.2188495831589788E-3</v>
      </c>
      <c r="J42">
        <f t="shared" ref="J42:J49" si="31">LN(H42)</f>
        <v>-8.4461701639994047</v>
      </c>
      <c r="K42">
        <f t="shared" si="27"/>
        <v>5.2140775783557274</v>
      </c>
    </row>
    <row r="43" spans="1:11">
      <c r="A43">
        <v>315.26</v>
      </c>
      <c r="B43">
        <v>1</v>
      </c>
      <c r="C43">
        <v>0.10340000000000001</v>
      </c>
      <c r="D43">
        <f t="shared" si="22"/>
        <v>0.90628965017219509</v>
      </c>
      <c r="E43">
        <f t="shared" si="28"/>
        <v>9.3710349827804906E-2</v>
      </c>
      <c r="F43">
        <f t="shared" si="30"/>
        <v>9.0628965017219513E-3</v>
      </c>
      <c r="G43">
        <f t="shared" si="29"/>
        <v>1.8742069965560981E-3</v>
      </c>
      <c r="H43">
        <f t="shared" si="24"/>
        <v>3.8758600688780075E-4</v>
      </c>
      <c r="I43">
        <f t="shared" si="25"/>
        <v>3.1719850282306669E-3</v>
      </c>
      <c r="J43">
        <f t="shared" si="31"/>
        <v>-7.8555727805400126</v>
      </c>
      <c r="K43">
        <f t="shared" si="27"/>
        <v>4.9211326555997541</v>
      </c>
    </row>
    <row r="44" spans="1:11">
      <c r="A44">
        <v>319.85000000000002</v>
      </c>
      <c r="B44">
        <v>1</v>
      </c>
      <c r="C44">
        <v>0.13400000000000001</v>
      </c>
      <c r="D44">
        <f t="shared" si="22"/>
        <v>0.88183421516754856</v>
      </c>
      <c r="E44">
        <f t="shared" si="28"/>
        <v>0.11816578483245144</v>
      </c>
      <c r="F44">
        <f t="shared" si="30"/>
        <v>8.8183421516754863E-3</v>
      </c>
      <c r="G44">
        <f t="shared" si="29"/>
        <v>2.3633156966490288E-3</v>
      </c>
      <c r="H44">
        <f t="shared" si="24"/>
        <v>6.3336860670193927E-4</v>
      </c>
      <c r="I44">
        <f t="shared" si="25"/>
        <v>3.1264655307175235E-3</v>
      </c>
      <c r="J44">
        <f t="shared" si="31"/>
        <v>-7.3644579882362136</v>
      </c>
      <c r="K44">
        <f t="shared" si="27"/>
        <v>4.6806426799678675</v>
      </c>
    </row>
    <row r="45" spans="1:11">
      <c r="A45">
        <v>324.45</v>
      </c>
      <c r="B45">
        <v>1</v>
      </c>
      <c r="C45">
        <v>0.16539999999999999</v>
      </c>
      <c r="D45">
        <f t="shared" si="22"/>
        <v>0.85807448086493909</v>
      </c>
      <c r="E45">
        <f t="shared" si="28"/>
        <v>0.14192551913506091</v>
      </c>
      <c r="F45">
        <f t="shared" si="30"/>
        <v>8.5807448086493918E-3</v>
      </c>
      <c r="G45">
        <f t="shared" si="29"/>
        <v>2.8385103827012182E-3</v>
      </c>
      <c r="H45">
        <f t="shared" si="24"/>
        <v>9.3897923459756278E-4</v>
      </c>
      <c r="I45">
        <f t="shared" si="25"/>
        <v>3.0821390044691015E-3</v>
      </c>
      <c r="J45">
        <f t="shared" si="31"/>
        <v>-6.9707171933801302</v>
      </c>
      <c r="K45">
        <f t="shared" si="27"/>
        <v>4.4941088417453665</v>
      </c>
    </row>
    <row r="46" spans="1:11">
      <c r="A46">
        <v>329.03</v>
      </c>
      <c r="B46">
        <v>1</v>
      </c>
      <c r="C46">
        <v>0.20449999999999999</v>
      </c>
      <c r="D46">
        <f t="shared" si="22"/>
        <v>0.83022000830220011</v>
      </c>
      <c r="E46">
        <f t="shared" si="28"/>
        <v>0.16977999169779989</v>
      </c>
      <c r="F46">
        <f t="shared" si="30"/>
        <v>8.3022000830220016E-3</v>
      </c>
      <c r="G46">
        <f t="shared" si="29"/>
        <v>3.395599833955998E-3</v>
      </c>
      <c r="H46">
        <f t="shared" si="24"/>
        <v>1.3888003320880029E-3</v>
      </c>
      <c r="I46">
        <f t="shared" si="25"/>
        <v>3.0392365437802026E-3</v>
      </c>
      <c r="J46">
        <f t="shared" si="31"/>
        <v>-6.5793149749395514</v>
      </c>
      <c r="K46">
        <f t="shared" si="27"/>
        <v>4.3016445362292188</v>
      </c>
    </row>
    <row r="47" spans="1:11">
      <c r="A47">
        <v>333.72</v>
      </c>
      <c r="B47">
        <v>1</v>
      </c>
      <c r="C47">
        <v>0.25290000000000001</v>
      </c>
      <c r="D47">
        <f t="shared" si="22"/>
        <v>0.79814829595338821</v>
      </c>
      <c r="E47">
        <f t="shared" si="28"/>
        <v>0.20185170404661179</v>
      </c>
      <c r="F47">
        <f t="shared" si="30"/>
        <v>7.9814829595338827E-3</v>
      </c>
      <c r="G47">
        <f t="shared" si="29"/>
        <v>4.0370340809322358E-3</v>
      </c>
      <c r="H47">
        <f t="shared" si="24"/>
        <v>2.041931838135524E-3</v>
      </c>
      <c r="I47">
        <f t="shared" si="25"/>
        <v>2.9965240321227372E-3</v>
      </c>
      <c r="J47">
        <f t="shared" si="31"/>
        <v>-6.1938589397500063</v>
      </c>
      <c r="K47">
        <f t="shared" si="27"/>
        <v>4.1073516799890566</v>
      </c>
    </row>
    <row r="48" spans="1:11">
      <c r="A48">
        <v>338.41</v>
      </c>
      <c r="B48">
        <v>1</v>
      </c>
      <c r="C48">
        <v>0.33210000000000001</v>
      </c>
      <c r="D48">
        <f t="shared" si="22"/>
        <v>0.75069439231288937</v>
      </c>
      <c r="E48">
        <f t="shared" si="28"/>
        <v>0.24930560768711063</v>
      </c>
      <c r="F48">
        <f t="shared" si="30"/>
        <v>7.5069439231288939E-3</v>
      </c>
      <c r="G48">
        <f t="shared" si="29"/>
        <v>4.9861121537422125E-3</v>
      </c>
      <c r="H48">
        <f t="shared" si="24"/>
        <v>3.3117756925155786E-3</v>
      </c>
      <c r="I48">
        <f t="shared" si="25"/>
        <v>2.9549954197570991E-3</v>
      </c>
      <c r="J48">
        <f t="shared" si="31"/>
        <v>-5.710270770442353</v>
      </c>
      <c r="K48">
        <f t="shared" si="27"/>
        <v>3.8398851455714031</v>
      </c>
    </row>
    <row r="49" spans="1:11">
      <c r="A49">
        <v>343</v>
      </c>
      <c r="B49">
        <v>1</v>
      </c>
      <c r="C49">
        <v>0.3972</v>
      </c>
      <c r="D49">
        <f t="shared" si="22"/>
        <v>0.71571714858288005</v>
      </c>
      <c r="E49">
        <f t="shared" si="28"/>
        <v>0.28428285141711995</v>
      </c>
      <c r="F49">
        <f t="shared" si="30"/>
        <v>7.1571714858288012E-3</v>
      </c>
      <c r="G49">
        <f t="shared" si="29"/>
        <v>5.685657028342399E-3</v>
      </c>
      <c r="H49">
        <f t="shared" si="24"/>
        <v>4.5166859433152014E-3</v>
      </c>
      <c r="I49">
        <f t="shared" si="25"/>
        <v>2.9154518950437317E-3</v>
      </c>
      <c r="J49">
        <f t="shared" si="31"/>
        <v>-5.3999767524409794</v>
      </c>
      <c r="K49">
        <f t="shared" si="27"/>
        <v>3.680479088166694</v>
      </c>
    </row>
    <row r="50" spans="1:11">
      <c r="A50" t="s">
        <v>6</v>
      </c>
      <c r="B50">
        <v>10710</v>
      </c>
    </row>
    <row r="51" spans="1:11">
      <c r="A51" t="s">
        <v>7</v>
      </c>
      <c r="B51" s="2">
        <v>25.959</v>
      </c>
    </row>
    <row r="52" spans="1:11">
      <c r="A52" t="s">
        <v>8</v>
      </c>
      <c r="B52">
        <f>B50*8.314/4.184/1000</f>
        <v>21.281773422562143</v>
      </c>
    </row>
    <row r="53" spans="1:11" ht="16.2">
      <c r="A53" t="s">
        <v>29</v>
      </c>
      <c r="B53">
        <f>B51*8.314/4.184</f>
        <v>51.582965105162522</v>
      </c>
    </row>
    <row r="55" spans="1:11">
      <c r="A55" t="s">
        <v>20</v>
      </c>
      <c r="B55">
        <v>1</v>
      </c>
      <c r="C55">
        <v>2</v>
      </c>
      <c r="D55">
        <v>3</v>
      </c>
      <c r="E55" t="s">
        <v>21</v>
      </c>
      <c r="F55" t="s">
        <v>22</v>
      </c>
    </row>
    <row r="56" spans="1:11">
      <c r="A56" t="s">
        <v>6</v>
      </c>
      <c r="B56">
        <v>10522</v>
      </c>
      <c r="C56">
        <v>10697</v>
      </c>
      <c r="D56">
        <v>10710</v>
      </c>
    </row>
    <row r="57" spans="1:11">
      <c r="A57" t="s">
        <v>7</v>
      </c>
      <c r="B57" s="2">
        <v>25.446999999999999</v>
      </c>
      <c r="C57" s="2">
        <v>26.065000000000001</v>
      </c>
      <c r="D57" s="2">
        <v>25.959</v>
      </c>
    </row>
    <row r="58" spans="1:11">
      <c r="A58" t="s">
        <v>8</v>
      </c>
      <c r="B58">
        <f>B56*8.314/4.184/1000</f>
        <v>20.908199808795409</v>
      </c>
      <c r="C58">
        <f>C56*8.314/4.184/1000</f>
        <v>21.255941204588911</v>
      </c>
      <c r="D58">
        <f>D56*8.314/4.184/1000</f>
        <v>21.281773422562143</v>
      </c>
      <c r="E58">
        <f xml:space="preserve"> AVERAGE(B58:D58)</f>
        <v>21.148638145315488</v>
      </c>
      <c r="F58">
        <f>_xlfn.STDEV.S(B58:D58)</f>
        <v>0.20862591191594843</v>
      </c>
    </row>
    <row r="59" spans="1:11" ht="16.2">
      <c r="A59" t="s">
        <v>29</v>
      </c>
      <c r="B59">
        <f>B57*8.314/4.184</f>
        <v>50.565573135755258</v>
      </c>
      <c r="C59">
        <f>C57*8.314/4.184</f>
        <v>51.793597036328876</v>
      </c>
      <c r="D59">
        <f>D57*8.314/4.184</f>
        <v>51.582965105162522</v>
      </c>
      <c r="E59">
        <f xml:space="preserve"> AVERAGE(B59:D59)</f>
        <v>51.314045092415547</v>
      </c>
      <c r="F59">
        <f>_xlfn.STDEV.S(B59:D59)</f>
        <v>0.65669563348394788</v>
      </c>
    </row>
    <row r="60" spans="1:11">
      <c r="A60" t="s">
        <v>19</v>
      </c>
      <c r="B60">
        <f>B58-298.15*B59/1000</f>
        <v>5.8320741783699805</v>
      </c>
      <c r="C60">
        <f>C58-298.15*C59/1000</f>
        <v>5.8136802482074579</v>
      </c>
      <c r="D60">
        <f>B58-298.15*B59/1000</f>
        <v>5.8320741783699805</v>
      </c>
      <c r="E60">
        <f xml:space="preserve"> AVERAGE(B60:D60)</f>
        <v>5.8259428683158063</v>
      </c>
      <c r="F60">
        <f>_xlfn.STDEV.S(B60:D60)</f>
        <v>1.0619740530787637E-2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17AA-38F1-4119-AD19-4C6A425F0EB5}">
  <dimension ref="A3:K60"/>
  <sheetViews>
    <sheetView tabSelected="1" topLeftCell="A37" zoomScaleNormal="100" workbookViewId="0">
      <selection activeCell="E55" sqref="E55:F55"/>
    </sheetView>
  </sheetViews>
  <sheetFormatPr defaultRowHeight="14.4"/>
  <sheetData>
    <row r="3" spans="1:11">
      <c r="A3" t="s">
        <v>23</v>
      </c>
    </row>
    <row r="4" spans="1:11">
      <c r="A4" t="s">
        <v>3</v>
      </c>
      <c r="B4" t="s">
        <v>31</v>
      </c>
      <c r="C4" t="s">
        <v>30</v>
      </c>
      <c r="D4" t="s">
        <v>10</v>
      </c>
      <c r="E4" t="s">
        <v>11</v>
      </c>
      <c r="F4" t="s">
        <v>4</v>
      </c>
      <c r="G4" t="s">
        <v>5</v>
      </c>
      <c r="H4" t="s">
        <v>0</v>
      </c>
      <c r="I4" t="s">
        <v>1</v>
      </c>
      <c r="J4" t="s">
        <v>2</v>
      </c>
      <c r="K4" t="s">
        <v>12</v>
      </c>
    </row>
    <row r="5" spans="1:11">
      <c r="A5">
        <v>297.18</v>
      </c>
      <c r="B5">
        <v>0.5</v>
      </c>
      <c r="C5">
        <v>2.9600000000000001E-2</v>
      </c>
      <c r="D5">
        <f t="shared" ref="D5:D12" si="0">B5/(B5+C5)</f>
        <v>0.94410876132930521</v>
      </c>
      <c r="E5">
        <f>1-D5</f>
        <v>5.5891238670694787E-2</v>
      </c>
      <c r="F5">
        <f t="shared" ref="F5:F6" si="1">(0.02-G5)/2</f>
        <v>9.4410876132930525E-3</v>
      </c>
      <c r="G5">
        <f>0.02*E5</f>
        <v>1.1178247734138958E-3</v>
      </c>
      <c r="H5">
        <f t="shared" ref="H5:H15" si="2">G5*G5/F5</f>
        <v>1.3235045317220508E-4</v>
      </c>
      <c r="I5">
        <f t="shared" ref="I5:I12" si="3">1/A5</f>
        <v>3.3649639948852548E-3</v>
      </c>
      <c r="J5">
        <f t="shared" ref="J5:J6" si="4">LN(H5)</f>
        <v>-8.9300572052531635</v>
      </c>
      <c r="K5">
        <f t="shared" ref="K5:K15" si="5">-8.314*A5*J5/4184</f>
        <v>5.2734175917155408</v>
      </c>
    </row>
    <row r="6" spans="1:11">
      <c r="A6">
        <v>301.68</v>
      </c>
      <c r="B6">
        <v>0.5</v>
      </c>
      <c r="C6">
        <v>3.5000000000000003E-2</v>
      </c>
      <c r="D6">
        <f t="shared" si="0"/>
        <v>0.93457943925233644</v>
      </c>
      <c r="E6">
        <f t="shared" ref="E6:E15" si="6">1-D6</f>
        <v>6.5420560747663559E-2</v>
      </c>
      <c r="F6">
        <f t="shared" si="1"/>
        <v>9.3457943925233655E-3</v>
      </c>
      <c r="G6">
        <f t="shared" ref="G6:G15" si="7">0.02*E6</f>
        <v>1.3084112149532711E-3</v>
      </c>
      <c r="H6">
        <f t="shared" si="2"/>
        <v>1.8317757009345795E-4</v>
      </c>
      <c r="I6">
        <f t="shared" si="3"/>
        <v>3.3147706178732429E-3</v>
      </c>
      <c r="J6">
        <f t="shared" si="4"/>
        <v>-8.6050545472075708</v>
      </c>
      <c r="K6">
        <f t="shared" si="5"/>
        <v>5.1584412818198695</v>
      </c>
    </row>
    <row r="7" spans="1:11">
      <c r="A7">
        <v>306.18</v>
      </c>
      <c r="B7">
        <v>0.5</v>
      </c>
      <c r="C7">
        <v>4.3900000000000002E-2</v>
      </c>
      <c r="D7">
        <f t="shared" si="0"/>
        <v>0.91928663357234774</v>
      </c>
      <c r="E7">
        <f t="shared" si="6"/>
        <v>8.0713366427652256E-2</v>
      </c>
      <c r="F7">
        <f>(0.02-G7)/2</f>
        <v>9.1928663357234777E-3</v>
      </c>
      <c r="G7">
        <f t="shared" si="7"/>
        <v>1.6142673285530452E-3</v>
      </c>
      <c r="H7">
        <f t="shared" si="2"/>
        <v>2.8346534289391514E-4</v>
      </c>
      <c r="I7">
        <f t="shared" si="3"/>
        <v>3.2660526487686982E-3</v>
      </c>
      <c r="J7">
        <f>LN(H7)</f>
        <v>-8.1684206895570526</v>
      </c>
      <c r="K7">
        <f t="shared" si="5"/>
        <v>4.9697353218215587</v>
      </c>
    </row>
    <row r="8" spans="1:11">
      <c r="A8">
        <v>310.67</v>
      </c>
      <c r="B8">
        <v>0.5</v>
      </c>
      <c r="C8">
        <v>5.9200000000000003E-2</v>
      </c>
      <c r="D8">
        <f t="shared" si="0"/>
        <v>0.89413447782546485</v>
      </c>
      <c r="E8">
        <f t="shared" si="6"/>
        <v>0.10586552217453515</v>
      </c>
      <c r="F8">
        <f t="shared" ref="F8:F15" si="8">(0.02-G8)/2</f>
        <v>8.9413447782546486E-3</v>
      </c>
      <c r="G8">
        <f t="shared" si="7"/>
        <v>2.1173104434907032E-3</v>
      </c>
      <c r="H8">
        <f t="shared" si="2"/>
        <v>5.0137911301859908E-4</v>
      </c>
      <c r="I8">
        <f t="shared" si="3"/>
        <v>3.2188495831589788E-3</v>
      </c>
      <c r="J8">
        <f t="shared" ref="J8:J15" si="9">LN(H8)</f>
        <v>-7.598148030430071</v>
      </c>
      <c r="K8">
        <f t="shared" si="5"/>
        <v>4.6905677381869948</v>
      </c>
    </row>
    <row r="9" spans="1:11">
      <c r="A9">
        <v>315.26</v>
      </c>
      <c r="B9">
        <v>0.5</v>
      </c>
      <c r="C9">
        <v>7.7799999999999994E-2</v>
      </c>
      <c r="D9">
        <f t="shared" si="0"/>
        <v>0.86535133264105235</v>
      </c>
      <c r="E9">
        <f t="shared" si="6"/>
        <v>0.13464866735894765</v>
      </c>
      <c r="F9">
        <f t="shared" si="8"/>
        <v>8.6535133264105234E-3</v>
      </c>
      <c r="G9">
        <f t="shared" si="7"/>
        <v>2.6929733471789531E-3</v>
      </c>
      <c r="H9">
        <f t="shared" si="2"/>
        <v>8.3805330564208972E-4</v>
      </c>
      <c r="I9">
        <f t="shared" si="3"/>
        <v>3.1719850282306669E-3</v>
      </c>
      <c r="J9">
        <f t="shared" si="9"/>
        <v>-7.084428848953837</v>
      </c>
      <c r="K9">
        <f t="shared" si="5"/>
        <v>4.4380486476077303</v>
      </c>
    </row>
    <row r="10" spans="1:11">
      <c r="A10">
        <v>319.85000000000002</v>
      </c>
      <c r="B10">
        <v>0.5</v>
      </c>
      <c r="C10">
        <v>9.8699999999999996E-2</v>
      </c>
      <c r="D10">
        <f t="shared" si="0"/>
        <v>0.83514280942041086</v>
      </c>
      <c r="E10">
        <f t="shared" si="6"/>
        <v>0.16485719057958914</v>
      </c>
      <c r="F10">
        <f t="shared" si="8"/>
        <v>8.3514280942041091E-3</v>
      </c>
      <c r="G10">
        <f t="shared" si="7"/>
        <v>3.2971438115917827E-3</v>
      </c>
      <c r="H10">
        <f t="shared" si="2"/>
        <v>1.3017123768164361E-3</v>
      </c>
      <c r="I10">
        <f t="shared" si="3"/>
        <v>3.1264655307175235E-3</v>
      </c>
      <c r="J10">
        <f t="shared" si="9"/>
        <v>-6.6440746683428262</v>
      </c>
      <c r="K10">
        <f t="shared" si="5"/>
        <v>4.222787272493747</v>
      </c>
    </row>
    <row r="11" spans="1:11">
      <c r="A11">
        <v>324.45</v>
      </c>
      <c r="B11">
        <v>0.5</v>
      </c>
      <c r="C11">
        <v>0.1346</v>
      </c>
      <c r="D11">
        <f t="shared" si="0"/>
        <v>0.78789788843365893</v>
      </c>
      <c r="E11">
        <f t="shared" si="6"/>
        <v>0.21210211156634107</v>
      </c>
      <c r="F11">
        <f t="shared" si="8"/>
        <v>7.8789788843365901E-3</v>
      </c>
      <c r="G11">
        <f t="shared" si="7"/>
        <v>4.2420422313268211E-3</v>
      </c>
      <c r="H11">
        <f t="shared" si="2"/>
        <v>2.2839155373463611E-3</v>
      </c>
      <c r="I11">
        <f t="shared" si="3"/>
        <v>3.0821390044691015E-3</v>
      </c>
      <c r="J11">
        <f t="shared" si="9"/>
        <v>-6.081863968018232</v>
      </c>
      <c r="K11">
        <f t="shared" si="5"/>
        <v>3.9210540142010291</v>
      </c>
    </row>
    <row r="12" spans="1:11">
      <c r="A12">
        <v>329.03</v>
      </c>
      <c r="B12">
        <v>0.5</v>
      </c>
      <c r="C12">
        <v>0.17449999999999999</v>
      </c>
      <c r="D12">
        <f t="shared" si="0"/>
        <v>0.7412898443291327</v>
      </c>
      <c r="E12">
        <f t="shared" si="6"/>
        <v>0.2587101556708673</v>
      </c>
      <c r="F12">
        <f t="shared" si="8"/>
        <v>7.4128984432913266E-3</v>
      </c>
      <c r="G12">
        <f t="shared" si="7"/>
        <v>5.1742031134173463E-3</v>
      </c>
      <c r="H12">
        <f t="shared" si="2"/>
        <v>3.611593773165308E-3</v>
      </c>
      <c r="I12">
        <f t="shared" si="3"/>
        <v>3.0392365437802026E-3</v>
      </c>
      <c r="J12">
        <f t="shared" si="9"/>
        <v>-5.6236061156532395</v>
      </c>
      <c r="K12">
        <f t="shared" si="5"/>
        <v>3.6767892422610813</v>
      </c>
    </row>
    <row r="13" spans="1:11">
      <c r="A13">
        <v>333.72</v>
      </c>
      <c r="B13">
        <v>0.5</v>
      </c>
      <c r="C13">
        <v>0.22819999999999999</v>
      </c>
      <c r="D13">
        <f t="shared" ref="D13:D15" si="10">B13/(B13+C13)</f>
        <v>0.68662455369404019</v>
      </c>
      <c r="E13">
        <f t="shared" si="6"/>
        <v>0.31337544630595981</v>
      </c>
      <c r="F13">
        <f t="shared" si="8"/>
        <v>6.8662455369404019E-3</v>
      </c>
      <c r="G13">
        <f t="shared" si="7"/>
        <v>6.2675089261191967E-3</v>
      </c>
      <c r="H13">
        <f t="shared" si="2"/>
        <v>5.720982147761601E-3</v>
      </c>
      <c r="I13">
        <f t="shared" ref="I13:I15" si="11">1/A13</f>
        <v>2.9965240321227372E-3</v>
      </c>
      <c r="J13">
        <f t="shared" si="9"/>
        <v>-5.1636147841757758</v>
      </c>
      <c r="K13">
        <f t="shared" si="5"/>
        <v>3.424162878894482</v>
      </c>
    </row>
    <row r="14" spans="1:11">
      <c r="A14">
        <v>338.41</v>
      </c>
      <c r="B14">
        <v>0.5</v>
      </c>
      <c r="C14">
        <v>0.2586</v>
      </c>
      <c r="D14">
        <f t="shared" si="10"/>
        <v>0.65910888478776697</v>
      </c>
      <c r="E14">
        <f t="shared" si="6"/>
        <v>0.34089111521223303</v>
      </c>
      <c r="F14">
        <f t="shared" si="8"/>
        <v>6.5910888478776693E-3</v>
      </c>
      <c r="G14">
        <f t="shared" si="7"/>
        <v>6.817822304244661E-3</v>
      </c>
      <c r="H14">
        <f t="shared" si="2"/>
        <v>7.0523553915106778E-3</v>
      </c>
      <c r="I14">
        <f t="shared" si="11"/>
        <v>2.9549954197570991E-3</v>
      </c>
      <c r="J14">
        <f t="shared" si="9"/>
        <v>-4.954393619869677</v>
      </c>
      <c r="K14">
        <f t="shared" si="5"/>
        <v>3.3315937599185976</v>
      </c>
    </row>
    <row r="15" spans="1:11">
      <c r="A15">
        <v>343</v>
      </c>
      <c r="B15">
        <v>0.5</v>
      </c>
      <c r="C15">
        <v>0.33629999999999999</v>
      </c>
      <c r="D15">
        <f t="shared" si="10"/>
        <v>0.59787157718522055</v>
      </c>
      <c r="E15">
        <f t="shared" si="6"/>
        <v>0.40212842281477945</v>
      </c>
      <c r="F15">
        <f t="shared" si="8"/>
        <v>5.9787157718522053E-3</v>
      </c>
      <c r="G15">
        <f t="shared" si="7"/>
        <v>8.0425684562955898E-3</v>
      </c>
      <c r="H15">
        <f t="shared" si="2"/>
        <v>1.0818863087408832E-2</v>
      </c>
      <c r="I15">
        <f t="shared" si="11"/>
        <v>2.9154518950437317E-3</v>
      </c>
      <c r="J15">
        <f t="shared" si="9"/>
        <v>-4.526464086185424</v>
      </c>
      <c r="K15">
        <f t="shared" si="5"/>
        <v>3.0851163211049588</v>
      </c>
    </row>
    <row r="16" spans="1:11">
      <c r="A16" t="s">
        <v>6</v>
      </c>
      <c r="B16">
        <v>10233</v>
      </c>
    </row>
    <row r="17" spans="1:11">
      <c r="A17" t="s">
        <v>7</v>
      </c>
      <c r="B17" s="1">
        <v>25.378</v>
      </c>
    </row>
    <row r="18" spans="1:11">
      <c r="A18" t="s">
        <v>8</v>
      </c>
      <c r="B18">
        <f>B16*8.314/4.184/1000</f>
        <v>20.333929732313571</v>
      </c>
    </row>
    <row r="19" spans="1:11">
      <c r="A19" t="s">
        <v>9</v>
      </c>
      <c r="B19">
        <f>B17*8.314/4.184</f>
        <v>50.428463671128107</v>
      </c>
    </row>
    <row r="22" spans="1:11">
      <c r="A22" t="s">
        <v>24</v>
      </c>
    </row>
    <row r="23" spans="1:11">
      <c r="A23" t="s">
        <v>3</v>
      </c>
      <c r="B23" t="s">
        <v>31</v>
      </c>
      <c r="C23" t="s">
        <v>30</v>
      </c>
      <c r="D23" t="s">
        <v>10</v>
      </c>
      <c r="E23" t="s">
        <v>11</v>
      </c>
      <c r="F23" t="s">
        <v>4</v>
      </c>
      <c r="G23" t="s">
        <v>5</v>
      </c>
      <c r="H23" t="s">
        <v>0</v>
      </c>
      <c r="I23" t="s">
        <v>1</v>
      </c>
      <c r="J23" t="s">
        <v>2</v>
      </c>
      <c r="K23" t="s">
        <v>12</v>
      </c>
    </row>
    <row r="24" spans="1:11">
      <c r="A24">
        <v>297.18</v>
      </c>
      <c r="B24">
        <v>0.5</v>
      </c>
      <c r="C24">
        <v>2.6249999999999999E-2</v>
      </c>
      <c r="D24">
        <f t="shared" ref="D24:D32" si="12">B24/(B24+C24)</f>
        <v>0.95011876484560576</v>
      </c>
      <c r="E24">
        <f>1-D24</f>
        <v>4.9881235154394243E-2</v>
      </c>
      <c r="F24">
        <f t="shared" ref="F24:F25" si="13">(0.02-G24)/2</f>
        <v>9.5011876484560574E-3</v>
      </c>
      <c r="G24">
        <f>0.02*E24</f>
        <v>9.9762470308788491E-4</v>
      </c>
      <c r="H24">
        <f t="shared" ref="H24:H32" si="14">G24*G24/F24</f>
        <v>1.047505938242278E-4</v>
      </c>
      <c r="I24">
        <f t="shared" ref="I24:I32" si="15">1/A24</f>
        <v>3.3649639948852548E-3</v>
      </c>
      <c r="J24">
        <f t="shared" ref="J24:J25" si="16">LN(H24)</f>
        <v>-9.1639283302117196</v>
      </c>
      <c r="K24">
        <f t="shared" ref="K24:K32" si="17">-8.314*A24*J24/4184</f>
        <v>5.4115242215168884</v>
      </c>
    </row>
    <row r="25" spans="1:11">
      <c r="A25">
        <v>301.68</v>
      </c>
      <c r="B25">
        <v>0.5</v>
      </c>
      <c r="C25">
        <v>3.2500000000000001E-2</v>
      </c>
      <c r="D25">
        <f t="shared" si="12"/>
        <v>0.93896713615023475</v>
      </c>
      <c r="E25">
        <f t="shared" ref="E25:E32" si="18">1-D25</f>
        <v>6.1032863849765251E-2</v>
      </c>
      <c r="F25">
        <f t="shared" si="13"/>
        <v>9.3896713615023476E-3</v>
      </c>
      <c r="G25">
        <f t="shared" ref="G25:G32" si="19">0.02*E25</f>
        <v>1.2206572769953049E-3</v>
      </c>
      <c r="H25">
        <f t="shared" si="14"/>
        <v>1.5868544600938962E-4</v>
      </c>
      <c r="I25">
        <f t="shared" si="15"/>
        <v>3.3147706178732429E-3</v>
      </c>
      <c r="J25">
        <f t="shared" si="16"/>
        <v>-8.7485866422025893</v>
      </c>
      <c r="K25">
        <f t="shared" si="17"/>
        <v>5.2444839536038232</v>
      </c>
    </row>
    <row r="26" spans="1:11">
      <c r="A26">
        <v>306.18</v>
      </c>
      <c r="B26">
        <v>0.5</v>
      </c>
      <c r="C26">
        <v>4.725E-2</v>
      </c>
      <c r="D26">
        <f t="shared" si="12"/>
        <v>0.91365920511649157</v>
      </c>
      <c r="E26">
        <f t="shared" si="18"/>
        <v>8.6340794883508432E-2</v>
      </c>
      <c r="F26">
        <f>(0.02-G26)/2</f>
        <v>9.136592051164915E-3</v>
      </c>
      <c r="G26">
        <f t="shared" si="19"/>
        <v>1.7268158976701687E-3</v>
      </c>
      <c r="H26">
        <f t="shared" si="14"/>
        <v>3.2636820465966183E-4</v>
      </c>
      <c r="I26">
        <f t="shared" si="15"/>
        <v>3.2660526487686982E-3</v>
      </c>
      <c r="J26">
        <f>LN(H26)</f>
        <v>-8.027484351813861</v>
      </c>
      <c r="K26">
        <f t="shared" si="17"/>
        <v>4.8839884776726077</v>
      </c>
    </row>
    <row r="27" spans="1:11">
      <c r="A27">
        <v>310.67</v>
      </c>
      <c r="B27">
        <v>0.5</v>
      </c>
      <c r="C27">
        <v>5.8999999999999997E-2</v>
      </c>
      <c r="D27">
        <f t="shared" si="12"/>
        <v>0.89445438282647594</v>
      </c>
      <c r="E27">
        <f t="shared" si="18"/>
        <v>0.10554561717352406</v>
      </c>
      <c r="F27">
        <f t="shared" ref="F27:F32" si="20">(0.02-G27)/2</f>
        <v>8.9445438282647598E-3</v>
      </c>
      <c r="G27">
        <f t="shared" si="19"/>
        <v>2.1109123434704812E-3</v>
      </c>
      <c r="H27">
        <f t="shared" si="14"/>
        <v>4.9817531305903302E-4</v>
      </c>
      <c r="I27">
        <f t="shared" si="15"/>
        <v>3.2188495831589788E-3</v>
      </c>
      <c r="J27">
        <f t="shared" ref="J27:J32" si="21">LN(H27)</f>
        <v>-7.6045585086340548</v>
      </c>
      <c r="K27">
        <f t="shared" si="17"/>
        <v>4.6945251212400141</v>
      </c>
    </row>
    <row r="28" spans="1:11">
      <c r="A28">
        <v>315.26</v>
      </c>
      <c r="B28">
        <v>0.5</v>
      </c>
      <c r="C28">
        <v>8.3025000000000002E-2</v>
      </c>
      <c r="D28">
        <f t="shared" si="12"/>
        <v>0.85759615796921229</v>
      </c>
      <c r="E28">
        <f t="shared" si="18"/>
        <v>0.14240384203078771</v>
      </c>
      <c r="F28">
        <f t="shared" si="20"/>
        <v>8.5759615796921224E-3</v>
      </c>
      <c r="G28">
        <f t="shared" si="19"/>
        <v>2.8480768406157543E-3</v>
      </c>
      <c r="H28">
        <f t="shared" si="14"/>
        <v>9.4584631876849215E-4</v>
      </c>
      <c r="I28">
        <f t="shared" si="15"/>
        <v>3.1719850282306669E-3</v>
      </c>
      <c r="J28">
        <f t="shared" si="21"/>
        <v>-6.963430455842528</v>
      </c>
      <c r="K28">
        <f t="shared" si="17"/>
        <v>4.3622490642736906</v>
      </c>
    </row>
    <row r="29" spans="1:11">
      <c r="A29">
        <v>319.85000000000002</v>
      </c>
      <c r="B29">
        <v>0.5</v>
      </c>
      <c r="C29">
        <v>9.7250000000000003E-2</v>
      </c>
      <c r="D29">
        <f t="shared" si="12"/>
        <v>0.83717036416910828</v>
      </c>
      <c r="E29">
        <f t="shared" si="18"/>
        <v>0.16282963583089172</v>
      </c>
      <c r="F29">
        <f t="shared" si="20"/>
        <v>8.3717036416910834E-3</v>
      </c>
      <c r="G29">
        <f t="shared" si="19"/>
        <v>3.2565927166178345E-3</v>
      </c>
      <c r="H29">
        <f t="shared" si="14"/>
        <v>1.2668145667643388E-3</v>
      </c>
      <c r="I29">
        <f t="shared" si="15"/>
        <v>3.1264655307175235E-3</v>
      </c>
      <c r="J29">
        <f t="shared" si="21"/>
        <v>-6.6712497444991978</v>
      </c>
      <c r="K29">
        <f t="shared" si="17"/>
        <v>4.2400589877363446</v>
      </c>
    </row>
    <row r="30" spans="1:11">
      <c r="A30">
        <v>324.45</v>
      </c>
      <c r="B30">
        <v>0.5</v>
      </c>
      <c r="C30">
        <v>0.12725</v>
      </c>
      <c r="D30">
        <f t="shared" si="12"/>
        <v>0.79713033080908735</v>
      </c>
      <c r="E30">
        <f t="shared" si="18"/>
        <v>0.20286966919091265</v>
      </c>
      <c r="F30">
        <f t="shared" si="20"/>
        <v>7.9713033080908748E-3</v>
      </c>
      <c r="G30">
        <f t="shared" si="19"/>
        <v>4.0573933838182526E-3</v>
      </c>
      <c r="H30">
        <f t="shared" si="14"/>
        <v>2.0652132323634893E-3</v>
      </c>
      <c r="I30">
        <f t="shared" si="15"/>
        <v>3.0821390044691015E-3</v>
      </c>
      <c r="J30">
        <f t="shared" si="21"/>
        <v>-6.182521797675661</v>
      </c>
      <c r="K30">
        <f t="shared" si="17"/>
        <v>3.9859493800156041</v>
      </c>
    </row>
    <row r="31" spans="1:11">
      <c r="A31">
        <v>329.03</v>
      </c>
      <c r="B31">
        <v>0.5</v>
      </c>
      <c r="C31">
        <v>0.16800000000000001</v>
      </c>
      <c r="D31">
        <f t="shared" si="12"/>
        <v>0.74850299401197595</v>
      </c>
      <c r="E31">
        <f t="shared" si="18"/>
        <v>0.25149700598802405</v>
      </c>
      <c r="F31">
        <f t="shared" si="20"/>
        <v>7.4850299401197596E-3</v>
      </c>
      <c r="G31">
        <f t="shared" si="19"/>
        <v>5.0299401197604812E-3</v>
      </c>
      <c r="H31">
        <f t="shared" si="14"/>
        <v>3.3801197604790448E-3</v>
      </c>
      <c r="I31">
        <f t="shared" si="15"/>
        <v>3.0392365437802026E-3</v>
      </c>
      <c r="J31">
        <f t="shared" si="21"/>
        <v>-5.6898441380205194</v>
      </c>
      <c r="K31">
        <f t="shared" si="17"/>
        <v>3.7200965513186564</v>
      </c>
    </row>
    <row r="32" spans="1:11">
      <c r="A32">
        <v>333.72</v>
      </c>
      <c r="B32">
        <v>0.5</v>
      </c>
      <c r="C32">
        <v>0.19550000000000001</v>
      </c>
      <c r="D32">
        <f t="shared" si="12"/>
        <v>0.71890726096333568</v>
      </c>
      <c r="E32">
        <f t="shared" si="18"/>
        <v>0.28109273903666432</v>
      </c>
      <c r="F32">
        <f t="shared" si="20"/>
        <v>7.1890726096333572E-3</v>
      </c>
      <c r="G32">
        <f t="shared" si="19"/>
        <v>5.6218547807332861E-3</v>
      </c>
      <c r="H32">
        <f t="shared" si="14"/>
        <v>4.3962904385334298E-3</v>
      </c>
      <c r="I32">
        <f t="shared" si="15"/>
        <v>2.9965240321227372E-3</v>
      </c>
      <c r="J32">
        <f t="shared" si="21"/>
        <v>-5.4269941758030491</v>
      </c>
      <c r="K32">
        <f t="shared" si="17"/>
        <v>3.5988184203263702</v>
      </c>
    </row>
    <row r="33" spans="1:11">
      <c r="A33" t="s">
        <v>6</v>
      </c>
      <c r="B33">
        <v>10426</v>
      </c>
    </row>
    <row r="34" spans="1:11">
      <c r="A34" t="s">
        <v>7</v>
      </c>
      <c r="B34" s="1">
        <v>25.943999999999999</v>
      </c>
    </row>
    <row r="35" spans="1:11">
      <c r="A35" t="s">
        <v>8</v>
      </c>
      <c r="B35">
        <f>B33*8.314/4.184/1000</f>
        <v>20.717438814531548</v>
      </c>
    </row>
    <row r="36" spans="1:11">
      <c r="A36" t="s">
        <v>9</v>
      </c>
      <c r="B36">
        <f>B34*8.314/4.184</f>
        <v>51.55315869980879</v>
      </c>
    </row>
    <row r="39" spans="1:11">
      <c r="A39" t="s">
        <v>25</v>
      </c>
    </row>
    <row r="40" spans="1:11">
      <c r="A40" t="s">
        <v>3</v>
      </c>
      <c r="B40" t="s">
        <v>31</v>
      </c>
      <c r="C40" t="s">
        <v>30</v>
      </c>
      <c r="D40" t="s">
        <v>10</v>
      </c>
      <c r="E40" t="s">
        <v>11</v>
      </c>
      <c r="F40" t="s">
        <v>4</v>
      </c>
      <c r="G40" t="s">
        <v>5</v>
      </c>
      <c r="H40" t="s">
        <v>0</v>
      </c>
      <c r="I40" t="s">
        <v>1</v>
      </c>
      <c r="J40" t="s">
        <v>2</v>
      </c>
      <c r="K40" t="s">
        <v>12</v>
      </c>
    </row>
    <row r="41" spans="1:11">
      <c r="A41">
        <v>297.18</v>
      </c>
      <c r="B41">
        <v>0.5</v>
      </c>
      <c r="C41">
        <v>2.8500000000000001E-2</v>
      </c>
      <c r="D41">
        <f t="shared" ref="D41:D49" si="22">B41/(B41+C41)</f>
        <v>0.94607379375591305</v>
      </c>
      <c r="E41">
        <f>1-D41</f>
        <v>5.3926206244086949E-2</v>
      </c>
      <c r="F41">
        <f t="shared" ref="F41:F42" si="23">(0.02-G41)/2</f>
        <v>9.4607379375591313E-3</v>
      </c>
      <c r="G41">
        <f>0.02*E41</f>
        <v>1.078524124881739E-3</v>
      </c>
      <c r="H41">
        <f t="shared" ref="H41:H49" si="24">G41*G41/F41</f>
        <v>1.2295175023651803E-4</v>
      </c>
      <c r="I41">
        <f t="shared" ref="I41:I49" si="25">1/A41</f>
        <v>3.3649639948852548E-3</v>
      </c>
      <c r="J41">
        <f t="shared" ref="J41:J42" si="26">LN(H41)</f>
        <v>-9.0037185540514777</v>
      </c>
      <c r="K41">
        <f t="shared" ref="K41:K49" si="27">-8.314*A41*J41/4184</f>
        <v>5.3169164230952566</v>
      </c>
    </row>
    <row r="42" spans="1:11">
      <c r="A42">
        <v>301.68</v>
      </c>
      <c r="B42">
        <v>0.5</v>
      </c>
      <c r="C42">
        <v>3.6749999999999998E-2</v>
      </c>
      <c r="D42">
        <f t="shared" si="22"/>
        <v>0.9315323707498836</v>
      </c>
      <c r="E42">
        <f t="shared" ref="E42:E49" si="28">1-D42</f>
        <v>6.8467629250116402E-2</v>
      </c>
      <c r="F42">
        <f t="shared" si="23"/>
        <v>9.3153237074988359E-3</v>
      </c>
      <c r="G42">
        <f t="shared" ref="G42:G49" si="29">0.02*E42</f>
        <v>1.3693525850023282E-3</v>
      </c>
      <c r="H42">
        <f t="shared" si="24"/>
        <v>2.0129482999534215E-4</v>
      </c>
      <c r="I42">
        <f t="shared" si="25"/>
        <v>3.3147706178732429E-3</v>
      </c>
      <c r="J42">
        <f t="shared" si="26"/>
        <v>-8.5107399087315923</v>
      </c>
      <c r="K42">
        <f t="shared" si="27"/>
        <v>5.1019028227170997</v>
      </c>
    </row>
    <row r="43" spans="1:11">
      <c r="A43">
        <v>306.18</v>
      </c>
      <c r="B43">
        <v>0.5</v>
      </c>
      <c r="C43">
        <v>5.0500000000000003E-2</v>
      </c>
      <c r="D43">
        <f t="shared" si="22"/>
        <v>0.90826521344232514</v>
      </c>
      <c r="E43">
        <f t="shared" si="28"/>
        <v>9.1734786557674863E-2</v>
      </c>
      <c r="F43">
        <f>(0.02-G43)/2</f>
        <v>9.0826521344232521E-3</v>
      </c>
      <c r="G43">
        <f t="shared" si="29"/>
        <v>1.8346957311534972E-3</v>
      </c>
      <c r="H43">
        <f t="shared" si="24"/>
        <v>3.7060853769300652E-4</v>
      </c>
      <c r="I43">
        <f t="shared" si="25"/>
        <v>3.2660526487686982E-3</v>
      </c>
      <c r="J43">
        <f>LN(H43)</f>
        <v>-7.9003642068904982</v>
      </c>
      <c r="K43">
        <f t="shared" si="27"/>
        <v>4.8066475205462957</v>
      </c>
    </row>
    <row r="44" spans="1:11">
      <c r="A44">
        <v>310.67</v>
      </c>
      <c r="B44">
        <v>0.5</v>
      </c>
      <c r="C44">
        <v>6.1249999999999999E-2</v>
      </c>
      <c r="D44">
        <f t="shared" si="22"/>
        <v>0.89086859688195985</v>
      </c>
      <c r="E44">
        <f t="shared" si="28"/>
        <v>0.10913140311804015</v>
      </c>
      <c r="F44">
        <f t="shared" ref="F44:F49" si="30">(0.02-G44)/2</f>
        <v>8.9086859688195987E-3</v>
      </c>
      <c r="G44">
        <f t="shared" si="29"/>
        <v>2.182628062360803E-3</v>
      </c>
      <c r="H44">
        <f t="shared" si="24"/>
        <v>5.3474387527839703E-4</v>
      </c>
      <c r="I44">
        <f t="shared" si="25"/>
        <v>3.2188495831589788E-3</v>
      </c>
      <c r="J44">
        <f t="shared" ref="J44:J49" si="31">LN(H44)</f>
        <v>-7.5337226634971826</v>
      </c>
      <c r="K44">
        <f t="shared" si="27"/>
        <v>4.6507960008575813</v>
      </c>
    </row>
    <row r="45" spans="1:11">
      <c r="A45">
        <v>315.26</v>
      </c>
      <c r="B45">
        <v>0.5</v>
      </c>
      <c r="C45">
        <v>8.0250000000000002E-2</v>
      </c>
      <c r="D45">
        <f t="shared" si="22"/>
        <v>0.86169754416199906</v>
      </c>
      <c r="E45">
        <f t="shared" si="28"/>
        <v>0.13830245583800094</v>
      </c>
      <c r="F45">
        <f t="shared" si="30"/>
        <v>8.6169754416199913E-3</v>
      </c>
      <c r="G45">
        <f t="shared" si="29"/>
        <v>2.7660491167600188E-3</v>
      </c>
      <c r="H45">
        <f t="shared" si="24"/>
        <v>8.8790176647996649E-4</v>
      </c>
      <c r="I45">
        <f t="shared" si="25"/>
        <v>3.1719850282306669E-3</v>
      </c>
      <c r="J45">
        <f t="shared" si="31"/>
        <v>-7.0266494444246872</v>
      </c>
      <c r="K45">
        <f t="shared" si="27"/>
        <v>4.4018526728019367</v>
      </c>
    </row>
    <row r="46" spans="1:11">
      <c r="A46">
        <v>319.85000000000002</v>
      </c>
      <c r="B46">
        <v>0.5</v>
      </c>
      <c r="C46">
        <v>9.8000000000000004E-2</v>
      </c>
      <c r="D46">
        <f t="shared" si="22"/>
        <v>0.83612040133779264</v>
      </c>
      <c r="E46">
        <f t="shared" si="28"/>
        <v>0.16387959866220736</v>
      </c>
      <c r="F46">
        <f t="shared" si="30"/>
        <v>8.3612040133779261E-3</v>
      </c>
      <c r="G46">
        <f t="shared" si="29"/>
        <v>3.2775919732441474E-3</v>
      </c>
      <c r="H46">
        <f t="shared" si="24"/>
        <v>1.284816053511706E-3</v>
      </c>
      <c r="I46">
        <f t="shared" si="25"/>
        <v>3.1264655307175235E-3</v>
      </c>
      <c r="J46">
        <f t="shared" si="31"/>
        <v>-6.6571397198998801</v>
      </c>
      <c r="K46">
        <f t="shared" si="27"/>
        <v>4.2310910523552936</v>
      </c>
    </row>
    <row r="47" spans="1:11">
      <c r="A47">
        <v>324.45</v>
      </c>
      <c r="B47">
        <v>0.5</v>
      </c>
      <c r="C47">
        <v>0.13025</v>
      </c>
      <c r="D47">
        <f t="shared" si="22"/>
        <v>0.79333597778659271</v>
      </c>
      <c r="E47">
        <f t="shared" si="28"/>
        <v>0.20666402221340729</v>
      </c>
      <c r="F47">
        <f t="shared" si="30"/>
        <v>7.9333597778659271E-3</v>
      </c>
      <c r="G47">
        <f t="shared" si="29"/>
        <v>4.1332804442681462E-3</v>
      </c>
      <c r="H47">
        <f t="shared" si="24"/>
        <v>2.1534391114637029E-3</v>
      </c>
      <c r="I47">
        <f t="shared" si="25"/>
        <v>3.0821390044691015E-3</v>
      </c>
      <c r="J47">
        <f t="shared" si="31"/>
        <v>-6.1406891280914699</v>
      </c>
      <c r="K47">
        <f t="shared" si="27"/>
        <v>3.9589793330266572</v>
      </c>
    </row>
    <row r="48" spans="1:11">
      <c r="A48">
        <v>329.03</v>
      </c>
      <c r="B48">
        <v>0.5</v>
      </c>
      <c r="C48">
        <v>0.17474999999999999</v>
      </c>
      <c r="D48">
        <f t="shared" si="22"/>
        <v>0.74101519081141165</v>
      </c>
      <c r="E48">
        <f t="shared" si="28"/>
        <v>0.25898480918858835</v>
      </c>
      <c r="F48">
        <f t="shared" si="30"/>
        <v>7.4101519081141171E-3</v>
      </c>
      <c r="G48">
        <f t="shared" si="29"/>
        <v>5.179696183771767E-3</v>
      </c>
      <c r="H48">
        <f t="shared" si="24"/>
        <v>3.6206076324564644E-3</v>
      </c>
      <c r="I48">
        <f t="shared" si="25"/>
        <v>3.0392365437802026E-3</v>
      </c>
      <c r="J48">
        <f t="shared" si="31"/>
        <v>-5.6211134129606677</v>
      </c>
      <c r="K48">
        <f t="shared" si="27"/>
        <v>3.6751594797464748</v>
      </c>
    </row>
    <row r="49" spans="1:11">
      <c r="A49">
        <v>333.72</v>
      </c>
      <c r="B49">
        <v>0.5</v>
      </c>
      <c r="C49">
        <v>0.22525000000000001</v>
      </c>
      <c r="D49">
        <f t="shared" si="22"/>
        <v>0.6894174422612892</v>
      </c>
      <c r="E49">
        <f t="shared" si="28"/>
        <v>0.3105825577387108</v>
      </c>
      <c r="F49">
        <f t="shared" si="30"/>
        <v>6.894174422612892E-3</v>
      </c>
      <c r="G49">
        <f t="shared" si="29"/>
        <v>6.2116511547742163E-3</v>
      </c>
      <c r="H49">
        <f t="shared" si="24"/>
        <v>5.5966976904515695E-3</v>
      </c>
      <c r="I49">
        <f t="shared" si="25"/>
        <v>2.9965240321227372E-3</v>
      </c>
      <c r="J49">
        <f t="shared" si="31"/>
        <v>-5.1855785533150112</v>
      </c>
      <c r="K49">
        <f t="shared" si="27"/>
        <v>3.4387277769572999</v>
      </c>
    </row>
    <row r="50" spans="1:11">
      <c r="A50" t="s">
        <v>6</v>
      </c>
      <c r="B50">
        <v>10261</v>
      </c>
    </row>
    <row r="51" spans="1:11">
      <c r="A51" t="s">
        <v>7</v>
      </c>
      <c r="B51" s="1">
        <v>25.52</v>
      </c>
    </row>
    <row r="52" spans="1:11">
      <c r="A52" t="s">
        <v>8</v>
      </c>
      <c r="B52">
        <f>B50*8.314/4.184/1000</f>
        <v>20.389568355640534</v>
      </c>
    </row>
    <row r="53" spans="1:11" ht="16.2">
      <c r="A53" t="s">
        <v>29</v>
      </c>
      <c r="B53">
        <f>B51*8.314/4.184</f>
        <v>50.710630975143403</v>
      </c>
    </row>
    <row r="55" spans="1:11">
      <c r="A55" t="s">
        <v>20</v>
      </c>
      <c r="B55">
        <v>1</v>
      </c>
      <c r="C55">
        <v>2</v>
      </c>
      <c r="D55">
        <v>3</v>
      </c>
      <c r="E55" t="s">
        <v>21</v>
      </c>
      <c r="F55" t="s">
        <v>22</v>
      </c>
    </row>
    <row r="56" spans="1:11">
      <c r="A56" t="s">
        <v>6</v>
      </c>
      <c r="B56">
        <v>10233</v>
      </c>
      <c r="C56">
        <v>10426</v>
      </c>
      <c r="D56">
        <v>10261</v>
      </c>
    </row>
    <row r="57" spans="1:11">
      <c r="A57" t="s">
        <v>7</v>
      </c>
      <c r="B57" s="1">
        <v>25.378</v>
      </c>
      <c r="C57" s="1">
        <v>25.943999999999999</v>
      </c>
      <c r="D57" s="1">
        <v>25.52</v>
      </c>
    </row>
    <row r="58" spans="1:11">
      <c r="A58" t="s">
        <v>8</v>
      </c>
      <c r="B58">
        <f>B56*8.314/4.184/1000</f>
        <v>20.333929732313571</v>
      </c>
      <c r="C58">
        <f>C56*8.314/4.184/1000</f>
        <v>20.717438814531548</v>
      </c>
      <c r="D58">
        <f>D56*8.314/4.184/1000</f>
        <v>20.389568355640534</v>
      </c>
      <c r="E58">
        <f xml:space="preserve"> AVERAGE(B58:D58)</f>
        <v>20.480312300828551</v>
      </c>
      <c r="F58">
        <f>_xlfn.STDEV.S(B58:D58)</f>
        <v>0.20723332677716916</v>
      </c>
    </row>
    <row r="59" spans="1:11" ht="16.2">
      <c r="A59" t="s">
        <v>29</v>
      </c>
      <c r="B59">
        <f>B57*8.314/4.184</f>
        <v>50.428463671128107</v>
      </c>
      <c r="C59">
        <f>C57*8.314/4.184</f>
        <v>51.55315869980879</v>
      </c>
      <c r="D59">
        <f>D57*8.314/4.184</f>
        <v>50.710630975143403</v>
      </c>
      <c r="E59">
        <f xml:space="preserve"> AVERAGE(B59:D59)</f>
        <v>50.897417782026764</v>
      </c>
      <c r="F59">
        <f>_xlfn.STDEV.S(B59:D59)</f>
        <v>0.58515101495598831</v>
      </c>
    </row>
    <row r="60" spans="1:11">
      <c r="A60" t="s">
        <v>19</v>
      </c>
      <c r="B60">
        <f>B58-298.15*B59/1000</f>
        <v>5.2986832887667266</v>
      </c>
      <c r="C60">
        <f>C58-298.15*C59/1000</f>
        <v>5.3468645481835573</v>
      </c>
      <c r="D60">
        <f>D58-298.15*D59/1000</f>
        <v>5.2701937304015303</v>
      </c>
      <c r="E60">
        <f xml:space="preserve"> AVERAGE(B60:D60)</f>
        <v>5.3052471891172717</v>
      </c>
      <c r="F60">
        <f>_xlfn.STDEV.S(B60:D60)</f>
        <v>3.8754576061416399E-2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9C843-72BB-4B34-AD1D-B31872639E24}">
  <dimension ref="A2:K61"/>
  <sheetViews>
    <sheetView topLeftCell="A31" zoomScale="85" zoomScaleNormal="85" workbookViewId="0">
      <selection activeCell="G64" sqref="G64"/>
    </sheetView>
  </sheetViews>
  <sheetFormatPr defaultRowHeight="14.4"/>
  <cols>
    <col min="3" max="3" width="25.5546875" customWidth="1"/>
    <col min="7" max="7" width="28.6640625" customWidth="1"/>
  </cols>
  <sheetData>
    <row r="2" spans="1:11">
      <c r="A2" t="s">
        <v>23</v>
      </c>
    </row>
    <row r="3" spans="1:11">
      <c r="A3" t="s">
        <v>3</v>
      </c>
      <c r="B3" t="s">
        <v>31</v>
      </c>
      <c r="C3" t="s">
        <v>30</v>
      </c>
      <c r="D3" t="s">
        <v>10</v>
      </c>
      <c r="E3" t="s">
        <v>11</v>
      </c>
      <c r="F3" t="s">
        <v>4</v>
      </c>
      <c r="G3" t="s">
        <v>5</v>
      </c>
      <c r="H3" t="s">
        <v>0</v>
      </c>
      <c r="I3" t="s">
        <v>1</v>
      </c>
      <c r="J3" t="s">
        <v>2</v>
      </c>
      <c r="K3" t="s">
        <v>12</v>
      </c>
    </row>
    <row r="4" spans="1:11">
      <c r="A4">
        <v>297.18</v>
      </c>
      <c r="B4">
        <v>0.5</v>
      </c>
      <c r="C4">
        <v>3.9600000000000003E-2</v>
      </c>
      <c r="D4">
        <f t="shared" ref="D4:D11" si="0">B4/(B4+C4)</f>
        <v>0.92661230541141593</v>
      </c>
      <c r="E4">
        <f>1-D4</f>
        <v>7.3387694588584074E-2</v>
      </c>
      <c r="F4">
        <f t="shared" ref="F4:F5" si="1">(0.02-G4)/2</f>
        <v>9.2661230541141587E-3</v>
      </c>
      <c r="G4">
        <f>0.02*E4</f>
        <v>1.4677538917716815E-3</v>
      </c>
      <c r="H4">
        <f t="shared" ref="H4:H14" si="2">G4*G4/F4</f>
        <v>2.3249221645663413E-4</v>
      </c>
      <c r="I4">
        <f t="shared" ref="I4:I11" si="3">1/A4</f>
        <v>3.3649639948852548E-3</v>
      </c>
      <c r="J4">
        <f t="shared" ref="J4:J5" si="4">LN(H4)</f>
        <v>-8.3666538111031254</v>
      </c>
      <c r="K4">
        <f t="shared" ref="K4:K13" si="5">-8.314*A4*J4/4184</f>
        <v>4.9407140824709064</v>
      </c>
    </row>
    <row r="5" spans="1:11">
      <c r="A5">
        <v>301.68</v>
      </c>
      <c r="B5">
        <v>0.5</v>
      </c>
      <c r="C5">
        <v>5.96E-2</v>
      </c>
      <c r="D5">
        <f t="shared" si="0"/>
        <v>0.89349535382416012</v>
      </c>
      <c r="E5">
        <f t="shared" ref="E5:E14" si="6">1-D5</f>
        <v>0.10650464617583988</v>
      </c>
      <c r="F5">
        <f t="shared" si="1"/>
        <v>8.9349535382416013E-3</v>
      </c>
      <c r="G5">
        <f t="shared" ref="G5:G14" si="7">0.02*E5</f>
        <v>2.1300929235167974E-3</v>
      </c>
      <c r="H5">
        <f t="shared" si="2"/>
        <v>5.078141529664044E-4</v>
      </c>
      <c r="I5">
        <f t="shared" si="3"/>
        <v>3.3147706178732429E-3</v>
      </c>
      <c r="J5">
        <f t="shared" si="4"/>
        <v>-7.5853950179391108</v>
      </c>
      <c r="K5">
        <f t="shared" si="5"/>
        <v>4.5471896296282734</v>
      </c>
    </row>
    <row r="6" spans="1:11">
      <c r="A6">
        <v>306.18</v>
      </c>
      <c r="B6">
        <v>0.5</v>
      </c>
      <c r="C6">
        <v>7.0800000000000002E-2</v>
      </c>
      <c r="D6">
        <f t="shared" si="0"/>
        <v>0.87596355991590757</v>
      </c>
      <c r="E6">
        <f t="shared" si="6"/>
        <v>0.12403644008409243</v>
      </c>
      <c r="F6">
        <f>(0.02-G6)/2</f>
        <v>8.7596355991590765E-3</v>
      </c>
      <c r="G6">
        <f t="shared" si="7"/>
        <v>2.4807288016818487E-3</v>
      </c>
      <c r="H6">
        <f t="shared" si="2"/>
        <v>7.0254239663629901E-4</v>
      </c>
      <c r="I6">
        <f t="shared" si="3"/>
        <v>3.2660526487686982E-3</v>
      </c>
      <c r="J6">
        <f>LN(H6)</f>
        <v>-7.2608048074937273</v>
      </c>
      <c r="K6">
        <f t="shared" si="5"/>
        <v>4.4175342441391923</v>
      </c>
    </row>
    <row r="7" spans="1:11">
      <c r="A7">
        <v>310.67</v>
      </c>
      <c r="B7">
        <v>0.5</v>
      </c>
      <c r="C7">
        <v>0.1028</v>
      </c>
      <c r="D7">
        <f t="shared" si="0"/>
        <v>0.82946250829462509</v>
      </c>
      <c r="E7">
        <f t="shared" si="6"/>
        <v>0.17053749170537491</v>
      </c>
      <c r="F7">
        <f t="shared" ref="F7:F14" si="8">(0.02-G7)/2</f>
        <v>8.2946250829462505E-3</v>
      </c>
      <c r="G7">
        <f t="shared" si="7"/>
        <v>3.4107498341074982E-3</v>
      </c>
      <c r="H7">
        <f t="shared" si="2"/>
        <v>1.4025003317850032E-3</v>
      </c>
      <c r="I7">
        <f t="shared" si="3"/>
        <v>3.2188495831589788E-3</v>
      </c>
      <c r="J7">
        <f t="shared" ref="J7:J14" si="9">LN(H7)</f>
        <v>-6.5694986840006031</v>
      </c>
      <c r="K7">
        <f t="shared" si="5"/>
        <v>4.0555512290395557</v>
      </c>
    </row>
    <row r="8" spans="1:11">
      <c r="A8">
        <v>315.26</v>
      </c>
      <c r="B8">
        <v>0.5</v>
      </c>
      <c r="C8">
        <v>0.13550000000000001</v>
      </c>
      <c r="D8">
        <f t="shared" si="0"/>
        <v>0.78678206136900086</v>
      </c>
      <c r="E8">
        <f t="shared" si="6"/>
        <v>0.21321793863099914</v>
      </c>
      <c r="F8">
        <f t="shared" si="8"/>
        <v>7.8678206136900096E-3</v>
      </c>
      <c r="G8">
        <f t="shared" si="7"/>
        <v>4.264358772619983E-3</v>
      </c>
      <c r="H8">
        <f t="shared" si="2"/>
        <v>2.3112824547600296E-3</v>
      </c>
      <c r="I8">
        <f t="shared" si="3"/>
        <v>3.1719850282306669E-3</v>
      </c>
      <c r="J8">
        <f t="shared" si="9"/>
        <v>-6.0699527332803909</v>
      </c>
      <c r="K8">
        <f t="shared" si="5"/>
        <v>3.8025289114105441</v>
      </c>
    </row>
    <row r="9" spans="1:11">
      <c r="A9">
        <v>319.85000000000002</v>
      </c>
      <c r="B9">
        <v>0.5</v>
      </c>
      <c r="C9">
        <v>0.18540000000000001</v>
      </c>
      <c r="D9">
        <f t="shared" si="0"/>
        <v>0.7295010213014298</v>
      </c>
      <c r="E9">
        <f t="shared" si="6"/>
        <v>0.2704989786985702</v>
      </c>
      <c r="F9">
        <f t="shared" si="8"/>
        <v>7.2950102130142983E-3</v>
      </c>
      <c r="G9">
        <f t="shared" si="7"/>
        <v>5.4099795739714039E-3</v>
      </c>
      <c r="H9">
        <f t="shared" si="2"/>
        <v>4.0120408520571936E-3</v>
      </c>
      <c r="I9">
        <f t="shared" si="3"/>
        <v>3.1264655307175235E-3</v>
      </c>
      <c r="J9">
        <f t="shared" si="9"/>
        <v>-5.518455226467391</v>
      </c>
      <c r="K9">
        <f t="shared" si="5"/>
        <v>3.5073751662043593</v>
      </c>
    </row>
    <row r="10" spans="1:11">
      <c r="A10">
        <v>324.45</v>
      </c>
      <c r="B10">
        <v>0.5</v>
      </c>
      <c r="C10">
        <v>0.2137</v>
      </c>
      <c r="D10">
        <f t="shared" si="0"/>
        <v>0.70057447106627435</v>
      </c>
      <c r="E10">
        <f t="shared" si="6"/>
        <v>0.29942552893372565</v>
      </c>
      <c r="F10">
        <f t="shared" si="8"/>
        <v>7.0057447106627434E-3</v>
      </c>
      <c r="G10">
        <f t="shared" si="7"/>
        <v>5.9885105786745135E-3</v>
      </c>
      <c r="H10">
        <f t="shared" si="2"/>
        <v>5.1189788426509748E-3</v>
      </c>
      <c r="I10">
        <f t="shared" si="3"/>
        <v>3.0821390044691015E-3</v>
      </c>
      <c r="J10">
        <f t="shared" si="9"/>
        <v>-5.2748003046172105</v>
      </c>
      <c r="K10">
        <f t="shared" si="5"/>
        <v>3.4007299435320295</v>
      </c>
    </row>
    <row r="11" spans="1:11">
      <c r="A11">
        <v>329.03</v>
      </c>
      <c r="B11">
        <v>0.5</v>
      </c>
      <c r="C11">
        <v>0.27850000000000003</v>
      </c>
      <c r="D11">
        <f t="shared" si="0"/>
        <v>0.64226075786769432</v>
      </c>
      <c r="E11">
        <f t="shared" si="6"/>
        <v>0.35773924213230568</v>
      </c>
      <c r="F11">
        <f t="shared" si="8"/>
        <v>6.4226075786769435E-3</v>
      </c>
      <c r="G11">
        <f t="shared" si="7"/>
        <v>7.1547848426461134E-3</v>
      </c>
      <c r="H11">
        <f t="shared" si="2"/>
        <v>7.9704303147077691E-3</v>
      </c>
      <c r="I11">
        <f t="shared" si="3"/>
        <v>3.0392365437802026E-3</v>
      </c>
      <c r="J11">
        <f t="shared" si="9"/>
        <v>-4.8320167958297686</v>
      </c>
      <c r="K11">
        <f t="shared" si="5"/>
        <v>3.159237508451997</v>
      </c>
    </row>
    <row r="12" spans="1:11">
      <c r="A12">
        <v>333.72</v>
      </c>
      <c r="B12">
        <v>0.5</v>
      </c>
      <c r="C12">
        <v>0.32969999999999999</v>
      </c>
      <c r="D12">
        <f t="shared" ref="D12:D14" si="10">B12/(B12+C12)</f>
        <v>0.60262745570688203</v>
      </c>
      <c r="E12">
        <f t="shared" si="6"/>
        <v>0.39737254429311797</v>
      </c>
      <c r="F12">
        <f t="shared" si="8"/>
        <v>6.0262745570688206E-3</v>
      </c>
      <c r="G12">
        <f t="shared" si="7"/>
        <v>7.9474508858623592E-3</v>
      </c>
      <c r="H12">
        <f t="shared" si="2"/>
        <v>1.0481098228275278E-2</v>
      </c>
      <c r="I12">
        <f t="shared" ref="I12:I14" si="11">1/A12</f>
        <v>2.9965240321227372E-3</v>
      </c>
      <c r="J12">
        <f t="shared" si="9"/>
        <v>-4.5581818128052616</v>
      </c>
      <c r="K12">
        <f t="shared" si="5"/>
        <v>3.0226803530138042</v>
      </c>
    </row>
    <row r="13" spans="1:11">
      <c r="A13">
        <v>338.41</v>
      </c>
      <c r="B13">
        <v>0.5</v>
      </c>
      <c r="C13">
        <v>0.4385</v>
      </c>
      <c r="D13">
        <f t="shared" si="10"/>
        <v>0.53276505061267976</v>
      </c>
      <c r="E13">
        <f t="shared" si="6"/>
        <v>0.46723494938732024</v>
      </c>
      <c r="F13">
        <f t="shared" si="8"/>
        <v>5.3276505061267973E-3</v>
      </c>
      <c r="G13">
        <f t="shared" si="7"/>
        <v>9.3446989877464057E-3</v>
      </c>
      <c r="H13">
        <f t="shared" si="2"/>
        <v>1.6390602024507202E-2</v>
      </c>
      <c r="I13">
        <f t="shared" si="11"/>
        <v>2.9549954197570991E-3</v>
      </c>
      <c r="J13">
        <f t="shared" si="9"/>
        <v>-4.1110471556924804</v>
      </c>
      <c r="K13">
        <f t="shared" si="5"/>
        <v>2.764483426530095</v>
      </c>
    </row>
    <row r="14" spans="1:11">
      <c r="A14">
        <v>343</v>
      </c>
      <c r="B14">
        <v>0.5</v>
      </c>
      <c r="C14">
        <v>0.61140000000000005</v>
      </c>
      <c r="D14">
        <f t="shared" si="10"/>
        <v>0.44988303041209277</v>
      </c>
      <c r="E14">
        <f t="shared" si="6"/>
        <v>0.55011696958790723</v>
      </c>
      <c r="F14">
        <f t="shared" si="8"/>
        <v>4.4988303041209278E-3</v>
      </c>
      <c r="G14">
        <f t="shared" si="7"/>
        <v>1.1002339391758145E-2</v>
      </c>
      <c r="H14">
        <f t="shared" si="2"/>
        <v>2.6907321216483728E-2</v>
      </c>
      <c r="I14">
        <f t="shared" si="11"/>
        <v>2.9154518950437317E-3</v>
      </c>
      <c r="J14">
        <f t="shared" si="9"/>
        <v>-3.6153568652227448</v>
      </c>
      <c r="K14">
        <f>-8.314*A14*J14/4184</f>
        <v>2.4641301155041666</v>
      </c>
    </row>
    <row r="15" spans="1:11">
      <c r="A15" t="s">
        <v>6</v>
      </c>
      <c r="B15">
        <v>10138</v>
      </c>
    </row>
    <row r="16" spans="1:11">
      <c r="A16" t="s">
        <v>7</v>
      </c>
      <c r="B16" s="2">
        <v>25.954000000000001</v>
      </c>
    </row>
    <row r="17" spans="1:11">
      <c r="A17" t="s">
        <v>8</v>
      </c>
      <c r="B17">
        <f>B15*8.314/4.184/1000</f>
        <v>20.145155831739963</v>
      </c>
    </row>
    <row r="18" spans="1:11">
      <c r="A18" t="s">
        <v>9</v>
      </c>
      <c r="B18">
        <f>B16*8.314/4.184</f>
        <v>51.573029636711276</v>
      </c>
    </row>
    <row r="21" spans="1:11">
      <c r="A21" t="s">
        <v>24</v>
      </c>
    </row>
    <row r="22" spans="1:11">
      <c r="A22" t="s">
        <v>3</v>
      </c>
      <c r="B22" t="s">
        <v>31</v>
      </c>
      <c r="C22" t="s">
        <v>30</v>
      </c>
      <c r="D22" t="s">
        <v>10</v>
      </c>
      <c r="E22" t="s">
        <v>11</v>
      </c>
      <c r="F22" t="s">
        <v>4</v>
      </c>
      <c r="G22" t="s">
        <v>5</v>
      </c>
      <c r="H22" t="s">
        <v>0</v>
      </c>
      <c r="I22" t="s">
        <v>1</v>
      </c>
      <c r="J22" t="s">
        <v>2</v>
      </c>
      <c r="K22" t="s">
        <v>12</v>
      </c>
    </row>
    <row r="23" spans="1:11">
      <c r="A23">
        <v>297.18</v>
      </c>
      <c r="B23">
        <v>0.5</v>
      </c>
      <c r="C23">
        <v>3.8800000000000001E-2</v>
      </c>
      <c r="D23">
        <f t="shared" ref="D23:D31" si="12">B23/(B23+C23)</f>
        <v>0.92798812175204171</v>
      </c>
      <c r="E23">
        <f>1-D23</f>
        <v>7.2011878247958294E-2</v>
      </c>
      <c r="F23">
        <f t="shared" ref="F23:F24" si="13">(0.02-G23)/2</f>
        <v>9.2798812175204169E-3</v>
      </c>
      <c r="G23">
        <f>0.02*E23</f>
        <v>1.4402375649591658E-3</v>
      </c>
      <c r="H23">
        <f t="shared" ref="H23:H31" si="14">G23*G23/F23</f>
        <v>2.2352487008166211E-4</v>
      </c>
      <c r="I23">
        <f t="shared" ref="I23:I31" si="15">1/A23</f>
        <v>3.3649639948852548E-3</v>
      </c>
      <c r="J23">
        <f t="shared" ref="J23:J24" si="16">LN(H23)</f>
        <v>-8.4059878745681491</v>
      </c>
      <c r="K23">
        <f t="shared" ref="K23:K31" si="17">-8.314*A23*J23/4184</f>
        <v>4.9639418107443705</v>
      </c>
    </row>
    <row r="24" spans="1:11">
      <c r="A24">
        <v>301.68</v>
      </c>
      <c r="B24">
        <v>0.5</v>
      </c>
      <c r="C24">
        <v>6.3600000000000004E-2</v>
      </c>
      <c r="D24">
        <f t="shared" si="12"/>
        <v>0.88715400993612492</v>
      </c>
      <c r="E24">
        <f t="shared" ref="E24:E31" si="18">1-D24</f>
        <v>0.11284599006387508</v>
      </c>
      <c r="F24">
        <f t="shared" si="13"/>
        <v>8.8715400993612491E-3</v>
      </c>
      <c r="G24">
        <f t="shared" ref="G24:G31" si="19">0.02*E24</f>
        <v>2.2569198012775018E-3</v>
      </c>
      <c r="H24">
        <f t="shared" si="14"/>
        <v>5.741603974449965E-4</v>
      </c>
      <c r="I24">
        <f t="shared" si="15"/>
        <v>3.3147706178732429E-3</v>
      </c>
      <c r="J24">
        <f t="shared" si="16"/>
        <v>-7.4626017626227643</v>
      </c>
      <c r="K24">
        <f t="shared" si="17"/>
        <v>4.4735791959142368</v>
      </c>
    </row>
    <row r="25" spans="1:11">
      <c r="A25">
        <v>306.18</v>
      </c>
      <c r="B25">
        <v>0.5</v>
      </c>
      <c r="C25">
        <v>6.9900000000000004E-2</v>
      </c>
      <c r="D25">
        <f t="shared" si="12"/>
        <v>0.87734690296543261</v>
      </c>
      <c r="E25">
        <f t="shared" si="18"/>
        <v>0.12265309703456739</v>
      </c>
      <c r="F25">
        <f>(0.02-G25)/2</f>
        <v>8.7734690296543266E-3</v>
      </c>
      <c r="G25">
        <f t="shared" si="19"/>
        <v>2.453061940691348E-3</v>
      </c>
      <c r="H25">
        <f t="shared" si="14"/>
        <v>6.8587611861730042E-4</v>
      </c>
      <c r="I25">
        <f t="shared" si="15"/>
        <v>3.2660526487686982E-3</v>
      </c>
      <c r="J25">
        <f>LN(H25)</f>
        <v>-7.2848135316518183</v>
      </c>
      <c r="K25">
        <f t="shared" si="17"/>
        <v>4.4321413522957149</v>
      </c>
    </row>
    <row r="26" spans="1:11">
      <c r="A26">
        <v>310.67</v>
      </c>
      <c r="B26">
        <v>0.5</v>
      </c>
      <c r="C26">
        <v>8.745E-2</v>
      </c>
      <c r="D26">
        <f t="shared" si="12"/>
        <v>0.85113626691633326</v>
      </c>
      <c r="E26">
        <f t="shared" si="18"/>
        <v>0.14886373308366674</v>
      </c>
      <c r="F26">
        <f t="shared" ref="F26:F31" si="20">(0.02-G26)/2</f>
        <v>8.5113626691633321E-3</v>
      </c>
      <c r="G26">
        <f t="shared" si="19"/>
        <v>2.9772746616733349E-3</v>
      </c>
      <c r="H26">
        <f t="shared" si="14"/>
        <v>1.0414506766533329E-3</v>
      </c>
      <c r="I26">
        <f t="shared" si="15"/>
        <v>3.2188495831589788E-3</v>
      </c>
      <c r="J26">
        <f t="shared" ref="J26:J31" si="21">LN(H26)</f>
        <v>-6.867140656374751</v>
      </c>
      <c r="K26">
        <f t="shared" si="17"/>
        <v>4.2392946659345982</v>
      </c>
    </row>
    <row r="27" spans="1:11">
      <c r="A27">
        <v>315.26</v>
      </c>
      <c r="B27">
        <v>0.5</v>
      </c>
      <c r="C27">
        <v>0.13589999999999999</v>
      </c>
      <c r="D27">
        <f t="shared" si="12"/>
        <v>0.7862871520679352</v>
      </c>
      <c r="E27">
        <f t="shared" si="18"/>
        <v>0.2137128479320648</v>
      </c>
      <c r="F27">
        <f t="shared" si="20"/>
        <v>7.8628715206793525E-3</v>
      </c>
      <c r="G27">
        <f t="shared" si="19"/>
        <v>4.2742569586412963E-3</v>
      </c>
      <c r="H27">
        <f t="shared" si="14"/>
        <v>2.3234860827174089E-3</v>
      </c>
      <c r="I27">
        <f t="shared" si="15"/>
        <v>3.1719850282306669E-3</v>
      </c>
      <c r="J27">
        <f t="shared" si="21"/>
        <v>-6.0646865992495584</v>
      </c>
      <c r="K27">
        <f t="shared" si="17"/>
        <v>3.7992299356551298</v>
      </c>
    </row>
    <row r="28" spans="1:11">
      <c r="A28">
        <v>319.85000000000002</v>
      </c>
      <c r="B28">
        <v>0.5</v>
      </c>
      <c r="C28">
        <v>0.17030000000000001</v>
      </c>
      <c r="D28">
        <f t="shared" si="12"/>
        <v>0.74593465612412357</v>
      </c>
      <c r="E28">
        <f t="shared" si="18"/>
        <v>0.25406534387587643</v>
      </c>
      <c r="F28">
        <f t="shared" si="20"/>
        <v>7.4593465612412362E-3</v>
      </c>
      <c r="G28">
        <f t="shared" si="19"/>
        <v>5.081306877517529E-3</v>
      </c>
      <c r="H28">
        <f t="shared" si="14"/>
        <v>3.4613862449649397E-3</v>
      </c>
      <c r="I28">
        <f t="shared" si="15"/>
        <v>3.1264655307175235E-3</v>
      </c>
      <c r="J28">
        <f t="shared" si="21"/>
        <v>-5.6660861213170195</v>
      </c>
      <c r="K28">
        <f t="shared" si="17"/>
        <v>3.601205217026676</v>
      </c>
    </row>
    <row r="29" spans="1:11">
      <c r="A29">
        <v>324.45</v>
      </c>
      <c r="B29">
        <v>0.5</v>
      </c>
      <c r="C29">
        <v>0.23315</v>
      </c>
      <c r="D29">
        <f t="shared" si="12"/>
        <v>0.68198867898792881</v>
      </c>
      <c r="E29">
        <f t="shared" si="18"/>
        <v>0.31801132101207119</v>
      </c>
      <c r="F29">
        <f t="shared" si="20"/>
        <v>6.8198867898792877E-3</v>
      </c>
      <c r="G29">
        <f t="shared" si="19"/>
        <v>6.3602264202414242E-3</v>
      </c>
      <c r="H29">
        <f t="shared" si="14"/>
        <v>5.9315471595171526E-3</v>
      </c>
      <c r="I29">
        <f t="shared" si="15"/>
        <v>3.0821390044691015E-3</v>
      </c>
      <c r="J29">
        <f t="shared" si="21"/>
        <v>-5.127470196204821</v>
      </c>
      <c r="K29">
        <f t="shared" si="17"/>
        <v>3.3057443739696586</v>
      </c>
    </row>
    <row r="30" spans="1:11">
      <c r="A30">
        <v>329.03</v>
      </c>
      <c r="B30">
        <v>0.5</v>
      </c>
      <c r="C30">
        <v>0.27279999999999999</v>
      </c>
      <c r="D30">
        <f t="shared" si="12"/>
        <v>0.64699792960662528</v>
      </c>
      <c r="E30">
        <f t="shared" si="18"/>
        <v>0.35300207039337472</v>
      </c>
      <c r="F30">
        <f t="shared" si="20"/>
        <v>6.4699792960662529E-3</v>
      </c>
      <c r="G30">
        <f t="shared" si="19"/>
        <v>7.0600414078674945E-3</v>
      </c>
      <c r="H30">
        <f t="shared" si="14"/>
        <v>7.7039171842650097E-3</v>
      </c>
      <c r="I30">
        <f t="shared" si="15"/>
        <v>3.0392365437802026E-3</v>
      </c>
      <c r="J30">
        <f t="shared" si="21"/>
        <v>-4.8660263542500868</v>
      </c>
      <c r="K30">
        <f t="shared" si="17"/>
        <v>3.1814734147303212</v>
      </c>
    </row>
    <row r="31" spans="1:11">
      <c r="A31">
        <v>333.72</v>
      </c>
      <c r="B31">
        <v>0.5</v>
      </c>
      <c r="C31">
        <v>0.32479999999999998</v>
      </c>
      <c r="D31">
        <f t="shared" si="12"/>
        <v>0.6062075654704171</v>
      </c>
      <c r="E31">
        <f t="shared" si="18"/>
        <v>0.3937924345295829</v>
      </c>
      <c r="F31">
        <f t="shared" si="20"/>
        <v>6.0620756547041712E-3</v>
      </c>
      <c r="G31">
        <f t="shared" si="19"/>
        <v>7.875848690591658E-3</v>
      </c>
      <c r="H31">
        <f t="shared" si="14"/>
        <v>1.0232302618816681E-2</v>
      </c>
      <c r="I31">
        <f t="shared" si="15"/>
        <v>2.9965240321227372E-3</v>
      </c>
      <c r="J31">
        <f t="shared" si="21"/>
        <v>-4.5822056394180972</v>
      </c>
      <c r="K31">
        <f t="shared" si="17"/>
        <v>3.0386113429762558</v>
      </c>
    </row>
    <row r="32" spans="1:11">
      <c r="A32" t="s">
        <v>6</v>
      </c>
      <c r="B32">
        <v>10377</v>
      </c>
    </row>
    <row r="33" spans="1:11">
      <c r="A33" t="s">
        <v>7</v>
      </c>
      <c r="B33" s="2">
        <v>26.695</v>
      </c>
    </row>
    <row r="34" spans="1:11">
      <c r="A34" t="s">
        <v>8</v>
      </c>
      <c r="B34">
        <f>B32*8.314/4.184/1000</f>
        <v>20.620071223709367</v>
      </c>
    </row>
    <row r="35" spans="1:11">
      <c r="A35" t="s">
        <v>9</v>
      </c>
      <c r="B35">
        <f>B33*8.314/4.184</f>
        <v>53.045466061185465</v>
      </c>
    </row>
    <row r="38" spans="1:11">
      <c r="A38" t="s">
        <v>25</v>
      </c>
    </row>
    <row r="39" spans="1:11">
      <c r="A39" t="s">
        <v>3</v>
      </c>
      <c r="B39" t="s">
        <v>31</v>
      </c>
      <c r="C39" t="s">
        <v>30</v>
      </c>
      <c r="D39" t="s">
        <v>10</v>
      </c>
      <c r="E39" t="s">
        <v>11</v>
      </c>
      <c r="F39" t="s">
        <v>4</v>
      </c>
      <c r="G39" t="s">
        <v>5</v>
      </c>
      <c r="H39" t="s">
        <v>0</v>
      </c>
      <c r="I39" t="s">
        <v>1</v>
      </c>
      <c r="J39" t="s">
        <v>2</v>
      </c>
      <c r="K39" t="s">
        <v>12</v>
      </c>
    </row>
    <row r="40" spans="1:11">
      <c r="A40">
        <v>297.18</v>
      </c>
      <c r="B40">
        <v>0.5</v>
      </c>
      <c r="C40">
        <v>4.3799999999999999E-2</v>
      </c>
      <c r="D40">
        <f t="shared" ref="D40:D48" si="22">B40/(B40+C40)</f>
        <v>0.91945568223611629</v>
      </c>
      <c r="E40">
        <f>1-D40</f>
        <v>8.054431776388371E-2</v>
      </c>
      <c r="F40">
        <f t="shared" ref="F40:F41" si="23">(0.02-G40)/2</f>
        <v>9.1945568223611631E-3</v>
      </c>
      <c r="G40">
        <f>0.02*E40</f>
        <v>1.6108863552776742E-3</v>
      </c>
      <c r="H40">
        <f t="shared" ref="H40:H48" si="24">G40*G40/F40</f>
        <v>2.8222728944464828E-4</v>
      </c>
      <c r="I40">
        <f t="shared" ref="I40:I48" si="25">1/A40</f>
        <v>3.3649639948852548E-3</v>
      </c>
      <c r="J40">
        <f t="shared" ref="J40:J41" si="26">LN(H40)</f>
        <v>-8.1727978207239644</v>
      </c>
      <c r="K40">
        <f t="shared" ref="K40:K48" si="27">-8.314*A40*J40/4184</f>
        <v>4.8262373701242556</v>
      </c>
    </row>
    <row r="41" spans="1:11">
      <c r="A41">
        <v>301.68</v>
      </c>
      <c r="B41">
        <v>0.5</v>
      </c>
      <c r="C41">
        <v>6.0350000000000001E-2</v>
      </c>
      <c r="D41">
        <f t="shared" si="22"/>
        <v>0.89229945569733204</v>
      </c>
      <c r="E41">
        <f t="shared" ref="E41:E48" si="28">1-D41</f>
        <v>0.10770054430266796</v>
      </c>
      <c r="F41">
        <f t="shared" si="23"/>
        <v>8.92299455697332E-3</v>
      </c>
      <c r="G41">
        <f t="shared" ref="G41:G48" si="29">0.02*E41</f>
        <v>2.1540108860533592E-3</v>
      </c>
      <c r="H41">
        <f t="shared" si="24"/>
        <v>5.1997822789328089E-4</v>
      </c>
      <c r="I41">
        <f t="shared" si="25"/>
        <v>3.3147706178732429E-3</v>
      </c>
      <c r="J41">
        <f t="shared" si="26"/>
        <v>-7.5617236167013484</v>
      </c>
      <c r="K41">
        <f t="shared" si="27"/>
        <v>4.5329994193659786</v>
      </c>
    </row>
    <row r="42" spans="1:11">
      <c r="A42">
        <v>306.18</v>
      </c>
      <c r="B42">
        <v>0.5</v>
      </c>
      <c r="C42">
        <v>6.855E-2</v>
      </c>
      <c r="D42">
        <f t="shared" si="22"/>
        <v>0.87943012927622899</v>
      </c>
      <c r="E42">
        <f t="shared" si="28"/>
        <v>0.12056987072377101</v>
      </c>
      <c r="F42">
        <f>(0.02-G42)/2</f>
        <v>8.794301292762291E-3</v>
      </c>
      <c r="G42">
        <f t="shared" si="29"/>
        <v>2.4113974144754202E-3</v>
      </c>
      <c r="H42">
        <f t="shared" si="24"/>
        <v>6.6120517104916018E-4</v>
      </c>
      <c r="I42">
        <f t="shared" si="25"/>
        <v>3.2660526487686982E-3</v>
      </c>
      <c r="J42">
        <f>LN(H42)</f>
        <v>-7.3214463713444777</v>
      </c>
      <c r="K42">
        <f t="shared" si="27"/>
        <v>4.4544290777053508</v>
      </c>
    </row>
    <row r="43" spans="1:11">
      <c r="A43">
        <v>310.67</v>
      </c>
      <c r="B43">
        <v>0.5</v>
      </c>
      <c r="C43">
        <v>0.10274999999999999</v>
      </c>
      <c r="D43">
        <f t="shared" si="22"/>
        <v>0.82953131480713393</v>
      </c>
      <c r="E43">
        <f t="shared" si="28"/>
        <v>0.17046868519286607</v>
      </c>
      <c r="F43">
        <f t="shared" ref="F43:F48" si="30">(0.02-G43)/2</f>
        <v>8.2953131480713403E-3</v>
      </c>
      <c r="G43">
        <f t="shared" si="29"/>
        <v>3.4093737038573212E-3</v>
      </c>
      <c r="H43">
        <f t="shared" si="24"/>
        <v>1.4012525922853592E-3</v>
      </c>
      <c r="I43">
        <f t="shared" si="25"/>
        <v>3.2188495831589788E-3</v>
      </c>
      <c r="J43">
        <f t="shared" ref="J43:J48" si="31">LN(H43)</f>
        <v>-6.5703887335989846</v>
      </c>
      <c r="K43">
        <f t="shared" si="27"/>
        <v>4.056100683711251</v>
      </c>
    </row>
    <row r="44" spans="1:11">
      <c r="A44">
        <v>315.26</v>
      </c>
      <c r="B44">
        <v>0.5</v>
      </c>
      <c r="C44">
        <v>0.13705000000000001</v>
      </c>
      <c r="D44">
        <f t="shared" si="22"/>
        <v>0.78486774978416141</v>
      </c>
      <c r="E44">
        <f t="shared" si="28"/>
        <v>0.21513225021583859</v>
      </c>
      <c r="F44">
        <f t="shared" si="30"/>
        <v>7.8486774978416135E-3</v>
      </c>
      <c r="G44">
        <f t="shared" si="29"/>
        <v>4.3026450043167717E-3</v>
      </c>
      <c r="H44">
        <f t="shared" si="24"/>
        <v>2.3587099913664534E-3</v>
      </c>
      <c r="I44">
        <f t="shared" si="25"/>
        <v>3.1719850282306669E-3</v>
      </c>
      <c r="J44">
        <f t="shared" si="31"/>
        <v>-6.0496404232201932</v>
      </c>
      <c r="K44">
        <f t="shared" si="27"/>
        <v>3.7898042412763018</v>
      </c>
    </row>
    <row r="45" spans="1:11">
      <c r="A45">
        <v>319.85000000000002</v>
      </c>
      <c r="B45">
        <v>0.5</v>
      </c>
      <c r="C45">
        <v>0.17255000000000001</v>
      </c>
      <c r="D45">
        <f t="shared" si="22"/>
        <v>0.74343914950561296</v>
      </c>
      <c r="E45">
        <f t="shared" si="28"/>
        <v>0.25656085049438704</v>
      </c>
      <c r="F45">
        <f t="shared" si="30"/>
        <v>7.43439149505613E-3</v>
      </c>
      <c r="G45">
        <f t="shared" si="29"/>
        <v>5.1312170098877412E-3</v>
      </c>
      <c r="H45">
        <f t="shared" si="24"/>
        <v>3.5415659802245192E-3</v>
      </c>
      <c r="I45">
        <f t="shared" si="25"/>
        <v>3.1264655307175235E-3</v>
      </c>
      <c r="J45">
        <f t="shared" si="31"/>
        <v>-5.6431862823569583</v>
      </c>
      <c r="K45">
        <f t="shared" si="27"/>
        <v>3.5866507224838231</v>
      </c>
    </row>
    <row r="46" spans="1:11">
      <c r="A46">
        <v>324.45</v>
      </c>
      <c r="B46">
        <v>0.5</v>
      </c>
      <c r="C46">
        <v>0.20330000000000001</v>
      </c>
      <c r="D46">
        <f t="shared" si="22"/>
        <v>0.71093416749608984</v>
      </c>
      <c r="E46">
        <f t="shared" si="28"/>
        <v>0.28906583250391016</v>
      </c>
      <c r="F46">
        <f t="shared" si="30"/>
        <v>7.1093416749608987E-3</v>
      </c>
      <c r="G46">
        <f t="shared" si="29"/>
        <v>5.781316650078203E-3</v>
      </c>
      <c r="H46">
        <f t="shared" si="24"/>
        <v>4.7013666998435948E-3</v>
      </c>
      <c r="I46">
        <f t="shared" si="25"/>
        <v>3.0821390044691015E-3</v>
      </c>
      <c r="J46">
        <f t="shared" si="31"/>
        <v>-5.3599020253357628</v>
      </c>
      <c r="K46">
        <f t="shared" si="27"/>
        <v>3.4555960907187488</v>
      </c>
    </row>
    <row r="47" spans="1:11">
      <c r="A47">
        <v>329.03</v>
      </c>
      <c r="B47">
        <v>0.5</v>
      </c>
      <c r="C47">
        <v>0.27324999999999999</v>
      </c>
      <c r="D47">
        <f t="shared" si="22"/>
        <v>0.64662140316844485</v>
      </c>
      <c r="E47">
        <f t="shared" si="28"/>
        <v>0.35337859683155515</v>
      </c>
      <c r="F47">
        <f t="shared" si="30"/>
        <v>6.4662140316844481E-3</v>
      </c>
      <c r="G47">
        <f t="shared" si="29"/>
        <v>7.0675719366311033E-3</v>
      </c>
      <c r="H47">
        <f t="shared" si="24"/>
        <v>7.7248561267377978E-3</v>
      </c>
      <c r="I47">
        <f t="shared" si="25"/>
        <v>3.0392365437802026E-3</v>
      </c>
      <c r="J47">
        <f t="shared" si="31"/>
        <v>-4.8633120807422756</v>
      </c>
      <c r="K47">
        <f t="shared" si="27"/>
        <v>3.1796987862394857</v>
      </c>
    </row>
    <row r="48" spans="1:11">
      <c r="A48">
        <v>333.72</v>
      </c>
      <c r="B48">
        <v>0.5</v>
      </c>
      <c r="C48">
        <v>0.35170000000000001</v>
      </c>
      <c r="D48">
        <f t="shared" si="22"/>
        <v>0.58706117177409889</v>
      </c>
      <c r="E48">
        <f t="shared" si="28"/>
        <v>0.41293882822590111</v>
      </c>
      <c r="F48">
        <f t="shared" si="30"/>
        <v>5.8706117177409894E-3</v>
      </c>
      <c r="G48">
        <f t="shared" si="29"/>
        <v>8.2587765645180215E-3</v>
      </c>
      <c r="H48">
        <f t="shared" si="24"/>
        <v>1.161844687096395E-2</v>
      </c>
      <c r="I48">
        <f t="shared" si="25"/>
        <v>2.9965240321227372E-3</v>
      </c>
      <c r="J48">
        <f t="shared" si="31"/>
        <v>-4.4551611964775546</v>
      </c>
      <c r="K48">
        <f t="shared" si="27"/>
        <v>2.9543639922985903</v>
      </c>
    </row>
    <row r="49" spans="1:6">
      <c r="A49" t="s">
        <v>6</v>
      </c>
      <c r="B49">
        <v>10084</v>
      </c>
    </row>
    <row r="50" spans="1:6">
      <c r="A50" t="s">
        <v>7</v>
      </c>
      <c r="B50" s="2">
        <v>25.8</v>
      </c>
    </row>
    <row r="51" spans="1:6">
      <c r="A51" t="s">
        <v>8</v>
      </c>
      <c r="B51">
        <f>B49*8.314/4.184/1000</f>
        <v>20.03785277246654</v>
      </c>
    </row>
    <row r="52" spans="1:6" ht="16.2">
      <c r="A52" t="s">
        <v>29</v>
      </c>
      <c r="B52">
        <f>B50*8.314/4.184</f>
        <v>51.267017208413002</v>
      </c>
    </row>
    <row r="56" spans="1:6">
      <c r="A56" t="s">
        <v>20</v>
      </c>
      <c r="B56">
        <v>1</v>
      </c>
      <c r="C56">
        <v>2</v>
      </c>
      <c r="D56">
        <v>3</v>
      </c>
      <c r="E56" t="s">
        <v>21</v>
      </c>
      <c r="F56" t="s">
        <v>22</v>
      </c>
    </row>
    <row r="57" spans="1:6">
      <c r="A57" t="s">
        <v>6</v>
      </c>
      <c r="B57">
        <v>10138</v>
      </c>
      <c r="C57">
        <v>10377</v>
      </c>
      <c r="D57">
        <v>10084</v>
      </c>
    </row>
    <row r="58" spans="1:6">
      <c r="A58" t="s">
        <v>7</v>
      </c>
      <c r="B58" s="2">
        <v>25.954000000000001</v>
      </c>
      <c r="C58" s="2">
        <v>26.695</v>
      </c>
      <c r="D58" s="2">
        <v>25.8</v>
      </c>
    </row>
    <row r="59" spans="1:6">
      <c r="A59" t="s">
        <v>8</v>
      </c>
      <c r="B59">
        <f>B57*8.314/4.184/1000</f>
        <v>20.145155831739963</v>
      </c>
      <c r="C59">
        <f>C57*8.314/4.184/1000</f>
        <v>20.620071223709367</v>
      </c>
      <c r="D59">
        <f>D57*8.314/4.184/1000</f>
        <v>20.03785277246654</v>
      </c>
      <c r="E59">
        <f t="shared" ref="E59:E60" si="32" xml:space="preserve"> AVERAGE(B59:D59)</f>
        <v>20.267693275971954</v>
      </c>
      <c r="F59">
        <f>_xlfn.STDEV.S(B59:D59)</f>
        <v>0.30984859233354728</v>
      </c>
    </row>
    <row r="60" spans="1:6" ht="16.2">
      <c r="A60" t="s">
        <v>29</v>
      </c>
      <c r="B60">
        <f>B58*8.314/4.184</f>
        <v>51.573029636711276</v>
      </c>
      <c r="C60">
        <f>C58*8.314/4.184</f>
        <v>53.045466061185465</v>
      </c>
      <c r="D60">
        <f>D58*8.314/4.184</f>
        <v>51.267017208413002</v>
      </c>
      <c r="E60">
        <f t="shared" si="32"/>
        <v>51.961837635436581</v>
      </c>
      <c r="F60">
        <f>_xlfn.STDEV.S(B60:D60)</f>
        <v>0.95084111469083277</v>
      </c>
    </row>
    <row r="61" spans="1:6">
      <c r="A61" t="s">
        <v>19</v>
      </c>
      <c r="B61">
        <f>B59-298.15*B60/1000</f>
        <v>4.7686570455544963</v>
      </c>
      <c r="C61">
        <f>C59-298.15*C60/1000</f>
        <v>4.8045655175669211</v>
      </c>
      <c r="D61">
        <f>D59-298.15*D60/1000</f>
        <v>4.752591591778204</v>
      </c>
      <c r="E61">
        <f xml:space="preserve"> AVERAGE(B61:D61)</f>
        <v>4.7752713849665405</v>
      </c>
      <c r="F61">
        <f>_xlfn.STDEV.S(B61:D61)</f>
        <v>2.6610793954071676E-2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5C792-88D5-464E-B8DD-0A293EB9A947}">
  <dimension ref="A1:L80"/>
  <sheetViews>
    <sheetView topLeftCell="A58" zoomScaleNormal="100" workbookViewId="0">
      <selection activeCell="F75" sqref="F75:G75"/>
    </sheetView>
  </sheetViews>
  <sheetFormatPr defaultRowHeight="14.4"/>
  <cols>
    <col min="4" max="4" width="8.88671875" customWidth="1"/>
    <col min="5" max="5" width="12.109375" customWidth="1"/>
    <col min="7" max="7" width="13.109375" customWidth="1"/>
    <col min="8" max="8" width="19.33203125" customWidth="1"/>
  </cols>
  <sheetData>
    <row r="1" spans="1:11">
      <c r="A1" t="s">
        <v>23</v>
      </c>
    </row>
    <row r="2" spans="1:11">
      <c r="A2" t="s">
        <v>3</v>
      </c>
      <c r="B2" t="s">
        <v>31</v>
      </c>
      <c r="C2" t="s">
        <v>30</v>
      </c>
      <c r="D2" t="s">
        <v>10</v>
      </c>
      <c r="E2" t="s">
        <v>11</v>
      </c>
      <c r="F2" t="s">
        <v>4</v>
      </c>
      <c r="G2" t="s">
        <v>5</v>
      </c>
      <c r="H2" t="s">
        <v>0</v>
      </c>
      <c r="I2" t="s">
        <v>1</v>
      </c>
      <c r="J2" t="s">
        <v>2</v>
      </c>
      <c r="K2" t="s">
        <v>12</v>
      </c>
    </row>
    <row r="3" spans="1:11">
      <c r="A3">
        <v>310.67</v>
      </c>
      <c r="B3">
        <v>0.5</v>
      </c>
      <c r="C3">
        <v>2.5600000000000001E-2</v>
      </c>
      <c r="D3">
        <f t="shared" ref="D3:D10" si="0">B3/(B3+C3)</f>
        <v>0.95129375951293771</v>
      </c>
      <c r="E3">
        <f t="shared" ref="E3:E5" si="1">1-D3</f>
        <v>4.8706240487062291E-2</v>
      </c>
      <c r="F3">
        <f>(0.00666-G3)/2</f>
        <v>3.1678082191780826E-3</v>
      </c>
      <c r="G3">
        <f>0.00666*E3</f>
        <v>3.2438356164383488E-4</v>
      </c>
      <c r="H3">
        <f t="shared" ref="H3:H5" si="2">G3*G3/F3</f>
        <v>3.3216876712328611E-5</v>
      </c>
      <c r="I3">
        <f t="shared" ref="I3:I10" si="3">1/A3</f>
        <v>3.2188495831589788E-3</v>
      </c>
      <c r="J3">
        <f t="shared" ref="J3:J5" si="4">LN(H3)</f>
        <v>-10.312452476491458</v>
      </c>
      <c r="K3">
        <f t="shared" ref="K3:K15" si="5">-8.314*A3*J3/4184</f>
        <v>6.3661903787730632</v>
      </c>
    </row>
    <row r="4" spans="1:11">
      <c r="A4">
        <v>315.26</v>
      </c>
      <c r="B4">
        <v>0.5</v>
      </c>
      <c r="C4">
        <v>3.2800000000000003E-2</v>
      </c>
      <c r="D4">
        <f t="shared" si="0"/>
        <v>0.93843843843843833</v>
      </c>
      <c r="E4">
        <f t="shared" si="1"/>
        <v>6.1561561561561673E-2</v>
      </c>
      <c r="F4">
        <f t="shared" ref="F4:F15" si="6">(0.00666-G4)/2</f>
        <v>3.1249999999999997E-3</v>
      </c>
      <c r="G4">
        <f t="shared" ref="G4:G15" si="7">0.00666*E4</f>
        <v>4.1000000000000075E-4</v>
      </c>
      <c r="H4">
        <f t="shared" si="2"/>
        <v>5.3792000000000199E-5</v>
      </c>
      <c r="I4">
        <f t="shared" si="3"/>
        <v>3.1719850282306669E-3</v>
      </c>
      <c r="J4">
        <f t="shared" si="4"/>
        <v>-9.8303858007380658</v>
      </c>
      <c r="K4">
        <f t="shared" si="5"/>
        <v>6.1582565565423604</v>
      </c>
    </row>
    <row r="5" spans="1:11">
      <c r="A5">
        <v>319.85000000000002</v>
      </c>
      <c r="B5">
        <v>0.5</v>
      </c>
      <c r="C5">
        <v>4.6199999999999998E-2</v>
      </c>
      <c r="D5">
        <f t="shared" si="0"/>
        <v>0.91541559868180156</v>
      </c>
      <c r="E5">
        <f t="shared" si="1"/>
        <v>8.4584401318198443E-2</v>
      </c>
      <c r="F5">
        <f t="shared" si="6"/>
        <v>3.0483339436103993E-3</v>
      </c>
      <c r="G5">
        <f t="shared" si="7"/>
        <v>5.6333211277920161E-4</v>
      </c>
      <c r="H5">
        <f t="shared" si="2"/>
        <v>1.0410377444159643E-4</v>
      </c>
      <c r="I5">
        <f t="shared" si="3"/>
        <v>3.1264655307175235E-3</v>
      </c>
      <c r="J5">
        <f t="shared" si="4"/>
        <v>-9.1701223251563047</v>
      </c>
      <c r="K5">
        <f t="shared" si="5"/>
        <v>5.8282722237285247</v>
      </c>
    </row>
    <row r="6" spans="1:11">
      <c r="A6">
        <v>322.29000000000002</v>
      </c>
      <c r="B6">
        <v>0.5</v>
      </c>
      <c r="C6">
        <v>5.5599999999999997E-2</v>
      </c>
      <c r="D6">
        <f t="shared" si="0"/>
        <v>0.89992800575953924</v>
      </c>
      <c r="E6">
        <f t="shared" ref="E6" si="8">1-D6</f>
        <v>0.10007199424046076</v>
      </c>
      <c r="F6">
        <f t="shared" si="6"/>
        <v>2.9967602591792659E-3</v>
      </c>
      <c r="G6">
        <f t="shared" si="7"/>
        <v>6.6647948164146866E-4</v>
      </c>
      <c r="H6">
        <f t="shared" ref="H6" si="9">G6*G6/F6</f>
        <v>1.4822503671706262E-4</v>
      </c>
      <c r="I6">
        <f t="shared" si="3"/>
        <v>3.1027956188525861E-3</v>
      </c>
      <c r="J6">
        <f t="shared" ref="J6" si="10">LN(H6)</f>
        <v>-8.8167789206592015</v>
      </c>
      <c r="K6">
        <f t="shared" si="5"/>
        <v>5.6464453072926766</v>
      </c>
    </row>
    <row r="7" spans="1:11">
      <c r="A7">
        <v>324.45</v>
      </c>
      <c r="B7">
        <v>0.5</v>
      </c>
      <c r="C7">
        <v>5.8799999999999998E-2</v>
      </c>
      <c r="D7">
        <f t="shared" si="0"/>
        <v>0.89477451682176101</v>
      </c>
      <c r="E7">
        <f t="shared" ref="E7:E15" si="11">1-D7</f>
        <v>0.10522548317823899</v>
      </c>
      <c r="F7">
        <f t="shared" si="6"/>
        <v>2.9795991410164644E-3</v>
      </c>
      <c r="G7">
        <f t="shared" si="7"/>
        <v>7.0080171796707167E-4</v>
      </c>
      <c r="H7">
        <f t="shared" ref="H7:H15" si="12">G7*G7/F7</f>
        <v>1.6482856406585506E-4</v>
      </c>
      <c r="I7">
        <f t="shared" si="3"/>
        <v>3.0821390044691015E-3</v>
      </c>
      <c r="J7">
        <f t="shared" ref="J7:J15" si="13">LN(H7)</f>
        <v>-8.7106046298657329</v>
      </c>
      <c r="K7">
        <f t="shared" si="5"/>
        <v>5.6158361038092055</v>
      </c>
    </row>
    <row r="8" spans="1:11">
      <c r="A8">
        <v>326.89999999999998</v>
      </c>
      <c r="B8">
        <v>0.5</v>
      </c>
      <c r="C8">
        <v>6.6199999999999995E-2</v>
      </c>
      <c r="D8">
        <f t="shared" si="0"/>
        <v>0.8830801836806782</v>
      </c>
      <c r="E8">
        <f t="shared" si="11"/>
        <v>0.1169198163193218</v>
      </c>
      <c r="F8">
        <f t="shared" si="6"/>
        <v>2.9406570116566584E-3</v>
      </c>
      <c r="G8">
        <f t="shared" si="7"/>
        <v>7.7868597668668323E-4</v>
      </c>
      <c r="H8">
        <f t="shared" si="12"/>
        <v>2.0619604662663375E-4</v>
      </c>
      <c r="I8">
        <f t="shared" si="3"/>
        <v>3.0590394616090552E-3</v>
      </c>
      <c r="J8">
        <f t="shared" si="13"/>
        <v>-8.4866831590839595</v>
      </c>
      <c r="K8">
        <f t="shared" si="5"/>
        <v>5.5127875165376663</v>
      </c>
    </row>
    <row r="9" spans="1:11">
      <c r="A9">
        <v>329.03</v>
      </c>
      <c r="B9">
        <v>0.5</v>
      </c>
      <c r="C9">
        <v>7.5300000000000006E-2</v>
      </c>
      <c r="D9">
        <f t="shared" si="0"/>
        <v>0.86911176777333565</v>
      </c>
      <c r="E9">
        <f t="shared" si="11"/>
        <v>0.13088823222666435</v>
      </c>
      <c r="F9">
        <f t="shared" si="6"/>
        <v>2.8941421866852078E-3</v>
      </c>
      <c r="G9">
        <f t="shared" si="7"/>
        <v>8.717156266295846E-4</v>
      </c>
      <c r="H9">
        <f t="shared" si="12"/>
        <v>2.6256074674083091E-4</v>
      </c>
      <c r="I9">
        <f t="shared" si="3"/>
        <v>3.0392365437802026E-3</v>
      </c>
      <c r="J9">
        <f t="shared" si="13"/>
        <v>-8.2450280865496381</v>
      </c>
      <c r="K9">
        <f t="shared" si="5"/>
        <v>5.3907101506245425</v>
      </c>
    </row>
    <row r="10" spans="1:11">
      <c r="A10">
        <v>331.51</v>
      </c>
      <c r="B10">
        <v>0.5</v>
      </c>
      <c r="C10">
        <v>8.4000000000000005E-2</v>
      </c>
      <c r="D10">
        <f t="shared" si="0"/>
        <v>0.85616438356164393</v>
      </c>
      <c r="E10">
        <f t="shared" si="11"/>
        <v>0.14383561643835607</v>
      </c>
      <c r="F10">
        <f t="shared" si="6"/>
        <v>2.8510273972602745E-3</v>
      </c>
      <c r="G10">
        <f t="shared" si="7"/>
        <v>9.5794520547945146E-4</v>
      </c>
      <c r="H10">
        <f t="shared" si="12"/>
        <v>3.2186958904109543E-4</v>
      </c>
      <c r="I10">
        <f t="shared" si="3"/>
        <v>3.0165002564025217E-3</v>
      </c>
      <c r="J10">
        <f t="shared" si="13"/>
        <v>-8.0413640974336875</v>
      </c>
      <c r="K10">
        <f t="shared" si="5"/>
        <v>5.2971796786976979</v>
      </c>
    </row>
    <row r="11" spans="1:11">
      <c r="A11">
        <v>333.72</v>
      </c>
      <c r="B11">
        <v>0.5</v>
      </c>
      <c r="C11">
        <v>0.10299999999999999</v>
      </c>
      <c r="D11">
        <f t="shared" ref="D11" si="14">B11/(B11+C11)</f>
        <v>0.82918739635157546</v>
      </c>
      <c r="E11">
        <f t="shared" si="11"/>
        <v>0.17081260364842454</v>
      </c>
      <c r="F11">
        <f t="shared" si="6"/>
        <v>2.7611940298507462E-3</v>
      </c>
      <c r="G11">
        <f t="shared" si="7"/>
        <v>1.1376119402985074E-3</v>
      </c>
      <c r="H11">
        <f t="shared" si="12"/>
        <v>4.6869611940298506E-4</v>
      </c>
      <c r="I11">
        <f t="shared" ref="I11" si="15">1/A11</f>
        <v>2.9965240321227372E-3</v>
      </c>
      <c r="J11">
        <f t="shared" si="13"/>
        <v>-7.6655559325599993</v>
      </c>
      <c r="K11">
        <f t="shared" si="5"/>
        <v>5.08328238403847</v>
      </c>
    </row>
    <row r="12" spans="1:11">
      <c r="A12">
        <v>336.13</v>
      </c>
      <c r="B12">
        <v>0.5</v>
      </c>
      <c r="C12">
        <v>0.1124</v>
      </c>
      <c r="D12">
        <f t="shared" ref="D12" si="16">B12/(B12+C12)</f>
        <v>0.81645983017635526</v>
      </c>
      <c r="E12">
        <f t="shared" si="11"/>
        <v>0.18354016982364474</v>
      </c>
      <c r="F12">
        <f t="shared" si="6"/>
        <v>2.7188112344872632E-3</v>
      </c>
      <c r="G12">
        <f t="shared" si="7"/>
        <v>1.222377531025474E-3</v>
      </c>
      <c r="H12">
        <f t="shared" si="12"/>
        <v>5.4958093794905331E-4</v>
      </c>
      <c r="I12">
        <f t="shared" ref="I12" si="17">1/A12</f>
        <v>2.9750394192723053E-3</v>
      </c>
      <c r="J12">
        <f t="shared" si="13"/>
        <v>-7.5063545011564319</v>
      </c>
      <c r="K12">
        <f t="shared" si="5"/>
        <v>5.0136578256382496</v>
      </c>
    </row>
    <row r="13" spans="1:11">
      <c r="A13">
        <v>338.41</v>
      </c>
      <c r="B13">
        <v>0.5</v>
      </c>
      <c r="C13">
        <v>0.12770000000000001</v>
      </c>
      <c r="D13">
        <f>B13/(B13+C13)</f>
        <v>0.7965588657001752</v>
      </c>
      <c r="E13">
        <f t="shared" si="11"/>
        <v>0.2034411342998248</v>
      </c>
      <c r="F13">
        <f t="shared" si="6"/>
        <v>2.6525410227815835E-3</v>
      </c>
      <c r="G13">
        <f t="shared" si="7"/>
        <v>1.3549179544368331E-3</v>
      </c>
      <c r="H13">
        <f t="shared" si="12"/>
        <v>6.9209209112633451E-4</v>
      </c>
      <c r="I13">
        <f>1/A13</f>
        <v>2.9549954197570991E-3</v>
      </c>
      <c r="J13">
        <f t="shared" si="13"/>
        <v>-7.2757915315385846</v>
      </c>
      <c r="K13">
        <f t="shared" si="5"/>
        <v>4.8926233006048765</v>
      </c>
    </row>
    <row r="14" spans="1:11">
      <c r="A14">
        <v>340.74</v>
      </c>
      <c r="B14">
        <v>0.5</v>
      </c>
      <c r="C14">
        <v>0.15640000000000001</v>
      </c>
      <c r="D14">
        <f>B14/(B14+C14)</f>
        <v>0.76173065204143819</v>
      </c>
      <c r="E14">
        <f t="shared" si="11"/>
        <v>0.23826934795856181</v>
      </c>
      <c r="F14">
        <f t="shared" si="6"/>
        <v>2.5365630712979891E-3</v>
      </c>
      <c r="G14">
        <f t="shared" si="7"/>
        <v>1.5868738574040216E-3</v>
      </c>
      <c r="H14">
        <f t="shared" si="12"/>
        <v>9.9274828519195567E-4</v>
      </c>
      <c r="I14">
        <f>1/A14</f>
        <v>2.9347889886717146E-3</v>
      </c>
      <c r="J14">
        <f t="shared" si="13"/>
        <v>-6.9150334152856008</v>
      </c>
      <c r="K14">
        <f t="shared" si="5"/>
        <v>4.6820467571643389</v>
      </c>
    </row>
    <row r="15" spans="1:11">
      <c r="A15">
        <v>343</v>
      </c>
      <c r="B15">
        <v>0.5</v>
      </c>
      <c r="C15">
        <v>0.1827</v>
      </c>
      <c r="D15">
        <f>B15/(B15+C15)</f>
        <v>0.73238611395927933</v>
      </c>
      <c r="E15">
        <f t="shared" si="11"/>
        <v>0.26761388604072067</v>
      </c>
      <c r="F15">
        <f t="shared" si="6"/>
        <v>2.4388457594844001E-3</v>
      </c>
      <c r="G15">
        <f t="shared" si="7"/>
        <v>1.7823084810311997E-3</v>
      </c>
      <c r="H15">
        <f t="shared" si="12"/>
        <v>1.3025110379376009E-3</v>
      </c>
      <c r="I15">
        <f>1/A15</f>
        <v>2.9154518950437317E-3</v>
      </c>
      <c r="J15">
        <f t="shared" si="13"/>
        <v>-6.6434613099483979</v>
      </c>
      <c r="K15">
        <f t="shared" si="5"/>
        <v>4.5280047572902653</v>
      </c>
    </row>
    <row r="16" spans="1:11">
      <c r="A16" t="s">
        <v>6</v>
      </c>
      <c r="B16">
        <v>11808</v>
      </c>
    </row>
    <row r="17" spans="1:12">
      <c r="A17" t="s">
        <v>7</v>
      </c>
      <c r="B17" s="1">
        <v>27.684999999999999</v>
      </c>
    </row>
    <row r="18" spans="1:12">
      <c r="A18" t="s">
        <v>8</v>
      </c>
      <c r="B18">
        <f>B16*8.314/4.184/1000</f>
        <v>23.463602294455065</v>
      </c>
    </row>
    <row r="19" spans="1:12">
      <c r="A19" t="s">
        <v>9</v>
      </c>
      <c r="B19">
        <f>B17*8.314/4.184</f>
        <v>55.01268881453155</v>
      </c>
    </row>
    <row r="21" spans="1:12">
      <c r="A21" t="s">
        <v>24</v>
      </c>
    </row>
    <row r="22" spans="1:12">
      <c r="A22" t="s">
        <v>3</v>
      </c>
      <c r="B22" t="s">
        <v>31</v>
      </c>
      <c r="C22" t="s">
        <v>30</v>
      </c>
      <c r="D22" t="s">
        <v>13</v>
      </c>
      <c r="E22" t="s">
        <v>10</v>
      </c>
      <c r="F22" t="s">
        <v>11</v>
      </c>
      <c r="G22" t="s">
        <v>4</v>
      </c>
      <c r="H22" t="s">
        <v>5</v>
      </c>
      <c r="I22" t="s">
        <v>0</v>
      </c>
      <c r="J22" t="s">
        <v>1</v>
      </c>
      <c r="K22" t="s">
        <v>2</v>
      </c>
      <c r="L22" t="s">
        <v>12</v>
      </c>
    </row>
    <row r="23" spans="1:12">
      <c r="A23">
        <v>297.18</v>
      </c>
      <c r="B23">
        <v>108.4</v>
      </c>
      <c r="C23">
        <f>B23/2</f>
        <v>54.2</v>
      </c>
      <c r="D23">
        <v>1</v>
      </c>
      <c r="E23">
        <f>C23/(C23+D23)</f>
        <v>0.98188405797101452</v>
      </c>
      <c r="F23">
        <f>1-E23</f>
        <v>1.8115942028985477E-2</v>
      </c>
      <c r="G23">
        <f>(0.0105-H23)/2</f>
        <v>5.1548913043478264E-3</v>
      </c>
      <c r="H23">
        <f>0.0105*F23</f>
        <v>1.9021739130434752E-4</v>
      </c>
      <c r="I23">
        <f t="shared" ref="I23:I31" si="18">H23*H23/G23</f>
        <v>7.0190919300497119E-6</v>
      </c>
      <c r="J23">
        <f t="shared" ref="J23:J31" si="19">1/A23</f>
        <v>3.3649639948852548E-3</v>
      </c>
      <c r="K23">
        <f t="shared" ref="K23" si="20">LN(I23)</f>
        <v>-11.866876702987367</v>
      </c>
      <c r="L23">
        <f t="shared" ref="L23:L31" si="21">-8.314*A23*K23/4184</f>
        <v>7.0076814656282833</v>
      </c>
    </row>
    <row r="24" spans="1:12">
      <c r="A24">
        <v>310.67</v>
      </c>
      <c r="B24">
        <v>38.54</v>
      </c>
      <c r="C24">
        <f t="shared" ref="C24:C31" si="22">B24/2</f>
        <v>19.27</v>
      </c>
      <c r="D24">
        <v>1</v>
      </c>
      <c r="E24">
        <f t="shared" ref="E24:E31" si="23">C24/(C24+D24)</f>
        <v>0.95066600888011843</v>
      </c>
      <c r="F24">
        <f t="shared" ref="F24:F31" si="24">1-E24</f>
        <v>4.9333991119881571E-2</v>
      </c>
      <c r="G24">
        <f t="shared" ref="G24:G31" si="25">(0.0105-H24)/2</f>
        <v>4.9909965466206222E-3</v>
      </c>
      <c r="H24">
        <f t="shared" ref="H24:H31" si="26">0.0105*F24</f>
        <v>5.1800690675875651E-4</v>
      </c>
      <c r="I24">
        <f t="shared" si="18"/>
        <v>5.3763041697847032E-5</v>
      </c>
      <c r="J24">
        <f t="shared" si="19"/>
        <v>3.2188495831589788E-3</v>
      </c>
      <c r="K24">
        <f t="shared" ref="K24:K31" si="27">LN(I24)</f>
        <v>-9.8309242841488995</v>
      </c>
      <c r="L24">
        <f t="shared" si="21"/>
        <v>6.0689283887481515</v>
      </c>
    </row>
    <row r="25" spans="1:12">
      <c r="A25">
        <v>315.26</v>
      </c>
      <c r="B25">
        <v>31.22</v>
      </c>
      <c r="C25">
        <f t="shared" si="22"/>
        <v>15.61</v>
      </c>
      <c r="D25">
        <v>1</v>
      </c>
      <c r="E25">
        <f t="shared" si="23"/>
        <v>0.93979530403371458</v>
      </c>
      <c r="F25">
        <f t="shared" si="24"/>
        <v>6.0204695966285415E-2</v>
      </c>
      <c r="G25">
        <f t="shared" si="25"/>
        <v>4.9339253461770016E-3</v>
      </c>
      <c r="H25">
        <f t="shared" si="26"/>
        <v>6.3214930764599693E-4</v>
      </c>
      <c r="I25">
        <f t="shared" si="18"/>
        <v>8.0992864528635163E-5</v>
      </c>
      <c r="J25">
        <f t="shared" si="19"/>
        <v>3.1719850282306669E-3</v>
      </c>
      <c r="K25">
        <f t="shared" si="27"/>
        <v>-9.421149499411257</v>
      </c>
      <c r="L25">
        <f t="shared" si="21"/>
        <v>5.9018900021766356</v>
      </c>
    </row>
    <row r="26" spans="1:12">
      <c r="A26">
        <v>319.85000000000002</v>
      </c>
      <c r="B26">
        <v>23.89</v>
      </c>
      <c r="C26">
        <f t="shared" si="22"/>
        <v>11.945</v>
      </c>
      <c r="D26">
        <v>1</v>
      </c>
      <c r="E26">
        <f t="shared" si="23"/>
        <v>0.92275009656237927</v>
      </c>
      <c r="F26">
        <f t="shared" si="24"/>
        <v>7.7249903437620726E-2</v>
      </c>
      <c r="G26">
        <f t="shared" si="25"/>
        <v>4.8444380069524919E-3</v>
      </c>
      <c r="H26">
        <f t="shared" si="26"/>
        <v>8.1112398609501767E-4</v>
      </c>
      <c r="I26">
        <f t="shared" si="18"/>
        <v>1.3580979256509298E-4</v>
      </c>
      <c r="J26">
        <f t="shared" si="19"/>
        <v>3.1264655307175235E-3</v>
      </c>
      <c r="K26">
        <f t="shared" si="27"/>
        <v>-8.9042552352399866</v>
      </c>
      <c r="L26">
        <f t="shared" si="21"/>
        <v>5.6592945677694582</v>
      </c>
    </row>
    <row r="27" spans="1:12">
      <c r="A27">
        <v>324.45</v>
      </c>
      <c r="B27">
        <v>18.23</v>
      </c>
      <c r="C27">
        <f t="shared" si="22"/>
        <v>9.1150000000000002</v>
      </c>
      <c r="D27">
        <v>1</v>
      </c>
      <c r="E27">
        <f t="shared" si="23"/>
        <v>0.90113692535837864</v>
      </c>
      <c r="F27">
        <f t="shared" si="24"/>
        <v>9.8863074641621362E-2</v>
      </c>
      <c r="G27">
        <f t="shared" si="25"/>
        <v>4.7309688581314881E-3</v>
      </c>
      <c r="H27">
        <f t="shared" si="26"/>
        <v>1.0380622837370243E-3</v>
      </c>
      <c r="I27">
        <f t="shared" si="18"/>
        <v>2.2777011162633556E-4</v>
      </c>
      <c r="J27">
        <f t="shared" si="19"/>
        <v>3.0821390044691015E-3</v>
      </c>
      <c r="K27">
        <f t="shared" si="27"/>
        <v>-8.3871737200090486</v>
      </c>
      <c r="L27">
        <f t="shared" si="21"/>
        <v>5.40731613787786</v>
      </c>
    </row>
    <row r="28" spans="1:12">
      <c r="A28">
        <v>329.03</v>
      </c>
      <c r="B28">
        <v>14.39</v>
      </c>
      <c r="C28">
        <f t="shared" si="22"/>
        <v>7.1950000000000003</v>
      </c>
      <c r="D28">
        <v>1</v>
      </c>
      <c r="E28">
        <f t="shared" si="23"/>
        <v>0.87797437461866989</v>
      </c>
      <c r="F28">
        <f t="shared" si="24"/>
        <v>0.12202562538133011</v>
      </c>
      <c r="G28">
        <f t="shared" si="25"/>
        <v>4.6093654667480177E-3</v>
      </c>
      <c r="H28">
        <f t="shared" si="26"/>
        <v>1.2812690665039662E-3</v>
      </c>
      <c r="I28">
        <f t="shared" si="18"/>
        <v>3.5615540417066474E-4</v>
      </c>
      <c r="J28">
        <f t="shared" si="19"/>
        <v>3.0392365437802026E-3</v>
      </c>
      <c r="K28">
        <f t="shared" si="27"/>
        <v>-7.9401433937938375</v>
      </c>
      <c r="L28">
        <f t="shared" si="21"/>
        <v>5.1913724417949147</v>
      </c>
    </row>
    <row r="29" spans="1:12">
      <c r="A29">
        <v>333.72</v>
      </c>
      <c r="B29">
        <v>11.18</v>
      </c>
      <c r="C29">
        <f t="shared" si="22"/>
        <v>5.59</v>
      </c>
      <c r="D29">
        <v>1</v>
      </c>
      <c r="E29">
        <f t="shared" si="23"/>
        <v>0.84825493171471922</v>
      </c>
      <c r="F29">
        <f t="shared" si="24"/>
        <v>0.15174506828528078</v>
      </c>
      <c r="G29">
        <f t="shared" si="25"/>
        <v>4.4533383915022762E-3</v>
      </c>
      <c r="H29">
        <f t="shared" si="26"/>
        <v>1.5933232169954483E-3</v>
      </c>
      <c r="I29">
        <f t="shared" si="18"/>
        <v>5.7006197388030373E-4</v>
      </c>
      <c r="J29">
        <f t="shared" si="19"/>
        <v>2.9965240321227372E-3</v>
      </c>
      <c r="K29">
        <f t="shared" si="27"/>
        <v>-7.4697654769401369</v>
      </c>
      <c r="L29">
        <f t="shared" si="21"/>
        <v>4.9534472901755597</v>
      </c>
    </row>
    <row r="30" spans="1:12">
      <c r="A30">
        <v>338.41</v>
      </c>
      <c r="B30">
        <v>8.7799999999999994</v>
      </c>
      <c r="C30">
        <f t="shared" si="22"/>
        <v>4.3899999999999997</v>
      </c>
      <c r="D30">
        <v>1</v>
      </c>
      <c r="E30">
        <f t="shared" si="23"/>
        <v>0.8144712430426716</v>
      </c>
      <c r="F30">
        <f t="shared" si="24"/>
        <v>0.1855287569573284</v>
      </c>
      <c r="G30">
        <f t="shared" si="25"/>
        <v>4.275974025974026E-3</v>
      </c>
      <c r="H30">
        <f t="shared" si="26"/>
        <v>1.9480519480519483E-3</v>
      </c>
      <c r="I30">
        <f t="shared" si="18"/>
        <v>8.8749519273437292E-4</v>
      </c>
      <c r="J30">
        <f t="shared" si="19"/>
        <v>2.9549954197570991E-3</v>
      </c>
      <c r="K30">
        <f t="shared" si="27"/>
        <v>-7.0271074532666997</v>
      </c>
      <c r="L30">
        <f t="shared" si="21"/>
        <v>4.7253951013679512</v>
      </c>
    </row>
    <row r="31" spans="1:12">
      <c r="A31">
        <v>343</v>
      </c>
      <c r="B31">
        <v>6.82</v>
      </c>
      <c r="C31">
        <f t="shared" si="22"/>
        <v>3.41</v>
      </c>
      <c r="D31">
        <v>1</v>
      </c>
      <c r="E31">
        <f t="shared" si="23"/>
        <v>0.77324263038548757</v>
      </c>
      <c r="F31">
        <f t="shared" si="24"/>
        <v>0.22675736961451243</v>
      </c>
      <c r="G31">
        <f t="shared" si="25"/>
        <v>4.0595238095238097E-3</v>
      </c>
      <c r="H31">
        <f t="shared" si="26"/>
        <v>2.3809523809523807E-3</v>
      </c>
      <c r="I31">
        <f t="shared" si="18"/>
        <v>1.3964530093562349E-3</v>
      </c>
      <c r="J31">
        <f t="shared" si="19"/>
        <v>2.9154518950437317E-3</v>
      </c>
      <c r="K31">
        <f t="shared" si="27"/>
        <v>-6.5738198220128945</v>
      </c>
      <c r="L31">
        <f t="shared" si="21"/>
        <v>4.4805389899794017</v>
      </c>
    </row>
    <row r="32" spans="1:12">
      <c r="A32" t="s">
        <v>6</v>
      </c>
      <c r="B32">
        <v>11518</v>
      </c>
    </row>
    <row r="33" spans="1:11">
      <c r="A33" t="s">
        <v>7</v>
      </c>
      <c r="B33" s="1">
        <v>27.065999999999999</v>
      </c>
    </row>
    <row r="34" spans="1:11">
      <c r="A34" t="s">
        <v>8</v>
      </c>
      <c r="B34">
        <f>B32*8.314/4.184/1000</f>
        <v>22.887345124282984</v>
      </c>
    </row>
    <row r="35" spans="1:11">
      <c r="A35" t="s">
        <v>9</v>
      </c>
      <c r="B35">
        <f>B33*8.314/4.184</f>
        <v>53.782677820267686</v>
      </c>
    </row>
    <row r="38" spans="1:11">
      <c r="A38" t="s">
        <v>25</v>
      </c>
    </row>
    <row r="39" spans="1:11">
      <c r="A39" t="s">
        <v>3</v>
      </c>
      <c r="B39" t="s">
        <v>31</v>
      </c>
      <c r="C39" t="s">
        <v>30</v>
      </c>
      <c r="D39" t="s">
        <v>10</v>
      </c>
      <c r="E39" t="s">
        <v>11</v>
      </c>
      <c r="F39" t="s">
        <v>4</v>
      </c>
      <c r="G39" t="s">
        <v>5</v>
      </c>
      <c r="H39" t="s">
        <v>0</v>
      </c>
      <c r="I39" t="s">
        <v>1</v>
      </c>
      <c r="J39" t="s">
        <v>2</v>
      </c>
      <c r="K39" t="s">
        <v>12</v>
      </c>
    </row>
    <row r="40" spans="1:11">
      <c r="A40">
        <v>297.18</v>
      </c>
      <c r="B40">
        <v>1</v>
      </c>
      <c r="C40">
        <v>2.0299999999999999E-2</v>
      </c>
      <c r="D40">
        <f t="shared" ref="D40:D50" si="28">B40/(B40+C40)</f>
        <v>0.98010389101244733</v>
      </c>
      <c r="E40">
        <f>1-D40</f>
        <v>1.9896108987552674E-2</v>
      </c>
      <c r="F40">
        <f>(0.00849-G40)/2</f>
        <v>4.1605410173478387E-3</v>
      </c>
      <c r="G40">
        <f>0.00849*E40</f>
        <v>1.6891796530432219E-4</v>
      </c>
      <c r="H40">
        <f t="shared" ref="H40:H50" si="29">G40*G40/F40</f>
        <v>6.8580693913554778E-6</v>
      </c>
      <c r="I40">
        <f t="shared" ref="I40:I50" si="30">1/A40</f>
        <v>3.3649639948852548E-3</v>
      </c>
      <c r="J40">
        <f t="shared" ref="J40:J41" si="31">LN(H40)</f>
        <v>-11.89008458566685</v>
      </c>
      <c r="K40">
        <f t="shared" ref="K40:K50" si="32">-8.314*A40*J40/4184</f>
        <v>7.0213862890102048</v>
      </c>
    </row>
    <row r="41" spans="1:11">
      <c r="A41">
        <v>301.68</v>
      </c>
      <c r="B41">
        <v>1</v>
      </c>
      <c r="C41">
        <v>2.6100000000000002E-2</v>
      </c>
      <c r="D41">
        <f t="shared" si="28"/>
        <v>0.97456388266250848</v>
      </c>
      <c r="E41">
        <f t="shared" ref="E41:E50" si="33">1-D41</f>
        <v>2.5436117337491515E-2</v>
      </c>
      <c r="F41">
        <f t="shared" ref="F41:F50" si="34">(0.00849-G41)/2</f>
        <v>4.137023681902348E-3</v>
      </c>
      <c r="G41">
        <f t="shared" ref="G41:G50" si="35">0.00849*E41</f>
        <v>2.1595263619530295E-4</v>
      </c>
      <c r="H41">
        <f t="shared" si="29"/>
        <v>1.1272727609394834E-5</v>
      </c>
      <c r="I41">
        <f t="shared" si="30"/>
        <v>3.3147706178732429E-3</v>
      </c>
      <c r="J41">
        <f t="shared" si="31"/>
        <v>-11.393124235291937</v>
      </c>
      <c r="K41">
        <f t="shared" si="32"/>
        <v>6.8297954489206685</v>
      </c>
    </row>
    <row r="42" spans="1:11">
      <c r="A42">
        <v>306.18</v>
      </c>
      <c r="B42">
        <v>1</v>
      </c>
      <c r="C42">
        <v>3.3399999999999999E-2</v>
      </c>
      <c r="D42">
        <f t="shared" si="28"/>
        <v>0.96767950454809359</v>
      </c>
      <c r="E42">
        <f t="shared" si="33"/>
        <v>3.2320495451906406E-2</v>
      </c>
      <c r="F42">
        <f t="shared" si="34"/>
        <v>4.1077994968066571E-3</v>
      </c>
      <c r="G42">
        <f t="shared" si="35"/>
        <v>2.7440100638668536E-4</v>
      </c>
      <c r="H42">
        <f t="shared" si="29"/>
        <v>1.8329987226630624E-5</v>
      </c>
      <c r="I42">
        <f t="shared" si="30"/>
        <v>3.2660526487686982E-3</v>
      </c>
      <c r="J42">
        <f>LN(H42)</f>
        <v>-10.906972192968842</v>
      </c>
      <c r="K42">
        <f t="shared" si="32"/>
        <v>6.6358929126680612</v>
      </c>
    </row>
    <row r="43" spans="1:11">
      <c r="A43">
        <v>310.67</v>
      </c>
      <c r="B43">
        <v>1</v>
      </c>
      <c r="C43">
        <v>4.5999999999999999E-2</v>
      </c>
      <c r="D43">
        <f t="shared" si="28"/>
        <v>0.95602294455066916</v>
      </c>
      <c r="E43">
        <f t="shared" si="33"/>
        <v>4.3977055449330837E-2</v>
      </c>
      <c r="F43">
        <f t="shared" si="34"/>
        <v>4.0583173996175904E-3</v>
      </c>
      <c r="G43">
        <f t="shared" si="35"/>
        <v>3.7336520076481879E-4</v>
      </c>
      <c r="H43">
        <f t="shared" si="29"/>
        <v>3.4349598470363374E-5</v>
      </c>
      <c r="I43">
        <f t="shared" si="30"/>
        <v>3.2188495831589788E-3</v>
      </c>
      <c r="J43">
        <f t="shared" ref="J43:J50" si="36">LN(H43)</f>
        <v>-10.278920228727749</v>
      </c>
      <c r="K43">
        <f t="shared" si="32"/>
        <v>6.3454899029571887</v>
      </c>
    </row>
    <row r="44" spans="1:11">
      <c r="A44">
        <v>315.26</v>
      </c>
      <c r="B44">
        <v>1</v>
      </c>
      <c r="C44">
        <v>5.91E-2</v>
      </c>
      <c r="D44">
        <f t="shared" si="28"/>
        <v>0.9441979038806535</v>
      </c>
      <c r="E44">
        <f t="shared" si="33"/>
        <v>5.58020961193465E-2</v>
      </c>
      <c r="F44">
        <f t="shared" si="34"/>
        <v>4.0081201019733738E-3</v>
      </c>
      <c r="G44">
        <f t="shared" si="35"/>
        <v>4.7375979605325177E-4</v>
      </c>
      <c r="H44">
        <f t="shared" si="29"/>
        <v>5.5998407893494237E-5</v>
      </c>
      <c r="I44">
        <f t="shared" si="30"/>
        <v>3.1719850282306669E-3</v>
      </c>
      <c r="J44">
        <f t="shared" si="36"/>
        <v>-9.7901872981065949</v>
      </c>
      <c r="K44">
        <f t="shared" si="32"/>
        <v>6.133074158067739</v>
      </c>
    </row>
    <row r="45" spans="1:11">
      <c r="A45">
        <v>319.85000000000002</v>
      </c>
      <c r="B45">
        <v>1</v>
      </c>
      <c r="C45">
        <v>8.0100000000000005E-2</v>
      </c>
      <c r="D45">
        <f t="shared" si="28"/>
        <v>0.92584019998148315</v>
      </c>
      <c r="E45">
        <f t="shared" si="33"/>
        <v>7.4159800018516853E-2</v>
      </c>
      <c r="F45">
        <f t="shared" si="34"/>
        <v>3.9301916489213953E-3</v>
      </c>
      <c r="G45">
        <f t="shared" si="35"/>
        <v>6.2961670215720808E-4</v>
      </c>
      <c r="H45">
        <f t="shared" si="29"/>
        <v>1.0086459568558482E-4</v>
      </c>
      <c r="I45">
        <f t="shared" si="30"/>
        <v>3.1264655307175235E-3</v>
      </c>
      <c r="J45">
        <f t="shared" si="36"/>
        <v>-9.2017315773568722</v>
      </c>
      <c r="K45">
        <f t="shared" si="32"/>
        <v>5.8483621767390765</v>
      </c>
    </row>
    <row r="46" spans="1:11">
      <c r="A46">
        <v>324.45</v>
      </c>
      <c r="B46">
        <v>1</v>
      </c>
      <c r="C46">
        <v>9.8000000000000004E-2</v>
      </c>
      <c r="D46">
        <f t="shared" si="28"/>
        <v>0.91074681238615662</v>
      </c>
      <c r="E46">
        <f t="shared" si="33"/>
        <v>8.9253187613843377E-2</v>
      </c>
      <c r="F46">
        <f t="shared" si="34"/>
        <v>3.8661202185792344E-3</v>
      </c>
      <c r="G46">
        <f t="shared" si="35"/>
        <v>7.5775956284153021E-4</v>
      </c>
      <c r="H46">
        <f t="shared" si="29"/>
        <v>1.4852087431693997E-4</v>
      </c>
      <c r="I46">
        <f t="shared" si="30"/>
        <v>3.0821390044691015E-3</v>
      </c>
      <c r="J46">
        <f t="shared" si="36"/>
        <v>-8.8147850418094045</v>
      </c>
      <c r="K46">
        <f t="shared" si="32"/>
        <v>5.683002522624383</v>
      </c>
    </row>
    <row r="47" spans="1:11">
      <c r="A47">
        <v>329.03</v>
      </c>
      <c r="B47">
        <v>1</v>
      </c>
      <c r="C47">
        <v>0.127</v>
      </c>
      <c r="D47">
        <f t="shared" si="28"/>
        <v>0.88731144631765746</v>
      </c>
      <c r="E47">
        <f t="shared" si="33"/>
        <v>0.11268855368234254</v>
      </c>
      <c r="F47">
        <f t="shared" si="34"/>
        <v>3.7666370896184556E-3</v>
      </c>
      <c r="G47">
        <f t="shared" si="35"/>
        <v>9.5672582076308809E-4</v>
      </c>
      <c r="H47">
        <f t="shared" si="29"/>
        <v>2.4300835847382448E-4</v>
      </c>
      <c r="I47">
        <f t="shared" si="30"/>
        <v>3.0392365437802026E-3</v>
      </c>
      <c r="J47">
        <f t="shared" si="36"/>
        <v>-8.3224147182036656</v>
      </c>
      <c r="K47">
        <f t="shared" si="32"/>
        <v>5.4413065702365699</v>
      </c>
    </row>
    <row r="48" spans="1:11">
      <c r="A48">
        <v>333.72</v>
      </c>
      <c r="B48">
        <v>1</v>
      </c>
      <c r="C48">
        <v>0.15720000000000001</v>
      </c>
      <c r="D48">
        <f t="shared" si="28"/>
        <v>0.86415485655029378</v>
      </c>
      <c r="E48">
        <f t="shared" si="33"/>
        <v>0.13584514344970622</v>
      </c>
      <c r="F48">
        <f t="shared" si="34"/>
        <v>3.668337366055997E-3</v>
      </c>
      <c r="G48">
        <f t="shared" si="35"/>
        <v>1.1533252678880058E-3</v>
      </c>
      <c r="H48">
        <f t="shared" si="29"/>
        <v>3.6260546422398911E-4</v>
      </c>
      <c r="I48">
        <f t="shared" si="30"/>
        <v>2.9965240321227372E-3</v>
      </c>
      <c r="J48">
        <f t="shared" si="36"/>
        <v>-7.9221951901928405</v>
      </c>
      <c r="K48">
        <f t="shared" si="32"/>
        <v>5.2534683208257125</v>
      </c>
    </row>
    <row r="49" spans="1:11">
      <c r="A49">
        <v>338.41</v>
      </c>
      <c r="B49">
        <v>1</v>
      </c>
      <c r="C49">
        <v>0.23150000000000001</v>
      </c>
      <c r="D49">
        <f t="shared" si="28"/>
        <v>0.8120178643930166</v>
      </c>
      <c r="E49">
        <f t="shared" si="33"/>
        <v>0.1879821356069834</v>
      </c>
      <c r="F49">
        <f t="shared" si="34"/>
        <v>3.4470158343483551E-3</v>
      </c>
      <c r="G49">
        <f t="shared" si="35"/>
        <v>1.595968331303289E-3</v>
      </c>
      <c r="H49">
        <f t="shared" si="29"/>
        <v>7.3893333739342298E-4</v>
      </c>
      <c r="I49">
        <f t="shared" si="30"/>
        <v>2.9549954197570991E-3</v>
      </c>
      <c r="J49">
        <f t="shared" si="36"/>
        <v>-7.2103028475890873</v>
      </c>
      <c r="K49">
        <f t="shared" si="32"/>
        <v>4.8485852795004565</v>
      </c>
    </row>
    <row r="50" spans="1:11">
      <c r="A50">
        <v>343</v>
      </c>
      <c r="B50">
        <v>1</v>
      </c>
      <c r="C50">
        <v>0.30249999999999999</v>
      </c>
      <c r="D50">
        <f t="shared" si="28"/>
        <v>0.76775431861804222</v>
      </c>
      <c r="E50">
        <f t="shared" si="33"/>
        <v>0.23224568138195778</v>
      </c>
      <c r="F50">
        <f t="shared" si="34"/>
        <v>3.2591170825335891E-3</v>
      </c>
      <c r="G50">
        <f t="shared" si="35"/>
        <v>1.9717658349328216E-3</v>
      </c>
      <c r="H50">
        <f t="shared" si="29"/>
        <v>1.192918330134357E-3</v>
      </c>
      <c r="I50">
        <f t="shared" si="30"/>
        <v>2.9154518950437317E-3</v>
      </c>
      <c r="J50">
        <f t="shared" si="36"/>
        <v>-6.7313525957668023</v>
      </c>
      <c r="K50">
        <f t="shared" si="32"/>
        <v>4.5879090965710763</v>
      </c>
    </row>
    <row r="51" spans="1:11">
      <c r="A51" t="s">
        <v>6</v>
      </c>
      <c r="B51">
        <v>11390</v>
      </c>
    </row>
    <row r="52" spans="1:11">
      <c r="A52" t="s">
        <v>7</v>
      </c>
      <c r="B52" s="1">
        <v>26.359000000000002</v>
      </c>
    </row>
    <row r="53" spans="1:11">
      <c r="A53" t="s">
        <v>8</v>
      </c>
      <c r="B53">
        <f>B51*8.314/4.184/1000</f>
        <v>22.632997131931166</v>
      </c>
    </row>
    <row r="54" spans="1:11">
      <c r="A54" t="s">
        <v>9</v>
      </c>
      <c r="B54">
        <f>B52*8.314/4.184</f>
        <v>52.377802581261953</v>
      </c>
    </row>
    <row r="57" spans="1:11">
      <c r="A57" t="s">
        <v>32</v>
      </c>
    </row>
    <row r="58" spans="1:11">
      <c r="A58" t="s">
        <v>3</v>
      </c>
      <c r="B58" t="s">
        <v>31</v>
      </c>
      <c r="C58" t="s">
        <v>30</v>
      </c>
      <c r="D58" t="s">
        <v>10</v>
      </c>
      <c r="E58" t="s">
        <v>11</v>
      </c>
      <c r="F58" t="s">
        <v>4</v>
      </c>
      <c r="G58" t="s">
        <v>5</v>
      </c>
      <c r="H58" t="s">
        <v>0</v>
      </c>
      <c r="I58" t="s">
        <v>1</v>
      </c>
      <c r="J58" t="s">
        <v>2</v>
      </c>
      <c r="K58" t="s">
        <v>12</v>
      </c>
    </row>
    <row r="59" spans="1:11">
      <c r="A59">
        <v>297.18</v>
      </c>
      <c r="B59">
        <v>1</v>
      </c>
      <c r="C59">
        <v>1.7600000000000001E-2</v>
      </c>
      <c r="D59">
        <f t="shared" ref="D59:D69" si="37">B59/(B59+C59)</f>
        <v>0.98270440251572322</v>
      </c>
      <c r="E59">
        <f>1-D59</f>
        <v>1.7295597484276781E-2</v>
      </c>
      <c r="F59">
        <f>(0.00849-G59)/2</f>
        <v>4.1715801886792444E-3</v>
      </c>
      <c r="G59">
        <f>0.00849*E59</f>
        <v>1.4683962264150987E-4</v>
      </c>
      <c r="H59">
        <f t="shared" ref="H59:H69" si="38">G59*G59/F59</f>
        <v>5.1687547169811632E-6</v>
      </c>
      <c r="I59">
        <f t="shared" ref="I59:I69" si="39">1/A59</f>
        <v>3.3649639948852548E-3</v>
      </c>
      <c r="J59">
        <f t="shared" ref="J59:J60" si="40">LN(H59)</f>
        <v>-12.172878765578712</v>
      </c>
      <c r="K59">
        <f t="shared" ref="K59:K69" si="41">-8.314*A59*J59/4184</f>
        <v>7.1883831815166399</v>
      </c>
    </row>
    <row r="60" spans="1:11">
      <c r="A60">
        <v>301.68</v>
      </c>
      <c r="B60">
        <v>1</v>
      </c>
      <c r="C60">
        <v>2.4400000000000002E-2</v>
      </c>
      <c r="D60">
        <f t="shared" si="37"/>
        <v>0.97618117922686454</v>
      </c>
      <c r="E60">
        <f t="shared" ref="E60:E69" si="42">1-D60</f>
        <v>2.3818820773135463E-2</v>
      </c>
      <c r="F60">
        <f t="shared" ref="F60:F69" si="43">(0.00849-G60)/2</f>
        <v>4.1438891058180397E-3</v>
      </c>
      <c r="G60">
        <f t="shared" ref="G60:G69" si="44">0.00849*E60</f>
        <v>2.0222178836392006E-4</v>
      </c>
      <c r="H60">
        <f t="shared" si="38"/>
        <v>9.8684232721592854E-6</v>
      </c>
      <c r="I60">
        <f t="shared" si="39"/>
        <v>3.3147706178732429E-3</v>
      </c>
      <c r="J60">
        <f t="shared" si="40"/>
        <v>-11.526170466808134</v>
      </c>
      <c r="K60">
        <f t="shared" si="41"/>
        <v>6.9095521976174474</v>
      </c>
    </row>
    <row r="61" spans="1:11">
      <c r="A61">
        <v>306.18</v>
      </c>
      <c r="B61">
        <v>1</v>
      </c>
      <c r="C61">
        <v>3.3799999999999997E-2</v>
      </c>
      <c r="D61">
        <f t="shared" si="37"/>
        <v>0.967305088024763</v>
      </c>
      <c r="E61">
        <f t="shared" si="42"/>
        <v>3.2694911975236995E-2</v>
      </c>
      <c r="F61">
        <f t="shared" si="43"/>
        <v>4.1062100986651185E-3</v>
      </c>
      <c r="G61">
        <f t="shared" si="44"/>
        <v>2.7757980266976206E-4</v>
      </c>
      <c r="H61">
        <f t="shared" si="38"/>
        <v>1.8764394660475919E-5</v>
      </c>
      <c r="I61">
        <f t="shared" si="39"/>
        <v>3.2660526487686982E-3</v>
      </c>
      <c r="J61">
        <f>LN(H61)</f>
        <v>-10.883549384865065</v>
      </c>
      <c r="K61">
        <f t="shared" si="41"/>
        <v>6.6216422807290849</v>
      </c>
    </row>
    <row r="62" spans="1:11">
      <c r="A62">
        <v>310.67</v>
      </c>
      <c r="B62">
        <v>1</v>
      </c>
      <c r="C62">
        <v>4.7100000000000003E-2</v>
      </c>
      <c r="D62">
        <f t="shared" si="37"/>
        <v>0.95501862286314587</v>
      </c>
      <c r="E62">
        <f t="shared" si="42"/>
        <v>4.4981377136854128E-2</v>
      </c>
      <c r="F62">
        <f t="shared" si="43"/>
        <v>4.0540540540540543E-3</v>
      </c>
      <c r="G62">
        <f t="shared" si="44"/>
        <v>3.8189189189189154E-4</v>
      </c>
      <c r="H62">
        <f t="shared" si="38"/>
        <v>3.5974216216216146E-5</v>
      </c>
      <c r="I62">
        <f t="shared" si="39"/>
        <v>3.2188495831589788E-3</v>
      </c>
      <c r="J62">
        <f t="shared" ref="J62:J69" si="45">LN(H62)</f>
        <v>-10.232708092329746</v>
      </c>
      <c r="K62">
        <f t="shared" si="41"/>
        <v>6.3169617464599677</v>
      </c>
    </row>
    <row r="63" spans="1:11">
      <c r="A63">
        <v>315.26</v>
      </c>
      <c r="B63">
        <v>1</v>
      </c>
      <c r="C63">
        <v>6.0499999999999998E-2</v>
      </c>
      <c r="D63">
        <f t="shared" si="37"/>
        <v>0.94295143800094294</v>
      </c>
      <c r="E63">
        <f t="shared" si="42"/>
        <v>5.7048561999057057E-2</v>
      </c>
      <c r="F63">
        <f t="shared" si="43"/>
        <v>4.0028288543140023E-3</v>
      </c>
      <c r="G63">
        <f t="shared" si="44"/>
        <v>4.8434229137199437E-4</v>
      </c>
      <c r="H63">
        <f t="shared" si="38"/>
        <v>5.860541725601133E-5</v>
      </c>
      <c r="I63">
        <f t="shared" si="39"/>
        <v>3.1719850282306669E-3</v>
      </c>
      <c r="J63">
        <f t="shared" si="45"/>
        <v>-9.7446834210122173</v>
      </c>
      <c r="K63">
        <f t="shared" si="41"/>
        <v>6.1045682016236382</v>
      </c>
    </row>
    <row r="64" spans="1:11">
      <c r="A64">
        <v>319.85000000000002</v>
      </c>
      <c r="B64">
        <v>1</v>
      </c>
      <c r="C64">
        <v>8.2000000000000003E-2</v>
      </c>
      <c r="D64">
        <f t="shared" si="37"/>
        <v>0.92421441774491675</v>
      </c>
      <c r="E64">
        <f t="shared" si="42"/>
        <v>7.578558225508325E-2</v>
      </c>
      <c r="F64">
        <f t="shared" si="43"/>
        <v>3.9232902033271714E-3</v>
      </c>
      <c r="G64">
        <f t="shared" si="44"/>
        <v>6.4341959334565679E-4</v>
      </c>
      <c r="H64">
        <f t="shared" si="38"/>
        <v>1.0552081330868782E-4</v>
      </c>
      <c r="I64">
        <f t="shared" si="39"/>
        <v>3.1264655307175235E-3</v>
      </c>
      <c r="J64">
        <f t="shared" si="45"/>
        <v>-9.1566023419589921</v>
      </c>
      <c r="K64">
        <f t="shared" si="41"/>
        <v>5.8196793020923536</v>
      </c>
    </row>
    <row r="65" spans="1:11">
      <c r="A65">
        <v>324.45</v>
      </c>
      <c r="B65">
        <v>1</v>
      </c>
      <c r="C65">
        <v>9.5000000000000001E-2</v>
      </c>
      <c r="D65">
        <f t="shared" si="37"/>
        <v>0.91324200913242015</v>
      </c>
      <c r="E65">
        <f t="shared" si="42"/>
        <v>8.6757990867579848E-2</v>
      </c>
      <c r="F65">
        <f t="shared" si="43"/>
        <v>3.8767123287671234E-3</v>
      </c>
      <c r="G65">
        <f t="shared" si="44"/>
        <v>7.3657534246575286E-4</v>
      </c>
      <c r="H65">
        <f t="shared" si="38"/>
        <v>1.3994931506849291E-4</v>
      </c>
      <c r="I65">
        <f t="shared" si="39"/>
        <v>3.0821390044691015E-3</v>
      </c>
      <c r="J65">
        <f t="shared" si="45"/>
        <v>-8.8742302361305949</v>
      </c>
      <c r="K65">
        <f t="shared" si="41"/>
        <v>5.7213275853097318</v>
      </c>
    </row>
    <row r="66" spans="1:11">
      <c r="A66">
        <v>329.03</v>
      </c>
      <c r="B66">
        <v>1</v>
      </c>
      <c r="C66">
        <v>0.128</v>
      </c>
      <c r="D66">
        <f t="shared" si="37"/>
        <v>0.88652482269503541</v>
      </c>
      <c r="E66">
        <f t="shared" si="42"/>
        <v>0.11347517730496459</v>
      </c>
      <c r="F66">
        <f t="shared" si="43"/>
        <v>3.7632978723404248E-3</v>
      </c>
      <c r="G66">
        <f t="shared" si="44"/>
        <v>9.6340425531914935E-4</v>
      </c>
      <c r="H66">
        <f t="shared" si="38"/>
        <v>2.466314893617024E-4</v>
      </c>
      <c r="I66">
        <f t="shared" si="39"/>
        <v>3.0392365437802026E-3</v>
      </c>
      <c r="J66">
        <f t="shared" si="45"/>
        <v>-8.3076152812998423</v>
      </c>
      <c r="K66">
        <f t="shared" si="41"/>
        <v>5.43163049953026</v>
      </c>
    </row>
    <row r="67" spans="1:11">
      <c r="A67">
        <v>333.72</v>
      </c>
      <c r="B67">
        <v>1</v>
      </c>
      <c r="C67">
        <v>0.14879999999999999</v>
      </c>
      <c r="D67">
        <f t="shared" si="37"/>
        <v>0.87047353760445678</v>
      </c>
      <c r="E67">
        <f t="shared" si="42"/>
        <v>0.12952646239554322</v>
      </c>
      <c r="F67">
        <f t="shared" si="43"/>
        <v>3.6951601671309188E-3</v>
      </c>
      <c r="G67">
        <f t="shared" si="44"/>
        <v>1.0996796657381618E-3</v>
      </c>
      <c r="H67">
        <f t="shared" si="38"/>
        <v>3.2726466852367703E-4</v>
      </c>
      <c r="I67">
        <f t="shared" si="39"/>
        <v>2.9965240321227372E-3</v>
      </c>
      <c r="J67">
        <f t="shared" si="45"/>
        <v>-8.024741330577049</v>
      </c>
      <c r="K67">
        <f t="shared" si="41"/>
        <v>5.3214700409295403</v>
      </c>
    </row>
    <row r="68" spans="1:11">
      <c r="A68">
        <v>338.41</v>
      </c>
      <c r="B68">
        <v>1</v>
      </c>
      <c r="C68">
        <v>0.23910000000000001</v>
      </c>
      <c r="D68">
        <f t="shared" si="37"/>
        <v>0.80703736583003782</v>
      </c>
      <c r="E68">
        <f t="shared" si="42"/>
        <v>0.19296263416996218</v>
      </c>
      <c r="F68">
        <f t="shared" si="43"/>
        <v>3.4258736179485104E-3</v>
      </c>
      <c r="G68">
        <f t="shared" si="44"/>
        <v>1.6382527641029788E-3</v>
      </c>
      <c r="H68">
        <f t="shared" si="38"/>
        <v>7.8341247179404495E-4</v>
      </c>
      <c r="I68">
        <f t="shared" si="39"/>
        <v>2.9549954197570991E-3</v>
      </c>
      <c r="J68">
        <f t="shared" si="45"/>
        <v>-7.1518512167749613</v>
      </c>
      <c r="K68">
        <f t="shared" si="41"/>
        <v>4.8092793414949631</v>
      </c>
    </row>
    <row r="69" spans="1:11">
      <c r="A69">
        <v>343</v>
      </c>
      <c r="B69">
        <v>1</v>
      </c>
      <c r="C69">
        <v>0.30459999999999998</v>
      </c>
      <c r="D69">
        <f t="shared" si="37"/>
        <v>0.7665184730952016</v>
      </c>
      <c r="E69">
        <f t="shared" si="42"/>
        <v>0.2334815269047984</v>
      </c>
      <c r="F69">
        <f t="shared" si="43"/>
        <v>3.2538709182891304E-3</v>
      </c>
      <c r="G69">
        <f t="shared" si="44"/>
        <v>1.9822581634217381E-3</v>
      </c>
      <c r="H69">
        <f t="shared" si="38"/>
        <v>1.2075916731565228E-3</v>
      </c>
      <c r="I69">
        <f t="shared" si="39"/>
        <v>2.9154518950437317E-3</v>
      </c>
      <c r="J69">
        <f t="shared" si="45"/>
        <v>-6.719127255520946</v>
      </c>
      <c r="K69">
        <f t="shared" si="41"/>
        <v>4.5795766330840335</v>
      </c>
    </row>
    <row r="70" spans="1:11">
      <c r="A70" t="s">
        <v>6</v>
      </c>
      <c r="B70">
        <v>11745</v>
      </c>
    </row>
    <row r="71" spans="1:11">
      <c r="A71" t="s">
        <v>7</v>
      </c>
      <c r="B71">
        <v>27.440999999999999</v>
      </c>
    </row>
    <row r="72" spans="1:11">
      <c r="A72" t="s">
        <v>8</v>
      </c>
      <c r="B72">
        <f>B70*8.314/4.184/1000</f>
        <v>23.338415391969406</v>
      </c>
    </row>
    <row r="73" spans="1:11" ht="16.2">
      <c r="A73" t="s">
        <v>29</v>
      </c>
      <c r="B73">
        <f>B71*8.314/4.184</f>
        <v>54.5278379541109</v>
      </c>
    </row>
    <row r="75" spans="1:11">
      <c r="A75" t="s">
        <v>20</v>
      </c>
      <c r="B75">
        <v>1</v>
      </c>
      <c r="C75">
        <v>2</v>
      </c>
      <c r="D75">
        <v>3</v>
      </c>
      <c r="E75">
        <v>4</v>
      </c>
      <c r="F75" t="s">
        <v>21</v>
      </c>
      <c r="G75" t="s">
        <v>22</v>
      </c>
    </row>
    <row r="76" spans="1:11">
      <c r="A76" t="s">
        <v>6</v>
      </c>
      <c r="B76">
        <v>11808</v>
      </c>
      <c r="C76">
        <v>11518</v>
      </c>
      <c r="D76">
        <v>11390</v>
      </c>
      <c r="E76">
        <v>11745</v>
      </c>
    </row>
    <row r="77" spans="1:11">
      <c r="A77" t="s">
        <v>7</v>
      </c>
      <c r="B77" s="1">
        <v>27.684999999999999</v>
      </c>
      <c r="C77" s="1">
        <v>27.065999999999999</v>
      </c>
      <c r="D77" s="1">
        <v>26.359000000000002</v>
      </c>
      <c r="E77">
        <v>27.440999999999999</v>
      </c>
    </row>
    <row r="78" spans="1:11">
      <c r="A78" t="s">
        <v>8</v>
      </c>
      <c r="B78">
        <f>B76*8.314/4.184/1000</f>
        <v>23.463602294455065</v>
      </c>
      <c r="C78">
        <f>C76*8.314/4.184/1000</f>
        <v>22.887345124282984</v>
      </c>
      <c r="D78">
        <f>D76*8.314/4.184/1000</f>
        <v>22.632997131931166</v>
      </c>
      <c r="E78">
        <f>E76*8.314/4.184/1000</f>
        <v>23.338415391969406</v>
      </c>
      <c r="F78">
        <f>AVERAGE(B78:E78)</f>
        <v>23.080589985659653</v>
      </c>
      <c r="G78">
        <f>_xlfn.STDEV.S(B78:E78)</f>
        <v>0.38766622584592864</v>
      </c>
    </row>
    <row r="79" spans="1:11" ht="16.2">
      <c r="A79" t="s">
        <v>29</v>
      </c>
      <c r="B79">
        <f>B77*8.314/4.184</f>
        <v>55.01268881453155</v>
      </c>
      <c r="C79">
        <f>C77*8.314/4.184</f>
        <v>53.782677820267686</v>
      </c>
      <c r="D79">
        <f>D77*8.314/4.184</f>
        <v>52.377802581261953</v>
      </c>
      <c r="E79">
        <f>E77*8.314/4.184</f>
        <v>54.5278379541109</v>
      </c>
      <c r="F79">
        <f>AVERAGE(B79:E79)</f>
        <v>53.925251792543023</v>
      </c>
      <c r="G79">
        <f>_xlfn.STDEV.S(B79:E79)</f>
        <v>1.1489931473496202</v>
      </c>
    </row>
    <row r="80" spans="1:11">
      <c r="A80" t="s">
        <v>19</v>
      </c>
      <c r="B80">
        <f>B78-298.15*B79/1000</f>
        <v>7.0615691244024816</v>
      </c>
      <c r="C80">
        <f>C78-298.15*C79/1000</f>
        <v>6.8520397321701729</v>
      </c>
      <c r="D80">
        <f>D78-298.15*D79/1000</f>
        <v>7.0165552923279151</v>
      </c>
      <c r="E80">
        <f>E78-298.15*E79/1000</f>
        <v>7.08094050595124</v>
      </c>
      <c r="F80">
        <f xml:space="preserve"> AVERAGE(B80:E80)</f>
        <v>7.0027761637129524</v>
      </c>
      <c r="G80">
        <f>_xlfn.STDEV.S(B80:E80)</f>
        <v>0.10404744559386263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497C3-0BCD-4297-A931-F717BEB46C0E}">
  <dimension ref="A1:K56"/>
  <sheetViews>
    <sheetView topLeftCell="A40" workbookViewId="0">
      <selection activeCell="E51" sqref="E51:F51"/>
    </sheetView>
  </sheetViews>
  <sheetFormatPr defaultRowHeight="14.4"/>
  <sheetData>
    <row r="1" spans="1:11">
      <c r="A1" t="s">
        <v>23</v>
      </c>
    </row>
    <row r="2" spans="1:11">
      <c r="A2" t="s">
        <v>3</v>
      </c>
      <c r="B2" t="s">
        <v>31</v>
      </c>
      <c r="C2" t="s">
        <v>30</v>
      </c>
      <c r="D2" t="s">
        <v>10</v>
      </c>
      <c r="E2" t="s">
        <v>11</v>
      </c>
      <c r="F2" t="s">
        <v>4</v>
      </c>
      <c r="G2" t="s">
        <v>5</v>
      </c>
      <c r="H2" t="s">
        <v>0</v>
      </c>
      <c r="I2" t="s">
        <v>1</v>
      </c>
      <c r="J2" t="s">
        <v>2</v>
      </c>
      <c r="K2" t="s">
        <v>12</v>
      </c>
    </row>
    <row r="3" spans="1:11">
      <c r="A3">
        <v>297.18</v>
      </c>
      <c r="B3">
        <v>0.5</v>
      </c>
      <c r="C3">
        <v>2.64E-2</v>
      </c>
      <c r="D3">
        <f t="shared" ref="D3:D10" si="0">B3/(B3+C3)</f>
        <v>0.94984802431610948</v>
      </c>
      <c r="E3">
        <f>1-D3</f>
        <v>5.0151975683890515E-2</v>
      </c>
      <c r="F3">
        <f t="shared" ref="F3:F4" si="1">(0.02-G3)/2</f>
        <v>9.4984802431610955E-3</v>
      </c>
      <c r="G3">
        <f>0.02*E3</f>
        <v>1.0030395136778104E-3</v>
      </c>
      <c r="H3">
        <f t="shared" ref="H3:H13" si="2">G3*G3/F3</f>
        <v>1.0592097264437665E-4</v>
      </c>
      <c r="I3">
        <f t="shared" ref="I3:I10" si="3">1/A3</f>
        <v>3.3649639948852548E-3</v>
      </c>
      <c r="J3">
        <f t="shared" ref="J3:J4" si="4">LN(H3)</f>
        <v>-9.1528172829969616</v>
      </c>
      <c r="K3">
        <f t="shared" ref="K3:K13" si="5">-8.314*A3*J3/4184</f>
        <v>5.4049628758840491</v>
      </c>
    </row>
    <row r="4" spans="1:11">
      <c r="A4">
        <v>301.68</v>
      </c>
      <c r="B4">
        <v>0.5</v>
      </c>
      <c r="C4">
        <v>3.56E-2</v>
      </c>
      <c r="D4">
        <f t="shared" si="0"/>
        <v>0.93353248693054525</v>
      </c>
      <c r="E4">
        <f t="shared" ref="E4:E13" si="6">1-D4</f>
        <v>6.6467513069454753E-2</v>
      </c>
      <c r="F4">
        <f t="shared" si="1"/>
        <v>9.335324869305453E-3</v>
      </c>
      <c r="G4">
        <f t="shared" ref="G4:G13" si="7">0.02*E4</f>
        <v>1.329350261389095E-3</v>
      </c>
      <c r="H4">
        <f t="shared" si="2"/>
        <v>1.8929947722180692E-4</v>
      </c>
      <c r="I4">
        <f t="shared" si="3"/>
        <v>3.3147706178732429E-3</v>
      </c>
      <c r="J4">
        <f t="shared" si="4"/>
        <v>-8.5721802613914431</v>
      </c>
      <c r="K4">
        <f t="shared" si="5"/>
        <v>5.1387342512445331</v>
      </c>
    </row>
    <row r="5" spans="1:11">
      <c r="A5">
        <v>306.18</v>
      </c>
      <c r="B5">
        <v>0.5</v>
      </c>
      <c r="C5">
        <v>4.1599999999999998E-2</v>
      </c>
      <c r="D5">
        <f t="shared" si="0"/>
        <v>0.92319054652880361</v>
      </c>
      <c r="E5">
        <f t="shared" si="6"/>
        <v>7.6809453471196387E-2</v>
      </c>
      <c r="F5">
        <f>(0.02-G5)/2</f>
        <v>9.2319054652880359E-3</v>
      </c>
      <c r="G5">
        <f t="shared" si="7"/>
        <v>1.5361890694239278E-3</v>
      </c>
      <c r="H5">
        <f t="shared" si="2"/>
        <v>2.5562186115214139E-4</v>
      </c>
      <c r="I5">
        <f t="shared" si="3"/>
        <v>3.2660526487686982E-3</v>
      </c>
      <c r="J5">
        <f>LN(H5)</f>
        <v>-8.2718113103540247</v>
      </c>
      <c r="K5">
        <f t="shared" si="5"/>
        <v>5.0326390384208599</v>
      </c>
    </row>
    <row r="6" spans="1:11">
      <c r="A6">
        <v>310.67</v>
      </c>
      <c r="B6">
        <v>0.5</v>
      </c>
      <c r="C6">
        <v>5.4699999999999999E-2</v>
      </c>
      <c r="D6">
        <f t="shared" si="0"/>
        <v>0.90138813773210746</v>
      </c>
      <c r="E6">
        <f t="shared" si="6"/>
        <v>9.8611862267892536E-2</v>
      </c>
      <c r="F6">
        <f t="shared" ref="F6:F13" si="8">(0.02-G6)/2</f>
        <v>9.0138813773210751E-3</v>
      </c>
      <c r="G6">
        <f t="shared" si="7"/>
        <v>1.9722372453578507E-3</v>
      </c>
      <c r="H6">
        <f t="shared" si="2"/>
        <v>4.3152550928429766E-4</v>
      </c>
      <c r="I6">
        <f t="shared" si="3"/>
        <v>3.2188495831589788E-3</v>
      </c>
      <c r="J6">
        <f t="shared" ref="J6:J13" si="9">LN(H6)</f>
        <v>-7.7481839314957108</v>
      </c>
      <c r="K6">
        <f t="shared" si="5"/>
        <v>4.7831894605185186</v>
      </c>
    </row>
    <row r="7" spans="1:11">
      <c r="A7">
        <v>315.26</v>
      </c>
      <c r="B7">
        <v>0.5</v>
      </c>
      <c r="C7">
        <v>7.0099999999999996E-2</v>
      </c>
      <c r="D7">
        <f t="shared" si="0"/>
        <v>0.87703911594457107</v>
      </c>
      <c r="E7">
        <f t="shared" si="6"/>
        <v>0.12296088405542893</v>
      </c>
      <c r="F7">
        <f t="shared" si="8"/>
        <v>8.7703911594457108E-3</v>
      </c>
      <c r="G7">
        <f t="shared" si="7"/>
        <v>2.4592176811085785E-3</v>
      </c>
      <c r="H7">
        <f t="shared" si="2"/>
        <v>6.8956463778284578E-4</v>
      </c>
      <c r="I7">
        <f t="shared" si="3"/>
        <v>3.1719850282306669E-3</v>
      </c>
      <c r="J7">
        <f t="shared" si="9"/>
        <v>-7.2794501192468388</v>
      </c>
      <c r="K7">
        <f t="shared" si="5"/>
        <v>4.5602199479810013</v>
      </c>
    </row>
    <row r="8" spans="1:11">
      <c r="A8">
        <v>319.85000000000002</v>
      </c>
      <c r="B8">
        <v>0.5</v>
      </c>
      <c r="C8">
        <v>8.77E-2</v>
      </c>
      <c r="D8">
        <f t="shared" si="0"/>
        <v>0.85077420452611874</v>
      </c>
      <c r="E8">
        <f t="shared" si="6"/>
        <v>0.14922579547388126</v>
      </c>
      <c r="F8">
        <f t="shared" si="8"/>
        <v>8.5077420452611876E-3</v>
      </c>
      <c r="G8">
        <f t="shared" si="7"/>
        <v>2.9845159094776252E-3</v>
      </c>
      <c r="H8">
        <f t="shared" si="2"/>
        <v>1.0469681810447511E-3</v>
      </c>
      <c r="I8">
        <f t="shared" si="3"/>
        <v>3.1264655307175235E-3</v>
      </c>
      <c r="J8">
        <f t="shared" si="9"/>
        <v>-6.8618567381527225</v>
      </c>
      <c r="K8">
        <f t="shared" si="5"/>
        <v>4.3612034400531563</v>
      </c>
    </row>
    <row r="9" spans="1:11">
      <c r="A9">
        <v>324.45</v>
      </c>
      <c r="B9">
        <v>0.5</v>
      </c>
      <c r="C9">
        <v>0.11119999999999999</v>
      </c>
      <c r="D9">
        <f t="shared" si="0"/>
        <v>0.81806282722513091</v>
      </c>
      <c r="E9">
        <f t="shared" si="6"/>
        <v>0.18193717277486909</v>
      </c>
      <c r="F9">
        <f t="shared" si="8"/>
        <v>8.1806282722513089E-3</v>
      </c>
      <c r="G9">
        <f t="shared" si="7"/>
        <v>3.6387434554973818E-3</v>
      </c>
      <c r="H9">
        <f t="shared" si="2"/>
        <v>1.6185130890052353E-3</v>
      </c>
      <c r="I9">
        <f t="shared" si="3"/>
        <v>3.0821390044691015E-3</v>
      </c>
      <c r="J9">
        <f t="shared" si="9"/>
        <v>-6.4262473975097398</v>
      </c>
      <c r="K9">
        <f t="shared" si="5"/>
        <v>4.143082332448996</v>
      </c>
    </row>
    <row r="10" spans="1:11">
      <c r="A10">
        <v>329.03</v>
      </c>
      <c r="B10">
        <v>0.5</v>
      </c>
      <c r="C10">
        <v>0.1452</v>
      </c>
      <c r="D10">
        <f t="shared" si="0"/>
        <v>0.77495350278983266</v>
      </c>
      <c r="E10">
        <f t="shared" si="6"/>
        <v>0.22504649721016734</v>
      </c>
      <c r="F10">
        <f t="shared" si="8"/>
        <v>7.7495350278983261E-3</v>
      </c>
      <c r="G10">
        <f t="shared" si="7"/>
        <v>4.5009299442033473E-3</v>
      </c>
      <c r="H10">
        <f t="shared" si="2"/>
        <v>2.6141401115933041E-3</v>
      </c>
      <c r="I10">
        <f t="shared" si="3"/>
        <v>3.0392365437802026E-3</v>
      </c>
      <c r="J10">
        <f t="shared" si="9"/>
        <v>-5.9468200647600549</v>
      </c>
      <c r="K10">
        <f t="shared" si="5"/>
        <v>3.8881108651814333</v>
      </c>
    </row>
    <row r="11" spans="1:11">
      <c r="A11">
        <v>333.72</v>
      </c>
      <c r="B11">
        <v>0.5</v>
      </c>
      <c r="C11">
        <v>0.1802</v>
      </c>
      <c r="D11">
        <f t="shared" ref="D11:D13" si="10">B11/(B11+C11)</f>
        <v>0.73507791825933544</v>
      </c>
      <c r="E11">
        <f t="shared" si="6"/>
        <v>0.26492208174066456</v>
      </c>
      <c r="F11">
        <f t="shared" si="8"/>
        <v>7.3507791825933545E-3</v>
      </c>
      <c r="G11">
        <f t="shared" si="7"/>
        <v>5.2984416348132914E-3</v>
      </c>
      <c r="H11">
        <f t="shared" si="2"/>
        <v>3.8191167303734219E-3</v>
      </c>
      <c r="I11">
        <f t="shared" ref="I11:I13" si="11">1/A11</f>
        <v>2.9965240321227372E-3</v>
      </c>
      <c r="J11">
        <f t="shared" si="9"/>
        <v>-5.5677361055150119</v>
      </c>
      <c r="K11">
        <f t="shared" si="5"/>
        <v>3.6921490252159068</v>
      </c>
    </row>
    <row r="12" spans="1:11">
      <c r="A12">
        <v>338.41</v>
      </c>
      <c r="B12">
        <v>0.5</v>
      </c>
      <c r="C12">
        <v>0.222</v>
      </c>
      <c r="D12">
        <f t="shared" si="10"/>
        <v>0.69252077562326875</v>
      </c>
      <c r="E12">
        <f t="shared" si="6"/>
        <v>0.30747922437673125</v>
      </c>
      <c r="F12">
        <f t="shared" si="8"/>
        <v>6.9252077562326876E-3</v>
      </c>
      <c r="G12">
        <f t="shared" si="7"/>
        <v>6.1495844875346251E-3</v>
      </c>
      <c r="H12">
        <f t="shared" si="2"/>
        <v>5.4608310249307452E-3</v>
      </c>
      <c r="I12">
        <f t="shared" si="11"/>
        <v>2.9549954197570991E-3</v>
      </c>
      <c r="J12">
        <f t="shared" si="9"/>
        <v>-5.2101542984386606</v>
      </c>
      <c r="K12">
        <f t="shared" si="5"/>
        <v>3.5035806358373067</v>
      </c>
    </row>
    <row r="13" spans="1:11">
      <c r="A13">
        <v>343</v>
      </c>
      <c r="B13">
        <v>0.5</v>
      </c>
      <c r="C13">
        <v>0.30880000000000002</v>
      </c>
      <c r="D13">
        <f t="shared" si="10"/>
        <v>0.6181998021760633</v>
      </c>
      <c r="E13">
        <f t="shared" si="6"/>
        <v>0.3818001978239367</v>
      </c>
      <c r="F13">
        <f t="shared" si="8"/>
        <v>6.1819980217606325E-3</v>
      </c>
      <c r="G13">
        <f t="shared" si="7"/>
        <v>7.6360039564787345E-3</v>
      </c>
      <c r="H13">
        <f t="shared" si="2"/>
        <v>9.4319920870425331E-3</v>
      </c>
      <c r="I13">
        <f t="shared" si="11"/>
        <v>2.9154518950437317E-3</v>
      </c>
      <c r="J13">
        <f t="shared" si="9"/>
        <v>-4.6636479546954117</v>
      </c>
      <c r="K13">
        <f t="shared" si="5"/>
        <v>3.1786171605403477</v>
      </c>
    </row>
    <row r="14" spans="1:11">
      <c r="A14" t="s">
        <v>6</v>
      </c>
      <c r="B14">
        <v>9795.1</v>
      </c>
    </row>
    <row r="15" spans="1:11">
      <c r="A15" t="s">
        <v>7</v>
      </c>
      <c r="B15" s="1">
        <v>23.795999999999999</v>
      </c>
    </row>
    <row r="16" spans="1:11">
      <c r="A16" t="s">
        <v>8</v>
      </c>
      <c r="B16">
        <f>B14*8.314/4.184/1000</f>
        <v>19.463781405353728</v>
      </c>
    </row>
    <row r="17" spans="1:11">
      <c r="A17" t="s">
        <v>9</v>
      </c>
      <c r="B17">
        <f>B15*8.314/4.184</f>
        <v>47.284881453154874</v>
      </c>
    </row>
    <row r="19" spans="1:11">
      <c r="A19" t="s">
        <v>24</v>
      </c>
    </row>
    <row r="20" spans="1:11">
      <c r="A20" t="s">
        <v>3</v>
      </c>
      <c r="B20" t="s">
        <v>31</v>
      </c>
      <c r="C20" t="s">
        <v>30</v>
      </c>
      <c r="D20" t="s">
        <v>10</v>
      </c>
      <c r="E20" t="s">
        <v>11</v>
      </c>
      <c r="F20" t="s">
        <v>4</v>
      </c>
      <c r="G20" t="s">
        <v>5</v>
      </c>
      <c r="H20" t="s">
        <v>0</v>
      </c>
      <c r="I20" t="s">
        <v>1</v>
      </c>
      <c r="J20" t="s">
        <v>2</v>
      </c>
      <c r="K20" t="s">
        <v>12</v>
      </c>
    </row>
    <row r="21" spans="1:11">
      <c r="A21">
        <v>297.18</v>
      </c>
      <c r="B21">
        <v>0.5</v>
      </c>
      <c r="C21">
        <v>2.8000000000000001E-2</v>
      </c>
      <c r="D21">
        <f t="shared" ref="D21:D29" si="12">B21/(B21+C21)</f>
        <v>0.94696969696969691</v>
      </c>
      <c r="E21">
        <f>1-D21</f>
        <v>5.3030303030303094E-2</v>
      </c>
      <c r="F21">
        <f t="shared" ref="F21:F22" si="13">(0.02-G21)/2</f>
        <v>9.46969696969697E-3</v>
      </c>
      <c r="G21">
        <f>0.02*E21</f>
        <v>1.060606060606062E-3</v>
      </c>
      <c r="H21">
        <f t="shared" ref="H21:H29" si="14">G21*G21/F21</f>
        <v>1.1878787878787909E-4</v>
      </c>
      <c r="I21">
        <f t="shared" ref="I21:I29" si="15">1/A21</f>
        <v>3.3649639948852548E-3</v>
      </c>
      <c r="J21">
        <f t="shared" ref="J21:J22" si="16">LN(H21)</f>
        <v>-9.0381711866462435</v>
      </c>
      <c r="K21">
        <f t="shared" ref="K21:K29" si="17">-8.314*A21*J21/4184</f>
        <v>5.3372615468307769</v>
      </c>
    </row>
    <row r="22" spans="1:11">
      <c r="A22">
        <v>301.68</v>
      </c>
      <c r="B22">
        <v>0.5</v>
      </c>
      <c r="C22">
        <v>3.1E-2</v>
      </c>
      <c r="D22">
        <f t="shared" si="12"/>
        <v>0.94161958568738224</v>
      </c>
      <c r="E22">
        <f t="shared" ref="E22:E29" si="18">1-D22</f>
        <v>5.8380414312617757E-2</v>
      </c>
      <c r="F22">
        <f t="shared" si="13"/>
        <v>9.4161958568738224E-3</v>
      </c>
      <c r="G22">
        <f t="shared" ref="G22:G29" si="19">0.02*E22</f>
        <v>1.1676082862523553E-3</v>
      </c>
      <c r="H22">
        <f t="shared" si="14"/>
        <v>1.447834274952922E-4</v>
      </c>
      <c r="I22">
        <f t="shared" si="15"/>
        <v>3.3147706178732429E-3</v>
      </c>
      <c r="J22">
        <f t="shared" si="16"/>
        <v>-8.8402715355620369</v>
      </c>
      <c r="K22">
        <f t="shared" si="17"/>
        <v>5.2994459688043083</v>
      </c>
    </row>
    <row r="23" spans="1:11">
      <c r="A23">
        <v>306.18</v>
      </c>
      <c r="B23">
        <v>0.5</v>
      </c>
      <c r="C23">
        <v>5.1999999999999998E-2</v>
      </c>
      <c r="D23">
        <f t="shared" si="12"/>
        <v>0.90579710144927528</v>
      </c>
      <c r="E23">
        <f t="shared" si="18"/>
        <v>9.4202898550724723E-2</v>
      </c>
      <c r="F23">
        <f>(0.02-G23)/2</f>
        <v>9.0579710144927522E-3</v>
      </c>
      <c r="G23">
        <f t="shared" si="19"/>
        <v>1.8840579710144945E-3</v>
      </c>
      <c r="H23">
        <f t="shared" si="14"/>
        <v>3.9188405797101525E-4</v>
      </c>
      <c r="I23">
        <f t="shared" si="15"/>
        <v>3.2660526487686982E-3</v>
      </c>
      <c r="J23">
        <f>LN(H23)</f>
        <v>-7.8445445324046315</v>
      </c>
      <c r="K23">
        <f t="shared" si="17"/>
        <v>4.772686364713608</v>
      </c>
    </row>
    <row r="24" spans="1:11">
      <c r="A24">
        <v>310.67</v>
      </c>
      <c r="B24">
        <v>0.5</v>
      </c>
      <c r="C24">
        <v>6.2E-2</v>
      </c>
      <c r="D24">
        <f t="shared" si="12"/>
        <v>0.88967971530249101</v>
      </c>
      <c r="E24">
        <f t="shared" si="18"/>
        <v>0.11032028469750899</v>
      </c>
      <c r="F24">
        <f t="shared" ref="F24:F29" si="20">(0.02-G24)/2</f>
        <v>8.8967971530249101E-3</v>
      </c>
      <c r="G24">
        <f t="shared" si="19"/>
        <v>2.2064056939501797E-3</v>
      </c>
      <c r="H24">
        <f t="shared" si="14"/>
        <v>5.4718861209964505E-4</v>
      </c>
      <c r="I24">
        <f t="shared" si="15"/>
        <v>3.2188495831589788E-3</v>
      </c>
      <c r="J24">
        <f t="shared" ref="J24:J29" si="21">LN(H24)</f>
        <v>-7.510717003093899</v>
      </c>
      <c r="K24">
        <f t="shared" si="17"/>
        <v>4.6365939073933378</v>
      </c>
    </row>
    <row r="25" spans="1:11">
      <c r="A25">
        <v>315.26</v>
      </c>
      <c r="B25">
        <v>0.5</v>
      </c>
      <c r="C25">
        <v>7.6999999999999999E-2</v>
      </c>
      <c r="D25">
        <f t="shared" si="12"/>
        <v>0.86655112651646449</v>
      </c>
      <c r="E25">
        <f t="shared" si="18"/>
        <v>0.13344887348353551</v>
      </c>
      <c r="F25">
        <f t="shared" si="20"/>
        <v>8.6655112651646445E-3</v>
      </c>
      <c r="G25">
        <f t="shared" si="19"/>
        <v>2.6689774696707102E-3</v>
      </c>
      <c r="H25">
        <f t="shared" si="14"/>
        <v>8.2204506065857862E-4</v>
      </c>
      <c r="I25">
        <f t="shared" si="15"/>
        <v>3.1719850282306669E-3</v>
      </c>
      <c r="J25">
        <f t="shared" si="21"/>
        <v>-7.1037153460911249</v>
      </c>
      <c r="K25">
        <f t="shared" si="17"/>
        <v>4.4501306960497686</v>
      </c>
    </row>
    <row r="26" spans="1:11">
      <c r="A26">
        <v>319.85000000000002</v>
      </c>
      <c r="B26">
        <v>0.5</v>
      </c>
      <c r="C26">
        <v>8.7999999999999995E-2</v>
      </c>
      <c r="D26">
        <f t="shared" si="12"/>
        <v>0.85034013605442182</v>
      </c>
      <c r="E26">
        <f t="shared" si="18"/>
        <v>0.14965986394557818</v>
      </c>
      <c r="F26">
        <f t="shared" si="20"/>
        <v>8.5034013605442185E-3</v>
      </c>
      <c r="G26">
        <f t="shared" si="19"/>
        <v>2.9931972789115635E-3</v>
      </c>
      <c r="H26">
        <f t="shared" si="14"/>
        <v>1.05360544217687E-3</v>
      </c>
      <c r="I26">
        <f t="shared" si="15"/>
        <v>3.1264655307175235E-3</v>
      </c>
      <c r="J26">
        <f t="shared" si="21"/>
        <v>-6.8555372422326073</v>
      </c>
      <c r="K26">
        <f t="shared" si="17"/>
        <v>4.3571869459178352</v>
      </c>
    </row>
    <row r="27" spans="1:11">
      <c r="A27">
        <v>324.45</v>
      </c>
      <c r="B27">
        <v>0.5</v>
      </c>
      <c r="C27">
        <v>0.115</v>
      </c>
      <c r="D27">
        <f t="shared" si="12"/>
        <v>0.81300813008130079</v>
      </c>
      <c r="E27">
        <f t="shared" si="18"/>
        <v>0.18699186991869921</v>
      </c>
      <c r="F27">
        <f t="shared" si="20"/>
        <v>8.1300813008130073E-3</v>
      </c>
      <c r="G27">
        <f t="shared" si="19"/>
        <v>3.7398373983739842E-3</v>
      </c>
      <c r="H27">
        <f t="shared" si="14"/>
        <v>1.7203252032520332E-3</v>
      </c>
      <c r="I27">
        <f t="shared" si="15"/>
        <v>3.0821390044691015E-3</v>
      </c>
      <c r="J27">
        <f t="shared" si="21"/>
        <v>-6.3652419343704096</v>
      </c>
      <c r="K27">
        <f t="shared" si="17"/>
        <v>4.10375134487865</v>
      </c>
    </row>
    <row r="28" spans="1:11">
      <c r="A28">
        <v>329.03</v>
      </c>
      <c r="B28">
        <v>0.5</v>
      </c>
      <c r="C28">
        <v>0.152</v>
      </c>
      <c r="D28">
        <f t="shared" si="12"/>
        <v>0.76687116564417179</v>
      </c>
      <c r="E28">
        <f t="shared" si="18"/>
        <v>0.23312883435582821</v>
      </c>
      <c r="F28">
        <f t="shared" si="20"/>
        <v>7.6687116564417186E-3</v>
      </c>
      <c r="G28">
        <f t="shared" si="19"/>
        <v>4.662576687116564E-3</v>
      </c>
      <c r="H28">
        <f t="shared" si="14"/>
        <v>2.8348466257668704E-3</v>
      </c>
      <c r="I28">
        <f t="shared" si="15"/>
        <v>3.0392365437802026E-3</v>
      </c>
      <c r="J28">
        <f t="shared" si="21"/>
        <v>-5.8657674435244926</v>
      </c>
      <c r="K28">
        <f t="shared" si="17"/>
        <v>3.835117572321455</v>
      </c>
    </row>
    <row r="29" spans="1:11">
      <c r="A29">
        <v>333.72</v>
      </c>
      <c r="B29">
        <v>0.5</v>
      </c>
      <c r="C29">
        <v>0.187</v>
      </c>
      <c r="D29">
        <f t="shared" si="12"/>
        <v>0.72780203784570596</v>
      </c>
      <c r="E29">
        <f t="shared" si="18"/>
        <v>0.27219796215429404</v>
      </c>
      <c r="F29">
        <f t="shared" si="20"/>
        <v>7.2780203784570596E-3</v>
      </c>
      <c r="G29">
        <f t="shared" si="19"/>
        <v>5.4439592430858812E-3</v>
      </c>
      <c r="H29">
        <f t="shared" si="14"/>
        <v>4.0720815138282395E-3</v>
      </c>
      <c r="I29">
        <f t="shared" si="15"/>
        <v>2.9965240321227372E-3</v>
      </c>
      <c r="J29">
        <f t="shared" si="21"/>
        <v>-5.5036009818035687</v>
      </c>
      <c r="K29">
        <f t="shared" si="17"/>
        <v>3.6496189142326019</v>
      </c>
    </row>
    <row r="30" spans="1:11">
      <c r="A30" t="s">
        <v>6</v>
      </c>
      <c r="B30">
        <v>9670</v>
      </c>
    </row>
    <row r="31" spans="1:11">
      <c r="A31" t="s">
        <v>7</v>
      </c>
      <c r="B31" s="1">
        <v>23.495000000000001</v>
      </c>
    </row>
    <row r="32" spans="1:11">
      <c r="A32" t="s">
        <v>8</v>
      </c>
      <c r="B32">
        <f>B30*8.314/4.184/1000</f>
        <v>19.215195984703634</v>
      </c>
    </row>
    <row r="33" spans="1:11">
      <c r="A33" t="s">
        <v>9</v>
      </c>
      <c r="B33">
        <f>B31*8.314/4.184</f>
        <v>46.686766252390058</v>
      </c>
    </row>
    <row r="35" spans="1:11">
      <c r="A35" t="s">
        <v>25</v>
      </c>
    </row>
    <row r="36" spans="1:11">
      <c r="A36" t="s">
        <v>3</v>
      </c>
      <c r="B36" t="s">
        <v>31</v>
      </c>
      <c r="C36" t="s">
        <v>30</v>
      </c>
      <c r="D36" t="s">
        <v>10</v>
      </c>
      <c r="E36" t="s">
        <v>11</v>
      </c>
      <c r="F36" t="s">
        <v>4</v>
      </c>
      <c r="G36" t="s">
        <v>5</v>
      </c>
      <c r="H36" t="s">
        <v>0</v>
      </c>
      <c r="I36" t="s">
        <v>1</v>
      </c>
      <c r="J36" t="s">
        <v>2</v>
      </c>
      <c r="K36" t="s">
        <v>12</v>
      </c>
    </row>
    <row r="37" spans="1:11">
      <c r="A37">
        <v>297.18</v>
      </c>
      <c r="B37">
        <v>0.5</v>
      </c>
      <c r="C37">
        <v>2.5000000000000001E-2</v>
      </c>
      <c r="D37">
        <f t="shared" ref="D37:D45" si="22">B37/(B37+C37)</f>
        <v>0.95238095238095233</v>
      </c>
      <c r="E37">
        <f>1-D37</f>
        <v>4.7619047619047672E-2</v>
      </c>
      <c r="F37">
        <f t="shared" ref="F37:F38" si="23">(0.02-G37)/2</f>
        <v>9.5238095238095229E-3</v>
      </c>
      <c r="G37">
        <f>0.02*E37</f>
        <v>9.5238095238095346E-4</v>
      </c>
      <c r="H37">
        <f t="shared" ref="H37:H45" si="24">G37*G37/F37</f>
        <v>9.5238095238095471E-5</v>
      </c>
      <c r="I37">
        <f t="shared" ref="I37:I45" si="25">1/A37</f>
        <v>3.3649639948852548E-3</v>
      </c>
      <c r="J37">
        <f t="shared" ref="J37:J38" si="26">LN(H37)</f>
        <v>-9.2591305361456122</v>
      </c>
      <c r="K37">
        <f t="shared" ref="K37:K45" si="27">-8.314*A37*J37/4184</f>
        <v>5.4677434568479431</v>
      </c>
    </row>
    <row r="38" spans="1:11">
      <c r="A38">
        <v>301.68</v>
      </c>
      <c r="B38">
        <v>0.5</v>
      </c>
      <c r="C38">
        <v>3.6999999999999998E-2</v>
      </c>
      <c r="D38">
        <f t="shared" si="22"/>
        <v>0.93109869646182486</v>
      </c>
      <c r="E38">
        <f t="shared" ref="E38:E45" si="28">1-D38</f>
        <v>6.890130353817514E-2</v>
      </c>
      <c r="F38">
        <f t="shared" si="23"/>
        <v>9.3109869646182484E-3</v>
      </c>
      <c r="G38">
        <f t="shared" ref="G38:G45" si="29">0.02*E38</f>
        <v>1.3780260707635028E-3</v>
      </c>
      <c r="H38">
        <f t="shared" si="24"/>
        <v>2.0394785847299872E-4</v>
      </c>
      <c r="I38">
        <f t="shared" si="25"/>
        <v>3.3147706178732429E-3</v>
      </c>
      <c r="J38">
        <f t="shared" si="26"/>
        <v>-8.4976461925108051</v>
      </c>
      <c r="K38">
        <f t="shared" si="27"/>
        <v>5.0940535794711446</v>
      </c>
    </row>
    <row r="39" spans="1:11">
      <c r="A39">
        <v>306.18</v>
      </c>
      <c r="B39">
        <v>0.5</v>
      </c>
      <c r="C39">
        <v>5.5E-2</v>
      </c>
      <c r="D39">
        <f t="shared" si="22"/>
        <v>0.9009009009009008</v>
      </c>
      <c r="E39">
        <f t="shared" si="28"/>
        <v>9.9099099099099197E-2</v>
      </c>
      <c r="F39">
        <f>(0.02-G39)/2</f>
        <v>9.0090090090090089E-3</v>
      </c>
      <c r="G39">
        <f t="shared" si="29"/>
        <v>1.9819819819819839E-3</v>
      </c>
      <c r="H39">
        <f t="shared" si="24"/>
        <v>4.3603603603603684E-4</v>
      </c>
      <c r="I39">
        <f t="shared" si="25"/>
        <v>3.2660526487686982E-3</v>
      </c>
      <c r="J39">
        <f>LN(H39)</f>
        <v>-7.7377856665718836</v>
      </c>
      <c r="K39">
        <f t="shared" si="27"/>
        <v>4.7077333797228968</v>
      </c>
    </row>
    <row r="40" spans="1:11">
      <c r="A40">
        <v>310.67</v>
      </c>
      <c r="B40">
        <v>0.5</v>
      </c>
      <c r="C40">
        <v>6.7000000000000004E-2</v>
      </c>
      <c r="D40">
        <f t="shared" si="22"/>
        <v>0.88183421516754856</v>
      </c>
      <c r="E40">
        <f t="shared" si="28"/>
        <v>0.11816578483245144</v>
      </c>
      <c r="F40">
        <f t="shared" ref="F40:F45" si="30">(0.02-G40)/2</f>
        <v>8.8183421516754863E-3</v>
      </c>
      <c r="G40">
        <f t="shared" si="29"/>
        <v>2.3633156966490288E-3</v>
      </c>
      <c r="H40">
        <f t="shared" si="24"/>
        <v>6.3336860670193927E-4</v>
      </c>
      <c r="I40">
        <f t="shared" si="25"/>
        <v>3.2188495831589788E-3</v>
      </c>
      <c r="J40">
        <f t="shared" ref="J40:J45" si="31">LN(H40)</f>
        <v>-7.3644579882362136</v>
      </c>
      <c r="K40">
        <f t="shared" si="27"/>
        <v>4.546303771723049</v>
      </c>
    </row>
    <row r="41" spans="1:11">
      <c r="A41">
        <v>315.26</v>
      </c>
      <c r="B41">
        <v>0.5</v>
      </c>
      <c r="C41">
        <v>7.9000000000000001E-2</v>
      </c>
      <c r="D41">
        <f t="shared" si="22"/>
        <v>0.86355785837651133</v>
      </c>
      <c r="E41">
        <f t="shared" si="28"/>
        <v>0.13644214162348867</v>
      </c>
      <c r="F41">
        <f t="shared" si="30"/>
        <v>8.635578583765114E-3</v>
      </c>
      <c r="G41">
        <f t="shared" si="29"/>
        <v>2.7288428324697732E-3</v>
      </c>
      <c r="H41">
        <f t="shared" si="24"/>
        <v>8.6231433506044736E-4</v>
      </c>
      <c r="I41">
        <f t="shared" si="25"/>
        <v>3.1719850282306669E-3</v>
      </c>
      <c r="J41">
        <f t="shared" si="31"/>
        <v>-7.0558906959293468</v>
      </c>
      <c r="K41">
        <f t="shared" si="27"/>
        <v>4.4201708886329527</v>
      </c>
    </row>
    <row r="42" spans="1:11">
      <c r="A42">
        <v>319.85000000000002</v>
      </c>
      <c r="B42">
        <v>0.5</v>
      </c>
      <c r="C42">
        <v>0.1</v>
      </c>
      <c r="D42">
        <f t="shared" si="22"/>
        <v>0.83333333333333337</v>
      </c>
      <c r="E42">
        <f t="shared" si="28"/>
        <v>0.16666666666666663</v>
      </c>
      <c r="F42">
        <f t="shared" si="30"/>
        <v>8.3333333333333332E-3</v>
      </c>
      <c r="G42">
        <f t="shared" si="29"/>
        <v>3.3333333333333327E-3</v>
      </c>
      <c r="H42">
        <f t="shared" si="24"/>
        <v>1.3333333333333329E-3</v>
      </c>
      <c r="I42">
        <f t="shared" si="25"/>
        <v>3.1264655307175235E-3</v>
      </c>
      <c r="J42">
        <f t="shared" si="31"/>
        <v>-6.6200732065303569</v>
      </c>
      <c r="K42">
        <f t="shared" si="27"/>
        <v>4.2075326174029692</v>
      </c>
    </row>
    <row r="43" spans="1:11">
      <c r="A43">
        <v>324.45</v>
      </c>
      <c r="B43">
        <v>0.5</v>
      </c>
      <c r="C43">
        <v>0.121</v>
      </c>
      <c r="D43">
        <f t="shared" si="22"/>
        <v>0.80515297906602257</v>
      </c>
      <c r="E43">
        <f t="shared" si="28"/>
        <v>0.19484702093397743</v>
      </c>
      <c r="F43">
        <f t="shared" si="30"/>
        <v>8.0515297906602265E-3</v>
      </c>
      <c r="G43">
        <f t="shared" si="29"/>
        <v>3.8969404186795487E-3</v>
      </c>
      <c r="H43">
        <f t="shared" si="24"/>
        <v>1.8861191626409011E-3</v>
      </c>
      <c r="I43">
        <f t="shared" si="25"/>
        <v>3.0821390044691015E-3</v>
      </c>
      <c r="J43">
        <f t="shared" si="31"/>
        <v>-6.2732339140303894</v>
      </c>
      <c r="K43">
        <f t="shared" si="27"/>
        <v>4.0444326196670959</v>
      </c>
    </row>
    <row r="44" spans="1:11">
      <c r="A44">
        <v>329.03</v>
      </c>
      <c r="B44">
        <v>0.5</v>
      </c>
      <c r="C44">
        <v>0.156</v>
      </c>
      <c r="D44">
        <f t="shared" si="22"/>
        <v>0.76219512195121952</v>
      </c>
      <c r="E44">
        <f t="shared" si="28"/>
        <v>0.23780487804878048</v>
      </c>
      <c r="F44">
        <f t="shared" si="30"/>
        <v>7.621951219512195E-3</v>
      </c>
      <c r="G44">
        <f t="shared" si="29"/>
        <v>4.7560975609756096E-3</v>
      </c>
      <c r="H44">
        <f t="shared" si="24"/>
        <v>2.9678048780487805E-3</v>
      </c>
      <c r="I44">
        <f t="shared" si="25"/>
        <v>3.0392365437802026E-3</v>
      </c>
      <c r="J44">
        <f t="shared" si="31"/>
        <v>-5.8199326977354078</v>
      </c>
      <c r="K44">
        <f t="shared" si="27"/>
        <v>3.8051501996475419</v>
      </c>
    </row>
    <row r="45" spans="1:11">
      <c r="A45">
        <v>333.72</v>
      </c>
      <c r="B45">
        <v>0.5</v>
      </c>
      <c r="C45">
        <v>0.187</v>
      </c>
      <c r="D45">
        <f t="shared" si="22"/>
        <v>0.72780203784570596</v>
      </c>
      <c r="E45">
        <f t="shared" si="28"/>
        <v>0.27219796215429404</v>
      </c>
      <c r="F45">
        <f t="shared" si="30"/>
        <v>7.2780203784570596E-3</v>
      </c>
      <c r="G45">
        <f t="shared" si="29"/>
        <v>5.4439592430858812E-3</v>
      </c>
      <c r="H45">
        <f t="shared" si="24"/>
        <v>4.0720815138282395E-3</v>
      </c>
      <c r="I45">
        <f t="shared" si="25"/>
        <v>2.9965240321227372E-3</v>
      </c>
      <c r="J45">
        <f t="shared" si="31"/>
        <v>-5.5036009818035687</v>
      </c>
      <c r="K45">
        <f t="shared" si="27"/>
        <v>3.6496189142326019</v>
      </c>
    </row>
    <row r="46" spans="1:11">
      <c r="A46" t="s">
        <v>6</v>
      </c>
      <c r="B46">
        <v>9707.9</v>
      </c>
    </row>
    <row r="47" spans="1:11">
      <c r="A47" t="s">
        <v>7</v>
      </c>
      <c r="B47" s="1">
        <v>23.702999999999999</v>
      </c>
    </row>
    <row r="48" spans="1:11">
      <c r="A48" t="s">
        <v>8</v>
      </c>
      <c r="B48">
        <f>B46*8.314/4.184/1000</f>
        <v>19.290506835564052</v>
      </c>
    </row>
    <row r="49" spans="1:6" ht="16.2">
      <c r="A49" t="s">
        <v>29</v>
      </c>
      <c r="B49">
        <f>B47*8.314/4.184</f>
        <v>47.100081739961759</v>
      </c>
    </row>
    <row r="51" spans="1:6">
      <c r="A51" t="s">
        <v>20</v>
      </c>
      <c r="B51">
        <v>1</v>
      </c>
      <c r="C51">
        <v>2</v>
      </c>
      <c r="D51">
        <v>3</v>
      </c>
      <c r="E51" t="s">
        <v>21</v>
      </c>
      <c r="F51" t="s">
        <v>22</v>
      </c>
    </row>
    <row r="52" spans="1:6">
      <c r="A52" t="s">
        <v>6</v>
      </c>
      <c r="B52">
        <v>9795.1</v>
      </c>
      <c r="C52">
        <v>9670</v>
      </c>
      <c r="D52">
        <v>9707.9</v>
      </c>
    </row>
    <row r="53" spans="1:6">
      <c r="A53" t="s">
        <v>7</v>
      </c>
      <c r="B53" s="1">
        <v>23.795999999999999</v>
      </c>
      <c r="C53" s="1">
        <v>23.495000000000001</v>
      </c>
      <c r="D53" s="1">
        <v>23.702999999999999</v>
      </c>
    </row>
    <row r="54" spans="1:6">
      <c r="A54" t="s">
        <v>8</v>
      </c>
      <c r="B54">
        <f>B52*8.314/4.184/1000</f>
        <v>19.463781405353728</v>
      </c>
      <c r="C54">
        <f>C52*8.314/4.184/1000</f>
        <v>19.215195984703634</v>
      </c>
      <c r="D54">
        <f>D52*8.314/4.184/1000</f>
        <v>19.290506835564052</v>
      </c>
      <c r="E54">
        <f xml:space="preserve"> AVERAGE(B54:D54)</f>
        <v>19.323161408540471</v>
      </c>
      <c r="F54">
        <f>_xlfn.STDEV.S(B54:D54)</f>
        <v>0.12746928528924265</v>
      </c>
    </row>
    <row r="55" spans="1:6" ht="16.2">
      <c r="A55" t="s">
        <v>29</v>
      </c>
      <c r="B55">
        <f>B53*8.314/4.184</f>
        <v>47.284881453154874</v>
      </c>
      <c r="C55">
        <f>C53*8.314/4.184</f>
        <v>46.686766252390058</v>
      </c>
      <c r="D55">
        <f>D53*8.314/4.184</f>
        <v>47.100081739961759</v>
      </c>
      <c r="E55">
        <f xml:space="preserve"> AVERAGE(B55:D55)</f>
        <v>47.023909815168899</v>
      </c>
      <c r="F55">
        <f>_xlfn.STDEV.S(B55:D55)</f>
        <v>0.30624674682593966</v>
      </c>
    </row>
    <row r="56" spans="1:6">
      <c r="A56" t="s">
        <v>19</v>
      </c>
      <c r="B56">
        <f>B54-298.15*B55/1000</f>
        <v>5.3657940000956028</v>
      </c>
      <c r="C56">
        <f>C54-298.15*C55/1000</f>
        <v>5.2955366265535382</v>
      </c>
      <c r="D56">
        <f>D54-298.15*D55/1000</f>
        <v>5.2476174647944553</v>
      </c>
      <c r="E56">
        <f xml:space="preserve"> AVERAGE(B56:D56)</f>
        <v>5.3029826971478657</v>
      </c>
      <c r="F56">
        <f>_xlfn.STDEV.S(B56:D56)</f>
        <v>5.9439097817998693E-2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663B3-A2EC-437E-BC34-21665011841A}">
  <dimension ref="A2:K61"/>
  <sheetViews>
    <sheetView topLeftCell="A27" zoomScale="75" zoomScaleNormal="75" workbookViewId="0">
      <selection activeCell="G60" sqref="G60"/>
    </sheetView>
  </sheetViews>
  <sheetFormatPr defaultRowHeight="14.4"/>
  <cols>
    <col min="3" max="3" width="14.6640625" customWidth="1"/>
    <col min="4" max="4" width="14.33203125" customWidth="1"/>
    <col min="5" max="5" width="16.44140625" customWidth="1"/>
    <col min="6" max="6" width="16.6640625" customWidth="1"/>
    <col min="7" max="7" width="19.109375" customWidth="1"/>
  </cols>
  <sheetData>
    <row r="2" spans="1:11">
      <c r="A2" t="s">
        <v>23</v>
      </c>
    </row>
    <row r="3" spans="1:11">
      <c r="A3" t="s">
        <v>3</v>
      </c>
      <c r="B3" t="s">
        <v>31</v>
      </c>
      <c r="C3" t="s">
        <v>30</v>
      </c>
      <c r="D3" t="s">
        <v>10</v>
      </c>
      <c r="E3" t="s">
        <v>11</v>
      </c>
      <c r="F3" t="s">
        <v>4</v>
      </c>
      <c r="G3" t="s">
        <v>5</v>
      </c>
      <c r="H3" t="s">
        <v>0</v>
      </c>
      <c r="I3" t="s">
        <v>1</v>
      </c>
      <c r="J3" t="s">
        <v>2</v>
      </c>
      <c r="K3" t="s">
        <v>12</v>
      </c>
    </row>
    <row r="4" spans="1:11">
      <c r="A4">
        <v>297.18</v>
      </c>
      <c r="B4">
        <v>0.5</v>
      </c>
      <c r="C4">
        <v>6.3E-2</v>
      </c>
      <c r="D4">
        <f t="shared" ref="D4:D11" si="0">B4/(B4+C4)</f>
        <v>0.88809946714031984</v>
      </c>
      <c r="E4">
        <f>1-D4</f>
        <v>0.11190053285968016</v>
      </c>
      <c r="F4">
        <f t="shared" ref="F4:F5" si="1">(0.02-G4)/2</f>
        <v>8.8809946714031984E-3</v>
      </c>
      <c r="G4">
        <f>0.02*E4</f>
        <v>2.2380106571936033E-3</v>
      </c>
      <c r="H4">
        <f t="shared" ref="H4:H14" si="2">G4*G4/F4</f>
        <v>5.6397868561278738E-4</v>
      </c>
      <c r="I4">
        <f t="shared" ref="I4:I11" si="3">1/A4</f>
        <v>3.3649639948852548E-3</v>
      </c>
      <c r="J4">
        <f t="shared" ref="J4:J5" si="4">LN(H4)</f>
        <v>-7.4804940986470196</v>
      </c>
      <c r="K4">
        <f t="shared" ref="K4:K14" si="5">-8.314*A4*J4/4184</f>
        <v>4.4174150588110539</v>
      </c>
    </row>
    <row r="5" spans="1:11">
      <c r="A5">
        <v>301.68</v>
      </c>
      <c r="B5">
        <v>0.5</v>
      </c>
      <c r="C5">
        <v>8.6400000000000005E-2</v>
      </c>
      <c r="D5">
        <f t="shared" si="0"/>
        <v>0.85266030013642558</v>
      </c>
      <c r="E5">
        <f t="shared" ref="E5:E14" si="6">1-D5</f>
        <v>0.14733969986357442</v>
      </c>
      <c r="F5">
        <f t="shared" si="1"/>
        <v>8.5266030013642566E-3</v>
      </c>
      <c r="G5">
        <f t="shared" ref="G5:G14" si="7">0.02*E5</f>
        <v>2.9467939972714885E-3</v>
      </c>
      <c r="H5">
        <f t="shared" si="2"/>
        <v>1.018412005457027E-3</v>
      </c>
      <c r="I5">
        <f t="shared" si="3"/>
        <v>3.3147706178732429E-3</v>
      </c>
      <c r="J5">
        <f t="shared" si="4"/>
        <v>-6.8895107222428136</v>
      </c>
      <c r="K5">
        <f t="shared" si="5"/>
        <v>4.130030359039476</v>
      </c>
    </row>
    <row r="6" spans="1:11" ht="12.6" customHeight="1">
      <c r="A6">
        <v>306.18</v>
      </c>
      <c r="B6">
        <v>0.5</v>
      </c>
      <c r="C6">
        <v>0.10059999999999999</v>
      </c>
      <c r="D6">
        <f t="shared" si="0"/>
        <v>0.83250083250083251</v>
      </c>
      <c r="E6">
        <f t="shared" si="6"/>
        <v>0.16749916749916749</v>
      </c>
      <c r="F6">
        <f>(0.02-G6)/2</f>
        <v>8.3250083250083259E-3</v>
      </c>
      <c r="G6">
        <f t="shared" si="7"/>
        <v>3.34998334998335E-3</v>
      </c>
      <c r="H6">
        <f t="shared" si="2"/>
        <v>1.3480333000332999E-3</v>
      </c>
      <c r="I6">
        <f t="shared" si="3"/>
        <v>3.2660526487686982E-3</v>
      </c>
      <c r="J6">
        <f>LN(H6)</f>
        <v>-6.6091085635083449</v>
      </c>
      <c r="K6">
        <f t="shared" si="5"/>
        <v>4.0210368101892984</v>
      </c>
    </row>
    <row r="7" spans="1:11">
      <c r="A7">
        <v>310.67</v>
      </c>
      <c r="B7">
        <v>0.5</v>
      </c>
      <c r="C7">
        <v>0.1244</v>
      </c>
      <c r="D7">
        <f t="shared" si="0"/>
        <v>0.80076873798846904</v>
      </c>
      <c r="E7">
        <f t="shared" si="6"/>
        <v>0.19923126201153096</v>
      </c>
      <c r="F7">
        <f t="shared" ref="F7:F14" si="8">(0.02-G7)/2</f>
        <v>8.0076873798846909E-3</v>
      </c>
      <c r="G7">
        <f t="shared" si="7"/>
        <v>3.9846252402306196E-3</v>
      </c>
      <c r="H7">
        <f t="shared" si="2"/>
        <v>1.9827495195387551E-3</v>
      </c>
      <c r="I7">
        <f t="shared" si="3"/>
        <v>3.2188495831589788E-3</v>
      </c>
      <c r="J7">
        <f t="shared" ref="J7:J14" si="9">LN(H7)</f>
        <v>-6.223270751321512</v>
      </c>
      <c r="K7">
        <f t="shared" si="5"/>
        <v>3.8418142019930053</v>
      </c>
    </row>
    <row r="8" spans="1:11">
      <c r="A8">
        <v>315.26</v>
      </c>
      <c r="B8">
        <v>0.5</v>
      </c>
      <c r="C8">
        <v>0.1598</v>
      </c>
      <c r="D8">
        <f t="shared" si="0"/>
        <v>0.75780539557441651</v>
      </c>
      <c r="E8">
        <f t="shared" si="6"/>
        <v>0.24219460442558349</v>
      </c>
      <c r="F8">
        <f t="shared" si="8"/>
        <v>7.5780539557441656E-3</v>
      </c>
      <c r="G8">
        <f t="shared" si="7"/>
        <v>4.84389208851167E-3</v>
      </c>
      <c r="H8">
        <f t="shared" si="2"/>
        <v>3.0962158229766589E-3</v>
      </c>
      <c r="I8">
        <f t="shared" si="3"/>
        <v>3.1719850282306669E-3</v>
      </c>
      <c r="J8">
        <f t="shared" si="9"/>
        <v>-5.7775746154205248</v>
      </c>
      <c r="K8">
        <f t="shared" si="5"/>
        <v>3.6193683012578024</v>
      </c>
    </row>
    <row r="9" spans="1:11">
      <c r="A9">
        <v>319.85000000000002</v>
      </c>
      <c r="B9">
        <v>0.5</v>
      </c>
      <c r="C9">
        <v>0.20180000000000001</v>
      </c>
      <c r="D9">
        <f t="shared" si="0"/>
        <v>0.71245369051011687</v>
      </c>
      <c r="E9">
        <f t="shared" si="6"/>
        <v>0.28754630948988313</v>
      </c>
      <c r="F9">
        <f t="shared" si="8"/>
        <v>7.1245369051011684E-3</v>
      </c>
      <c r="G9">
        <f t="shared" si="7"/>
        <v>5.7509261897976628E-3</v>
      </c>
      <c r="H9">
        <f t="shared" si="2"/>
        <v>4.6421476204046739E-3</v>
      </c>
      <c r="I9">
        <f t="shared" si="3"/>
        <v>3.1264655307175235E-3</v>
      </c>
      <c r="J9">
        <f t="shared" si="9"/>
        <v>-5.37257817060049</v>
      </c>
      <c r="K9">
        <f t="shared" si="5"/>
        <v>3.4146598061860991</v>
      </c>
    </row>
    <row r="10" spans="1:11">
      <c r="A10">
        <v>324.45</v>
      </c>
      <c r="B10">
        <v>0.5</v>
      </c>
      <c r="C10">
        <v>0.25700000000000001</v>
      </c>
      <c r="D10">
        <f t="shared" si="0"/>
        <v>0.66050198150594452</v>
      </c>
      <c r="E10">
        <f t="shared" si="6"/>
        <v>0.33949801849405548</v>
      </c>
      <c r="F10">
        <f t="shared" si="8"/>
        <v>6.6050198150594455E-3</v>
      </c>
      <c r="G10">
        <f t="shared" si="7"/>
        <v>6.7899603698811095E-3</v>
      </c>
      <c r="H10">
        <f t="shared" si="2"/>
        <v>6.9800792602377803E-3</v>
      </c>
      <c r="I10">
        <f t="shared" si="3"/>
        <v>3.0821390044691015E-3</v>
      </c>
      <c r="J10">
        <f t="shared" si="9"/>
        <v>-4.9646950069374016</v>
      </c>
      <c r="K10">
        <f t="shared" si="5"/>
        <v>3.2008011669782466</v>
      </c>
    </row>
    <row r="11" spans="1:11">
      <c r="A11">
        <v>329.03</v>
      </c>
      <c r="B11">
        <v>0.5</v>
      </c>
      <c r="C11">
        <v>0.32250000000000001</v>
      </c>
      <c r="D11">
        <f t="shared" si="0"/>
        <v>0.60790273556231</v>
      </c>
      <c r="E11">
        <f t="shared" si="6"/>
        <v>0.39209726443769</v>
      </c>
      <c r="F11">
        <f t="shared" si="8"/>
        <v>6.0790273556231003E-3</v>
      </c>
      <c r="G11">
        <f t="shared" si="7"/>
        <v>7.8419452887537999E-3</v>
      </c>
      <c r="H11">
        <f t="shared" si="2"/>
        <v>1.0116109422492402E-2</v>
      </c>
      <c r="I11">
        <f t="shared" si="3"/>
        <v>3.0392365437802026E-3</v>
      </c>
      <c r="J11">
        <f t="shared" si="9"/>
        <v>-4.5936261334582653</v>
      </c>
      <c r="K11">
        <f t="shared" si="5"/>
        <v>3.0033744901614243</v>
      </c>
    </row>
    <row r="12" spans="1:11">
      <c r="A12">
        <v>333.72</v>
      </c>
      <c r="B12">
        <v>0.5</v>
      </c>
      <c r="C12">
        <v>0.40610000000000002</v>
      </c>
      <c r="D12">
        <f t="shared" ref="D12:D14" si="10">B12/(B12+C12)</f>
        <v>0.5518154729058603</v>
      </c>
      <c r="E12">
        <f t="shared" si="6"/>
        <v>0.4481845270941397</v>
      </c>
      <c r="F12">
        <f t="shared" si="8"/>
        <v>5.5181547290586034E-3</v>
      </c>
      <c r="G12">
        <f t="shared" si="7"/>
        <v>8.9636905418827937E-3</v>
      </c>
      <c r="H12">
        <f t="shared" si="2"/>
        <v>1.4560618916234409E-2</v>
      </c>
      <c r="I12">
        <f t="shared" ref="I12:I14" si="11">1/A12</f>
        <v>2.9965240321227372E-3</v>
      </c>
      <c r="J12">
        <f t="shared" si="9"/>
        <v>-4.2294347291339029</v>
      </c>
      <c r="K12">
        <f t="shared" si="5"/>
        <v>2.8046773439779615</v>
      </c>
    </row>
    <row r="13" spans="1:11">
      <c r="A13">
        <v>338.41</v>
      </c>
      <c r="B13">
        <v>0.5</v>
      </c>
      <c r="C13">
        <v>0.53210000000000002</v>
      </c>
      <c r="D13">
        <f t="shared" si="10"/>
        <v>0.4844491812808836</v>
      </c>
      <c r="E13">
        <f t="shared" si="6"/>
        <v>0.51555081871911645</v>
      </c>
      <c r="F13">
        <f t="shared" si="8"/>
        <v>4.8444918128088352E-3</v>
      </c>
      <c r="G13">
        <f t="shared" si="7"/>
        <v>1.031101637438233E-2</v>
      </c>
      <c r="H13">
        <f t="shared" si="2"/>
        <v>2.1945967251235363E-2</v>
      </c>
      <c r="I13">
        <f t="shared" si="11"/>
        <v>2.9549954197570991E-3</v>
      </c>
      <c r="J13">
        <f t="shared" si="9"/>
        <v>-3.819171880657632</v>
      </c>
      <c r="K13">
        <f t="shared" si="5"/>
        <v>2.5682112044198537</v>
      </c>
    </row>
    <row r="14" spans="1:11">
      <c r="A14">
        <v>343</v>
      </c>
      <c r="B14">
        <v>0.5</v>
      </c>
      <c r="C14">
        <v>0.65739999999999998</v>
      </c>
      <c r="D14">
        <f t="shared" si="10"/>
        <v>0.43200276481769484</v>
      </c>
      <c r="E14">
        <f t="shared" si="6"/>
        <v>0.56799723518230516</v>
      </c>
      <c r="F14">
        <f t="shared" si="8"/>
        <v>4.3200276481769485E-3</v>
      </c>
      <c r="G14">
        <f t="shared" si="7"/>
        <v>1.1359944703646103E-2</v>
      </c>
      <c r="H14">
        <f t="shared" si="2"/>
        <v>2.9872110592707793E-2</v>
      </c>
      <c r="I14">
        <f t="shared" si="11"/>
        <v>2.9154518950437317E-3</v>
      </c>
      <c r="J14">
        <f t="shared" si="9"/>
        <v>-3.5108299899698929</v>
      </c>
      <c r="K14">
        <f t="shared" si="5"/>
        <v>2.3928874053673814</v>
      </c>
    </row>
    <row r="15" spans="1:11">
      <c r="A15" t="s">
        <v>6</v>
      </c>
      <c r="B15">
        <v>8763.4</v>
      </c>
    </row>
    <row r="16" spans="1:11">
      <c r="A16" t="s">
        <v>7</v>
      </c>
      <c r="B16" s="1">
        <v>22.04</v>
      </c>
    </row>
    <row r="17" spans="1:11">
      <c r="A17" t="s">
        <v>8</v>
      </c>
      <c r="B17">
        <f>B15*8.314/4.184/1000</f>
        <v>17.413696845124278</v>
      </c>
    </row>
    <row r="18" spans="1:11">
      <c r="A18" t="s">
        <v>9</v>
      </c>
      <c r="B18">
        <f>B16*8.314/4.184</f>
        <v>43.795544933078389</v>
      </c>
    </row>
    <row r="21" spans="1:11">
      <c r="A21" t="s">
        <v>24</v>
      </c>
    </row>
    <row r="22" spans="1:11">
      <c r="A22" t="s">
        <v>3</v>
      </c>
      <c r="B22" t="s">
        <v>31</v>
      </c>
      <c r="C22" t="s">
        <v>30</v>
      </c>
      <c r="D22" t="s">
        <v>10</v>
      </c>
      <c r="E22" t="s">
        <v>11</v>
      </c>
      <c r="F22" t="s">
        <v>4</v>
      </c>
      <c r="G22" t="s">
        <v>5</v>
      </c>
      <c r="H22" t="s">
        <v>0</v>
      </c>
      <c r="I22" t="s">
        <v>1</v>
      </c>
      <c r="J22" t="s">
        <v>2</v>
      </c>
      <c r="K22" t="s">
        <v>12</v>
      </c>
    </row>
    <row r="23" spans="1:11">
      <c r="A23">
        <v>297.18</v>
      </c>
      <c r="B23">
        <v>0.5</v>
      </c>
      <c r="C23">
        <v>5.8000000000000003E-2</v>
      </c>
      <c r="D23">
        <f t="shared" ref="D23:D31" si="12">B23/(B23+C23)</f>
        <v>0.8960573476702508</v>
      </c>
      <c r="E23">
        <f>1-D23</f>
        <v>0.1039426523297492</v>
      </c>
      <c r="F23">
        <f t="shared" ref="F23:F24" si="13">(0.02-G23)/2</f>
        <v>8.9605734767025085E-3</v>
      </c>
      <c r="G23">
        <f>0.02*E23</f>
        <v>2.0788530465949838E-3</v>
      </c>
      <c r="H23">
        <f t="shared" ref="H23:H31" si="14">G23*G23/F23</f>
        <v>4.8229390681003669E-4</v>
      </c>
      <c r="I23">
        <f t="shared" ref="I23:I31" si="15">1/A23</f>
        <v>3.3649639948852548E-3</v>
      </c>
      <c r="J23">
        <f t="shared" ref="J23:J24" si="16">LN(H23)</f>
        <v>-7.6369568645788632</v>
      </c>
      <c r="K23">
        <f t="shared" ref="K23:K31" si="17">-8.314*A23*J23/4184</f>
        <v>4.5098101558803183</v>
      </c>
    </row>
    <row r="24" spans="1:11">
      <c r="A24">
        <v>301.68</v>
      </c>
      <c r="B24">
        <v>0.5</v>
      </c>
      <c r="C24">
        <v>7.3999999999999996E-2</v>
      </c>
      <c r="D24">
        <f t="shared" si="12"/>
        <v>0.87108013937282236</v>
      </c>
      <c r="E24">
        <f t="shared" ref="E24:E31" si="18">1-D24</f>
        <v>0.12891986062717764</v>
      </c>
      <c r="F24">
        <f t="shared" si="13"/>
        <v>8.7108013937282243E-3</v>
      </c>
      <c r="G24">
        <f t="shared" ref="G24:G31" si="19">0.02*E24</f>
        <v>2.5783972125435527E-3</v>
      </c>
      <c r="H24">
        <f t="shared" si="14"/>
        <v>7.6320557491289115E-4</v>
      </c>
      <c r="I24">
        <f t="shared" si="15"/>
        <v>3.3147706178732429E-3</v>
      </c>
      <c r="J24">
        <f t="shared" si="16"/>
        <v>-7.1779831332016206</v>
      </c>
      <c r="K24">
        <f t="shared" si="17"/>
        <v>4.3029598837964</v>
      </c>
    </row>
    <row r="25" spans="1:11">
      <c r="A25">
        <v>306.18</v>
      </c>
      <c r="B25">
        <v>0.5</v>
      </c>
      <c r="C25">
        <v>9.4E-2</v>
      </c>
      <c r="D25">
        <f t="shared" si="12"/>
        <v>0.84175084175084181</v>
      </c>
      <c r="E25">
        <f t="shared" si="18"/>
        <v>0.15824915824915819</v>
      </c>
      <c r="F25">
        <f>(0.02-G25)/2</f>
        <v>8.4175084175084174E-3</v>
      </c>
      <c r="G25">
        <f t="shared" si="19"/>
        <v>3.164983164983164E-3</v>
      </c>
      <c r="H25">
        <f t="shared" si="14"/>
        <v>1.1900336700336692E-3</v>
      </c>
      <c r="I25">
        <f t="shared" si="15"/>
        <v>3.2660526487686982E-3</v>
      </c>
      <c r="J25">
        <f>LN(H25)</f>
        <v>-6.73377367811303</v>
      </c>
      <c r="K25">
        <f t="shared" si="17"/>
        <v>4.0968841063798473</v>
      </c>
    </row>
    <row r="26" spans="1:11">
      <c r="A26">
        <v>310.67</v>
      </c>
      <c r="B26">
        <v>0.5</v>
      </c>
      <c r="C26">
        <v>0.122</v>
      </c>
      <c r="D26">
        <f t="shared" si="12"/>
        <v>0.8038585209003215</v>
      </c>
      <c r="E26">
        <f t="shared" si="18"/>
        <v>0.1961414790996785</v>
      </c>
      <c r="F26">
        <f t="shared" ref="F26:F31" si="20">(0.02-G26)/2</f>
        <v>8.0385852090032149E-3</v>
      </c>
      <c r="G26">
        <f t="shared" si="19"/>
        <v>3.9228295819935697E-3</v>
      </c>
      <c r="H26">
        <f t="shared" si="14"/>
        <v>1.9143408360128623E-3</v>
      </c>
      <c r="I26">
        <f t="shared" si="15"/>
        <v>3.2188495831589788E-3</v>
      </c>
      <c r="J26">
        <f t="shared" ref="J26:J31" si="21">LN(H26)</f>
        <v>-6.2583819265630583</v>
      </c>
      <c r="K26">
        <f t="shared" si="17"/>
        <v>3.8634893977352109</v>
      </c>
    </row>
    <row r="27" spans="1:11">
      <c r="A27">
        <v>315.26</v>
      </c>
      <c r="B27">
        <v>0.5</v>
      </c>
      <c r="C27">
        <v>0.154</v>
      </c>
      <c r="D27">
        <f t="shared" si="12"/>
        <v>0.76452599388379205</v>
      </c>
      <c r="E27">
        <f t="shared" si="18"/>
        <v>0.23547400611620795</v>
      </c>
      <c r="F27">
        <f t="shared" si="20"/>
        <v>7.6452599388379203E-3</v>
      </c>
      <c r="G27">
        <f t="shared" si="19"/>
        <v>4.7094801223241589E-3</v>
      </c>
      <c r="H27">
        <f t="shared" si="14"/>
        <v>2.901039755351682E-3</v>
      </c>
      <c r="I27">
        <f t="shared" si="15"/>
        <v>3.1719850282306669E-3</v>
      </c>
      <c r="J27">
        <f t="shared" si="21"/>
        <v>-5.8426860699203331</v>
      </c>
      <c r="K27">
        <f t="shared" si="17"/>
        <v>3.660157447249341</v>
      </c>
    </row>
    <row r="28" spans="1:11">
      <c r="A28">
        <v>319.85000000000002</v>
      </c>
      <c r="B28">
        <v>0.5</v>
      </c>
      <c r="C28">
        <v>0.19600000000000001</v>
      </c>
      <c r="D28">
        <f t="shared" si="12"/>
        <v>0.71839080459770122</v>
      </c>
      <c r="E28">
        <f t="shared" si="18"/>
        <v>0.28160919540229878</v>
      </c>
      <c r="F28">
        <f t="shared" si="20"/>
        <v>7.1839080459770123E-3</v>
      </c>
      <c r="G28">
        <f t="shared" si="19"/>
        <v>5.6321839080459759E-3</v>
      </c>
      <c r="H28">
        <f t="shared" si="14"/>
        <v>4.4156321839080434E-3</v>
      </c>
      <c r="I28">
        <f t="shared" si="15"/>
        <v>3.1264655307175235E-3</v>
      </c>
      <c r="J28">
        <f t="shared" si="21"/>
        <v>-5.4226042651637787</v>
      </c>
      <c r="K28">
        <f t="shared" si="17"/>
        <v>3.4464549869990071</v>
      </c>
    </row>
    <row r="29" spans="1:11">
      <c r="A29">
        <v>324.45</v>
      </c>
      <c r="B29">
        <v>0.5</v>
      </c>
      <c r="C29">
        <v>0.25</v>
      </c>
      <c r="D29">
        <f t="shared" si="12"/>
        <v>0.66666666666666663</v>
      </c>
      <c r="E29">
        <f t="shared" si="18"/>
        <v>0.33333333333333337</v>
      </c>
      <c r="F29">
        <f t="shared" si="20"/>
        <v>6.6666666666666662E-3</v>
      </c>
      <c r="G29">
        <f t="shared" si="19"/>
        <v>6.666666666666668E-3</v>
      </c>
      <c r="H29">
        <f t="shared" si="14"/>
        <v>6.6666666666666697E-3</v>
      </c>
      <c r="I29">
        <f t="shared" si="15"/>
        <v>3.0821390044691015E-3</v>
      </c>
      <c r="J29">
        <f t="shared" si="21"/>
        <v>-5.0106352940962555</v>
      </c>
      <c r="K29">
        <f t="shared" si="17"/>
        <v>3.2304194465591474</v>
      </c>
    </row>
    <row r="30" spans="1:11">
      <c r="A30">
        <v>329.03</v>
      </c>
      <c r="B30">
        <v>0.5</v>
      </c>
      <c r="C30">
        <v>0.312</v>
      </c>
      <c r="D30">
        <f t="shared" si="12"/>
        <v>0.61576354679802947</v>
      </c>
      <c r="E30">
        <f t="shared" si="18"/>
        <v>0.38423645320197053</v>
      </c>
      <c r="F30">
        <f t="shared" si="20"/>
        <v>6.157635467980295E-3</v>
      </c>
      <c r="G30">
        <f t="shared" si="19"/>
        <v>7.6847290640394104E-3</v>
      </c>
      <c r="H30">
        <f t="shared" si="14"/>
        <v>9.5905418719211873E-3</v>
      </c>
      <c r="I30">
        <f t="shared" si="15"/>
        <v>3.0392365437802026E-3</v>
      </c>
      <c r="J30">
        <f t="shared" si="21"/>
        <v>-4.6469778878331054</v>
      </c>
      <c r="K30">
        <f t="shared" si="17"/>
        <v>3.0382565840540159</v>
      </c>
    </row>
    <row r="31" spans="1:11">
      <c r="A31">
        <v>333.72</v>
      </c>
      <c r="B31">
        <v>0.5</v>
      </c>
      <c r="C31">
        <v>0.39600000000000002</v>
      </c>
      <c r="D31">
        <f t="shared" si="12"/>
        <v>0.5580357142857143</v>
      </c>
      <c r="E31">
        <f t="shared" si="18"/>
        <v>0.4419642857142857</v>
      </c>
      <c r="F31">
        <f t="shared" si="20"/>
        <v>5.580357142857143E-3</v>
      </c>
      <c r="G31">
        <f t="shared" si="19"/>
        <v>8.8392857142857145E-3</v>
      </c>
      <c r="H31">
        <f t="shared" si="14"/>
        <v>1.4001428571428573E-2</v>
      </c>
      <c r="I31">
        <f t="shared" si="15"/>
        <v>2.9965240321227372E-3</v>
      </c>
      <c r="J31">
        <f t="shared" si="21"/>
        <v>-4.2685959137563616</v>
      </c>
      <c r="K31">
        <f t="shared" si="17"/>
        <v>2.8306464141511851</v>
      </c>
    </row>
    <row r="32" spans="1:11">
      <c r="A32" t="s">
        <v>6</v>
      </c>
      <c r="B32">
        <v>9185.2999999999993</v>
      </c>
    </row>
    <row r="33" spans="1:11">
      <c r="A33" t="s">
        <v>7</v>
      </c>
      <c r="B33" s="1">
        <v>23.280999999999999</v>
      </c>
    </row>
    <row r="34" spans="1:11">
      <c r="A34" t="s">
        <v>8</v>
      </c>
      <c r="B34">
        <f>B32*8.314/4.184/1000</f>
        <v>18.25205167304015</v>
      </c>
    </row>
    <row r="35" spans="1:11">
      <c r="A35" t="s">
        <v>9</v>
      </c>
      <c r="B35">
        <f>B33*8.314/4.184</f>
        <v>46.261528202676864</v>
      </c>
    </row>
    <row r="38" spans="1:11">
      <c r="A38" t="s">
        <v>25</v>
      </c>
    </row>
    <row r="39" spans="1:11">
      <c r="A39" t="s">
        <v>3</v>
      </c>
      <c r="B39" t="s">
        <v>31</v>
      </c>
      <c r="C39" t="s">
        <v>30</v>
      </c>
      <c r="D39" t="s">
        <v>10</v>
      </c>
      <c r="E39" t="s">
        <v>11</v>
      </c>
      <c r="F39" t="s">
        <v>4</v>
      </c>
      <c r="G39" t="s">
        <v>5</v>
      </c>
      <c r="H39" t="s">
        <v>0</v>
      </c>
      <c r="I39" t="s">
        <v>1</v>
      </c>
      <c r="J39" t="s">
        <v>2</v>
      </c>
      <c r="K39" t="s">
        <v>12</v>
      </c>
    </row>
    <row r="40" spans="1:11">
      <c r="A40">
        <v>297.18</v>
      </c>
      <c r="B40">
        <v>0.5</v>
      </c>
      <c r="C40">
        <v>5.8999999999999997E-2</v>
      </c>
      <c r="D40">
        <f t="shared" ref="D40:D48" si="22">B40/(B40+C40)</f>
        <v>0.89445438282647594</v>
      </c>
      <c r="E40">
        <f>1-D40</f>
        <v>0.10554561717352406</v>
      </c>
      <c r="F40">
        <f t="shared" ref="F40:F41" si="23">(0.02-G40)/2</f>
        <v>8.9445438282647598E-3</v>
      </c>
      <c r="G40">
        <f>0.02*E40</f>
        <v>2.1109123434704812E-3</v>
      </c>
      <c r="H40">
        <f t="shared" ref="H40:H48" si="24">G40*G40/F40</f>
        <v>4.9817531305903302E-4</v>
      </c>
      <c r="I40">
        <f t="shared" ref="I40:I48" si="25">1/A40</f>
        <v>3.3649639948852548E-3</v>
      </c>
      <c r="J40">
        <f t="shared" ref="J40:J41" si="26">LN(H40)</f>
        <v>-7.6045585086340548</v>
      </c>
      <c r="K40">
        <f t="shared" ref="K40:K48" si="27">-8.314*A40*J40/4184</f>
        <v>4.4906781328422678</v>
      </c>
    </row>
    <row r="41" spans="1:11">
      <c r="A41">
        <v>301.68</v>
      </c>
      <c r="B41">
        <v>0.5</v>
      </c>
      <c r="C41">
        <v>7.2999999999999995E-2</v>
      </c>
      <c r="D41">
        <f t="shared" si="22"/>
        <v>0.87260034904013972</v>
      </c>
      <c r="E41">
        <f t="shared" ref="E41:E48" si="28">1-D41</f>
        <v>0.12739965095986028</v>
      </c>
      <c r="F41">
        <f t="shared" si="23"/>
        <v>8.7260034904013978E-3</v>
      </c>
      <c r="G41">
        <f t="shared" ref="G41:G48" si="29">0.02*E41</f>
        <v>2.5479930191972056E-3</v>
      </c>
      <c r="H41">
        <f t="shared" si="24"/>
        <v>7.4401396160558321E-4</v>
      </c>
      <c r="I41">
        <f t="shared" si="25"/>
        <v>3.3147706178732429E-3</v>
      </c>
      <c r="J41">
        <f t="shared" si="26"/>
        <v>-7.2034507577083513</v>
      </c>
      <c r="K41">
        <f t="shared" si="27"/>
        <v>4.3182268695993011</v>
      </c>
    </row>
    <row r="42" spans="1:11">
      <c r="A42">
        <v>306.18</v>
      </c>
      <c r="B42">
        <v>0.5</v>
      </c>
      <c r="C42">
        <v>9.4E-2</v>
      </c>
      <c r="D42">
        <f t="shared" si="22"/>
        <v>0.84175084175084181</v>
      </c>
      <c r="E42">
        <f t="shared" si="28"/>
        <v>0.15824915824915819</v>
      </c>
      <c r="F42">
        <f>(0.02-G42)/2</f>
        <v>8.4175084175084174E-3</v>
      </c>
      <c r="G42">
        <f t="shared" si="29"/>
        <v>3.164983164983164E-3</v>
      </c>
      <c r="H42">
        <f t="shared" si="24"/>
        <v>1.1900336700336692E-3</v>
      </c>
      <c r="I42">
        <f t="shared" si="25"/>
        <v>3.2660526487686982E-3</v>
      </c>
      <c r="J42">
        <f>LN(H42)</f>
        <v>-6.73377367811303</v>
      </c>
      <c r="K42">
        <f t="shared" si="27"/>
        <v>4.0968841063798473</v>
      </c>
    </row>
    <row r="43" spans="1:11">
      <c r="A43">
        <v>310.67</v>
      </c>
      <c r="B43">
        <v>0.5</v>
      </c>
      <c r="C43">
        <v>0.123</v>
      </c>
      <c r="D43">
        <f t="shared" si="22"/>
        <v>0.8025682182985554</v>
      </c>
      <c r="E43">
        <f t="shared" si="28"/>
        <v>0.1974317817014446</v>
      </c>
      <c r="F43">
        <f t="shared" ref="F43:F48" si="30">(0.02-G43)/2</f>
        <v>8.0256821829855548E-3</v>
      </c>
      <c r="G43">
        <f t="shared" si="29"/>
        <v>3.9486356340288917E-3</v>
      </c>
      <c r="H43">
        <f t="shared" si="24"/>
        <v>1.9427287319422142E-3</v>
      </c>
      <c r="I43">
        <f t="shared" si="25"/>
        <v>3.2188495831589788E-3</v>
      </c>
      <c r="J43">
        <f t="shared" ref="J43:J48" si="31">LN(H43)</f>
        <v>-6.2436617313330114</v>
      </c>
      <c r="K43">
        <f t="shared" si="27"/>
        <v>3.8544021737736158</v>
      </c>
    </row>
    <row r="44" spans="1:11">
      <c r="A44">
        <v>315.26</v>
      </c>
      <c r="B44">
        <v>0.5</v>
      </c>
      <c r="C44">
        <v>0.152</v>
      </c>
      <c r="D44">
        <f t="shared" si="22"/>
        <v>0.76687116564417179</v>
      </c>
      <c r="E44">
        <f t="shared" si="28"/>
        <v>0.23312883435582821</v>
      </c>
      <c r="F44">
        <f t="shared" si="30"/>
        <v>7.6687116564417186E-3</v>
      </c>
      <c r="G44">
        <f t="shared" si="29"/>
        <v>4.662576687116564E-3</v>
      </c>
      <c r="H44">
        <f t="shared" si="24"/>
        <v>2.8348466257668704E-3</v>
      </c>
      <c r="I44">
        <f t="shared" si="25"/>
        <v>3.1719850282306669E-3</v>
      </c>
      <c r="J44">
        <f t="shared" si="31"/>
        <v>-5.8657674435244926</v>
      </c>
      <c r="K44">
        <f t="shared" si="27"/>
        <v>3.6746168004439173</v>
      </c>
    </row>
    <row r="45" spans="1:11">
      <c r="A45">
        <v>319.85000000000002</v>
      </c>
      <c r="B45">
        <v>0.5</v>
      </c>
      <c r="C45">
        <v>0.19600000000000001</v>
      </c>
      <c r="D45">
        <f t="shared" si="22"/>
        <v>0.71839080459770122</v>
      </c>
      <c r="E45">
        <f t="shared" si="28"/>
        <v>0.28160919540229878</v>
      </c>
      <c r="F45">
        <f t="shared" si="30"/>
        <v>7.1839080459770123E-3</v>
      </c>
      <c r="G45">
        <f t="shared" si="29"/>
        <v>5.6321839080459759E-3</v>
      </c>
      <c r="H45">
        <f t="shared" si="24"/>
        <v>4.4156321839080434E-3</v>
      </c>
      <c r="I45">
        <f t="shared" si="25"/>
        <v>3.1264655307175235E-3</v>
      </c>
      <c r="J45">
        <f t="shared" si="31"/>
        <v>-5.4226042651637787</v>
      </c>
      <c r="K45">
        <f t="shared" si="27"/>
        <v>3.4464549869990071</v>
      </c>
    </row>
    <row r="46" spans="1:11">
      <c r="A46">
        <v>324.45</v>
      </c>
      <c r="B46">
        <v>0.5</v>
      </c>
      <c r="C46">
        <v>0.246</v>
      </c>
      <c r="D46">
        <f t="shared" si="22"/>
        <v>0.67024128686327078</v>
      </c>
      <c r="E46">
        <f t="shared" si="28"/>
        <v>0.32975871313672922</v>
      </c>
      <c r="F46">
        <f t="shared" si="30"/>
        <v>6.7024128686327079E-3</v>
      </c>
      <c r="G46">
        <f t="shared" si="29"/>
        <v>6.5951742627345846E-3</v>
      </c>
      <c r="H46">
        <f t="shared" si="24"/>
        <v>6.4896514745308312E-3</v>
      </c>
      <c r="I46">
        <f t="shared" si="25"/>
        <v>3.0821390044691015E-3</v>
      </c>
      <c r="J46">
        <f t="shared" si="31"/>
        <v>-5.0375464516294279</v>
      </c>
      <c r="K46">
        <f t="shared" si="27"/>
        <v>3.2477694074966372</v>
      </c>
    </row>
    <row r="47" spans="1:11">
      <c r="A47">
        <v>329.03</v>
      </c>
      <c r="B47">
        <v>0.5</v>
      </c>
      <c r="C47">
        <v>0.311</v>
      </c>
      <c r="D47">
        <f t="shared" si="22"/>
        <v>0.61652281134401976</v>
      </c>
      <c r="E47">
        <f t="shared" si="28"/>
        <v>0.38347718865598024</v>
      </c>
      <c r="F47">
        <f t="shared" si="30"/>
        <v>6.1652281134401982E-3</v>
      </c>
      <c r="G47">
        <f t="shared" si="29"/>
        <v>7.6695437731196048E-3</v>
      </c>
      <c r="H47">
        <f t="shared" si="24"/>
        <v>9.5409124537607862E-3</v>
      </c>
      <c r="I47">
        <f t="shared" si="25"/>
        <v>3.0392365437802026E-3</v>
      </c>
      <c r="J47">
        <f t="shared" si="31"/>
        <v>-4.6521661530473377</v>
      </c>
      <c r="K47">
        <f t="shared" si="27"/>
        <v>3.0416487415652949</v>
      </c>
    </row>
    <row r="48" spans="1:11">
      <c r="A48">
        <v>333.72</v>
      </c>
      <c r="B48">
        <v>0.5</v>
      </c>
      <c r="C48">
        <v>0.39400000000000002</v>
      </c>
      <c r="D48">
        <f t="shared" si="22"/>
        <v>0.5592841163310962</v>
      </c>
      <c r="E48">
        <f t="shared" si="28"/>
        <v>0.4407158836689038</v>
      </c>
      <c r="F48">
        <f t="shared" si="30"/>
        <v>5.5928411633109623E-3</v>
      </c>
      <c r="G48">
        <f t="shared" si="29"/>
        <v>8.8143176733780759E-3</v>
      </c>
      <c r="H48">
        <f t="shared" si="24"/>
        <v>1.3891364653243848E-2</v>
      </c>
      <c r="I48">
        <f t="shared" si="25"/>
        <v>2.9965240321227372E-3</v>
      </c>
      <c r="J48">
        <f t="shared" si="31"/>
        <v>-4.2764878798680392</v>
      </c>
      <c r="K48">
        <f t="shared" si="27"/>
        <v>2.8358798365753199</v>
      </c>
    </row>
    <row r="49" spans="1:6">
      <c r="A49" t="s">
        <v>6</v>
      </c>
      <c r="B49">
        <v>9122.7999999999993</v>
      </c>
    </row>
    <row r="50" spans="1:6">
      <c r="A50" t="s">
        <v>7</v>
      </c>
      <c r="B50" s="1">
        <v>23.077000000000002</v>
      </c>
    </row>
    <row r="51" spans="1:6">
      <c r="A51" t="s">
        <v>8</v>
      </c>
      <c r="B51">
        <f>B49*8.314/4.184/1000</f>
        <v>18.127858317399618</v>
      </c>
    </row>
    <row r="52" spans="1:6" ht="16.2">
      <c r="A52" t="s">
        <v>29</v>
      </c>
      <c r="B52">
        <f>B50*8.314/4.184</f>
        <v>45.856161089866163</v>
      </c>
    </row>
    <row r="56" spans="1:6">
      <c r="A56" t="s">
        <v>20</v>
      </c>
      <c r="B56">
        <v>1</v>
      </c>
      <c r="C56">
        <v>2</v>
      </c>
      <c r="D56">
        <v>3</v>
      </c>
      <c r="E56" t="s">
        <v>21</v>
      </c>
      <c r="F56" t="s">
        <v>22</v>
      </c>
    </row>
    <row r="57" spans="1:6">
      <c r="A57" t="s">
        <v>6</v>
      </c>
      <c r="B57">
        <v>8763.4</v>
      </c>
      <c r="C57">
        <v>9185.2999999999993</v>
      </c>
      <c r="D57">
        <v>9122.7999999999993</v>
      </c>
    </row>
    <row r="58" spans="1:6">
      <c r="A58" t="s">
        <v>7</v>
      </c>
      <c r="B58" s="1">
        <v>22.04</v>
      </c>
      <c r="C58" s="1">
        <v>23.280999999999999</v>
      </c>
      <c r="D58" s="1">
        <v>23.077000000000002</v>
      </c>
    </row>
    <row r="59" spans="1:6">
      <c r="A59" t="s">
        <v>8</v>
      </c>
      <c r="B59">
        <f>B57*8.314/4.184/1000</f>
        <v>17.413696845124278</v>
      </c>
      <c r="C59">
        <f>C57*8.314/4.184/1000</f>
        <v>18.25205167304015</v>
      </c>
      <c r="D59">
        <f>D57*8.314/4.184/1000</f>
        <v>18.127858317399618</v>
      </c>
      <c r="E59">
        <f xml:space="preserve"> AVERAGE(B59:D59)</f>
        <v>17.931202278521351</v>
      </c>
      <c r="F59">
        <f>_xlfn.STDEV.S(B59:D59)</f>
        <v>0.4524543099506636</v>
      </c>
    </row>
    <row r="60" spans="1:6" ht="16.2">
      <c r="A60" t="s">
        <v>29</v>
      </c>
      <c r="B60">
        <f>B58*8.314/4.184</f>
        <v>43.795544933078389</v>
      </c>
      <c r="C60">
        <f>C58*8.314/4.184</f>
        <v>46.261528202676864</v>
      </c>
      <c r="D60">
        <f>D58*8.314/4.184</f>
        <v>45.856161089866163</v>
      </c>
      <c r="E60">
        <f xml:space="preserve"> AVERAGE(B60:D60)</f>
        <v>45.304411408540467</v>
      </c>
      <c r="F60">
        <f>_xlfn.STDEV.S(B60:D60)</f>
        <v>1.3223422985812512</v>
      </c>
    </row>
    <row r="61" spans="1:6">
      <c r="A61" t="s">
        <v>19</v>
      </c>
      <c r="B61">
        <f>B59-298.15*B60/1000</f>
        <v>4.3560551233269571</v>
      </c>
      <c r="C61">
        <f>C59-298.15*C60/1000</f>
        <v>4.4591770394120438</v>
      </c>
      <c r="D61">
        <f>D59-298.15*D60/1000</f>
        <v>4.4558438884560214</v>
      </c>
      <c r="E61">
        <f xml:space="preserve"> AVERAGE(B61:D61)</f>
        <v>4.4236920170650071</v>
      </c>
      <c r="F61">
        <f>_xlfn.STDEV.S(B61:D61)</f>
        <v>5.8598972002272723E-2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500NMR Temp Cal</vt:lpstr>
      <vt:lpstr>2-Mes NMR</vt:lpstr>
      <vt:lpstr>2-Mes EPR</vt:lpstr>
      <vt:lpstr>2-Me NMR</vt:lpstr>
      <vt:lpstr>2-Et NMR</vt:lpstr>
      <vt:lpstr>2-iPr NMR</vt:lpstr>
      <vt:lpstr>2-Br NMR</vt:lpstr>
      <vt:lpstr>2-EtO NMR</vt:lpstr>
      <vt:lpstr>2-NEt2 NMR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Takebayashi</dc:creator>
  <cp:lastModifiedBy>Takebayashi Satoshi</cp:lastModifiedBy>
  <cp:lastPrinted>2019-08-28T07:34:10Z</cp:lastPrinted>
  <dcterms:created xsi:type="dcterms:W3CDTF">2019-08-19T02:23:37Z</dcterms:created>
  <dcterms:modified xsi:type="dcterms:W3CDTF">2022-04-27T00:38:13Z</dcterms:modified>
</cp:coreProperties>
</file>