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7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ffice365oist-my.sharepoint.com/personal/satoshi-takebayashi_oist_jp/Documents/Co nomomer-dimer paper/"/>
    </mc:Choice>
  </mc:AlternateContent>
  <xr:revisionPtr revIDLastSave="312" documentId="8_{8CBA3A44-D10E-4572-95F2-757A3E7E65B5}" xr6:coauthVersionLast="47" xr6:coauthVersionMax="47" xr10:uidLastSave="{2581890B-4AF9-4D86-AF71-2174F0493A3A}"/>
  <bookViews>
    <workbookView xWindow="-108" yWindow="-108" windowWidth="23256" windowHeight="12576" xr2:uid="{3157C806-2CAD-40E1-8629-BE714E881814}"/>
  </bookViews>
  <sheets>
    <sheet name="2-Mes" sheetId="5" r:id="rId1"/>
    <sheet name="2-Me" sheetId="6" r:id="rId2"/>
    <sheet name="2-Et" sheetId="7" r:id="rId3"/>
    <sheet name="2-iPr" sheetId="8" r:id="rId4"/>
    <sheet name="2-Br" sheetId="9" r:id="rId5"/>
    <sheet name="2-OEt" sheetId="10" r:id="rId6"/>
    <sheet name="2-NEt2" sheetId="11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4" i="5" l="1"/>
  <c r="E64" i="5"/>
  <c r="F64" i="6"/>
  <c r="E64" i="6"/>
  <c r="F65" i="7"/>
  <c r="E65" i="7"/>
  <c r="G63" i="11"/>
  <c r="F63" i="11"/>
  <c r="F63" i="10"/>
  <c r="E63" i="10"/>
  <c r="F59" i="9"/>
  <c r="E59" i="9"/>
  <c r="E64" i="8"/>
  <c r="F64" i="8"/>
  <c r="E62" i="11"/>
  <c r="D62" i="11"/>
  <c r="C62" i="11"/>
  <c r="E61" i="11"/>
  <c r="E63" i="11" s="1"/>
  <c r="D61" i="11"/>
  <c r="C61" i="11"/>
  <c r="B62" i="10"/>
  <c r="B61" i="10"/>
  <c r="D62" i="10"/>
  <c r="C62" i="10"/>
  <c r="D61" i="10"/>
  <c r="C61" i="10"/>
  <c r="D58" i="9"/>
  <c r="D57" i="9"/>
  <c r="C58" i="9"/>
  <c r="B58" i="9"/>
  <c r="C57" i="9"/>
  <c r="B57" i="9"/>
  <c r="B51" i="9"/>
  <c r="B50" i="9"/>
  <c r="B57" i="8"/>
  <c r="B56" i="8"/>
  <c r="D62" i="8"/>
  <c r="D63" i="8"/>
  <c r="C63" i="8"/>
  <c r="B63" i="8"/>
  <c r="C62" i="8"/>
  <c r="B62" i="8"/>
  <c r="D64" i="7"/>
  <c r="C64" i="7"/>
  <c r="B64" i="7"/>
  <c r="D63" i="7"/>
  <c r="C63" i="7"/>
  <c r="B63" i="7"/>
  <c r="B57" i="6"/>
  <c r="B56" i="6"/>
  <c r="D63" i="6"/>
  <c r="D62" i="6"/>
  <c r="C63" i="6"/>
  <c r="C62" i="6"/>
  <c r="B63" i="6"/>
  <c r="B62" i="6"/>
  <c r="C63" i="11" l="1"/>
  <c r="D63" i="11"/>
  <c r="B63" i="10"/>
  <c r="C63" i="10"/>
  <c r="D63" i="10"/>
  <c r="C65" i="7"/>
  <c r="B65" i="7"/>
  <c r="D65" i="7"/>
  <c r="C63" i="5"/>
  <c r="C62" i="5"/>
  <c r="D63" i="5"/>
  <c r="D62" i="5"/>
  <c r="B63" i="5"/>
  <c r="B62" i="5"/>
  <c r="B57" i="5"/>
  <c r="B56" i="5"/>
  <c r="C43" i="10"/>
  <c r="E43" i="10" s="1"/>
  <c r="C44" i="10"/>
  <c r="C45" i="10"/>
  <c r="E45" i="10" s="1"/>
  <c r="C46" i="10"/>
  <c r="E46" i="10" s="1"/>
  <c r="C47" i="10"/>
  <c r="E47" i="10" s="1"/>
  <c r="C48" i="10"/>
  <c r="C49" i="10"/>
  <c r="E49" i="10" s="1"/>
  <c r="C50" i="10"/>
  <c r="E50" i="10" s="1"/>
  <c r="C51" i="10"/>
  <c r="E51" i="10" s="1"/>
  <c r="C52" i="10"/>
  <c r="E52" i="10" s="1"/>
  <c r="C42" i="10"/>
  <c r="E42" i="10" s="1"/>
  <c r="C44" i="11"/>
  <c r="C45" i="11"/>
  <c r="C46" i="11"/>
  <c r="E46" i="11" s="1"/>
  <c r="C47" i="11"/>
  <c r="E47" i="11" s="1"/>
  <c r="C48" i="11"/>
  <c r="E48" i="11" s="1"/>
  <c r="C49" i="11"/>
  <c r="C50" i="11"/>
  <c r="C51" i="11"/>
  <c r="E51" i="11" s="1"/>
  <c r="C52" i="11"/>
  <c r="E52" i="11" s="1"/>
  <c r="C43" i="11"/>
  <c r="E43" i="11" s="1"/>
  <c r="C56" i="11"/>
  <c r="C55" i="11"/>
  <c r="F52" i="11"/>
  <c r="D52" i="11"/>
  <c r="F51" i="11"/>
  <c r="D51" i="11"/>
  <c r="F50" i="11"/>
  <c r="D50" i="11"/>
  <c r="E50" i="11"/>
  <c r="F49" i="11"/>
  <c r="D49" i="11"/>
  <c r="E49" i="11"/>
  <c r="F48" i="11"/>
  <c r="D48" i="11"/>
  <c r="F47" i="11"/>
  <c r="D47" i="11"/>
  <c r="F46" i="11"/>
  <c r="D46" i="11"/>
  <c r="F45" i="11"/>
  <c r="D45" i="11"/>
  <c r="E45" i="11"/>
  <c r="F44" i="11"/>
  <c r="D44" i="11"/>
  <c r="E44" i="11"/>
  <c r="F43" i="11"/>
  <c r="D43" i="11"/>
  <c r="C25" i="11"/>
  <c r="E25" i="11" s="1"/>
  <c r="C26" i="11"/>
  <c r="E26" i="11" s="1"/>
  <c r="C27" i="11"/>
  <c r="E27" i="11" s="1"/>
  <c r="C28" i="11"/>
  <c r="E28" i="11" s="1"/>
  <c r="C29" i="11"/>
  <c r="E29" i="11" s="1"/>
  <c r="C30" i="11"/>
  <c r="E30" i="11" s="1"/>
  <c r="C31" i="11"/>
  <c r="E31" i="11" s="1"/>
  <c r="C32" i="11"/>
  <c r="E32" i="11" s="1"/>
  <c r="C33" i="11"/>
  <c r="E33" i="11" s="1"/>
  <c r="C24" i="11"/>
  <c r="E24" i="11" s="1"/>
  <c r="C37" i="11"/>
  <c r="C36" i="11"/>
  <c r="F33" i="11"/>
  <c r="D33" i="11"/>
  <c r="F32" i="11"/>
  <c r="D32" i="11"/>
  <c r="F31" i="11"/>
  <c r="D31" i="11"/>
  <c r="F30" i="11"/>
  <c r="D30" i="11"/>
  <c r="F29" i="11"/>
  <c r="D29" i="11"/>
  <c r="F28" i="11"/>
  <c r="D28" i="11"/>
  <c r="F27" i="11"/>
  <c r="D27" i="11"/>
  <c r="F26" i="11"/>
  <c r="D26" i="11"/>
  <c r="F25" i="11"/>
  <c r="D25" i="11"/>
  <c r="F24" i="11"/>
  <c r="D24" i="11"/>
  <c r="D51" i="10"/>
  <c r="F51" i="10"/>
  <c r="E48" i="10"/>
  <c r="C56" i="10"/>
  <c r="C55" i="10"/>
  <c r="F52" i="10"/>
  <c r="D52" i="10"/>
  <c r="F50" i="10"/>
  <c r="D50" i="10"/>
  <c r="F49" i="10"/>
  <c r="D49" i="10"/>
  <c r="F48" i="10"/>
  <c r="D48" i="10"/>
  <c r="F47" i="10"/>
  <c r="D47" i="10"/>
  <c r="F46" i="10"/>
  <c r="D46" i="10"/>
  <c r="F45" i="10"/>
  <c r="D45" i="10"/>
  <c r="F44" i="10"/>
  <c r="D44" i="10"/>
  <c r="E44" i="10"/>
  <c r="F43" i="10"/>
  <c r="D43" i="10"/>
  <c r="F42" i="10"/>
  <c r="D42" i="10"/>
  <c r="C23" i="10"/>
  <c r="E23" i="10" s="1"/>
  <c r="C24" i="10"/>
  <c r="E24" i="10" s="1"/>
  <c r="C25" i="10"/>
  <c r="E25" i="10" s="1"/>
  <c r="C26" i="10"/>
  <c r="E26" i="10" s="1"/>
  <c r="C27" i="10"/>
  <c r="E27" i="10" s="1"/>
  <c r="C28" i="10"/>
  <c r="E28" i="10" s="1"/>
  <c r="C29" i="10"/>
  <c r="E29" i="10" s="1"/>
  <c r="C30" i="10"/>
  <c r="E30" i="10" s="1"/>
  <c r="C31" i="10"/>
  <c r="E31" i="10" s="1"/>
  <c r="C32" i="10"/>
  <c r="E32" i="10" s="1"/>
  <c r="C22" i="10"/>
  <c r="E22" i="10" s="1"/>
  <c r="C36" i="10"/>
  <c r="C35" i="10"/>
  <c r="F32" i="10"/>
  <c r="D32" i="10"/>
  <c r="F31" i="10"/>
  <c r="D31" i="10"/>
  <c r="F30" i="10"/>
  <c r="D30" i="10"/>
  <c r="F29" i="10"/>
  <c r="D29" i="10"/>
  <c r="F28" i="10"/>
  <c r="D28" i="10"/>
  <c r="F27" i="10"/>
  <c r="D27" i="10"/>
  <c r="F26" i="10"/>
  <c r="D26" i="10"/>
  <c r="F25" i="10"/>
  <c r="D25" i="10"/>
  <c r="F24" i="10"/>
  <c r="D24" i="10"/>
  <c r="F23" i="10"/>
  <c r="D23" i="10"/>
  <c r="F22" i="10"/>
  <c r="D22" i="10"/>
  <c r="C45" i="7"/>
  <c r="E45" i="7" s="1"/>
  <c r="C46" i="7"/>
  <c r="E46" i="7" s="1"/>
  <c r="C47" i="7"/>
  <c r="E47" i="7" s="1"/>
  <c r="C48" i="7"/>
  <c r="E48" i="7" s="1"/>
  <c r="C49" i="7"/>
  <c r="C50" i="7"/>
  <c r="E50" i="7" s="1"/>
  <c r="C51" i="7"/>
  <c r="E51" i="7" s="1"/>
  <c r="C52" i="7"/>
  <c r="E52" i="7" s="1"/>
  <c r="C53" i="7"/>
  <c r="C54" i="7"/>
  <c r="E54" i="7" s="1"/>
  <c r="C44" i="7"/>
  <c r="E44" i="7" s="1"/>
  <c r="B58" i="7"/>
  <c r="B57" i="7"/>
  <c r="F54" i="7"/>
  <c r="D54" i="7"/>
  <c r="F53" i="7"/>
  <c r="D53" i="7"/>
  <c r="E53" i="7"/>
  <c r="F52" i="7"/>
  <c r="D52" i="7"/>
  <c r="F51" i="7"/>
  <c r="D51" i="7"/>
  <c r="F50" i="7"/>
  <c r="D50" i="7"/>
  <c r="F49" i="7"/>
  <c r="D49" i="7"/>
  <c r="E49" i="7"/>
  <c r="F48" i="7"/>
  <c r="D48" i="7"/>
  <c r="F47" i="7"/>
  <c r="D47" i="7"/>
  <c r="F46" i="7"/>
  <c r="D46" i="7"/>
  <c r="F45" i="7"/>
  <c r="D45" i="7"/>
  <c r="F44" i="7"/>
  <c r="D44" i="7"/>
  <c r="C25" i="7"/>
  <c r="E25" i="7" s="1"/>
  <c r="C26" i="7"/>
  <c r="E26" i="7" s="1"/>
  <c r="C27" i="7"/>
  <c r="E27" i="7" s="1"/>
  <c r="C28" i="7"/>
  <c r="E28" i="7" s="1"/>
  <c r="C29" i="7"/>
  <c r="E29" i="7" s="1"/>
  <c r="C30" i="7"/>
  <c r="E30" i="7" s="1"/>
  <c r="C31" i="7"/>
  <c r="E31" i="7" s="1"/>
  <c r="C32" i="7"/>
  <c r="E32" i="7" s="1"/>
  <c r="C33" i="7"/>
  <c r="E33" i="7" s="1"/>
  <c r="C34" i="7"/>
  <c r="E34" i="7" s="1"/>
  <c r="C24" i="7"/>
  <c r="E24" i="7" s="1"/>
  <c r="B38" i="7"/>
  <c r="B37" i="7"/>
  <c r="F34" i="7"/>
  <c r="D34" i="7"/>
  <c r="F33" i="7"/>
  <c r="D33" i="7"/>
  <c r="F32" i="7"/>
  <c r="D32" i="7"/>
  <c r="F31" i="7"/>
  <c r="D31" i="7"/>
  <c r="F30" i="7"/>
  <c r="D30" i="7"/>
  <c r="F29" i="7"/>
  <c r="D29" i="7"/>
  <c r="F28" i="7"/>
  <c r="D28" i="7"/>
  <c r="F27" i="7"/>
  <c r="D27" i="7"/>
  <c r="F26" i="7"/>
  <c r="D26" i="7"/>
  <c r="F25" i="7"/>
  <c r="D25" i="7"/>
  <c r="F24" i="7"/>
  <c r="D24" i="7"/>
  <c r="D59" i="9"/>
  <c r="B59" i="9"/>
  <c r="B35" i="9"/>
  <c r="B34" i="9"/>
  <c r="C40" i="9"/>
  <c r="E40" i="9" s="1"/>
  <c r="C41" i="9"/>
  <c r="E41" i="9" s="1"/>
  <c r="C42" i="9"/>
  <c r="E42" i="9" s="1"/>
  <c r="C43" i="9"/>
  <c r="E43" i="9" s="1"/>
  <c r="C44" i="9"/>
  <c r="C45" i="9"/>
  <c r="E45" i="9" s="1"/>
  <c r="C46" i="9"/>
  <c r="E46" i="9" s="1"/>
  <c r="C47" i="9"/>
  <c r="E47" i="9" s="1"/>
  <c r="C39" i="9"/>
  <c r="E39" i="9" s="1"/>
  <c r="F47" i="9"/>
  <c r="D47" i="9"/>
  <c r="F46" i="9"/>
  <c r="D46" i="9"/>
  <c r="F45" i="9"/>
  <c r="D45" i="9"/>
  <c r="F44" i="9"/>
  <c r="D44" i="9"/>
  <c r="E44" i="9"/>
  <c r="F43" i="9"/>
  <c r="D43" i="9"/>
  <c r="F42" i="9"/>
  <c r="D42" i="9"/>
  <c r="F41" i="9"/>
  <c r="D41" i="9"/>
  <c r="F40" i="9"/>
  <c r="D40" i="9"/>
  <c r="F39" i="9"/>
  <c r="D39" i="9"/>
  <c r="C24" i="9"/>
  <c r="C25" i="9"/>
  <c r="E25" i="9" s="1"/>
  <c r="C26" i="9"/>
  <c r="E26" i="9" s="1"/>
  <c r="C27" i="9"/>
  <c r="C28" i="9"/>
  <c r="C29" i="9"/>
  <c r="E29" i="9" s="1"/>
  <c r="C31" i="9"/>
  <c r="E31" i="9" s="1"/>
  <c r="C23" i="9"/>
  <c r="E23" i="9" s="1"/>
  <c r="F31" i="9"/>
  <c r="D31" i="9"/>
  <c r="F29" i="9"/>
  <c r="D29" i="9"/>
  <c r="F28" i="9"/>
  <c r="D28" i="9"/>
  <c r="E28" i="9"/>
  <c r="F27" i="9"/>
  <c r="D27" i="9"/>
  <c r="E27" i="9"/>
  <c r="F26" i="9"/>
  <c r="D26" i="9"/>
  <c r="F25" i="9"/>
  <c r="D25" i="9"/>
  <c r="F24" i="9"/>
  <c r="D24" i="9"/>
  <c r="E24" i="9"/>
  <c r="F23" i="9"/>
  <c r="D23" i="9"/>
  <c r="C59" i="9" l="1"/>
  <c r="D64" i="5"/>
  <c r="C64" i="5"/>
  <c r="D64" i="6"/>
  <c r="C64" i="6"/>
  <c r="C64" i="8"/>
  <c r="D64" i="8"/>
  <c r="B64" i="8"/>
  <c r="F3" i="6"/>
  <c r="F44" i="8"/>
  <c r="F45" i="8"/>
  <c r="F46" i="8"/>
  <c r="F47" i="8"/>
  <c r="F48" i="8"/>
  <c r="F49" i="8"/>
  <c r="F50" i="8"/>
  <c r="F51" i="8"/>
  <c r="F52" i="8"/>
  <c r="F53" i="8"/>
  <c r="F43" i="8"/>
  <c r="F4" i="10"/>
  <c r="F5" i="10"/>
  <c r="F6" i="10"/>
  <c r="F7" i="10"/>
  <c r="F8" i="10"/>
  <c r="F9" i="10"/>
  <c r="F10" i="10"/>
  <c r="F11" i="10"/>
  <c r="F12" i="10"/>
  <c r="F13" i="10"/>
  <c r="F3" i="10"/>
  <c r="F44" i="5"/>
  <c r="F45" i="5"/>
  <c r="F46" i="5"/>
  <c r="F47" i="5"/>
  <c r="F48" i="5"/>
  <c r="F49" i="5"/>
  <c r="F50" i="5"/>
  <c r="F51" i="5"/>
  <c r="F52" i="5"/>
  <c r="F53" i="5"/>
  <c r="F43" i="5"/>
  <c r="C46" i="5"/>
  <c r="E46" i="5" s="1"/>
  <c r="C44" i="5"/>
  <c r="C45" i="5"/>
  <c r="C47" i="5"/>
  <c r="E47" i="5" s="1"/>
  <c r="C48" i="5"/>
  <c r="E48" i="5" s="1"/>
  <c r="C49" i="5"/>
  <c r="C50" i="5"/>
  <c r="E50" i="5" s="1"/>
  <c r="C51" i="5"/>
  <c r="E51" i="5" s="1"/>
  <c r="C52" i="5"/>
  <c r="E52" i="5" s="1"/>
  <c r="C53" i="5"/>
  <c r="C43" i="5"/>
  <c r="E43" i="5" s="1"/>
  <c r="B64" i="5"/>
  <c r="E53" i="5"/>
  <c r="D53" i="5"/>
  <c r="D52" i="5"/>
  <c r="D51" i="5"/>
  <c r="D50" i="5"/>
  <c r="E49" i="5"/>
  <c r="D49" i="5"/>
  <c r="D48" i="5"/>
  <c r="D47" i="5"/>
  <c r="D46" i="5"/>
  <c r="E45" i="5"/>
  <c r="D45" i="5"/>
  <c r="E44" i="5"/>
  <c r="D44" i="5"/>
  <c r="D43" i="5"/>
  <c r="F25" i="5"/>
  <c r="F26" i="5"/>
  <c r="F27" i="5"/>
  <c r="F28" i="5"/>
  <c r="F29" i="5"/>
  <c r="F30" i="5"/>
  <c r="F31" i="5"/>
  <c r="F32" i="5"/>
  <c r="F33" i="5"/>
  <c r="F34" i="5"/>
  <c r="F24" i="5"/>
  <c r="B38" i="5"/>
  <c r="B37" i="5"/>
  <c r="C25" i="5"/>
  <c r="E25" i="5" s="1"/>
  <c r="C26" i="5"/>
  <c r="E26" i="5" s="1"/>
  <c r="C27" i="5"/>
  <c r="E27" i="5" s="1"/>
  <c r="C28" i="5"/>
  <c r="C29" i="5"/>
  <c r="E29" i="5" s="1"/>
  <c r="C30" i="5"/>
  <c r="E30" i="5" s="1"/>
  <c r="C31" i="5"/>
  <c r="E31" i="5" s="1"/>
  <c r="C32" i="5"/>
  <c r="E32" i="5" s="1"/>
  <c r="C33" i="5"/>
  <c r="E33" i="5" s="1"/>
  <c r="C34" i="5"/>
  <c r="E34" i="5" s="1"/>
  <c r="C24" i="5"/>
  <c r="E24" i="5" s="1"/>
  <c r="E28" i="5"/>
  <c r="F24" i="6"/>
  <c r="F25" i="6"/>
  <c r="F26" i="6"/>
  <c r="F27" i="6"/>
  <c r="F28" i="6"/>
  <c r="F29" i="6"/>
  <c r="F30" i="6"/>
  <c r="F31" i="6"/>
  <c r="F23" i="6"/>
  <c r="D34" i="5"/>
  <c r="D33" i="5"/>
  <c r="D32" i="5"/>
  <c r="D31" i="5"/>
  <c r="D30" i="5"/>
  <c r="D29" i="5"/>
  <c r="D28" i="5"/>
  <c r="D27" i="5"/>
  <c r="D26" i="5"/>
  <c r="D25" i="5"/>
  <c r="D24" i="5"/>
  <c r="C45" i="6"/>
  <c r="E45" i="6" s="1"/>
  <c r="C46" i="6"/>
  <c r="E46" i="6" s="1"/>
  <c r="C47" i="6"/>
  <c r="C48" i="6"/>
  <c r="E48" i="6" s="1"/>
  <c r="C49" i="6"/>
  <c r="E49" i="6" s="1"/>
  <c r="C50" i="6"/>
  <c r="C51" i="6"/>
  <c r="E51" i="6" s="1"/>
  <c r="C44" i="6"/>
  <c r="E44" i="6" s="1"/>
  <c r="B64" i="6"/>
  <c r="F53" i="6"/>
  <c r="D53" i="6"/>
  <c r="C53" i="6"/>
  <c r="E53" i="6" s="1"/>
  <c r="F52" i="6"/>
  <c r="D52" i="6"/>
  <c r="C52" i="6"/>
  <c r="E52" i="6" s="1"/>
  <c r="F51" i="6"/>
  <c r="D51" i="6"/>
  <c r="F50" i="6"/>
  <c r="E50" i="6"/>
  <c r="D50" i="6"/>
  <c r="F49" i="6"/>
  <c r="D49" i="6"/>
  <c r="F48" i="6"/>
  <c r="D48" i="6"/>
  <c r="F47" i="6"/>
  <c r="E47" i="6"/>
  <c r="D47" i="6"/>
  <c r="F46" i="6"/>
  <c r="D46" i="6"/>
  <c r="F45" i="6"/>
  <c r="D45" i="6"/>
  <c r="F44" i="6"/>
  <c r="D44" i="6"/>
  <c r="F43" i="6"/>
  <c r="E43" i="6"/>
  <c r="D43" i="6"/>
  <c r="C43" i="6"/>
  <c r="C24" i="6"/>
  <c r="C25" i="6"/>
  <c r="E25" i="6" s="1"/>
  <c r="C26" i="6"/>
  <c r="E26" i="6" s="1"/>
  <c r="C27" i="6"/>
  <c r="E27" i="6" s="1"/>
  <c r="C28" i="6"/>
  <c r="E28" i="6" s="1"/>
  <c r="C29" i="6"/>
  <c r="E29" i="6" s="1"/>
  <c r="C30" i="6"/>
  <c r="E30" i="6" s="1"/>
  <c r="C31" i="6"/>
  <c r="E31" i="6" s="1"/>
  <c r="C32" i="6"/>
  <c r="E32" i="6" s="1"/>
  <c r="C33" i="6"/>
  <c r="E33" i="6" s="1"/>
  <c r="C23" i="6"/>
  <c r="E23" i="6" s="1"/>
  <c r="B37" i="6"/>
  <c r="B36" i="6"/>
  <c r="F33" i="6"/>
  <c r="D33" i="6"/>
  <c r="F32" i="6"/>
  <c r="D32" i="6"/>
  <c r="D31" i="6"/>
  <c r="D30" i="6"/>
  <c r="D29" i="6"/>
  <c r="D28" i="6"/>
  <c r="D27" i="6"/>
  <c r="D26" i="6"/>
  <c r="D25" i="6"/>
  <c r="E24" i="6"/>
  <c r="D24" i="6"/>
  <c r="D23" i="6"/>
  <c r="C44" i="8"/>
  <c r="C45" i="8"/>
  <c r="E45" i="8" s="1"/>
  <c r="C46" i="8"/>
  <c r="C47" i="8"/>
  <c r="E47" i="8" s="1"/>
  <c r="C48" i="8"/>
  <c r="C49" i="8"/>
  <c r="E49" i="8" s="1"/>
  <c r="C50" i="8"/>
  <c r="C51" i="8"/>
  <c r="E51" i="8" s="1"/>
  <c r="C52" i="8"/>
  <c r="C53" i="8"/>
  <c r="E53" i="8" s="1"/>
  <c r="C43" i="8"/>
  <c r="E43" i="8" s="1"/>
  <c r="D53" i="8"/>
  <c r="D52" i="8"/>
  <c r="E52" i="8"/>
  <c r="D51" i="8"/>
  <c r="E50" i="8"/>
  <c r="D50" i="8"/>
  <c r="D49" i="8"/>
  <c r="D48" i="8"/>
  <c r="E48" i="8"/>
  <c r="D47" i="8"/>
  <c r="D46" i="8"/>
  <c r="E46" i="8"/>
  <c r="D45" i="8"/>
  <c r="E44" i="8"/>
  <c r="D44" i="8"/>
  <c r="D43" i="8"/>
  <c r="F4" i="11"/>
  <c r="F5" i="11"/>
  <c r="F6" i="11"/>
  <c r="F7" i="11"/>
  <c r="F8" i="11"/>
  <c r="F9" i="11"/>
  <c r="F10" i="11"/>
  <c r="F11" i="11"/>
  <c r="F12" i="11"/>
  <c r="F13" i="11"/>
  <c r="F3" i="11"/>
  <c r="F4" i="9"/>
  <c r="F5" i="9"/>
  <c r="F6" i="9"/>
  <c r="F7" i="9"/>
  <c r="F8" i="9"/>
  <c r="F9" i="9"/>
  <c r="F10" i="9"/>
  <c r="F11" i="9"/>
  <c r="F3" i="9"/>
  <c r="F4" i="5"/>
  <c r="F5" i="5"/>
  <c r="F6" i="5"/>
  <c r="F7" i="5"/>
  <c r="F8" i="5"/>
  <c r="F9" i="5"/>
  <c r="F10" i="5"/>
  <c r="F11" i="5"/>
  <c r="F12" i="5"/>
  <c r="F13" i="5"/>
  <c r="F3" i="5"/>
  <c r="F4" i="6"/>
  <c r="F5" i="6"/>
  <c r="F6" i="6"/>
  <c r="F7" i="6"/>
  <c r="F8" i="6"/>
  <c r="F9" i="6"/>
  <c r="F10" i="6"/>
  <c r="F11" i="6"/>
  <c r="F12" i="6"/>
  <c r="F13" i="6"/>
  <c r="F4" i="7"/>
  <c r="F5" i="7"/>
  <c r="F6" i="7"/>
  <c r="F7" i="7"/>
  <c r="F8" i="7"/>
  <c r="F9" i="7"/>
  <c r="F10" i="7"/>
  <c r="F11" i="7"/>
  <c r="F12" i="7"/>
  <c r="F13" i="7"/>
  <c r="F3" i="7"/>
  <c r="F24" i="8"/>
  <c r="F25" i="8"/>
  <c r="F26" i="8"/>
  <c r="F27" i="8"/>
  <c r="F28" i="8"/>
  <c r="F29" i="8"/>
  <c r="F30" i="8"/>
  <c r="F31" i="8"/>
  <c r="F32" i="8"/>
  <c r="F33" i="8"/>
  <c r="F23" i="8"/>
  <c r="C28" i="8"/>
  <c r="C29" i="8"/>
  <c r="E29" i="8" s="1"/>
  <c r="C30" i="8"/>
  <c r="E30" i="8" s="1"/>
  <c r="C31" i="8"/>
  <c r="E31" i="8" s="1"/>
  <c r="C32" i="8"/>
  <c r="E32" i="8" s="1"/>
  <c r="C33" i="8"/>
  <c r="E33" i="8" s="1"/>
  <c r="C24" i="8"/>
  <c r="C25" i="8"/>
  <c r="C26" i="8"/>
  <c r="E26" i="8" s="1"/>
  <c r="C27" i="8"/>
  <c r="C23" i="8"/>
  <c r="E23" i="8" s="1"/>
  <c r="B37" i="8"/>
  <c r="B36" i="8"/>
  <c r="D33" i="8"/>
  <c r="D32" i="8"/>
  <c r="D31" i="8"/>
  <c r="D30" i="8"/>
  <c r="D29" i="8"/>
  <c r="D28" i="8"/>
  <c r="E28" i="8"/>
  <c r="D27" i="8"/>
  <c r="E27" i="8"/>
  <c r="D26" i="8"/>
  <c r="D25" i="8"/>
  <c r="E25" i="8"/>
  <c r="D24" i="8"/>
  <c r="E24" i="8"/>
  <c r="D23" i="8"/>
  <c r="C4" i="6"/>
  <c r="E4" i="6" s="1"/>
  <c r="C5" i="6"/>
  <c r="E5" i="6" s="1"/>
  <c r="C6" i="6"/>
  <c r="E6" i="6" s="1"/>
  <c r="C7" i="6"/>
  <c r="C8" i="6"/>
  <c r="E8" i="6" s="1"/>
  <c r="C9" i="6"/>
  <c r="C10" i="6"/>
  <c r="E10" i="6" s="1"/>
  <c r="C11" i="6"/>
  <c r="E11" i="6" s="1"/>
  <c r="C12" i="6"/>
  <c r="E12" i="6" s="1"/>
  <c r="C13" i="6"/>
  <c r="E13" i="6" s="1"/>
  <c r="C3" i="6"/>
  <c r="E3" i="6" s="1"/>
  <c r="E7" i="6"/>
  <c r="C4" i="9"/>
  <c r="E4" i="9" s="1"/>
  <c r="C5" i="9"/>
  <c r="E5" i="9" s="1"/>
  <c r="C6" i="9"/>
  <c r="E6" i="9" s="1"/>
  <c r="C7" i="9"/>
  <c r="E7" i="9" s="1"/>
  <c r="C8" i="9"/>
  <c r="E8" i="9" s="1"/>
  <c r="C9" i="9"/>
  <c r="E9" i="9" s="1"/>
  <c r="C10" i="9"/>
  <c r="E10" i="9" s="1"/>
  <c r="C11" i="9"/>
  <c r="E11" i="9" s="1"/>
  <c r="C3" i="9"/>
  <c r="C4" i="11"/>
  <c r="E4" i="11" s="1"/>
  <c r="C5" i="11"/>
  <c r="E5" i="11" s="1"/>
  <c r="C6" i="11"/>
  <c r="C7" i="11"/>
  <c r="E7" i="11" s="1"/>
  <c r="C8" i="11"/>
  <c r="E8" i="11" s="1"/>
  <c r="C9" i="11"/>
  <c r="E9" i="11" s="1"/>
  <c r="C10" i="11"/>
  <c r="C11" i="11"/>
  <c r="E11" i="11" s="1"/>
  <c r="C12" i="11"/>
  <c r="C13" i="11"/>
  <c r="C3" i="11"/>
  <c r="E3" i="11" s="1"/>
  <c r="C17" i="11"/>
  <c r="C16" i="11"/>
  <c r="E13" i="11"/>
  <c r="D13" i="11"/>
  <c r="D12" i="11"/>
  <c r="E12" i="11"/>
  <c r="D11" i="11"/>
  <c r="E10" i="11"/>
  <c r="D10" i="11"/>
  <c r="D9" i="11"/>
  <c r="D8" i="11"/>
  <c r="D7" i="11"/>
  <c r="D6" i="11"/>
  <c r="E6" i="11"/>
  <c r="D5" i="11"/>
  <c r="D4" i="11"/>
  <c r="D3" i="11"/>
  <c r="C6" i="10"/>
  <c r="E6" i="10" s="1"/>
  <c r="C4" i="10"/>
  <c r="E4" i="10" s="1"/>
  <c r="C5" i="10"/>
  <c r="E5" i="10" s="1"/>
  <c r="C7" i="10"/>
  <c r="E7" i="10" s="1"/>
  <c r="C8" i="10"/>
  <c r="E8" i="10" s="1"/>
  <c r="C9" i="10"/>
  <c r="E9" i="10" s="1"/>
  <c r="C10" i="10"/>
  <c r="C11" i="10"/>
  <c r="E11" i="10" s="1"/>
  <c r="C12" i="10"/>
  <c r="E12" i="10" s="1"/>
  <c r="C13" i="10"/>
  <c r="E13" i="10" s="1"/>
  <c r="C3" i="10"/>
  <c r="E3" i="10" s="1"/>
  <c r="C17" i="10"/>
  <c r="C16" i="10"/>
  <c r="D13" i="10"/>
  <c r="D12" i="10"/>
  <c r="D11" i="10"/>
  <c r="D10" i="10"/>
  <c r="E10" i="10"/>
  <c r="D9" i="10"/>
  <c r="D8" i="10"/>
  <c r="D7" i="10"/>
  <c r="D6" i="10"/>
  <c r="D5" i="10"/>
  <c r="D4" i="10"/>
  <c r="D3" i="10"/>
  <c r="E3" i="9"/>
  <c r="B15" i="9"/>
  <c r="B14" i="9"/>
  <c r="D11" i="9"/>
  <c r="D10" i="9"/>
  <c r="D9" i="9"/>
  <c r="D8" i="9"/>
  <c r="D7" i="9"/>
  <c r="D6" i="9"/>
  <c r="D5" i="9"/>
  <c r="D4" i="9"/>
  <c r="D3" i="9"/>
  <c r="C4" i="8"/>
  <c r="E4" i="8" s="1"/>
  <c r="C5" i="8"/>
  <c r="E5" i="8" s="1"/>
  <c r="C6" i="8"/>
  <c r="C7" i="8"/>
  <c r="E7" i="8" s="1"/>
  <c r="C8" i="8"/>
  <c r="E8" i="8" s="1"/>
  <c r="C9" i="8"/>
  <c r="C10" i="8"/>
  <c r="C11" i="8"/>
  <c r="C12" i="8"/>
  <c r="E12" i="8" s="1"/>
  <c r="C13" i="8"/>
  <c r="E13" i="8" s="1"/>
  <c r="C3" i="8"/>
  <c r="B17" i="8"/>
  <c r="B16" i="8"/>
  <c r="F13" i="8"/>
  <c r="D13" i="8"/>
  <c r="F12" i="8"/>
  <c r="D12" i="8"/>
  <c r="F11" i="8"/>
  <c r="E11" i="8"/>
  <c r="D11" i="8"/>
  <c r="F10" i="8"/>
  <c r="E10" i="8"/>
  <c r="D10" i="8"/>
  <c r="F9" i="8"/>
  <c r="E9" i="8"/>
  <c r="D9" i="8"/>
  <c r="F8" i="8"/>
  <c r="D8" i="8"/>
  <c r="F7" i="8"/>
  <c r="D7" i="8"/>
  <c r="F6" i="8"/>
  <c r="E6" i="8"/>
  <c r="D6" i="8"/>
  <c r="F5" i="8"/>
  <c r="D5" i="8"/>
  <c r="F4" i="8"/>
  <c r="D4" i="8"/>
  <c r="F3" i="8"/>
  <c r="E3" i="8"/>
  <c r="D3" i="8"/>
  <c r="C4" i="7"/>
  <c r="E4" i="7" s="1"/>
  <c r="C5" i="7"/>
  <c r="E5" i="7" s="1"/>
  <c r="C6" i="7"/>
  <c r="C7" i="7"/>
  <c r="C8" i="7"/>
  <c r="E8" i="7" s="1"/>
  <c r="C9" i="7"/>
  <c r="E9" i="7" s="1"/>
  <c r="C10" i="7"/>
  <c r="E10" i="7" s="1"/>
  <c r="C11" i="7"/>
  <c r="E11" i="7" s="1"/>
  <c r="C12" i="7"/>
  <c r="E12" i="7" s="1"/>
  <c r="C13" i="7"/>
  <c r="E13" i="7" s="1"/>
  <c r="C3" i="7"/>
  <c r="E3" i="7" s="1"/>
  <c r="E7" i="7"/>
  <c r="B17" i="7"/>
  <c r="B16" i="7"/>
  <c r="D13" i="7"/>
  <c r="D12" i="7"/>
  <c r="D11" i="7"/>
  <c r="D10" i="7"/>
  <c r="D9" i="7"/>
  <c r="D8" i="7"/>
  <c r="D7" i="7"/>
  <c r="D6" i="7"/>
  <c r="E6" i="7"/>
  <c r="D5" i="7"/>
  <c r="D4" i="7"/>
  <c r="D3" i="7"/>
  <c r="B17" i="6"/>
  <c r="B16" i="6"/>
  <c r="D13" i="6"/>
  <c r="D12" i="6"/>
  <c r="D11" i="6"/>
  <c r="D10" i="6"/>
  <c r="D9" i="6"/>
  <c r="E9" i="6"/>
  <c r="D8" i="6"/>
  <c r="D7" i="6"/>
  <c r="D6" i="6"/>
  <c r="D5" i="6"/>
  <c r="D4" i="6"/>
  <c r="D3" i="6"/>
  <c r="C4" i="5"/>
  <c r="E4" i="5" s="1"/>
  <c r="C5" i="5"/>
  <c r="C6" i="5"/>
  <c r="C7" i="5"/>
  <c r="E7" i="5" s="1"/>
  <c r="C8" i="5"/>
  <c r="E8" i="5" s="1"/>
  <c r="C9" i="5"/>
  <c r="E9" i="5" s="1"/>
  <c r="C10" i="5"/>
  <c r="E10" i="5" s="1"/>
  <c r="C11" i="5"/>
  <c r="E11" i="5" s="1"/>
  <c r="C12" i="5"/>
  <c r="E12" i="5" s="1"/>
  <c r="C13" i="5"/>
  <c r="E13" i="5" s="1"/>
  <c r="C3" i="5"/>
  <c r="E3" i="5" s="1"/>
  <c r="B17" i="5"/>
  <c r="B16" i="5"/>
  <c r="E5" i="5"/>
  <c r="E6" i="5"/>
  <c r="D12" i="5"/>
  <c r="D13" i="5"/>
  <c r="D11" i="5"/>
  <c r="D10" i="5"/>
  <c r="D9" i="5"/>
  <c r="D8" i="5"/>
  <c r="D7" i="5"/>
  <c r="D6" i="5"/>
  <c r="D5" i="5"/>
  <c r="D4" i="5"/>
  <c r="D3" i="5"/>
</calcChain>
</file>

<file path=xl/sharedStrings.xml><?xml version="1.0" encoding="utf-8"?>
<sst xmlns="http://schemas.openxmlformats.org/spreadsheetml/2006/main" count="289" uniqueCount="21">
  <si>
    <t>v1/2 (Hz)</t>
  </si>
  <si>
    <t>deltaG activation</t>
  </si>
  <si>
    <t xml:space="preserve"> k (s-1)</t>
  </si>
  <si>
    <t>ln(k/T)</t>
  </si>
  <si>
    <t>1/T</t>
  </si>
  <si>
    <r>
      <t>delta H</t>
    </r>
    <r>
      <rPr>
        <vertAlign val="superscript"/>
        <sz val="11"/>
        <color theme="1"/>
        <rFont val="Calibri"/>
        <family val="2"/>
      </rPr>
      <t>ǂ</t>
    </r>
    <r>
      <rPr>
        <sz val="11"/>
        <color theme="1"/>
        <rFont val="Calibri"/>
        <family val="2"/>
        <charset val="128"/>
        <scheme val="minor"/>
      </rPr>
      <t xml:space="preserve"> (kcal/mol)</t>
    </r>
  </si>
  <si>
    <r>
      <t>delta S</t>
    </r>
    <r>
      <rPr>
        <vertAlign val="superscript"/>
        <sz val="11"/>
        <color theme="1"/>
        <rFont val="Calibri"/>
        <family val="2"/>
      </rPr>
      <t>ǂ</t>
    </r>
    <r>
      <rPr>
        <sz val="11"/>
        <color theme="1"/>
        <rFont val="Calibri"/>
        <family val="2"/>
        <charset val="128"/>
        <scheme val="minor"/>
      </rPr>
      <t xml:space="preserve"> (cal/mol)</t>
    </r>
  </si>
  <si>
    <t>Slope</t>
  </si>
  <si>
    <t>Intercept</t>
  </si>
  <si>
    <r>
      <t>delta G</t>
    </r>
    <r>
      <rPr>
        <vertAlign val="superscript"/>
        <sz val="11"/>
        <color theme="1"/>
        <rFont val="Calibri"/>
        <family val="2"/>
      </rPr>
      <t>ǂ</t>
    </r>
    <r>
      <rPr>
        <sz val="11"/>
        <color theme="1"/>
        <rFont val="Calibri"/>
        <family val="2"/>
        <charset val="128"/>
        <scheme val="minor"/>
      </rPr>
      <t xml:space="preserve"> (kcal/mol)</t>
    </r>
  </si>
  <si>
    <t>n</t>
  </si>
  <si>
    <t>Run 1</t>
  </si>
  <si>
    <t>Run 2</t>
  </si>
  <si>
    <t>Run 3</t>
  </si>
  <si>
    <r>
      <t>delta S</t>
    </r>
    <r>
      <rPr>
        <vertAlign val="superscript"/>
        <sz val="11"/>
        <color theme="1"/>
        <rFont val="Calibri"/>
        <family val="2"/>
      </rPr>
      <t>ǂ</t>
    </r>
    <r>
      <rPr>
        <sz val="11"/>
        <color theme="1"/>
        <rFont val="Calibri"/>
        <family val="2"/>
        <charset val="128"/>
        <scheme val="minor"/>
      </rPr>
      <t xml:space="preserve"> (cal mol</t>
    </r>
    <r>
      <rPr>
        <vertAlign val="superscript"/>
        <sz val="11"/>
        <color theme="1"/>
        <rFont val="Calibri"/>
        <family val="2"/>
        <scheme val="minor"/>
      </rPr>
      <t>-1</t>
    </r>
    <r>
      <rPr>
        <sz val="11"/>
        <color theme="1"/>
        <rFont val="Calibri"/>
        <family val="2"/>
        <charset val="128"/>
        <scheme val="minor"/>
      </rPr>
      <t xml:space="preserve"> K</t>
    </r>
    <r>
      <rPr>
        <vertAlign val="superscript"/>
        <sz val="11"/>
        <color theme="1"/>
        <rFont val="Calibri"/>
        <family val="2"/>
        <scheme val="minor"/>
      </rPr>
      <t>-1</t>
    </r>
    <r>
      <rPr>
        <sz val="11"/>
        <color theme="1"/>
        <rFont val="Calibri"/>
        <family val="2"/>
        <charset val="128"/>
        <scheme val="minor"/>
      </rPr>
      <t>)</t>
    </r>
  </si>
  <si>
    <t>Run</t>
  </si>
  <si>
    <t>Run1</t>
  </si>
  <si>
    <t>Data not usable due to bad shimming</t>
  </si>
  <si>
    <t>Average</t>
  </si>
  <si>
    <t>Standard deviation</t>
  </si>
  <si>
    <t>T(K)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</si>
</sst>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charset val="128"/>
      <scheme val="minor"/>
    </font>
    <font>
      <vertAlign val="superscript"/>
      <sz val="11"/>
      <color theme="1"/>
      <name val="Calibri"/>
      <family val="2"/>
    </font>
    <font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0033"/>
      <color rgb="FFCC00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Run1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10949256342957"/>
          <c:y val="0.12533596318581286"/>
          <c:w val="0.75964129483814524"/>
          <c:h val="0.78542518798128369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2.3492782152230971E-2"/>
                  <c:y val="-0.2886975065616798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'2-Mes'!$D$9:$D$13</c:f>
              <c:numCache>
                <c:formatCode>General</c:formatCode>
                <c:ptCount val="5"/>
                <c:pt idx="0">
                  <c:v>3.0821390044691015E-3</c:v>
                </c:pt>
                <c:pt idx="1">
                  <c:v>3.0392365437802026E-3</c:v>
                </c:pt>
                <c:pt idx="2">
                  <c:v>2.9965240321227372E-3</c:v>
                </c:pt>
                <c:pt idx="3">
                  <c:v>2.9549954197570991E-3</c:v>
                </c:pt>
                <c:pt idx="4">
                  <c:v>2.9154518950437317E-3</c:v>
                </c:pt>
              </c:numCache>
            </c:numRef>
          </c:xVal>
          <c:yVal>
            <c:numRef>
              <c:f>'2-Mes'!$E$9:$E$13</c:f>
              <c:numCache>
                <c:formatCode>General</c:formatCode>
                <c:ptCount val="5"/>
                <c:pt idx="0">
                  <c:v>-3.6192767255064684</c:v>
                </c:pt>
                <c:pt idx="1">
                  <c:v>-3.1066265352727145</c:v>
                </c:pt>
                <c:pt idx="2">
                  <c:v>-2.8633679131389944</c:v>
                </c:pt>
                <c:pt idx="3">
                  <c:v>-2.4138148820994476</c:v>
                </c:pt>
                <c:pt idx="4">
                  <c:v>-2.0154097757431524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3D0-46C9-B514-98539792A2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4048536"/>
        <c:axId val="844049520"/>
      </c:scatterChart>
      <c:valAx>
        <c:axId val="8440485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1/T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4049520"/>
        <c:crosses val="autoZero"/>
        <c:crossBetween val="midCat"/>
      </c:valAx>
      <c:valAx>
        <c:axId val="844049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ln(k/T)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40485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Run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1.0260061242344708E-2"/>
                  <c:y val="-0.2301866433362496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'2-iPr'!$D$9:$D$13</c:f>
              <c:numCache>
                <c:formatCode>General</c:formatCode>
                <c:ptCount val="5"/>
                <c:pt idx="0">
                  <c:v>3.0821390044691015E-3</c:v>
                </c:pt>
                <c:pt idx="1">
                  <c:v>3.0392365437802026E-3</c:v>
                </c:pt>
                <c:pt idx="2">
                  <c:v>2.9965240321227372E-3</c:v>
                </c:pt>
                <c:pt idx="3">
                  <c:v>2.9549954197570991E-3</c:v>
                </c:pt>
                <c:pt idx="4">
                  <c:v>2.9154518950437317E-3</c:v>
                </c:pt>
              </c:numCache>
            </c:numRef>
          </c:xVal>
          <c:yVal>
            <c:numRef>
              <c:f>'2-iPr'!$E$9:$E$13</c:f>
              <c:numCache>
                <c:formatCode>General</c:formatCode>
                <c:ptCount val="5"/>
                <c:pt idx="0">
                  <c:v>-3.9069587979582492</c:v>
                </c:pt>
                <c:pt idx="1">
                  <c:v>-3.2130069388312861</c:v>
                </c:pt>
                <c:pt idx="2">
                  <c:v>-2.6041677860349033</c:v>
                </c:pt>
                <c:pt idx="3">
                  <c:v>-2.0493677712100853</c:v>
                </c:pt>
                <c:pt idx="4">
                  <c:v>-1.5100837833467207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3E3-4453-A9CC-C63AAA6588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7188512"/>
        <c:axId val="827189496"/>
      </c:scatterChart>
      <c:valAx>
        <c:axId val="8271885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1/T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7189496"/>
        <c:crosses val="autoZero"/>
        <c:crossBetween val="midCat"/>
      </c:valAx>
      <c:valAx>
        <c:axId val="827189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ln(k/T)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71885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Run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704155730533682"/>
          <c:y val="0.17634259259259263"/>
          <c:w val="0.82680577427821533"/>
          <c:h val="0.70849041597073092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'2-iPr'!$D$29:$D$33</c:f>
              <c:numCache>
                <c:formatCode>General</c:formatCode>
                <c:ptCount val="5"/>
                <c:pt idx="0">
                  <c:v>3.0821390044691015E-3</c:v>
                </c:pt>
                <c:pt idx="1">
                  <c:v>3.0392365437802026E-3</c:v>
                </c:pt>
                <c:pt idx="2">
                  <c:v>2.9965240321227372E-3</c:v>
                </c:pt>
                <c:pt idx="3">
                  <c:v>2.9549954197570991E-3</c:v>
                </c:pt>
                <c:pt idx="4">
                  <c:v>2.9154518950437317E-3</c:v>
                </c:pt>
              </c:numCache>
            </c:numRef>
          </c:xVal>
          <c:yVal>
            <c:numRef>
              <c:f>'2-iPr'!$E$29:$E$33</c:f>
              <c:numCache>
                <c:formatCode>General</c:formatCode>
                <c:ptCount val="5"/>
                <c:pt idx="0">
                  <c:v>-4.2966529698734188</c:v>
                </c:pt>
                <c:pt idx="1">
                  <c:v>-3.6300480458886208</c:v>
                </c:pt>
                <c:pt idx="2">
                  <c:v>-3.0577360091614616</c:v>
                </c:pt>
                <c:pt idx="3">
                  <c:v>-2.5000154049135368</c:v>
                </c:pt>
                <c:pt idx="4">
                  <c:v>-1.9763212415603892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B07-4EC6-B9BC-117A0B0DBB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4558488"/>
        <c:axId val="1074561112"/>
      </c:scatterChart>
      <c:valAx>
        <c:axId val="1074558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1/T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4561112"/>
        <c:crosses val="autoZero"/>
        <c:crossBetween val="midCat"/>
      </c:valAx>
      <c:valAx>
        <c:axId val="1074561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ln(k/T)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45584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Run 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4.57917760279965E-2"/>
                  <c:y val="-0.2470191746864975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'2-iPr'!$D$49:$D$53</c:f>
              <c:numCache>
                <c:formatCode>General</c:formatCode>
                <c:ptCount val="5"/>
                <c:pt idx="0">
                  <c:v>3.0821390044691015E-3</c:v>
                </c:pt>
                <c:pt idx="1">
                  <c:v>3.0392365437802026E-3</c:v>
                </c:pt>
                <c:pt idx="2">
                  <c:v>2.9965240321227372E-3</c:v>
                </c:pt>
                <c:pt idx="3">
                  <c:v>2.9549954197570991E-3</c:v>
                </c:pt>
                <c:pt idx="4">
                  <c:v>2.9154518950437317E-3</c:v>
                </c:pt>
              </c:numCache>
            </c:numRef>
          </c:xVal>
          <c:yVal>
            <c:numRef>
              <c:f>'2-iPr'!$E$49:$E$53</c:f>
              <c:numCache>
                <c:formatCode>General</c:formatCode>
                <c:ptCount val="5"/>
                <c:pt idx="0">
                  <c:v>-3.188367372320815</c:v>
                </c:pt>
                <c:pt idx="1">
                  <c:v>-2.860827132737235</c:v>
                </c:pt>
                <c:pt idx="2">
                  <c:v>-2.3368325897576909</c:v>
                </c:pt>
                <c:pt idx="3">
                  <c:v>-1.9331554248962193</c:v>
                </c:pt>
                <c:pt idx="4">
                  <c:v>-1.3956465366211965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891-4AA2-92D4-D9FC11EE45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5608408"/>
        <c:axId val="795615952"/>
      </c:scatterChart>
      <c:valAx>
        <c:axId val="795608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1/T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5615952"/>
        <c:crosses val="autoZero"/>
        <c:crossBetween val="midCat"/>
      </c:valAx>
      <c:valAx>
        <c:axId val="795615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ln(k/T)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56084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Run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88727034120735"/>
          <c:y val="0.19486111111111112"/>
          <c:w val="0.80964129483814529"/>
          <c:h val="0.69930767951526718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2.5489938757655294E-3"/>
                  <c:y val="-0.1690569407990667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'2-Br'!$D$7:$D$11</c:f>
              <c:numCache>
                <c:formatCode>General</c:formatCode>
                <c:ptCount val="5"/>
                <c:pt idx="0">
                  <c:v>3.0821390044691015E-3</c:v>
                </c:pt>
                <c:pt idx="1">
                  <c:v>3.0392365437802026E-3</c:v>
                </c:pt>
                <c:pt idx="2">
                  <c:v>2.9965240321227372E-3</c:v>
                </c:pt>
                <c:pt idx="3">
                  <c:v>2.9549954197570991E-3</c:v>
                </c:pt>
                <c:pt idx="4">
                  <c:v>2.9154518950437317E-3</c:v>
                </c:pt>
              </c:numCache>
            </c:numRef>
          </c:xVal>
          <c:yVal>
            <c:numRef>
              <c:f>'2-Br'!$E$7:$E$11</c:f>
              <c:numCache>
                <c:formatCode>General</c:formatCode>
                <c:ptCount val="5"/>
                <c:pt idx="0">
                  <c:v>-4.4247126698515409</c:v>
                </c:pt>
                <c:pt idx="1">
                  <c:v>-3.9014192620605557</c:v>
                </c:pt>
                <c:pt idx="2">
                  <c:v>-3.3986250367412634</c:v>
                </c:pt>
                <c:pt idx="3">
                  <c:v>-2.8528846292360317</c:v>
                </c:pt>
                <c:pt idx="4">
                  <c:v>-2.2560596238675297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EE5-4CA2-9EA0-25840010D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42396592"/>
        <c:axId val="1242393312"/>
      </c:scatterChart>
      <c:valAx>
        <c:axId val="1242396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1/T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2393312"/>
        <c:crosses val="autoZero"/>
        <c:crossBetween val="midCat"/>
      </c:valAx>
      <c:valAx>
        <c:axId val="1242393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ln(k/T)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23965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Run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1.7169947506561679E-2"/>
                  <c:y val="-0.3372273257509477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'2-Br'!$D$27:$D$31</c:f>
              <c:numCache>
                <c:formatCode>General</c:formatCode>
                <c:ptCount val="5"/>
                <c:pt idx="0">
                  <c:v>3.0821390044691015E-3</c:v>
                </c:pt>
                <c:pt idx="1">
                  <c:v>3.0392365437802026E-3</c:v>
                </c:pt>
                <c:pt idx="2">
                  <c:v>2.9965240321227372E-3</c:v>
                </c:pt>
                <c:pt idx="4">
                  <c:v>2.9154518950437317E-3</c:v>
                </c:pt>
              </c:numCache>
            </c:numRef>
          </c:xVal>
          <c:yVal>
            <c:numRef>
              <c:f>'2-Br'!$E$27:$E$31</c:f>
              <c:numCache>
                <c:formatCode>General</c:formatCode>
                <c:ptCount val="5"/>
                <c:pt idx="0">
                  <c:v>-4.9412132176435568</c:v>
                </c:pt>
                <c:pt idx="1">
                  <c:v>-3.6493178659260175</c:v>
                </c:pt>
                <c:pt idx="2">
                  <c:v>-3.3240141729500889</c:v>
                </c:pt>
                <c:pt idx="4">
                  <c:v>-2.0928327792375652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F3-493C-9B41-64AD117322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469280"/>
        <c:axId val="95473216"/>
      </c:scatterChart>
      <c:valAx>
        <c:axId val="954692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1/T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473216"/>
        <c:crosses val="autoZero"/>
        <c:crossBetween val="midCat"/>
      </c:valAx>
      <c:valAx>
        <c:axId val="95473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ln(k/T)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4692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Run 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2.5503280839895014E-2"/>
                  <c:y val="-0.2936092884222805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'2-Br'!$D$43:$D$47</c:f>
              <c:numCache>
                <c:formatCode>General</c:formatCode>
                <c:ptCount val="5"/>
                <c:pt idx="0">
                  <c:v>3.0821390044691015E-3</c:v>
                </c:pt>
                <c:pt idx="1">
                  <c:v>3.0392365437802026E-3</c:v>
                </c:pt>
                <c:pt idx="2">
                  <c:v>2.9965240321227372E-3</c:v>
                </c:pt>
                <c:pt idx="3">
                  <c:v>2.9549954197570991E-3</c:v>
                </c:pt>
                <c:pt idx="4">
                  <c:v>2.9154518950437317E-3</c:v>
                </c:pt>
              </c:numCache>
            </c:numRef>
          </c:xVal>
          <c:yVal>
            <c:numRef>
              <c:f>'2-Br'!$E$43:$E$47</c:f>
              <c:numCache>
                <c:formatCode>General</c:formatCode>
                <c:ptCount val="5"/>
                <c:pt idx="0">
                  <c:v>-4.8630484447942193</c:v>
                </c:pt>
                <c:pt idx="1">
                  <c:v>-4.0906612616990836</c:v>
                </c:pt>
                <c:pt idx="2">
                  <c:v>-3.4698336408297554</c:v>
                </c:pt>
                <c:pt idx="3">
                  <c:v>-2.9105260182121495</c:v>
                </c:pt>
                <c:pt idx="4">
                  <c:v>-2.4071550003709064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504-4447-A5FD-86EA9686A0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9116272"/>
        <c:axId val="659117584"/>
      </c:scatterChart>
      <c:valAx>
        <c:axId val="659116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1/T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9117584"/>
        <c:crosses val="autoZero"/>
        <c:crossBetween val="midCat"/>
      </c:valAx>
      <c:valAx>
        <c:axId val="659117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ln(k/T)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91162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Run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2.1371172353455817E-2"/>
                  <c:y val="-0.2223611111111111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'2-OEt'!$D$9:$D$13</c:f>
              <c:numCache>
                <c:formatCode>General</c:formatCode>
                <c:ptCount val="5"/>
                <c:pt idx="0">
                  <c:v>3.0821390044691015E-3</c:v>
                </c:pt>
                <c:pt idx="1">
                  <c:v>3.0392365437802026E-3</c:v>
                </c:pt>
                <c:pt idx="2">
                  <c:v>2.9965240321227372E-3</c:v>
                </c:pt>
                <c:pt idx="3">
                  <c:v>2.9549954197570991E-3</c:v>
                </c:pt>
                <c:pt idx="4">
                  <c:v>2.9154518950437317E-3</c:v>
                </c:pt>
              </c:numCache>
            </c:numRef>
          </c:xVal>
          <c:yVal>
            <c:numRef>
              <c:f>'2-OEt'!$E$9:$E$13</c:f>
              <c:numCache>
                <c:formatCode>General</c:formatCode>
                <c:ptCount val="5"/>
                <c:pt idx="0">
                  <c:v>-4.7306141449840702</c:v>
                </c:pt>
                <c:pt idx="1">
                  <c:v>-3.9567731975296025</c:v>
                </c:pt>
                <c:pt idx="2">
                  <c:v>-3.3802041976986579</c:v>
                </c:pt>
                <c:pt idx="3">
                  <c:v>-2.8415217799242138</c:v>
                </c:pt>
                <c:pt idx="4">
                  <c:v>-2.2774441977074469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F4B-415C-BB6E-023CE8C74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21553240"/>
        <c:axId val="1221561112"/>
      </c:scatterChart>
      <c:valAx>
        <c:axId val="12215532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1/T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1561112"/>
        <c:crosses val="autoZero"/>
        <c:crossBetween val="midCat"/>
      </c:valAx>
      <c:valAx>
        <c:axId val="1221561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ln(k/T)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15532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Run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053937007874017"/>
          <c:y val="0.11615740740740743"/>
          <c:w val="0.8179746281714787"/>
          <c:h val="0.77736111111111106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'2-OEt'!$D$28:$D$32</c:f>
              <c:numCache>
                <c:formatCode>General</c:formatCode>
                <c:ptCount val="5"/>
                <c:pt idx="0">
                  <c:v>3.0821390044691015E-3</c:v>
                </c:pt>
                <c:pt idx="1">
                  <c:v>3.0392365437802026E-3</c:v>
                </c:pt>
                <c:pt idx="2">
                  <c:v>2.9965240321227372E-3</c:v>
                </c:pt>
                <c:pt idx="3">
                  <c:v>2.9549954197570991E-3</c:v>
                </c:pt>
                <c:pt idx="4">
                  <c:v>2.9154518950437317E-3</c:v>
                </c:pt>
              </c:numCache>
            </c:numRef>
          </c:xVal>
          <c:yVal>
            <c:numRef>
              <c:f>'2-OEt'!$E$28:$E$32</c:f>
              <c:numCache>
                <c:formatCode>General</c:formatCode>
                <c:ptCount val="5"/>
                <c:pt idx="0">
                  <c:v>-4.6658012377835894</c:v>
                </c:pt>
                <c:pt idx="1">
                  <c:v>-4.0265509144066325</c:v>
                </c:pt>
                <c:pt idx="2">
                  <c:v>-3.3994704644371034</c:v>
                </c:pt>
                <c:pt idx="3">
                  <c:v>-3.3944366447068601</c:v>
                </c:pt>
                <c:pt idx="4">
                  <c:v>-2.681035392805732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E98-44EB-A103-A64F005569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4100504"/>
        <c:axId val="724102800"/>
      </c:scatterChart>
      <c:valAx>
        <c:axId val="7241005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1/T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4102800"/>
        <c:crosses val="autoZero"/>
        <c:crossBetween val="midCat"/>
      </c:valAx>
      <c:valAx>
        <c:axId val="724102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ln(k/T)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41005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Run 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165048118985127"/>
          <c:y val="0.17029384756657484"/>
          <c:w val="0.79297462817147868"/>
          <c:h val="0.70938916726318302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8.5104986876640418E-4"/>
                  <c:y val="-0.2530938320209973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'2-OEt'!$D$48:$D$52</c:f>
              <c:numCache>
                <c:formatCode>General</c:formatCode>
                <c:ptCount val="5"/>
                <c:pt idx="0">
                  <c:v>3.0821390044691015E-3</c:v>
                </c:pt>
                <c:pt idx="1">
                  <c:v>3.0392365437802026E-3</c:v>
                </c:pt>
                <c:pt idx="2">
                  <c:v>2.9965240321227372E-3</c:v>
                </c:pt>
                <c:pt idx="3">
                  <c:v>2.9549954197570991E-3</c:v>
                </c:pt>
                <c:pt idx="4">
                  <c:v>2.9154518950437317E-3</c:v>
                </c:pt>
              </c:numCache>
            </c:numRef>
          </c:xVal>
          <c:yVal>
            <c:numRef>
              <c:f>'2-OEt'!$E$48:$E$52</c:f>
              <c:numCache>
                <c:formatCode>General</c:formatCode>
                <c:ptCount val="5"/>
                <c:pt idx="0">
                  <c:v>-4.6404062722821902</c:v>
                </c:pt>
                <c:pt idx="1">
                  <c:v>-3.9567731975296021</c:v>
                </c:pt>
                <c:pt idx="2">
                  <c:v>-3.3491644065728634</c:v>
                </c:pt>
                <c:pt idx="3">
                  <c:v>-2.8054212897407802</c:v>
                </c:pt>
                <c:pt idx="4">
                  <c:v>-2.3157721333708428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A0B-428D-869A-5220AC2A44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8560400"/>
        <c:axId val="728560728"/>
      </c:scatterChart>
      <c:valAx>
        <c:axId val="7285604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1/T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8560728"/>
        <c:crosses val="autoZero"/>
        <c:crossBetween val="midCat"/>
      </c:valAx>
      <c:valAx>
        <c:axId val="728560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ln(k/T)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85604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Run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1.322244094488189E-2"/>
                  <c:y val="-0.2674996055820891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'2-NEt2'!$D$9:$D$13</c:f>
              <c:numCache>
                <c:formatCode>General</c:formatCode>
                <c:ptCount val="5"/>
                <c:pt idx="0">
                  <c:v>3.0821390044691015E-3</c:v>
                </c:pt>
                <c:pt idx="1">
                  <c:v>3.0392365437802026E-3</c:v>
                </c:pt>
                <c:pt idx="2">
                  <c:v>2.9965240321227372E-3</c:v>
                </c:pt>
                <c:pt idx="3">
                  <c:v>2.9549954197570991E-3</c:v>
                </c:pt>
                <c:pt idx="4">
                  <c:v>2.9154518950437317E-3</c:v>
                </c:pt>
              </c:numCache>
            </c:numRef>
          </c:xVal>
          <c:yVal>
            <c:numRef>
              <c:f>'2-NEt2'!$E$9:$E$13</c:f>
              <c:numCache>
                <c:formatCode>General</c:formatCode>
                <c:ptCount val="5"/>
                <c:pt idx="0">
                  <c:v>-4.4134585317771178</c:v>
                </c:pt>
                <c:pt idx="1">
                  <c:v>-3.7455829802429874</c:v>
                </c:pt>
                <c:pt idx="2">
                  <c:v>-3.1265571920910333</c:v>
                </c:pt>
                <c:pt idx="3">
                  <c:v>-2.5769809699232771</c:v>
                </c:pt>
                <c:pt idx="4">
                  <c:v>-2.1545533526446237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217-41D9-928B-34A34DF1C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2571496"/>
        <c:axId val="1202553128"/>
      </c:scatterChart>
      <c:valAx>
        <c:axId val="12025714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1/T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2553128"/>
        <c:crosses val="autoZero"/>
        <c:crossBetween val="midCat"/>
      </c:valAx>
      <c:valAx>
        <c:axId val="1202553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ln(k/T)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25714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Run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5.8889107611548558E-2"/>
                  <c:y val="-0.3471327447705400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'2-Mes'!$D$30:$D$34</c:f>
              <c:numCache>
                <c:formatCode>General</c:formatCode>
                <c:ptCount val="5"/>
                <c:pt idx="0">
                  <c:v>3.0821390044691015E-3</c:v>
                </c:pt>
                <c:pt idx="1">
                  <c:v>3.0392365437802026E-3</c:v>
                </c:pt>
                <c:pt idx="2">
                  <c:v>2.9965240321227372E-3</c:v>
                </c:pt>
                <c:pt idx="3">
                  <c:v>2.9549954197570991E-3</c:v>
                </c:pt>
                <c:pt idx="4">
                  <c:v>2.9154518950437317E-3</c:v>
                </c:pt>
              </c:numCache>
            </c:numRef>
          </c:xVal>
          <c:yVal>
            <c:numRef>
              <c:f>'2-Mes'!$E$30:$E$34</c:f>
              <c:numCache>
                <c:formatCode>General</c:formatCode>
                <c:ptCount val="5"/>
                <c:pt idx="0">
                  <c:v>-4.5196187276055078</c:v>
                </c:pt>
                <c:pt idx="1">
                  <c:v>-3.8004139890377577</c:v>
                </c:pt>
                <c:pt idx="2">
                  <c:v>-3.1764960844656716</c:v>
                </c:pt>
                <c:pt idx="3">
                  <c:v>-2.6200345964474483</c:v>
                </c:pt>
                <c:pt idx="4">
                  <c:v>-2.0791879903398134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D69-4FDD-91EA-B88283E42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1255616"/>
        <c:axId val="811258568"/>
      </c:scatterChart>
      <c:valAx>
        <c:axId val="8112556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1/T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1258568"/>
        <c:crosses val="autoZero"/>
        <c:crossBetween val="midCat"/>
      </c:valAx>
      <c:valAx>
        <c:axId val="811258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ln(k/T)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12556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Run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1.0810367454068241E-2"/>
                  <c:y val="-0.2723549139690871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'2-NEt2'!$D$29:$D$33</c:f>
              <c:numCache>
                <c:formatCode>General</c:formatCode>
                <c:ptCount val="5"/>
                <c:pt idx="0">
                  <c:v>3.1264655307175235E-3</c:v>
                </c:pt>
                <c:pt idx="1">
                  <c:v>3.0821390044691015E-3</c:v>
                </c:pt>
                <c:pt idx="2">
                  <c:v>3.0392365437802026E-3</c:v>
                </c:pt>
                <c:pt idx="3">
                  <c:v>2.9965240321227372E-3</c:v>
                </c:pt>
                <c:pt idx="4">
                  <c:v>2.9549954197570991E-3</c:v>
                </c:pt>
              </c:numCache>
            </c:numRef>
          </c:xVal>
          <c:yVal>
            <c:numRef>
              <c:f>'2-NEt2'!$E$29:$E$33</c:f>
              <c:numCache>
                <c:formatCode>General</c:formatCode>
                <c:ptCount val="5"/>
                <c:pt idx="0">
                  <c:v>-4.8046443347142507</c:v>
                </c:pt>
                <c:pt idx="1">
                  <c:v>-4.2603361296754247</c:v>
                </c:pt>
                <c:pt idx="2">
                  <c:v>-3.731933631442609</c:v>
                </c:pt>
                <c:pt idx="3">
                  <c:v>-2.9068530250787332</c:v>
                </c:pt>
                <c:pt idx="4">
                  <c:v>-2.3229288190173047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106-470E-9E62-64E9B7CC1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8515792"/>
        <c:axId val="728512840"/>
      </c:scatterChart>
      <c:valAx>
        <c:axId val="7285157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1/T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8512840"/>
        <c:crosses val="autoZero"/>
        <c:crossBetween val="midCat"/>
      </c:valAx>
      <c:valAx>
        <c:axId val="728512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ln(k/T)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85157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Run 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1.0810367454068241E-2"/>
                  <c:y val="-0.2746557807323264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'2-NEt2'!$D$48:$D$52</c:f>
              <c:numCache>
                <c:formatCode>General</c:formatCode>
                <c:ptCount val="5"/>
                <c:pt idx="0">
                  <c:v>3.1264655307175235E-3</c:v>
                </c:pt>
                <c:pt idx="1">
                  <c:v>3.0821390044691015E-3</c:v>
                </c:pt>
                <c:pt idx="2">
                  <c:v>3.0392365437802026E-3</c:v>
                </c:pt>
                <c:pt idx="3">
                  <c:v>2.9965240321227372E-3</c:v>
                </c:pt>
                <c:pt idx="4">
                  <c:v>2.9549954197570991E-3</c:v>
                </c:pt>
              </c:numCache>
            </c:numRef>
          </c:xVal>
          <c:yVal>
            <c:numRef>
              <c:f>'2-NEt2'!$E$48:$E$52</c:f>
              <c:numCache>
                <c:formatCode>General</c:formatCode>
                <c:ptCount val="5"/>
                <c:pt idx="0">
                  <c:v>-4.7821181895813183</c:v>
                </c:pt>
                <c:pt idx="1">
                  <c:v>-4.1850530692548764</c:v>
                </c:pt>
                <c:pt idx="2">
                  <c:v>-3.6700901261599062</c:v>
                </c:pt>
                <c:pt idx="3">
                  <c:v>-2.8397338573476705</c:v>
                </c:pt>
                <c:pt idx="4">
                  <c:v>-2.3216033122903781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39D-482F-B9E4-18E117E679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0435648"/>
        <c:axId val="520430400"/>
      </c:scatterChart>
      <c:valAx>
        <c:axId val="5204356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1/T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0430400"/>
        <c:crosses val="autoZero"/>
        <c:crossBetween val="midCat"/>
      </c:valAx>
      <c:valAx>
        <c:axId val="520430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ln(k/T)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04356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Run 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9.2222440944881884E-2"/>
                  <c:y val="-0.4051942986293379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'2-Mes'!$D$49:$D$53</c:f>
              <c:numCache>
                <c:formatCode>General</c:formatCode>
                <c:ptCount val="5"/>
                <c:pt idx="0">
                  <c:v>3.0821390044691015E-3</c:v>
                </c:pt>
                <c:pt idx="1">
                  <c:v>3.0392365437802026E-3</c:v>
                </c:pt>
                <c:pt idx="2">
                  <c:v>2.9965240321227372E-3</c:v>
                </c:pt>
                <c:pt idx="3">
                  <c:v>2.9549954197570991E-3</c:v>
                </c:pt>
                <c:pt idx="4">
                  <c:v>2.9154518950437317E-3</c:v>
                </c:pt>
              </c:numCache>
            </c:numRef>
          </c:xVal>
          <c:yVal>
            <c:numRef>
              <c:f>'2-Mes'!$E$49:$E$53</c:f>
              <c:numCache>
                <c:formatCode>General</c:formatCode>
                <c:ptCount val="5"/>
                <c:pt idx="0">
                  <c:v>-4.3559893038237059</c:v>
                </c:pt>
                <c:pt idx="1">
                  <c:v>-3.6909202676748079</c:v>
                </c:pt>
                <c:pt idx="2">
                  <c:v>-3.1421284409614638</c:v>
                </c:pt>
                <c:pt idx="3">
                  <c:v>-2.6074892884045147</c:v>
                </c:pt>
                <c:pt idx="4">
                  <c:v>-2.0608242008376179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967-4732-8C29-D71300502A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9698712"/>
        <c:axId val="689708552"/>
      </c:scatterChart>
      <c:valAx>
        <c:axId val="689698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1/T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9708552"/>
        <c:crosses val="autoZero"/>
        <c:crossBetween val="midCat"/>
      </c:valAx>
      <c:valAx>
        <c:axId val="689708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ln(k/T)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96987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Run1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2.8788276465441819E-3"/>
                  <c:y val="-0.2187018810148731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'2-Me'!$D$9:$D$13</c:f>
              <c:numCache>
                <c:formatCode>General</c:formatCode>
                <c:ptCount val="5"/>
                <c:pt idx="0">
                  <c:v>3.0821390044691015E-3</c:v>
                </c:pt>
                <c:pt idx="1">
                  <c:v>3.0392365437802026E-3</c:v>
                </c:pt>
                <c:pt idx="2">
                  <c:v>2.9965240321227372E-3</c:v>
                </c:pt>
                <c:pt idx="3">
                  <c:v>2.9549954197570991E-3</c:v>
                </c:pt>
                <c:pt idx="4">
                  <c:v>2.9154518950437317E-3</c:v>
                </c:pt>
              </c:numCache>
            </c:numRef>
          </c:xVal>
          <c:yVal>
            <c:numRef>
              <c:f>'2-Me'!$E$9:$E$13</c:f>
              <c:numCache>
                <c:formatCode>General</c:formatCode>
                <c:ptCount val="5"/>
                <c:pt idx="0">
                  <c:v>-3.4934974854020751</c:v>
                </c:pt>
                <c:pt idx="1">
                  <c:v>-3.2283109199706765</c:v>
                </c:pt>
                <c:pt idx="2">
                  <c:v>-2.762569992184551</c:v>
                </c:pt>
                <c:pt idx="3">
                  <c:v>-2.3998027014696253</c:v>
                </c:pt>
                <c:pt idx="4">
                  <c:v>-1.9163577767928321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FF5-45C1-9744-C4BAA5D013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7114432"/>
        <c:axId val="827115416"/>
      </c:scatterChart>
      <c:valAx>
        <c:axId val="8271144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1/T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7115416"/>
        <c:crosses val="autoZero"/>
        <c:crossBetween val="midCat"/>
      </c:valAx>
      <c:valAx>
        <c:axId val="827115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ln(k/T)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71144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Run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2.0460192475940508E-2"/>
                  <c:y val="-0.3310629921259842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'2-Me'!$D$29:$D$33</c:f>
              <c:numCache>
                <c:formatCode>General</c:formatCode>
                <c:ptCount val="5"/>
                <c:pt idx="0">
                  <c:v>3.0821390044691015E-3</c:v>
                </c:pt>
                <c:pt idx="1">
                  <c:v>3.0392365437802026E-3</c:v>
                </c:pt>
                <c:pt idx="2">
                  <c:v>2.9965240321227372E-3</c:v>
                </c:pt>
                <c:pt idx="3">
                  <c:v>2.9549954197570991E-3</c:v>
                </c:pt>
                <c:pt idx="4">
                  <c:v>2.9154518950437317E-3</c:v>
                </c:pt>
              </c:numCache>
            </c:numRef>
          </c:xVal>
          <c:yVal>
            <c:numRef>
              <c:f>'2-Me'!$E$29:$E$33</c:f>
              <c:numCache>
                <c:formatCode>General</c:formatCode>
                <c:ptCount val="5"/>
                <c:pt idx="0">
                  <c:v>-4.2299386524910538</c:v>
                </c:pt>
                <c:pt idx="1">
                  <c:v>-3.6467514117217155</c:v>
                </c:pt>
                <c:pt idx="2">
                  <c:v>-3.120779921288019</c:v>
                </c:pt>
                <c:pt idx="3">
                  <c:v>-2.3089109969317159</c:v>
                </c:pt>
                <c:pt idx="4">
                  <c:v>-1.8600815862125746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6E8-46DB-B666-5DD3CADCC1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4409840"/>
        <c:axId val="804407544"/>
      </c:scatterChart>
      <c:valAx>
        <c:axId val="8044098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1/T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4407544"/>
        <c:crosses val="autoZero"/>
        <c:crossBetween val="midCat"/>
      </c:valAx>
      <c:valAx>
        <c:axId val="804407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Ln(k/T)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44098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Run 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60949256342957"/>
          <c:y val="0.18055555555555552"/>
          <c:w val="0.80130796150481198"/>
          <c:h val="0.69444444444444453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1.7774496937882765E-2"/>
                  <c:y val="-0.3305781568970545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'2-Me'!$D$49:$D$53</c:f>
              <c:numCache>
                <c:formatCode>General</c:formatCode>
                <c:ptCount val="5"/>
                <c:pt idx="0">
                  <c:v>3.0821390044691015E-3</c:v>
                </c:pt>
                <c:pt idx="1">
                  <c:v>3.0392365437802026E-3</c:v>
                </c:pt>
                <c:pt idx="2">
                  <c:v>2.9965240321227372E-3</c:v>
                </c:pt>
                <c:pt idx="3">
                  <c:v>2.9549954197570991E-3</c:v>
                </c:pt>
                <c:pt idx="4">
                  <c:v>2.9154518950437317E-3</c:v>
                </c:pt>
              </c:numCache>
            </c:numRef>
          </c:xVal>
          <c:yVal>
            <c:numRef>
              <c:f>'2-Me'!$E$49:$E$53</c:f>
              <c:numCache>
                <c:formatCode>General</c:formatCode>
                <c:ptCount val="5"/>
                <c:pt idx="0">
                  <c:v>-3.3623183314780025</c:v>
                </c:pt>
                <c:pt idx="1">
                  <c:v>-3.0979169741094865</c:v>
                </c:pt>
                <c:pt idx="2">
                  <c:v>-2.8164881043812637</c:v>
                </c:pt>
                <c:pt idx="3">
                  <c:v>-2.3089109969317159</c:v>
                </c:pt>
                <c:pt idx="4">
                  <c:v>-1.8600815862125746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760-4A69-935A-30F5601164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6205440"/>
        <c:axId val="406205768"/>
      </c:scatterChart>
      <c:valAx>
        <c:axId val="40620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1/T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6205768"/>
        <c:crosses val="autoZero"/>
        <c:crossBetween val="midCat"/>
      </c:valAx>
      <c:valAx>
        <c:axId val="406205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ln(k/T)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62054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Run 1</a:t>
            </a:r>
          </a:p>
        </c:rich>
      </c:tx>
      <c:layout>
        <c:manualLayout>
          <c:xMode val="edge"/>
          <c:yMode val="edge"/>
          <c:x val="0.40949300087489071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7.4822834645669294E-3"/>
                  <c:y val="-0.213433945756780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'2-Et'!$D$9:$D$13</c:f>
              <c:numCache>
                <c:formatCode>General</c:formatCode>
                <c:ptCount val="5"/>
                <c:pt idx="0">
                  <c:v>3.0821390044691015E-3</c:v>
                </c:pt>
                <c:pt idx="1">
                  <c:v>3.0392365437802026E-3</c:v>
                </c:pt>
                <c:pt idx="2">
                  <c:v>2.9965240321227372E-3</c:v>
                </c:pt>
                <c:pt idx="3">
                  <c:v>2.9549954197570991E-3</c:v>
                </c:pt>
                <c:pt idx="4">
                  <c:v>2.9154518950437317E-3</c:v>
                </c:pt>
              </c:numCache>
            </c:numRef>
          </c:xVal>
          <c:yVal>
            <c:numRef>
              <c:f>'2-Et'!$E$9:$E$13</c:f>
              <c:numCache>
                <c:formatCode>General</c:formatCode>
                <c:ptCount val="5"/>
                <c:pt idx="0">
                  <c:v>-4.0216757296705312</c:v>
                </c:pt>
                <c:pt idx="1">
                  <c:v>-3.4998983098897716</c:v>
                </c:pt>
                <c:pt idx="2">
                  <c:v>-2.9546617588638537</c:v>
                </c:pt>
                <c:pt idx="3">
                  <c:v>-2.4074026148082512</c:v>
                </c:pt>
                <c:pt idx="4">
                  <c:v>-1.9126299066788177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4D3-4539-B10F-601373D256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2572480"/>
        <c:axId val="1202576088"/>
      </c:scatterChart>
      <c:valAx>
        <c:axId val="1202572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1/T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2576088"/>
        <c:crosses val="autoZero"/>
        <c:crossBetween val="midCat"/>
      </c:valAx>
      <c:valAx>
        <c:axId val="1202576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ln(k/T)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25724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Run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4.0815616797900266E-2"/>
                  <c:y val="-0.3378164187809857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'2-Et'!$D$30:$D$34</c:f>
              <c:numCache>
                <c:formatCode>General</c:formatCode>
                <c:ptCount val="5"/>
                <c:pt idx="0">
                  <c:v>3.0821390044691015E-3</c:v>
                </c:pt>
                <c:pt idx="1">
                  <c:v>3.0392365437802026E-3</c:v>
                </c:pt>
                <c:pt idx="2">
                  <c:v>2.9965240321227372E-3</c:v>
                </c:pt>
                <c:pt idx="3">
                  <c:v>2.9549954197570991E-3</c:v>
                </c:pt>
                <c:pt idx="4">
                  <c:v>2.9154518950437317E-3</c:v>
                </c:pt>
              </c:numCache>
            </c:numRef>
          </c:xVal>
          <c:yVal>
            <c:numRef>
              <c:f>'2-Et'!$E$30:$E$34</c:f>
              <c:numCache>
                <c:formatCode>General</c:formatCode>
                <c:ptCount val="5"/>
                <c:pt idx="0">
                  <c:v>-3.943754707660295</c:v>
                </c:pt>
                <c:pt idx="1">
                  <c:v>-3.4672410772155269</c:v>
                </c:pt>
                <c:pt idx="2">
                  <c:v>-2.836517386256836</c:v>
                </c:pt>
                <c:pt idx="3">
                  <c:v>-2.399700394446159</c:v>
                </c:pt>
                <c:pt idx="4">
                  <c:v>-1.9151136086696643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0A7-4F7B-B243-90D3ED7914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0953272"/>
        <c:axId val="720954256"/>
      </c:scatterChart>
      <c:valAx>
        <c:axId val="720953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1/T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0954256"/>
        <c:crosses val="autoZero"/>
        <c:crossBetween val="midCat"/>
      </c:valAx>
      <c:valAx>
        <c:axId val="720954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ln(k/T)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09532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Run 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665048118985126"/>
          <c:y val="0.17315592903828197"/>
          <c:w val="0.76797462817147866"/>
          <c:h val="0.70450495158693394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'2-Et'!$D$50:$D$54</c:f>
              <c:numCache>
                <c:formatCode>General</c:formatCode>
                <c:ptCount val="5"/>
                <c:pt idx="0">
                  <c:v>3.0821390044691015E-3</c:v>
                </c:pt>
                <c:pt idx="1">
                  <c:v>3.0392365437802026E-3</c:v>
                </c:pt>
                <c:pt idx="2">
                  <c:v>2.9965240321227372E-3</c:v>
                </c:pt>
                <c:pt idx="3">
                  <c:v>2.9549954197570991E-3</c:v>
                </c:pt>
                <c:pt idx="4">
                  <c:v>2.9154518950437317E-3</c:v>
                </c:pt>
              </c:numCache>
            </c:numRef>
          </c:xVal>
          <c:yVal>
            <c:numRef>
              <c:f>'2-Et'!$E$50:$E$54</c:f>
              <c:numCache>
                <c:formatCode>General</c:formatCode>
                <c:ptCount val="5"/>
                <c:pt idx="0">
                  <c:v>-4.1562109446255917</c:v>
                </c:pt>
                <c:pt idx="1">
                  <c:v>-3.4220711435561189</c:v>
                </c:pt>
                <c:pt idx="2">
                  <c:v>-2.8274067981863773</c:v>
                </c:pt>
                <c:pt idx="3">
                  <c:v>-2.4086404940667974</c:v>
                </c:pt>
                <c:pt idx="4">
                  <c:v>-1.8740056743067173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D1D-4760-9B67-B45CA647D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4859368"/>
        <c:axId val="864860024"/>
      </c:scatterChart>
      <c:valAx>
        <c:axId val="8648593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1/T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4860024"/>
        <c:crosses val="autoZero"/>
        <c:crossBetween val="midCat"/>
      </c:valAx>
      <c:valAx>
        <c:axId val="864860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ln(k/T)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48593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47513</xdr:colOff>
      <xdr:row>0</xdr:row>
      <xdr:rowOff>13895</xdr:rowOff>
    </xdr:from>
    <xdr:to>
      <xdr:col>14</xdr:col>
      <xdr:colOff>352313</xdr:colOff>
      <xdr:row>15</xdr:row>
      <xdr:rowOff>116989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270E143-97FA-46E4-9FAE-300508C97D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30480</xdr:colOff>
      <xdr:row>21</xdr:row>
      <xdr:rowOff>102870</xdr:rowOff>
    </xdr:from>
    <xdr:to>
      <xdr:col>14</xdr:col>
      <xdr:colOff>335280</xdr:colOff>
      <xdr:row>36</xdr:row>
      <xdr:rowOff>125730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2179E91-FC3B-4679-9D9F-ACD640CECA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586740</xdr:colOff>
      <xdr:row>40</xdr:row>
      <xdr:rowOff>34290</xdr:rowOff>
    </xdr:from>
    <xdr:to>
      <xdr:col>14</xdr:col>
      <xdr:colOff>281940</xdr:colOff>
      <xdr:row>55</xdr:row>
      <xdr:rowOff>34290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AC0755FC-0AF7-4CE3-96AD-7B4F54E6E0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83820</xdr:colOff>
      <xdr:row>1</xdr:row>
      <xdr:rowOff>64770</xdr:rowOff>
    </xdr:from>
    <xdr:to>
      <xdr:col>15</xdr:col>
      <xdr:colOff>388620</xdr:colOff>
      <xdr:row>16</xdr:row>
      <xdr:rowOff>64770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CDCA9DD-E6D3-4835-8944-751178DC42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441960</xdr:colOff>
      <xdr:row>20</xdr:row>
      <xdr:rowOff>95250</xdr:rowOff>
    </xdr:from>
    <xdr:to>
      <xdr:col>16</xdr:col>
      <xdr:colOff>137160</xdr:colOff>
      <xdr:row>35</xdr:row>
      <xdr:rowOff>95250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1636DF5-5CF7-4749-A318-7AF15A4ADC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510540</xdr:colOff>
      <xdr:row>38</xdr:row>
      <xdr:rowOff>110490</xdr:rowOff>
    </xdr:from>
    <xdr:to>
      <xdr:col>17</xdr:col>
      <xdr:colOff>205740</xdr:colOff>
      <xdr:row>53</xdr:row>
      <xdr:rowOff>110490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338130D-2685-444E-8277-678FBFC1C1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15240</xdr:colOff>
      <xdr:row>4</xdr:row>
      <xdr:rowOff>11430</xdr:rowOff>
    </xdr:from>
    <xdr:to>
      <xdr:col>16</xdr:col>
      <xdr:colOff>320040</xdr:colOff>
      <xdr:row>18</xdr:row>
      <xdr:rowOff>148590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479DCE6-8AF6-44A9-96F6-8E087EF6D6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525780</xdr:colOff>
      <xdr:row>19</xdr:row>
      <xdr:rowOff>125730</xdr:rowOff>
    </xdr:from>
    <xdr:to>
      <xdr:col>16</xdr:col>
      <xdr:colOff>220980</xdr:colOff>
      <xdr:row>34</xdr:row>
      <xdr:rowOff>125730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E68B60C-3DCC-4D04-824C-7D9884752A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533400</xdr:colOff>
      <xdr:row>36</xdr:row>
      <xdr:rowOff>179070</xdr:rowOff>
    </xdr:from>
    <xdr:to>
      <xdr:col>15</xdr:col>
      <xdr:colOff>228600</xdr:colOff>
      <xdr:row>51</xdr:row>
      <xdr:rowOff>110490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ABBDD7F-5048-4772-8758-A2F2CBC885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510540</xdr:colOff>
      <xdr:row>0</xdr:row>
      <xdr:rowOff>140970</xdr:rowOff>
    </xdr:from>
    <xdr:to>
      <xdr:col>15</xdr:col>
      <xdr:colOff>205740</xdr:colOff>
      <xdr:row>15</xdr:row>
      <xdr:rowOff>140970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CE1F613-B271-4CAF-AB6A-5ED9FB6994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30480</xdr:colOff>
      <xdr:row>20</xdr:row>
      <xdr:rowOff>140970</xdr:rowOff>
    </xdr:from>
    <xdr:to>
      <xdr:col>15</xdr:col>
      <xdr:colOff>335280</xdr:colOff>
      <xdr:row>35</xdr:row>
      <xdr:rowOff>163830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D0C538C-4BD2-4854-AD07-64F654571D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53340</xdr:colOff>
      <xdr:row>38</xdr:row>
      <xdr:rowOff>3810</xdr:rowOff>
    </xdr:from>
    <xdr:to>
      <xdr:col>15</xdr:col>
      <xdr:colOff>358140</xdr:colOff>
      <xdr:row>53</xdr:row>
      <xdr:rowOff>3810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53F58AE-35B2-408C-B354-89AB7A3B47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510540</xdr:colOff>
      <xdr:row>0</xdr:row>
      <xdr:rowOff>0</xdr:rowOff>
    </xdr:from>
    <xdr:to>
      <xdr:col>16</xdr:col>
      <xdr:colOff>205740</xdr:colOff>
      <xdr:row>14</xdr:row>
      <xdr:rowOff>182880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7CE9E47-5C24-49FA-9B85-1E42AA6D58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594360</xdr:colOff>
      <xdr:row>19</xdr:row>
      <xdr:rowOff>118110</xdr:rowOff>
    </xdr:from>
    <xdr:to>
      <xdr:col>16</xdr:col>
      <xdr:colOff>289560</xdr:colOff>
      <xdr:row>34</xdr:row>
      <xdr:rowOff>26670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DAC23D6-DFDB-4406-9B8D-DA3CF867AA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601980</xdr:colOff>
      <xdr:row>35</xdr:row>
      <xdr:rowOff>179070</xdr:rowOff>
    </xdr:from>
    <xdr:to>
      <xdr:col>16</xdr:col>
      <xdr:colOff>297180</xdr:colOff>
      <xdr:row>50</xdr:row>
      <xdr:rowOff>201930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15253FD-5FD0-446F-96D1-1B9661D939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441960</xdr:colOff>
      <xdr:row>1</xdr:row>
      <xdr:rowOff>64770</xdr:rowOff>
    </xdr:from>
    <xdr:to>
      <xdr:col>16</xdr:col>
      <xdr:colOff>137160</xdr:colOff>
      <xdr:row>16</xdr:row>
      <xdr:rowOff>64770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7991C79-128A-4AB4-B6D9-702E1A187B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186690</xdr:colOff>
      <xdr:row>21</xdr:row>
      <xdr:rowOff>57150</xdr:rowOff>
    </xdr:from>
    <xdr:to>
      <xdr:col>15</xdr:col>
      <xdr:colOff>491490</xdr:colOff>
      <xdr:row>36</xdr:row>
      <xdr:rowOff>57150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5CDA690-0B3A-4896-B2C6-F11FC64DA4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510540</xdr:colOff>
      <xdr:row>40</xdr:row>
      <xdr:rowOff>57150</xdr:rowOff>
    </xdr:from>
    <xdr:to>
      <xdr:col>15</xdr:col>
      <xdr:colOff>205740</xdr:colOff>
      <xdr:row>55</xdr:row>
      <xdr:rowOff>57150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8285FB9-0DE1-4C28-B657-149D747F23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403860</xdr:colOff>
      <xdr:row>0</xdr:row>
      <xdr:rowOff>171450</xdr:rowOff>
    </xdr:from>
    <xdr:to>
      <xdr:col>17</xdr:col>
      <xdr:colOff>99060</xdr:colOff>
      <xdr:row>16</xdr:row>
      <xdr:rowOff>11430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875038F-A9E2-4BAD-99B9-3DB1F4320B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236220</xdr:colOff>
      <xdr:row>20</xdr:row>
      <xdr:rowOff>19050</xdr:rowOff>
    </xdr:from>
    <xdr:to>
      <xdr:col>16</xdr:col>
      <xdr:colOff>541020</xdr:colOff>
      <xdr:row>35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050F688-C464-4F3B-8316-40DECDB30A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342900</xdr:colOff>
      <xdr:row>39</xdr:row>
      <xdr:rowOff>179070</xdr:rowOff>
    </xdr:from>
    <xdr:to>
      <xdr:col>17</xdr:col>
      <xdr:colOff>38100</xdr:colOff>
      <xdr:row>55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ACECC91-B28A-4104-82A6-D08F29A0A4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0B6BF-D1FE-47BD-A049-3AF794484326}">
  <dimension ref="A1:F64"/>
  <sheetViews>
    <sheetView tabSelected="1" zoomScaleNormal="100" workbookViewId="0">
      <selection activeCell="H71" sqref="H71"/>
    </sheetView>
  </sheetViews>
  <sheetFormatPr defaultRowHeight="14.4"/>
  <cols>
    <col min="2" max="2" width="28.6640625" customWidth="1"/>
    <col min="3" max="3" width="23.33203125" customWidth="1"/>
    <col min="4" max="4" width="12.44140625" customWidth="1"/>
    <col min="5" max="5" width="21.77734375" customWidth="1"/>
  </cols>
  <sheetData>
    <row r="1" spans="1:6">
      <c r="A1" t="s">
        <v>11</v>
      </c>
    </row>
    <row r="2" spans="1:6">
      <c r="A2" t="s">
        <v>20</v>
      </c>
      <c r="B2" t="s">
        <v>0</v>
      </c>
      <c r="C2" t="s">
        <v>2</v>
      </c>
      <c r="D2" t="s">
        <v>4</v>
      </c>
      <c r="E2" t="s">
        <v>3</v>
      </c>
      <c r="F2" t="s">
        <v>1</v>
      </c>
    </row>
    <row r="3" spans="1:6">
      <c r="A3">
        <v>297.18</v>
      </c>
      <c r="B3">
        <v>1.7889999999999999</v>
      </c>
      <c r="C3">
        <f>3.141592*(B3-1.589)</f>
        <v>0.62831839999999994</v>
      </c>
      <c r="D3">
        <f t="shared" ref="D3:D13" si="0">1/A3</f>
        <v>3.3649639948852548E-3</v>
      </c>
      <c r="E3">
        <f t="shared" ref="E3:E13" si="1">LN(C3/A3)</f>
        <v>-6.159046250457016</v>
      </c>
      <c r="F3">
        <f>18.55066405-A3*2.82557/1000</f>
        <v>17.7109611574</v>
      </c>
    </row>
    <row r="4" spans="1:6">
      <c r="A4">
        <v>301.68</v>
      </c>
      <c r="B4">
        <v>1.589</v>
      </c>
      <c r="C4">
        <f t="shared" ref="C4:C13" si="2">3.141592*(B4-1.589)</f>
        <v>0</v>
      </c>
      <c r="D4">
        <f t="shared" si="0"/>
        <v>3.3147706178732429E-3</v>
      </c>
      <c r="E4" t="e">
        <f t="shared" si="1"/>
        <v>#NUM!</v>
      </c>
      <c r="F4">
        <f t="shared" ref="F4:F13" si="3">18.55066405-A4*2.82557/1000</f>
        <v>17.698246092400002</v>
      </c>
    </row>
    <row r="5" spans="1:6">
      <c r="A5">
        <v>306.18</v>
      </c>
      <c r="B5">
        <v>2.581</v>
      </c>
      <c r="C5">
        <f t="shared" si="2"/>
        <v>3.116459264</v>
      </c>
      <c r="D5">
        <f t="shared" si="0"/>
        <v>3.2660526487686982E-3</v>
      </c>
      <c r="E5">
        <f t="shared" si="1"/>
        <v>-4.5874756581959133</v>
      </c>
      <c r="F5">
        <f t="shared" si="3"/>
        <v>17.685531027400003</v>
      </c>
    </row>
    <row r="6" spans="1:6">
      <c r="A6">
        <v>310.67</v>
      </c>
      <c r="B6">
        <v>1.629</v>
      </c>
      <c r="C6">
        <f t="shared" si="2"/>
        <v>0.12566368000000011</v>
      </c>
      <c r="D6">
        <f t="shared" si="0"/>
        <v>3.2188495831589788E-3</v>
      </c>
      <c r="E6">
        <f t="shared" si="1"/>
        <v>-7.8128774026365679</v>
      </c>
      <c r="F6">
        <f t="shared" si="3"/>
        <v>17.672844218100003</v>
      </c>
    </row>
    <row r="7" spans="1:6">
      <c r="A7">
        <v>315.26</v>
      </c>
      <c r="B7">
        <v>2.0390000000000001</v>
      </c>
      <c r="C7">
        <f t="shared" si="2"/>
        <v>1.4137164000000007</v>
      </c>
      <c r="D7">
        <f t="shared" si="0"/>
        <v>3.1719850282306669E-3</v>
      </c>
      <c r="E7">
        <f t="shared" si="1"/>
        <v>-5.4071757136108811</v>
      </c>
      <c r="F7">
        <f t="shared" si="3"/>
        <v>17.659874851800001</v>
      </c>
    </row>
    <row r="8" spans="1:6">
      <c r="A8">
        <v>319.85000000000002</v>
      </c>
      <c r="B8">
        <v>2.7429999999999999</v>
      </c>
      <c r="C8">
        <f t="shared" si="2"/>
        <v>3.6253971680000001</v>
      </c>
      <c r="D8">
        <f t="shared" si="0"/>
        <v>3.1264655307175235E-3</v>
      </c>
      <c r="E8">
        <f t="shared" si="1"/>
        <v>-4.4798882900049533</v>
      </c>
      <c r="F8">
        <f t="shared" si="3"/>
        <v>17.646905485500003</v>
      </c>
    </row>
    <row r="9" spans="1:6">
      <c r="A9">
        <v>324.45</v>
      </c>
      <c r="B9">
        <v>4.3570000000000002</v>
      </c>
      <c r="C9">
        <f t="shared" si="2"/>
        <v>8.695926656000001</v>
      </c>
      <c r="D9">
        <f t="shared" si="0"/>
        <v>3.0821390044691015E-3</v>
      </c>
      <c r="E9">
        <f t="shared" si="1"/>
        <v>-3.6192767255064684</v>
      </c>
      <c r="F9">
        <f t="shared" si="3"/>
        <v>17.633907863500003</v>
      </c>
    </row>
    <row r="10" spans="1:6">
      <c r="A10">
        <v>329.03</v>
      </c>
      <c r="B10">
        <v>6.2759999999999998</v>
      </c>
      <c r="C10">
        <f t="shared" si="2"/>
        <v>14.724641704</v>
      </c>
      <c r="D10">
        <f t="shared" si="0"/>
        <v>3.0392365437802026E-3</v>
      </c>
      <c r="E10">
        <f t="shared" si="1"/>
        <v>-3.1066265352727145</v>
      </c>
      <c r="F10">
        <f t="shared" si="3"/>
        <v>17.620966752900003</v>
      </c>
    </row>
    <row r="11" spans="1:6">
      <c r="A11">
        <v>333.72</v>
      </c>
      <c r="B11">
        <v>7.6520000000000001</v>
      </c>
      <c r="C11">
        <f t="shared" si="2"/>
        <v>19.047472296000002</v>
      </c>
      <c r="D11">
        <f t="shared" si="0"/>
        <v>2.9965240321227372E-3</v>
      </c>
      <c r="E11">
        <f t="shared" si="1"/>
        <v>-2.8633679131389944</v>
      </c>
      <c r="F11">
        <f t="shared" si="3"/>
        <v>17.607714829600003</v>
      </c>
    </row>
    <row r="12" spans="1:6">
      <c r="A12">
        <v>338.41</v>
      </c>
      <c r="B12">
        <v>11.227</v>
      </c>
      <c r="C12">
        <f t="shared" si="2"/>
        <v>30.278663696000002</v>
      </c>
      <c r="D12">
        <f t="shared" si="0"/>
        <v>2.9549954197570991E-3</v>
      </c>
      <c r="E12">
        <f t="shared" si="1"/>
        <v>-2.4138148820994476</v>
      </c>
      <c r="F12">
        <f t="shared" si="3"/>
        <v>17.594462906300002</v>
      </c>
    </row>
    <row r="13" spans="1:6">
      <c r="A13">
        <v>343</v>
      </c>
      <c r="B13">
        <v>16.138999999999999</v>
      </c>
      <c r="C13">
        <f t="shared" si="2"/>
        <v>45.710163600000001</v>
      </c>
      <c r="D13">
        <f t="shared" si="0"/>
        <v>2.9154518950437317E-3</v>
      </c>
      <c r="E13">
        <f t="shared" si="1"/>
        <v>-2.0154097757431524</v>
      </c>
      <c r="F13">
        <f t="shared" si="3"/>
        <v>17.58149354</v>
      </c>
    </row>
    <row r="14" spans="1:6">
      <c r="A14" t="s">
        <v>7</v>
      </c>
      <c r="B14">
        <v>9335.7999999999993</v>
      </c>
    </row>
    <row r="15" spans="1:6">
      <c r="A15" t="s">
        <v>8</v>
      </c>
      <c r="B15">
        <v>25.181999999999999</v>
      </c>
    </row>
    <row r="16" spans="1:6" ht="16.2">
      <c r="A16" t="s">
        <v>5</v>
      </c>
      <c r="B16">
        <f>B14*8.314*0.239/1000</f>
        <v>18.550664046799998</v>
      </c>
    </row>
    <row r="17" spans="1:6" ht="16.2">
      <c r="A17" t="s">
        <v>6</v>
      </c>
      <c r="B17">
        <f>(B15-23.76)*8.314*0.239</f>
        <v>2.825579411999994</v>
      </c>
    </row>
    <row r="22" spans="1:6">
      <c r="A22" t="s">
        <v>12</v>
      </c>
    </row>
    <row r="23" spans="1:6">
      <c r="A23" t="s">
        <v>20</v>
      </c>
      <c r="B23" t="s">
        <v>0</v>
      </c>
      <c r="C23" t="s">
        <v>2</v>
      </c>
      <c r="D23" t="s">
        <v>4</v>
      </c>
      <c r="E23" t="s">
        <v>3</v>
      </c>
      <c r="F23" t="s">
        <v>1</v>
      </c>
    </row>
    <row r="24" spans="1:6">
      <c r="A24">
        <v>297.18</v>
      </c>
      <c r="B24">
        <v>2.528</v>
      </c>
      <c r="C24">
        <f>3.141592*(B24-2.023)</f>
        <v>1.5865039599999997</v>
      </c>
      <c r="D24">
        <f t="shared" ref="D24:D34" si="4">1/A24</f>
        <v>3.3649639948852548E-3</v>
      </c>
      <c r="E24">
        <f t="shared" ref="E24:E34" si="5">LN(C24/A24)</f>
        <v>-5.2328051877296931</v>
      </c>
      <c r="F24">
        <f>27.534-A24*28.949/1000</f>
        <v>18.930936179999996</v>
      </c>
    </row>
    <row r="25" spans="1:6">
      <c r="A25">
        <v>301.68</v>
      </c>
      <c r="B25">
        <v>2.161</v>
      </c>
      <c r="C25">
        <f t="shared" ref="C25:C34" si="6">3.141592*(B25-2.023)</f>
        <v>0.4335396959999997</v>
      </c>
      <c r="D25">
        <f t="shared" si="4"/>
        <v>3.3147706178732429E-3</v>
      </c>
      <c r="E25">
        <f t="shared" si="5"/>
        <v>-6.5451387689697489</v>
      </c>
      <c r="F25">
        <f t="shared" ref="F25:F34" si="7">27.534-A25*28.949/1000</f>
        <v>18.800665680000002</v>
      </c>
    </row>
    <row r="26" spans="1:6">
      <c r="A26">
        <v>306.18</v>
      </c>
      <c r="B26">
        <v>2.0230000000000001</v>
      </c>
      <c r="C26">
        <f t="shared" si="6"/>
        <v>0</v>
      </c>
      <c r="D26">
        <f t="shared" si="4"/>
        <v>3.2660526487686982E-3</v>
      </c>
      <c r="E26" t="e">
        <f t="shared" si="5"/>
        <v>#NUM!</v>
      </c>
      <c r="F26">
        <f t="shared" si="7"/>
        <v>18.67039518</v>
      </c>
    </row>
    <row r="27" spans="1:6">
      <c r="A27">
        <v>310.67</v>
      </c>
      <c r="B27">
        <v>2.0289999999999999</v>
      </c>
      <c r="C27">
        <f t="shared" si="6"/>
        <v>1.8849551999999319E-2</v>
      </c>
      <c r="D27">
        <f t="shared" si="4"/>
        <v>3.2188495831589788E-3</v>
      </c>
      <c r="E27">
        <f t="shared" si="5"/>
        <v>-9.7099973875224865</v>
      </c>
      <c r="F27">
        <f t="shared" si="7"/>
        <v>18.540414169999998</v>
      </c>
    </row>
    <row r="28" spans="1:6">
      <c r="A28">
        <v>315.26</v>
      </c>
      <c r="B28">
        <v>2.1760000000000002</v>
      </c>
      <c r="C28">
        <f t="shared" si="6"/>
        <v>0.48066357600000009</v>
      </c>
      <c r="D28">
        <f t="shared" si="4"/>
        <v>3.1719850282306669E-3</v>
      </c>
      <c r="E28">
        <f t="shared" si="5"/>
        <v>-6.4859853749828122</v>
      </c>
      <c r="F28">
        <f t="shared" si="7"/>
        <v>18.407538259999999</v>
      </c>
    </row>
    <row r="29" spans="1:6">
      <c r="A29">
        <v>319.85000000000002</v>
      </c>
      <c r="B29">
        <v>2.4449999999999998</v>
      </c>
      <c r="C29">
        <f t="shared" si="6"/>
        <v>1.3257518239999992</v>
      </c>
      <c r="D29">
        <f t="shared" si="4"/>
        <v>3.1264655307175235E-3</v>
      </c>
      <c r="E29">
        <f t="shared" si="5"/>
        <v>-5.4858724230369864</v>
      </c>
      <c r="F29">
        <f t="shared" si="7"/>
        <v>18.27466235</v>
      </c>
    </row>
    <row r="30" spans="1:6">
      <c r="A30">
        <v>324.45</v>
      </c>
      <c r="B30">
        <v>3.1480000000000001</v>
      </c>
      <c r="C30">
        <f t="shared" si="6"/>
        <v>3.5342910000000001</v>
      </c>
      <c r="D30">
        <f t="shared" si="4"/>
        <v>3.0821390044691015E-3</v>
      </c>
      <c r="E30">
        <f t="shared" si="5"/>
        <v>-4.5196187276055078</v>
      </c>
      <c r="F30">
        <f t="shared" si="7"/>
        <v>18.141496949999997</v>
      </c>
    </row>
    <row r="31" spans="1:6">
      <c r="A31">
        <v>329.03</v>
      </c>
      <c r="B31">
        <v>4.3650000000000002</v>
      </c>
      <c r="C31">
        <f t="shared" si="6"/>
        <v>7.357608464000001</v>
      </c>
      <c r="D31">
        <f t="shared" si="4"/>
        <v>3.0392365437802026E-3</v>
      </c>
      <c r="E31">
        <f t="shared" si="5"/>
        <v>-3.8004139890377577</v>
      </c>
      <c r="F31">
        <f t="shared" si="7"/>
        <v>18.008910530000001</v>
      </c>
    </row>
    <row r="32" spans="1:6">
      <c r="A32">
        <v>333.72</v>
      </c>
      <c r="B32">
        <v>6.4560000000000004</v>
      </c>
      <c r="C32">
        <f t="shared" si="6"/>
        <v>13.926677336000001</v>
      </c>
      <c r="D32">
        <f t="shared" si="4"/>
        <v>2.9965240321227372E-3</v>
      </c>
      <c r="E32">
        <f t="shared" si="5"/>
        <v>-3.1764960844656716</v>
      </c>
      <c r="F32">
        <f t="shared" si="7"/>
        <v>17.873139719999998</v>
      </c>
    </row>
    <row r="33" spans="1:6">
      <c r="A33">
        <v>338.41</v>
      </c>
      <c r="B33">
        <v>9.8650000000000002</v>
      </c>
      <c r="C33">
        <f t="shared" si="6"/>
        <v>24.636364464000003</v>
      </c>
      <c r="D33">
        <f t="shared" si="4"/>
        <v>2.9549954197570991E-3</v>
      </c>
      <c r="E33">
        <f t="shared" si="5"/>
        <v>-2.6200345964474483</v>
      </c>
      <c r="F33">
        <f t="shared" si="7"/>
        <v>17.737368910000001</v>
      </c>
    </row>
    <row r="34" spans="1:6">
      <c r="A34">
        <v>343</v>
      </c>
      <c r="B34">
        <v>15.673999999999999</v>
      </c>
      <c r="C34">
        <f t="shared" si="6"/>
        <v>42.885872392000003</v>
      </c>
      <c r="D34">
        <f t="shared" si="4"/>
        <v>2.9154518950437317E-3</v>
      </c>
      <c r="E34">
        <f t="shared" si="5"/>
        <v>-2.0791879903398134</v>
      </c>
      <c r="F34">
        <f t="shared" si="7"/>
        <v>17.604492999999998</v>
      </c>
    </row>
    <row r="35" spans="1:6">
      <c r="A35" t="s">
        <v>7</v>
      </c>
      <c r="B35">
        <v>14523</v>
      </c>
    </row>
    <row r="36" spans="1:6">
      <c r="A36" t="s">
        <v>8</v>
      </c>
      <c r="B36">
        <v>40.295999999999999</v>
      </c>
    </row>
    <row r="37" spans="1:6" ht="16.2">
      <c r="A37" t="s">
        <v>5</v>
      </c>
      <c r="B37">
        <f>B35*8.314*0.239/1000</f>
        <v>28.857869057999995</v>
      </c>
    </row>
    <row r="38" spans="1:6" ht="16.2">
      <c r="A38" t="s">
        <v>6</v>
      </c>
      <c r="B38">
        <f>(B36-23.76)*8.314*0.239</f>
        <v>32.857792655999994</v>
      </c>
    </row>
    <row r="41" spans="1:6">
      <c r="A41" t="s">
        <v>13</v>
      </c>
    </row>
    <row r="42" spans="1:6">
      <c r="A42" t="s">
        <v>20</v>
      </c>
      <c r="B42" t="s">
        <v>0</v>
      </c>
      <c r="C42" t="s">
        <v>2</v>
      </c>
      <c r="D42" t="s">
        <v>4</v>
      </c>
      <c r="E42" t="s">
        <v>3</v>
      </c>
      <c r="F42" t="s">
        <v>1</v>
      </c>
    </row>
    <row r="43" spans="1:6">
      <c r="A43">
        <v>297.18</v>
      </c>
      <c r="B43">
        <v>2.4460000000000002</v>
      </c>
      <c r="C43">
        <f>3.141592*(B43-1.943)</f>
        <v>1.5802207760000004</v>
      </c>
      <c r="D43">
        <f t="shared" ref="D43:D53" si="8">1/A43</f>
        <v>3.3649639948852548E-3</v>
      </c>
      <c r="E43">
        <f t="shared" ref="E43:E53" si="9">LN(C43/A43)</f>
        <v>-5.2367734469053131</v>
      </c>
      <c r="F43">
        <f>27.04767-A43*27.5643/1000</f>
        <v>18.856111326000001</v>
      </c>
    </row>
    <row r="44" spans="1:6">
      <c r="A44">
        <v>301.68</v>
      </c>
      <c r="B44">
        <v>2.0840000000000001</v>
      </c>
      <c r="C44">
        <f t="shared" ref="C44:C53" si="10">3.141592*(B44-1.943)</f>
        <v>0.44296447200000005</v>
      </c>
      <c r="D44">
        <f t="shared" si="8"/>
        <v>3.3147706178732429E-3</v>
      </c>
      <c r="E44">
        <f t="shared" si="9"/>
        <v>-6.5236325637487846</v>
      </c>
      <c r="F44">
        <f t="shared" ref="F44:F53" si="11">27.04767-A44*27.5643/1000</f>
        <v>18.732071976</v>
      </c>
    </row>
    <row r="45" spans="1:6">
      <c r="A45">
        <v>306.18</v>
      </c>
      <c r="B45">
        <v>1.9430000000000001</v>
      </c>
      <c r="C45">
        <f t="shared" si="10"/>
        <v>0</v>
      </c>
      <c r="D45">
        <f t="shared" si="8"/>
        <v>3.2660526487686982E-3</v>
      </c>
      <c r="E45" t="e">
        <f t="shared" si="9"/>
        <v>#NUM!</v>
      </c>
      <c r="F45">
        <f t="shared" si="11"/>
        <v>18.608032626</v>
      </c>
    </row>
    <row r="46" spans="1:6">
      <c r="A46">
        <v>310.67</v>
      </c>
      <c r="B46">
        <v>2.323</v>
      </c>
      <c r="C46">
        <f>3.141592*(B46-1.943)</f>
        <v>1.1938049599999998</v>
      </c>
      <c r="D46">
        <f t="shared" si="8"/>
        <v>3.2188495831589788E-3</v>
      </c>
      <c r="E46">
        <f t="shared" si="9"/>
        <v>-5.5615856040300731</v>
      </c>
      <c r="F46">
        <f t="shared" si="11"/>
        <v>18.484268919000002</v>
      </c>
    </row>
    <row r="47" spans="1:6">
      <c r="A47">
        <v>315.26</v>
      </c>
      <c r="B47">
        <v>2.242</v>
      </c>
      <c r="C47">
        <f t="shared" si="10"/>
        <v>0.93933600799999983</v>
      </c>
      <c r="D47">
        <f t="shared" si="8"/>
        <v>3.1719850282306669E-3</v>
      </c>
      <c r="E47">
        <f t="shared" si="9"/>
        <v>-5.8159797229845616</v>
      </c>
      <c r="F47">
        <f t="shared" si="11"/>
        <v>18.357748782000002</v>
      </c>
    </row>
    <row r="48" spans="1:6">
      <c r="A48">
        <v>319.85000000000002</v>
      </c>
      <c r="B48">
        <v>2.68</v>
      </c>
      <c r="C48">
        <f t="shared" si="10"/>
        <v>2.3153533040000003</v>
      </c>
      <c r="D48">
        <f t="shared" si="8"/>
        <v>3.1264655307175235E-3</v>
      </c>
      <c r="E48">
        <f t="shared" si="9"/>
        <v>-4.9282898448836612</v>
      </c>
      <c r="F48">
        <f t="shared" si="11"/>
        <v>18.231228645000002</v>
      </c>
    </row>
    <row r="49" spans="1:6">
      <c r="A49">
        <v>324.45</v>
      </c>
      <c r="B49">
        <v>3.2679999999999998</v>
      </c>
      <c r="C49">
        <f t="shared" si="10"/>
        <v>4.1626093999999991</v>
      </c>
      <c r="D49">
        <f t="shared" si="8"/>
        <v>3.0821390044691015E-3</v>
      </c>
      <c r="E49">
        <f t="shared" si="9"/>
        <v>-4.3559893038237059</v>
      </c>
      <c r="F49">
        <f t="shared" si="11"/>
        <v>18.104432865</v>
      </c>
    </row>
    <row r="50" spans="1:6">
      <c r="A50">
        <v>329.03</v>
      </c>
      <c r="B50">
        <v>4.556</v>
      </c>
      <c r="C50">
        <f t="shared" si="10"/>
        <v>8.2089798960000007</v>
      </c>
      <c r="D50">
        <f t="shared" si="8"/>
        <v>3.0392365437802026E-3</v>
      </c>
      <c r="E50">
        <f t="shared" si="9"/>
        <v>-3.6909202676748079</v>
      </c>
      <c r="F50">
        <f t="shared" si="11"/>
        <v>17.978188371000002</v>
      </c>
    </row>
    <row r="51" spans="1:6">
      <c r="A51">
        <v>333.72</v>
      </c>
      <c r="B51">
        <v>6.5309999999999997</v>
      </c>
      <c r="C51">
        <f t="shared" si="10"/>
        <v>14.413624095999998</v>
      </c>
      <c r="D51">
        <f t="shared" si="8"/>
        <v>2.9965240321227372E-3</v>
      </c>
      <c r="E51">
        <f t="shared" si="9"/>
        <v>-3.1421284409614638</v>
      </c>
      <c r="F51">
        <f t="shared" si="11"/>
        <v>17.848911804</v>
      </c>
    </row>
    <row r="52" spans="1:6">
      <c r="A52">
        <v>338.41</v>
      </c>
      <c r="B52">
        <v>9.8840000000000003</v>
      </c>
      <c r="C52">
        <f t="shared" si="10"/>
        <v>24.947382072000003</v>
      </c>
      <c r="D52">
        <f t="shared" si="8"/>
        <v>2.9549954197570991E-3</v>
      </c>
      <c r="E52">
        <f t="shared" si="9"/>
        <v>-2.6074892884045147</v>
      </c>
      <c r="F52">
        <f t="shared" si="11"/>
        <v>17.719635236999999</v>
      </c>
    </row>
    <row r="53" spans="1:6">
      <c r="A53">
        <v>343</v>
      </c>
      <c r="B53">
        <v>15.847</v>
      </c>
      <c r="C53">
        <f t="shared" si="10"/>
        <v>43.680695168</v>
      </c>
      <c r="D53">
        <f t="shared" si="8"/>
        <v>2.9154518950437317E-3</v>
      </c>
      <c r="E53">
        <f t="shared" si="9"/>
        <v>-2.0608242008376179</v>
      </c>
      <c r="F53">
        <f t="shared" si="11"/>
        <v>17.593115099999999</v>
      </c>
    </row>
    <row r="54" spans="1:6">
      <c r="A54" t="s">
        <v>7</v>
      </c>
      <c r="B54">
        <v>13589</v>
      </c>
    </row>
    <row r="55" spans="1:6">
      <c r="A55" t="s">
        <v>8</v>
      </c>
      <c r="B55">
        <v>37.564</v>
      </c>
    </row>
    <row r="56" spans="1:6" ht="16.2">
      <c r="A56" t="s">
        <v>5</v>
      </c>
      <c r="B56">
        <f>B54*8.314*0.239/1000</f>
        <v>27.001968093999995</v>
      </c>
    </row>
    <row r="57" spans="1:6" ht="16.2">
      <c r="A57" t="s">
        <v>14</v>
      </c>
      <c r="B57">
        <f>(B55-23.76)*8.314*0.239</f>
        <v>27.429182983999997</v>
      </c>
    </row>
    <row r="59" spans="1:6">
      <c r="A59" t="s">
        <v>15</v>
      </c>
      <c r="B59">
        <v>1</v>
      </c>
      <c r="C59">
        <v>2</v>
      </c>
      <c r="D59">
        <v>3</v>
      </c>
      <c r="E59" t="s">
        <v>18</v>
      </c>
      <c r="F59" t="s">
        <v>19</v>
      </c>
    </row>
    <row r="60" spans="1:6">
      <c r="A60" t="s">
        <v>7</v>
      </c>
      <c r="B60">
        <v>9335.7999999999993</v>
      </c>
      <c r="C60">
        <v>14523</v>
      </c>
      <c r="D60">
        <v>13589</v>
      </c>
    </row>
    <row r="61" spans="1:6">
      <c r="A61" t="s">
        <v>8</v>
      </c>
      <c r="B61">
        <v>25.181999999999999</v>
      </c>
      <c r="C61">
        <v>40.295999999999999</v>
      </c>
      <c r="D61">
        <v>37.564</v>
      </c>
    </row>
    <row r="62" spans="1:6" ht="16.2">
      <c r="A62" t="s">
        <v>5</v>
      </c>
      <c r="B62">
        <f>B60*8.314*0.239/1000</f>
        <v>18.550664046799998</v>
      </c>
      <c r="C62">
        <f>C60*8.314*0.239/1000</f>
        <v>28.857869057999995</v>
      </c>
      <c r="D62">
        <f>D60*8.314*0.239/1000</f>
        <v>27.001968093999995</v>
      </c>
    </row>
    <row r="63" spans="1:6" ht="16.2">
      <c r="A63" t="s">
        <v>14</v>
      </c>
      <c r="B63">
        <f>(B61-23.76)*8.314*0.239</f>
        <v>2.825579411999994</v>
      </c>
      <c r="C63">
        <f>(C61-23.76)*8.314*0.239</f>
        <v>32.857792655999994</v>
      </c>
      <c r="D63">
        <f>(D61-23.76)*8.314*0.239</f>
        <v>27.429182983999997</v>
      </c>
    </row>
    <row r="64" spans="1:6" ht="16.2">
      <c r="A64" t="s">
        <v>9</v>
      </c>
      <c r="B64">
        <f>B62-0.29815*B63</f>
        <v>17.708217545112198</v>
      </c>
      <c r="C64">
        <f>C62-0.29815*C63</f>
        <v>19.061318177613597</v>
      </c>
      <c r="D64">
        <f t="shared" ref="D64" si="12">D62-0.29815*D63</f>
        <v>18.823957187320396</v>
      </c>
      <c r="E64">
        <f>AVERAGE(B64:D64)</f>
        <v>18.531164303348728</v>
      </c>
      <c r="F64">
        <f>_xlfn.STDEV.S(B64:D64)</f>
        <v>0.72250680626361918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249AB-0950-46C4-82D8-E308747BAFA4}">
  <dimension ref="A1:F64"/>
  <sheetViews>
    <sheetView topLeftCell="A49" workbookViewId="0">
      <selection activeCell="G70" sqref="G70"/>
    </sheetView>
  </sheetViews>
  <sheetFormatPr defaultRowHeight="14.4"/>
  <sheetData>
    <row r="1" spans="1:6">
      <c r="A1" t="s">
        <v>16</v>
      </c>
    </row>
    <row r="2" spans="1:6">
      <c r="A2" t="s">
        <v>20</v>
      </c>
      <c r="B2" t="s">
        <v>0</v>
      </c>
      <c r="C2" t="s">
        <v>2</v>
      </c>
      <c r="D2" t="s">
        <v>4</v>
      </c>
      <c r="E2" t="s">
        <v>3</v>
      </c>
      <c r="F2" t="s">
        <v>1</v>
      </c>
    </row>
    <row r="3" spans="1:6">
      <c r="A3">
        <v>297.18</v>
      </c>
      <c r="B3">
        <v>2.3109999999999999</v>
      </c>
      <c r="C3">
        <f>3.141592*(B3-2.311)</f>
        <v>0</v>
      </c>
      <c r="D3">
        <f t="shared" ref="D3:D13" si="0">1/A3</f>
        <v>3.3649639948852548E-3</v>
      </c>
      <c r="E3" t="e">
        <f t="shared" ref="E3:E13" si="1">LN(C3/A3)</f>
        <v>#NUM!</v>
      </c>
      <c r="F3">
        <f>18.8984-A3*3.956209/1000</f>
        <v>17.722693809379997</v>
      </c>
    </row>
    <row r="4" spans="1:6">
      <c r="A4">
        <v>301.68</v>
      </c>
      <c r="B4">
        <v>3.7669999999999999</v>
      </c>
      <c r="C4">
        <f t="shared" ref="C4:C13" si="2">3.141592*(B4-2.311)</f>
        <v>4.5741579520000002</v>
      </c>
      <c r="D4">
        <f t="shared" si="0"/>
        <v>3.3147706178732429E-3</v>
      </c>
      <c r="E4">
        <f t="shared" si="1"/>
        <v>-4.1889442253703217</v>
      </c>
      <c r="F4">
        <f t="shared" ref="F4:F13" si="3">18.92562-A4*4.03569/1000</f>
        <v>17.7081330408</v>
      </c>
    </row>
    <row r="5" spans="1:6">
      <c r="A5">
        <v>306.18</v>
      </c>
      <c r="B5">
        <v>2.544</v>
      </c>
      <c r="C5">
        <f t="shared" si="2"/>
        <v>0.73199093600000031</v>
      </c>
      <c r="D5">
        <f t="shared" si="0"/>
        <v>3.2660526487686982E-3</v>
      </c>
      <c r="E5">
        <f t="shared" si="1"/>
        <v>-6.0361603119150855</v>
      </c>
      <c r="F5">
        <f t="shared" si="3"/>
        <v>17.689972435799998</v>
      </c>
    </row>
    <row r="6" spans="1:6">
      <c r="A6">
        <v>310.67</v>
      </c>
      <c r="B6">
        <v>2.621</v>
      </c>
      <c r="C6">
        <f t="shared" si="2"/>
        <v>0.97389352000000018</v>
      </c>
      <c r="D6">
        <f t="shared" si="0"/>
        <v>3.2188495831589788E-3</v>
      </c>
      <c r="E6">
        <f t="shared" si="1"/>
        <v>-5.7651845592713125</v>
      </c>
      <c r="F6">
        <f t="shared" si="3"/>
        <v>17.671852187699997</v>
      </c>
    </row>
    <row r="7" spans="1:6">
      <c r="A7">
        <v>315.26</v>
      </c>
      <c r="B7">
        <v>2.956</v>
      </c>
      <c r="C7">
        <f t="shared" si="2"/>
        <v>2.0263268400000003</v>
      </c>
      <c r="D7">
        <f t="shared" si="0"/>
        <v>3.1719850282306669E-3</v>
      </c>
      <c r="E7">
        <f t="shared" si="1"/>
        <v>-5.0471729795794751</v>
      </c>
      <c r="F7">
        <f t="shared" si="3"/>
        <v>17.653328370599997</v>
      </c>
    </row>
    <row r="8" spans="1:6">
      <c r="A8">
        <v>319.85000000000002</v>
      </c>
      <c r="B8">
        <v>4.2080000000000002</v>
      </c>
      <c r="C8">
        <f t="shared" si="2"/>
        <v>5.9596000240000011</v>
      </c>
      <c r="D8">
        <f t="shared" si="0"/>
        <v>3.1264655307175235E-3</v>
      </c>
      <c r="E8">
        <f t="shared" si="1"/>
        <v>-3.9828487671379835</v>
      </c>
      <c r="F8">
        <f t="shared" si="3"/>
        <v>17.634804553499997</v>
      </c>
    </row>
    <row r="9" spans="1:6">
      <c r="A9">
        <v>324.45</v>
      </c>
      <c r="B9">
        <v>5.45</v>
      </c>
      <c r="C9">
        <f t="shared" si="2"/>
        <v>9.8614572880000004</v>
      </c>
      <c r="D9">
        <f t="shared" si="0"/>
        <v>3.0821390044691015E-3</v>
      </c>
      <c r="E9">
        <f t="shared" si="1"/>
        <v>-3.4934974854020751</v>
      </c>
      <c r="F9">
        <f t="shared" si="3"/>
        <v>17.616240379499999</v>
      </c>
    </row>
    <row r="10" spans="1:6">
      <c r="A10">
        <v>329.03</v>
      </c>
      <c r="B10">
        <v>6.4610000000000003</v>
      </c>
      <c r="C10">
        <f t="shared" si="2"/>
        <v>13.037606800000002</v>
      </c>
      <c r="D10">
        <f t="shared" si="0"/>
        <v>3.0392365437802026E-3</v>
      </c>
      <c r="E10">
        <f t="shared" si="1"/>
        <v>-3.2283109199706765</v>
      </c>
      <c r="F10">
        <f t="shared" si="3"/>
        <v>17.5977569193</v>
      </c>
    </row>
    <row r="11" spans="1:6">
      <c r="A11">
        <v>333.72</v>
      </c>
      <c r="B11">
        <v>9.0169999999999995</v>
      </c>
      <c r="C11">
        <f t="shared" si="2"/>
        <v>21.067515952000001</v>
      </c>
      <c r="D11">
        <f t="shared" si="0"/>
        <v>2.9965240321227372E-3</v>
      </c>
      <c r="E11">
        <f t="shared" si="1"/>
        <v>-2.762569992184551</v>
      </c>
      <c r="F11">
        <f t="shared" si="3"/>
        <v>17.578829533199997</v>
      </c>
    </row>
    <row r="12" spans="1:6">
      <c r="A12">
        <v>338.41</v>
      </c>
      <c r="B12">
        <v>12.085000000000001</v>
      </c>
      <c r="C12">
        <f t="shared" si="2"/>
        <v>30.705920208000006</v>
      </c>
      <c r="D12">
        <f t="shared" si="0"/>
        <v>2.9549954197570991E-3</v>
      </c>
      <c r="E12">
        <f t="shared" si="1"/>
        <v>-2.3998027014696253</v>
      </c>
      <c r="F12">
        <f t="shared" si="3"/>
        <v>17.559902147099997</v>
      </c>
    </row>
    <row r="13" spans="1:6">
      <c r="A13">
        <v>343</v>
      </c>
      <c r="B13">
        <v>18.376000000000001</v>
      </c>
      <c r="C13">
        <f t="shared" si="2"/>
        <v>50.469675480000006</v>
      </c>
      <c r="D13">
        <f t="shared" si="0"/>
        <v>2.9154518950437317E-3</v>
      </c>
      <c r="E13">
        <f t="shared" si="1"/>
        <v>-1.9163577767928321</v>
      </c>
      <c r="F13">
        <f t="shared" si="3"/>
        <v>17.541378329999997</v>
      </c>
    </row>
    <row r="14" spans="1:6">
      <c r="A14" t="s">
        <v>7</v>
      </c>
      <c r="B14">
        <v>9524.5</v>
      </c>
    </row>
    <row r="15" spans="1:6">
      <c r="A15" t="s">
        <v>8</v>
      </c>
      <c r="B15">
        <v>25.791</v>
      </c>
    </row>
    <row r="16" spans="1:6" ht="16.2">
      <c r="A16" t="s">
        <v>5</v>
      </c>
      <c r="B16">
        <f>B14*8.314*0.239/1000</f>
        <v>18.925619627</v>
      </c>
    </row>
    <row r="17" spans="1:6" ht="16.2">
      <c r="A17" t="s">
        <v>6</v>
      </c>
      <c r="B17">
        <f>(B15-23.76)*8.314*0.239</f>
        <v>4.0356904259999968</v>
      </c>
    </row>
    <row r="21" spans="1:6">
      <c r="A21" t="s">
        <v>12</v>
      </c>
    </row>
    <row r="22" spans="1:6">
      <c r="A22" t="s">
        <v>20</v>
      </c>
      <c r="B22" t="s">
        <v>0</v>
      </c>
      <c r="C22" t="s">
        <v>2</v>
      </c>
      <c r="D22" t="s">
        <v>4</v>
      </c>
      <c r="E22" t="s">
        <v>3</v>
      </c>
      <c r="F22" t="s">
        <v>1</v>
      </c>
    </row>
    <row r="23" spans="1:6">
      <c r="A23">
        <v>297.18</v>
      </c>
      <c r="B23">
        <v>1.514</v>
      </c>
      <c r="C23">
        <f>3.141592*(B23-1.381)</f>
        <v>0.41783173600000006</v>
      </c>
      <c r="D23">
        <f t="shared" ref="D23:D33" si="4">1/A23</f>
        <v>3.3649639948852548E-3</v>
      </c>
      <c r="E23">
        <f t="shared" ref="E23:E33" si="5">LN(C23/A23)</f>
        <v>-6.5670144887832986</v>
      </c>
      <c r="F23">
        <f>26.9662-A23*27.44309/1000</f>
        <v>18.810662513800001</v>
      </c>
    </row>
    <row r="24" spans="1:6">
      <c r="A24">
        <v>301.68</v>
      </c>
      <c r="B24">
        <v>1.381</v>
      </c>
      <c r="C24">
        <f t="shared" ref="C24:C33" si="6">3.141592*(B24-1.381)</f>
        <v>0</v>
      </c>
      <c r="D24">
        <f t="shared" si="4"/>
        <v>3.3147706178732429E-3</v>
      </c>
      <c r="E24" t="e">
        <f t="shared" si="5"/>
        <v>#NUM!</v>
      </c>
      <c r="F24">
        <f t="shared" ref="F24:F31" si="7">26.9662-A24*27.44309/1000</f>
        <v>18.6871686088</v>
      </c>
    </row>
    <row r="25" spans="1:6">
      <c r="A25">
        <v>306.18</v>
      </c>
      <c r="B25">
        <v>1.4430000000000001</v>
      </c>
      <c r="C25">
        <f t="shared" si="6"/>
        <v>0.19477870400000019</v>
      </c>
      <c r="D25">
        <f t="shared" si="4"/>
        <v>3.2660526487686982E-3</v>
      </c>
      <c r="E25">
        <f t="shared" si="5"/>
        <v>-7.360064380435694</v>
      </c>
      <c r="F25">
        <f t="shared" si="7"/>
        <v>18.563674703799997</v>
      </c>
    </row>
    <row r="26" spans="1:6">
      <c r="A26">
        <v>310.67</v>
      </c>
      <c r="B26">
        <v>1.57</v>
      </c>
      <c r="C26">
        <f t="shared" si="6"/>
        <v>0.59376088800000026</v>
      </c>
      <c r="D26">
        <f t="shared" si="4"/>
        <v>3.2188495831589788E-3</v>
      </c>
      <c r="E26">
        <f t="shared" si="5"/>
        <v>-6.2600098416908621</v>
      </c>
      <c r="F26">
        <f t="shared" si="7"/>
        <v>18.4404552297</v>
      </c>
    </row>
    <row r="27" spans="1:6">
      <c r="A27">
        <v>315.26</v>
      </c>
      <c r="B27">
        <v>1.8029999999999999</v>
      </c>
      <c r="C27">
        <f t="shared" si="6"/>
        <v>1.3257518239999999</v>
      </c>
      <c r="D27">
        <f t="shared" si="4"/>
        <v>3.1719850282306669E-3</v>
      </c>
      <c r="E27">
        <f t="shared" si="5"/>
        <v>-5.4714179823392355</v>
      </c>
      <c r="F27">
        <f t="shared" si="7"/>
        <v>18.314491446600002</v>
      </c>
    </row>
    <row r="28" spans="1:6">
      <c r="A28">
        <v>319.85000000000002</v>
      </c>
      <c r="B28">
        <v>2.1520000000000001</v>
      </c>
      <c r="C28">
        <f t="shared" si="6"/>
        <v>2.4221674320000006</v>
      </c>
      <c r="D28">
        <f t="shared" si="4"/>
        <v>3.1264655307175235E-3</v>
      </c>
      <c r="E28">
        <f t="shared" si="5"/>
        <v>-4.8831893635096684</v>
      </c>
      <c r="F28">
        <f t="shared" si="7"/>
        <v>18.188527663499997</v>
      </c>
    </row>
    <row r="29" spans="1:6">
      <c r="A29">
        <v>324.45</v>
      </c>
      <c r="B29">
        <v>2.8839999999999999</v>
      </c>
      <c r="C29">
        <f t="shared" si="6"/>
        <v>4.7218127760000002</v>
      </c>
      <c r="D29">
        <f t="shared" si="4"/>
        <v>3.0821390044691015E-3</v>
      </c>
      <c r="E29">
        <f t="shared" si="5"/>
        <v>-4.2299386524910538</v>
      </c>
      <c r="F29">
        <f t="shared" si="7"/>
        <v>18.0622894495</v>
      </c>
    </row>
    <row r="30" spans="1:6">
      <c r="A30">
        <v>329.03</v>
      </c>
      <c r="B30">
        <v>4.1120000000000001</v>
      </c>
      <c r="C30">
        <f t="shared" si="6"/>
        <v>8.5796877519999999</v>
      </c>
      <c r="D30">
        <f t="shared" si="4"/>
        <v>3.0392365437802026E-3</v>
      </c>
      <c r="E30">
        <f t="shared" si="5"/>
        <v>-3.6467514117217155</v>
      </c>
      <c r="F30">
        <f t="shared" si="7"/>
        <v>17.936600097300001</v>
      </c>
    </row>
    <row r="31" spans="1:6">
      <c r="A31">
        <v>333.72</v>
      </c>
      <c r="B31">
        <v>6.0679999999999996</v>
      </c>
      <c r="C31">
        <f t="shared" si="6"/>
        <v>14.724641704</v>
      </c>
      <c r="D31">
        <f t="shared" si="4"/>
        <v>2.9965240321227372E-3</v>
      </c>
      <c r="E31">
        <f t="shared" si="5"/>
        <v>-3.120779921288019</v>
      </c>
      <c r="F31">
        <f t="shared" si="7"/>
        <v>17.807892005199999</v>
      </c>
    </row>
    <row r="32" spans="1:6">
      <c r="A32">
        <v>338.41</v>
      </c>
      <c r="B32">
        <v>12.085000000000001</v>
      </c>
      <c r="C32">
        <f t="shared" si="6"/>
        <v>33.627600768000001</v>
      </c>
      <c r="D32">
        <f t="shared" si="4"/>
        <v>2.9549954197570991E-3</v>
      </c>
      <c r="E32">
        <f t="shared" si="5"/>
        <v>-2.3089109969317159</v>
      </c>
      <c r="F32">
        <f t="shared" ref="F32:F33" si="8">18.92562-A32*4.03569/1000</f>
        <v>17.559902147099997</v>
      </c>
    </row>
    <row r="33" spans="1:6">
      <c r="A33">
        <v>343</v>
      </c>
      <c r="B33">
        <v>18.376000000000001</v>
      </c>
      <c r="C33">
        <f t="shared" si="6"/>
        <v>53.391356040000005</v>
      </c>
      <c r="D33">
        <f t="shared" si="4"/>
        <v>2.9154518950437317E-3</v>
      </c>
      <c r="E33">
        <f t="shared" si="5"/>
        <v>-1.8600815862125746</v>
      </c>
      <c r="F33">
        <f t="shared" si="8"/>
        <v>17.541378329999997</v>
      </c>
    </row>
    <row r="34" spans="1:6">
      <c r="A34" t="s">
        <v>7</v>
      </c>
      <c r="B34">
        <v>14551</v>
      </c>
    </row>
    <row r="35" spans="1:6">
      <c r="A35" t="s">
        <v>8</v>
      </c>
      <c r="B35">
        <v>40.587000000000003</v>
      </c>
    </row>
    <row r="36" spans="1:6" ht="16.2">
      <c r="A36" t="s">
        <v>5</v>
      </c>
      <c r="B36">
        <f>B34*8.314*0.239/1000</f>
        <v>28.913506345999998</v>
      </c>
    </row>
    <row r="37" spans="1:6" ht="16.2">
      <c r="A37" t="s">
        <v>6</v>
      </c>
      <c r="B37">
        <f>(B35-23.76)*8.314*0.239</f>
        <v>33.436023042000002</v>
      </c>
    </row>
    <row r="41" spans="1:6">
      <c r="A41" t="s">
        <v>13</v>
      </c>
    </row>
    <row r="42" spans="1:6">
      <c r="A42" t="s">
        <v>20</v>
      </c>
      <c r="B42" t="s">
        <v>0</v>
      </c>
      <c r="C42" t="s">
        <v>2</v>
      </c>
      <c r="D42" t="s">
        <v>4</v>
      </c>
      <c r="E42" t="s">
        <v>3</v>
      </c>
      <c r="F42" t="s">
        <v>1</v>
      </c>
    </row>
    <row r="43" spans="1:6">
      <c r="A43">
        <v>297.18</v>
      </c>
      <c r="B43">
        <v>2.2799999999999998</v>
      </c>
      <c r="C43">
        <f>3.141592*(B43-1.381)</f>
        <v>2.8242912079999996</v>
      </c>
      <c r="D43">
        <f t="shared" ref="D43:D53" si="9">1/A43</f>
        <v>3.3649639948852548E-3</v>
      </c>
      <c r="E43">
        <f t="shared" ref="E43:E53" si="10">LN(C43/A43)</f>
        <v>-4.6560805825334324</v>
      </c>
      <c r="F43">
        <f>18.92562-A43*4.03569/1000</f>
        <v>17.726293645799998</v>
      </c>
    </row>
    <row r="44" spans="1:6">
      <c r="A44">
        <v>301.68</v>
      </c>
      <c r="B44">
        <v>1.504</v>
      </c>
      <c r="C44">
        <f>3.141592*(B44-1.504)</f>
        <v>0</v>
      </c>
      <c r="D44">
        <f t="shared" si="9"/>
        <v>3.3147706178732429E-3</v>
      </c>
      <c r="E44" t="e">
        <f t="shared" si="10"/>
        <v>#NUM!</v>
      </c>
      <c r="F44">
        <f t="shared" ref="F44:F53" si="11">18.92562-A44*4.03569/1000</f>
        <v>17.7081330408</v>
      </c>
    </row>
    <row r="45" spans="1:6">
      <c r="A45">
        <v>306.18</v>
      </c>
      <c r="B45">
        <v>1.581</v>
      </c>
      <c r="C45">
        <f t="shared" ref="C45:C51" si="12">3.141592*(B45-1.504)</f>
        <v>0.24190258399999987</v>
      </c>
      <c r="D45">
        <f t="shared" si="9"/>
        <v>3.2660526487686982E-3</v>
      </c>
      <c r="E45">
        <f t="shared" si="10"/>
        <v>-7.1433933436271033</v>
      </c>
      <c r="F45">
        <f t="shared" si="11"/>
        <v>17.689972435799998</v>
      </c>
    </row>
    <row r="46" spans="1:6">
      <c r="A46">
        <v>310.67</v>
      </c>
      <c r="B46">
        <v>1.504</v>
      </c>
      <c r="C46">
        <f t="shared" si="12"/>
        <v>0</v>
      </c>
      <c r="D46">
        <f t="shared" si="9"/>
        <v>3.2188495831589788E-3</v>
      </c>
      <c r="E46" t="e">
        <f t="shared" si="10"/>
        <v>#NUM!</v>
      </c>
      <c r="F46">
        <f t="shared" si="11"/>
        <v>17.671852187699997</v>
      </c>
    </row>
    <row r="47" spans="1:6">
      <c r="A47">
        <v>315.26</v>
      </c>
      <c r="B47">
        <v>1.7230000000000001</v>
      </c>
      <c r="C47">
        <f t="shared" si="12"/>
        <v>0.68800864800000028</v>
      </c>
      <c r="D47">
        <f t="shared" si="9"/>
        <v>3.1719850282306669E-3</v>
      </c>
      <c r="E47">
        <f t="shared" si="10"/>
        <v>-6.1273515665587466</v>
      </c>
      <c r="F47">
        <f t="shared" si="11"/>
        <v>17.653328370599997</v>
      </c>
    </row>
    <row r="48" spans="1:6">
      <c r="A48">
        <v>319.85000000000002</v>
      </c>
      <c r="B48">
        <v>4.2370000000000001</v>
      </c>
      <c r="C48">
        <f t="shared" si="12"/>
        <v>8.5859709360000007</v>
      </c>
      <c r="D48">
        <f t="shared" si="9"/>
        <v>3.1264655307175235E-3</v>
      </c>
      <c r="E48">
        <f t="shared" si="10"/>
        <v>-3.6177225511449298</v>
      </c>
      <c r="F48">
        <f t="shared" si="11"/>
        <v>17.634804553499997</v>
      </c>
    </row>
    <row r="49" spans="1:6">
      <c r="A49">
        <v>324.45</v>
      </c>
      <c r="B49">
        <v>5.0830000000000002</v>
      </c>
      <c r="C49">
        <f t="shared" si="12"/>
        <v>11.243757768000002</v>
      </c>
      <c r="D49">
        <f t="shared" si="9"/>
        <v>3.0821390044691015E-3</v>
      </c>
      <c r="E49">
        <f t="shared" si="10"/>
        <v>-3.3623183314780025</v>
      </c>
      <c r="F49">
        <f t="shared" si="11"/>
        <v>17.616240379499999</v>
      </c>
    </row>
    <row r="50" spans="1:6">
      <c r="A50">
        <v>329.03</v>
      </c>
      <c r="B50">
        <v>6.2320000000000002</v>
      </c>
      <c r="C50">
        <f t="shared" si="12"/>
        <v>14.853446976000001</v>
      </c>
      <c r="D50">
        <f t="shared" si="9"/>
        <v>3.0392365437802026E-3</v>
      </c>
      <c r="E50">
        <f t="shared" si="10"/>
        <v>-3.0979169741094865</v>
      </c>
      <c r="F50">
        <f t="shared" si="11"/>
        <v>17.5977569193</v>
      </c>
    </row>
    <row r="51" spans="1:6">
      <c r="A51">
        <v>333.72</v>
      </c>
      <c r="B51">
        <v>7.8579999999999997</v>
      </c>
      <c r="C51">
        <f t="shared" si="12"/>
        <v>19.961675567999997</v>
      </c>
      <c r="D51">
        <f t="shared" si="9"/>
        <v>2.9965240321227372E-3</v>
      </c>
      <c r="E51">
        <f t="shared" si="10"/>
        <v>-2.8164881043812637</v>
      </c>
      <c r="F51">
        <f t="shared" si="11"/>
        <v>17.578829533199997</v>
      </c>
    </row>
    <row r="52" spans="1:6">
      <c r="A52">
        <v>338.41</v>
      </c>
      <c r="B52">
        <v>12.085000000000001</v>
      </c>
      <c r="C52">
        <f t="shared" ref="C52:C53" si="13">3.141592*(B52-1.381)</f>
        <v>33.627600768000001</v>
      </c>
      <c r="D52">
        <f t="shared" si="9"/>
        <v>2.9549954197570991E-3</v>
      </c>
      <c r="E52">
        <f t="shared" si="10"/>
        <v>-2.3089109969317159</v>
      </c>
      <c r="F52">
        <f t="shared" si="11"/>
        <v>17.559902147099997</v>
      </c>
    </row>
    <row r="53" spans="1:6">
      <c r="A53">
        <v>343</v>
      </c>
      <c r="B53">
        <v>18.376000000000001</v>
      </c>
      <c r="C53">
        <f t="shared" si="13"/>
        <v>53.391356040000005</v>
      </c>
      <c r="D53">
        <f t="shared" si="9"/>
        <v>2.9154518950437317E-3</v>
      </c>
      <c r="E53">
        <f t="shared" si="10"/>
        <v>-1.8600815862125746</v>
      </c>
      <c r="F53">
        <f t="shared" si="11"/>
        <v>17.541378329999997</v>
      </c>
    </row>
    <row r="54" spans="1:6">
      <c r="A54" t="s">
        <v>7</v>
      </c>
      <c r="B54">
        <v>9062.6</v>
      </c>
    </row>
    <row r="55" spans="1:6">
      <c r="A55" t="s">
        <v>8</v>
      </c>
      <c r="B55">
        <v>24.478000000000002</v>
      </c>
    </row>
    <row r="56" spans="1:6" ht="16.2">
      <c r="A56" t="s">
        <v>5</v>
      </c>
      <c r="B56">
        <f>B54*8.314*0.239/1000</f>
        <v>18.007803079600002</v>
      </c>
    </row>
    <row r="57" spans="1:6" ht="16.2">
      <c r="A57" t="s">
        <v>14</v>
      </c>
      <c r="B57">
        <f>(B55-23.76)*8.314*0.239</f>
        <v>1.4266990279999998</v>
      </c>
    </row>
    <row r="59" spans="1:6">
      <c r="A59" t="s">
        <v>15</v>
      </c>
      <c r="B59">
        <v>1</v>
      </c>
      <c r="C59">
        <v>2</v>
      </c>
      <c r="D59">
        <v>3</v>
      </c>
      <c r="E59" t="s">
        <v>18</v>
      </c>
      <c r="F59" t="s">
        <v>19</v>
      </c>
    </row>
    <row r="60" spans="1:6">
      <c r="A60" t="s">
        <v>7</v>
      </c>
      <c r="B60">
        <v>9524.5</v>
      </c>
      <c r="C60">
        <v>14551</v>
      </c>
      <c r="D60">
        <v>9062.6</v>
      </c>
    </row>
    <row r="61" spans="1:6">
      <c r="A61" t="s">
        <v>8</v>
      </c>
      <c r="B61">
        <v>25.791</v>
      </c>
      <c r="C61">
        <v>40.587000000000003</v>
      </c>
      <c r="D61">
        <v>24.478000000000002</v>
      </c>
    </row>
    <row r="62" spans="1:6" ht="16.2">
      <c r="A62" t="s">
        <v>5</v>
      </c>
      <c r="B62">
        <f>B60*8.314*0.239/1000</f>
        <v>18.925619627</v>
      </c>
      <c r="C62">
        <f>C60*8.314*0.239/1000</f>
        <v>28.913506345999998</v>
      </c>
      <c r="D62">
        <f>D60*8.314*0.239/1000</f>
        <v>18.007803079600002</v>
      </c>
    </row>
    <row r="63" spans="1:6" ht="16.2">
      <c r="A63" t="s">
        <v>14</v>
      </c>
      <c r="B63">
        <f>(B61-23.76)*8.314*0.239</f>
        <v>4.0356904259999968</v>
      </c>
      <c r="C63">
        <f>(C61-23.76)*8.314*0.239</f>
        <v>33.436023042000002</v>
      </c>
      <c r="D63">
        <f>(D61-23.76)*8.314*0.239</f>
        <v>1.4266990279999998</v>
      </c>
    </row>
    <row r="64" spans="1:6" ht="16.2">
      <c r="A64" t="s">
        <v>9</v>
      </c>
      <c r="B64">
        <f>B62-0.29815*B63</f>
        <v>17.7223785264881</v>
      </c>
      <c r="C64">
        <f t="shared" ref="C64:D64" si="14">C62-0.29815*C63</f>
        <v>18.944556076027695</v>
      </c>
      <c r="D64">
        <f t="shared" si="14"/>
        <v>17.582432764401801</v>
      </c>
      <c r="E64">
        <f>AVERAGE(B64:D64)</f>
        <v>18.083122455639199</v>
      </c>
      <c r="F64">
        <f>_xlfn.STDEV.S(B64:D64)</f>
        <v>0.74929774845064256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FEA31-52DD-4BD0-A11B-EB699E4B8557}">
  <dimension ref="A1:F65"/>
  <sheetViews>
    <sheetView topLeftCell="A49" workbookViewId="0">
      <selection activeCell="F65" sqref="F65"/>
    </sheetView>
  </sheetViews>
  <sheetFormatPr defaultRowHeight="14.4"/>
  <sheetData>
    <row r="1" spans="1:6">
      <c r="A1" t="s">
        <v>11</v>
      </c>
    </row>
    <row r="2" spans="1:6">
      <c r="A2" t="s">
        <v>20</v>
      </c>
      <c r="B2" t="s">
        <v>0</v>
      </c>
      <c r="C2" t="s">
        <v>2</v>
      </c>
      <c r="D2" t="s">
        <v>4</v>
      </c>
      <c r="E2" t="s">
        <v>3</v>
      </c>
      <c r="F2" t="s">
        <v>1</v>
      </c>
    </row>
    <row r="3" spans="1:6">
      <c r="A3">
        <v>297.18</v>
      </c>
      <c r="B3">
        <v>1.9850000000000001</v>
      </c>
      <c r="C3">
        <f>3.141592*(B3-1.886)</f>
        <v>0.31101760800000067</v>
      </c>
      <c r="D3">
        <f t="shared" ref="D3:D13" si="0">1/A3</f>
        <v>3.3649639948852548E-3</v>
      </c>
      <c r="E3">
        <f t="shared" ref="E3:E13" si="1">LN(C3/A3)</f>
        <v>-6.8622437668704608</v>
      </c>
      <c r="F3">
        <f>25.26529-A3*22.64636/1000</f>
        <v>18.535244735199999</v>
      </c>
    </row>
    <row r="4" spans="1:6">
      <c r="A4">
        <v>301.68</v>
      </c>
      <c r="B4">
        <v>1.8859999999999999</v>
      </c>
      <c r="C4">
        <f t="shared" ref="C4:C13" si="2">3.141592*(B4-1.886)</f>
        <v>0</v>
      </c>
      <c r="D4">
        <f t="shared" si="0"/>
        <v>3.3147706178732429E-3</v>
      </c>
      <c r="E4" t="e">
        <f t="shared" si="1"/>
        <v>#NUM!</v>
      </c>
      <c r="F4">
        <f t="shared" ref="F4:F13" si="3">25.26529-A4*22.64636/1000</f>
        <v>18.433336115199999</v>
      </c>
    </row>
    <row r="5" spans="1:6">
      <c r="A5">
        <v>306.18</v>
      </c>
      <c r="B5">
        <v>1.9119999999999999</v>
      </c>
      <c r="C5">
        <f t="shared" si="2"/>
        <v>8.1681392000000075E-2</v>
      </c>
      <c r="D5">
        <f t="shared" si="0"/>
        <v>3.2660526487686982E-3</v>
      </c>
      <c r="E5">
        <f t="shared" si="1"/>
        <v>-8.229102227459304</v>
      </c>
      <c r="F5">
        <f t="shared" si="3"/>
        <v>18.3314274952</v>
      </c>
    </row>
    <row r="6" spans="1:6">
      <c r="A6">
        <v>310.67</v>
      </c>
      <c r="B6">
        <v>3.1869999999999998</v>
      </c>
      <c r="C6">
        <f t="shared" si="2"/>
        <v>4.0872111919999998</v>
      </c>
      <c r="D6">
        <f t="shared" si="0"/>
        <v>3.2188495831589788E-3</v>
      </c>
      <c r="E6">
        <f t="shared" si="1"/>
        <v>-4.3308683782379997</v>
      </c>
      <c r="F6">
        <f t="shared" si="3"/>
        <v>18.229745338800001</v>
      </c>
    </row>
    <row r="7" spans="1:6">
      <c r="A7">
        <v>315.26</v>
      </c>
      <c r="B7">
        <v>2.6760000000000002</v>
      </c>
      <c r="C7">
        <f t="shared" si="2"/>
        <v>2.481857680000001</v>
      </c>
      <c r="D7">
        <f t="shared" si="0"/>
        <v>3.1719850282306669E-3</v>
      </c>
      <c r="E7">
        <f t="shared" si="1"/>
        <v>-4.8443903509141801</v>
      </c>
      <c r="F7">
        <f t="shared" si="3"/>
        <v>18.125798546399999</v>
      </c>
    </row>
    <row r="8" spans="1:6">
      <c r="A8">
        <v>319.85000000000002</v>
      </c>
      <c r="B8">
        <v>2.9769999999999999</v>
      </c>
      <c r="C8">
        <f t="shared" si="2"/>
        <v>3.4274768720000002</v>
      </c>
      <c r="D8">
        <f t="shared" si="0"/>
        <v>3.1264655307175235E-3</v>
      </c>
      <c r="E8">
        <f t="shared" si="1"/>
        <v>-4.536027751239927</v>
      </c>
      <c r="F8">
        <f t="shared" si="3"/>
        <v>18.021851754</v>
      </c>
    </row>
    <row r="9" spans="1:6">
      <c r="A9">
        <v>324.45</v>
      </c>
      <c r="B9">
        <v>3.7370000000000001</v>
      </c>
      <c r="C9">
        <f t="shared" si="2"/>
        <v>5.8150867920000007</v>
      </c>
      <c r="D9">
        <f t="shared" si="0"/>
        <v>3.0821390044691015E-3</v>
      </c>
      <c r="E9">
        <f t="shared" si="1"/>
        <v>-4.0216757296705312</v>
      </c>
      <c r="F9">
        <f t="shared" si="3"/>
        <v>17.917678498000001</v>
      </c>
    </row>
    <row r="10" spans="1:6">
      <c r="A10">
        <v>329.03</v>
      </c>
      <c r="B10">
        <v>5.0490000000000004</v>
      </c>
      <c r="C10">
        <f t="shared" si="2"/>
        <v>9.9368554960000015</v>
      </c>
      <c r="D10">
        <f t="shared" si="0"/>
        <v>3.0392365437802026E-3</v>
      </c>
      <c r="E10">
        <f t="shared" si="1"/>
        <v>-3.4998983098897716</v>
      </c>
      <c r="F10">
        <f t="shared" si="3"/>
        <v>17.813958169199999</v>
      </c>
    </row>
    <row r="11" spans="1:6">
      <c r="A11">
        <v>333.72</v>
      </c>
      <c r="B11">
        <v>7.42</v>
      </c>
      <c r="C11">
        <f t="shared" si="2"/>
        <v>17.385570128000001</v>
      </c>
      <c r="D11">
        <f t="shared" si="0"/>
        <v>2.9965240321227372E-3</v>
      </c>
      <c r="E11">
        <f t="shared" si="1"/>
        <v>-2.9546617588638537</v>
      </c>
      <c r="F11">
        <f t="shared" si="3"/>
        <v>17.707746740799998</v>
      </c>
    </row>
    <row r="12" spans="1:6">
      <c r="A12">
        <v>338.41</v>
      </c>
      <c r="B12">
        <v>11.586</v>
      </c>
      <c r="C12">
        <f t="shared" si="2"/>
        <v>30.473442400000003</v>
      </c>
      <c r="D12">
        <f t="shared" si="0"/>
        <v>2.9549954197570991E-3</v>
      </c>
      <c r="E12">
        <f t="shared" si="1"/>
        <v>-2.4074026148082512</v>
      </c>
      <c r="F12">
        <f t="shared" si="3"/>
        <v>17.601535312399999</v>
      </c>
    </row>
    <row r="13" spans="1:6">
      <c r="A13">
        <v>343</v>
      </c>
      <c r="B13">
        <v>18.010999999999999</v>
      </c>
      <c r="C13">
        <f t="shared" si="2"/>
        <v>50.658171000000003</v>
      </c>
      <c r="D13">
        <f t="shared" si="0"/>
        <v>2.9154518950437317E-3</v>
      </c>
      <c r="E13">
        <f t="shared" si="1"/>
        <v>-1.9126299066788177</v>
      </c>
      <c r="F13">
        <f t="shared" si="3"/>
        <v>17.497588520000001</v>
      </c>
    </row>
    <row r="14" spans="1:6">
      <c r="A14" t="s">
        <v>7</v>
      </c>
      <c r="B14">
        <v>12715</v>
      </c>
    </row>
    <row r="15" spans="1:6">
      <c r="A15" t="s">
        <v>8</v>
      </c>
      <c r="B15">
        <v>35.156999999999996</v>
      </c>
    </row>
    <row r="16" spans="1:6" ht="16.2">
      <c r="A16" t="s">
        <v>5</v>
      </c>
      <c r="B16">
        <f>B14*8.314*0.239/1000</f>
        <v>25.265289889999995</v>
      </c>
    </row>
    <row r="17" spans="1:6" ht="16.2">
      <c r="A17" t="s">
        <v>6</v>
      </c>
      <c r="B17">
        <f>(B15-23.76)*8.314*0.239</f>
        <v>22.646363261999991</v>
      </c>
    </row>
    <row r="22" spans="1:6">
      <c r="A22" t="s">
        <v>12</v>
      </c>
    </row>
    <row r="23" spans="1:6">
      <c r="A23" t="s">
        <v>20</v>
      </c>
      <c r="B23" t="s">
        <v>0</v>
      </c>
      <c r="C23" t="s">
        <v>2</v>
      </c>
      <c r="D23" t="s">
        <v>4</v>
      </c>
      <c r="E23" t="s">
        <v>3</v>
      </c>
      <c r="F23" t="s">
        <v>1</v>
      </c>
    </row>
    <row r="24" spans="1:6">
      <c r="A24">
        <v>297.18</v>
      </c>
      <c r="B24">
        <v>1.756</v>
      </c>
      <c r="C24">
        <f>3.141592*(B24-1.607)</f>
        <v>0.4680972080000001</v>
      </c>
      <c r="D24">
        <f t="shared" ref="D24:D34" si="4">1/A24</f>
        <v>3.3649639948852548E-3</v>
      </c>
      <c r="E24">
        <f t="shared" ref="E24:E34" si="5">LN(C24/A24)</f>
        <v>-6.4534173110595932</v>
      </c>
      <c r="F24">
        <f>25.26529-A24*22.64636/1000</f>
        <v>18.535244735199999</v>
      </c>
    </row>
    <row r="25" spans="1:6">
      <c r="A25">
        <v>301.68</v>
      </c>
      <c r="B25">
        <v>1.607</v>
      </c>
      <c r="C25">
        <f t="shared" ref="C25:C34" si="6">3.141592*(B25-1.607)</f>
        <v>0</v>
      </c>
      <c r="D25">
        <f t="shared" si="4"/>
        <v>3.3147706178732429E-3</v>
      </c>
      <c r="E25" t="e">
        <f t="shared" si="5"/>
        <v>#NUM!</v>
      </c>
      <c r="F25">
        <f t="shared" ref="F25:F34" si="7">25.26529-A25*22.64636/1000</f>
        <v>18.433336115199999</v>
      </c>
    </row>
    <row r="26" spans="1:6">
      <c r="A26">
        <v>306.18</v>
      </c>
      <c r="B26">
        <v>1.6639999999999999</v>
      </c>
      <c r="C26">
        <f t="shared" si="6"/>
        <v>0.17907074399999981</v>
      </c>
      <c r="D26">
        <f t="shared" si="4"/>
        <v>3.2660526487686982E-3</v>
      </c>
      <c r="E26">
        <f t="shared" si="5"/>
        <v>-7.4441474976462372</v>
      </c>
      <c r="F26">
        <f t="shared" si="7"/>
        <v>18.3314274952</v>
      </c>
    </row>
    <row r="27" spans="1:6">
      <c r="A27">
        <v>310.67</v>
      </c>
      <c r="B27">
        <v>1.702</v>
      </c>
      <c r="C27">
        <f t="shared" si="6"/>
        <v>0.29845123999999995</v>
      </c>
      <c r="D27">
        <f t="shared" si="4"/>
        <v>3.2188495831589788E-3</v>
      </c>
      <c r="E27">
        <f t="shared" si="5"/>
        <v>-6.9478799651499639</v>
      </c>
      <c r="F27">
        <f t="shared" si="7"/>
        <v>18.229745338800001</v>
      </c>
    </row>
    <row r="28" spans="1:6">
      <c r="A28">
        <v>315.26</v>
      </c>
      <c r="B28">
        <v>1.9770000000000001</v>
      </c>
      <c r="C28">
        <f t="shared" si="6"/>
        <v>1.1623890400000003</v>
      </c>
      <c r="D28">
        <f t="shared" si="4"/>
        <v>3.1719850282306669E-3</v>
      </c>
      <c r="E28">
        <f t="shared" si="5"/>
        <v>-5.6029202907369768</v>
      </c>
      <c r="F28">
        <f t="shared" si="7"/>
        <v>18.125798546399999</v>
      </c>
    </row>
    <row r="29" spans="1:6">
      <c r="A29">
        <v>319.85000000000002</v>
      </c>
      <c r="B29">
        <v>2.399</v>
      </c>
      <c r="C29">
        <f t="shared" si="6"/>
        <v>2.4881408640000005</v>
      </c>
      <c r="D29">
        <f t="shared" si="4"/>
        <v>3.1264655307175235E-3</v>
      </c>
      <c r="E29">
        <f t="shared" si="5"/>
        <v>-4.8563163452585716</v>
      </c>
      <c r="F29">
        <f t="shared" si="7"/>
        <v>18.021851754</v>
      </c>
    </row>
    <row r="30" spans="1:6">
      <c r="A30">
        <v>324.45</v>
      </c>
      <c r="B30">
        <v>3.6080000000000001</v>
      </c>
      <c r="C30">
        <f t="shared" si="6"/>
        <v>6.2863255920000016</v>
      </c>
      <c r="D30">
        <f t="shared" si="4"/>
        <v>3.0821390044691015E-3</v>
      </c>
      <c r="E30">
        <f t="shared" si="5"/>
        <v>-3.943754707660295</v>
      </c>
      <c r="F30">
        <f t="shared" si="7"/>
        <v>17.917678498000001</v>
      </c>
    </row>
    <row r="31" spans="1:6">
      <c r="A31">
        <v>329.03</v>
      </c>
      <c r="B31">
        <v>4.875</v>
      </c>
      <c r="C31">
        <f t="shared" si="6"/>
        <v>10.266722656000001</v>
      </c>
      <c r="D31">
        <f t="shared" si="4"/>
        <v>3.0392365437802026E-3</v>
      </c>
      <c r="E31">
        <f t="shared" si="5"/>
        <v>-3.4672410772155269</v>
      </c>
      <c r="F31">
        <f t="shared" si="7"/>
        <v>17.813958169199999</v>
      </c>
    </row>
    <row r="32" spans="1:6">
      <c r="A32">
        <v>333.72</v>
      </c>
      <c r="B32">
        <v>7.835</v>
      </c>
      <c r="C32">
        <f t="shared" si="6"/>
        <v>19.565834976000001</v>
      </c>
      <c r="D32">
        <f t="shared" si="4"/>
        <v>2.9965240321227372E-3</v>
      </c>
      <c r="E32">
        <f t="shared" si="5"/>
        <v>-2.836517386256836</v>
      </c>
      <c r="F32">
        <f t="shared" si="7"/>
        <v>17.707746740799998</v>
      </c>
    </row>
    <row r="33" spans="1:6">
      <c r="A33">
        <v>338.41</v>
      </c>
      <c r="B33">
        <v>11.382</v>
      </c>
      <c r="C33">
        <f t="shared" si="6"/>
        <v>30.709061800000004</v>
      </c>
      <c r="D33">
        <f t="shared" si="4"/>
        <v>2.9549954197570991E-3</v>
      </c>
      <c r="E33">
        <f t="shared" si="5"/>
        <v>-2.399700394446159</v>
      </c>
      <c r="F33">
        <f t="shared" si="7"/>
        <v>17.601535312399999</v>
      </c>
    </row>
    <row r="34" spans="1:6">
      <c r="A34">
        <v>343</v>
      </c>
      <c r="B34">
        <v>17.692</v>
      </c>
      <c r="C34">
        <f t="shared" si="6"/>
        <v>50.532507320000008</v>
      </c>
      <c r="D34">
        <f t="shared" si="4"/>
        <v>2.9154518950437317E-3</v>
      </c>
      <c r="E34">
        <f t="shared" si="5"/>
        <v>-1.9151136086696643</v>
      </c>
      <c r="F34">
        <f t="shared" si="7"/>
        <v>17.497588520000001</v>
      </c>
    </row>
    <row r="35" spans="1:6">
      <c r="A35" t="s">
        <v>7</v>
      </c>
      <c r="B35">
        <v>12275</v>
      </c>
    </row>
    <row r="36" spans="1:6">
      <c r="A36" t="s">
        <v>8</v>
      </c>
      <c r="B36">
        <v>33.884999999999998</v>
      </c>
    </row>
    <row r="37" spans="1:6" ht="16.2">
      <c r="A37" t="s">
        <v>5</v>
      </c>
      <c r="B37">
        <f>B35*8.314*0.239/1000</f>
        <v>24.390989649999998</v>
      </c>
    </row>
    <row r="38" spans="1:6" ht="16.2">
      <c r="A38" t="s">
        <v>6</v>
      </c>
      <c r="B38">
        <f>(B36-23.76)*8.314*0.239</f>
        <v>20.11884074999999</v>
      </c>
    </row>
    <row r="42" spans="1:6">
      <c r="A42" t="s">
        <v>13</v>
      </c>
    </row>
    <row r="43" spans="1:6">
      <c r="A43" t="s">
        <v>20</v>
      </c>
      <c r="B43" t="s">
        <v>0</v>
      </c>
      <c r="C43" t="s">
        <v>2</v>
      </c>
      <c r="D43" t="s">
        <v>4</v>
      </c>
      <c r="E43" t="s">
        <v>3</v>
      </c>
      <c r="F43" t="s">
        <v>1</v>
      </c>
    </row>
    <row r="44" spans="1:6">
      <c r="A44">
        <v>297.18</v>
      </c>
      <c r="B44">
        <v>1.633</v>
      </c>
      <c r="C44">
        <f>3.141592*(B44-1.55)</f>
        <v>0.26075213599999991</v>
      </c>
      <c r="D44">
        <f t="shared" ref="D44:D54" si="8">1/A44</f>
        <v>3.3649639948852548E-3</v>
      </c>
      <c r="E44">
        <f t="shared" ref="E44:E54" si="9">LN(C44/A44)</f>
        <v>-7.038523009208455</v>
      </c>
      <c r="F44">
        <f>25.26529-A44*22.64636/1000</f>
        <v>18.535244735199999</v>
      </c>
    </row>
    <row r="45" spans="1:6">
      <c r="A45">
        <v>301.68</v>
      </c>
      <c r="B45">
        <v>1.5649999999999999</v>
      </c>
      <c r="C45">
        <f t="shared" ref="C45:C54" si="10">3.141592*(B45-1.55)</f>
        <v>4.7123879999999695E-2</v>
      </c>
      <c r="D45">
        <f t="shared" si="8"/>
        <v>3.3147706178732429E-3</v>
      </c>
      <c r="E45">
        <f t="shared" si="9"/>
        <v>-8.7643422530247488</v>
      </c>
      <c r="F45">
        <f t="shared" ref="F45:F54" si="11">25.26529-A45*22.64636/1000</f>
        <v>18.433336115199999</v>
      </c>
    </row>
    <row r="46" spans="1:6">
      <c r="A46">
        <v>306.18</v>
      </c>
      <c r="B46">
        <v>1.55</v>
      </c>
      <c r="C46">
        <f t="shared" si="10"/>
        <v>0</v>
      </c>
      <c r="D46">
        <f t="shared" si="8"/>
        <v>3.2660526487686982E-3</v>
      </c>
      <c r="E46" t="e">
        <f t="shared" si="9"/>
        <v>#NUM!</v>
      </c>
      <c r="F46">
        <f t="shared" si="11"/>
        <v>18.3314274952</v>
      </c>
    </row>
    <row r="47" spans="1:6">
      <c r="A47">
        <v>310.67</v>
      </c>
      <c r="B47">
        <v>1.663</v>
      </c>
      <c r="C47">
        <f t="shared" si="10"/>
        <v>0.35499989599999998</v>
      </c>
      <c r="D47">
        <f t="shared" si="8"/>
        <v>3.2188495831589788E-3</v>
      </c>
      <c r="E47">
        <f t="shared" si="9"/>
        <v>-6.7743690380381638</v>
      </c>
      <c r="F47">
        <f t="shared" si="11"/>
        <v>18.229745338800001</v>
      </c>
    </row>
    <row r="48" spans="1:6">
      <c r="A48">
        <v>315.26</v>
      </c>
      <c r="B48">
        <v>1.89</v>
      </c>
      <c r="C48">
        <f t="shared" si="10"/>
        <v>1.0681412799999996</v>
      </c>
      <c r="D48">
        <f t="shared" si="8"/>
        <v>3.1719850282306669E-3</v>
      </c>
      <c r="E48">
        <f t="shared" si="9"/>
        <v>-5.687477678765041</v>
      </c>
      <c r="F48">
        <f t="shared" si="11"/>
        <v>18.125798546399999</v>
      </c>
    </row>
    <row r="49" spans="1:6">
      <c r="A49">
        <v>319.85000000000002</v>
      </c>
      <c r="B49">
        <v>2.3940000000000001</v>
      </c>
      <c r="C49">
        <f t="shared" si="10"/>
        <v>2.6515036480000003</v>
      </c>
      <c r="D49">
        <f t="shared" si="8"/>
        <v>3.1264655307175235E-3</v>
      </c>
      <c r="E49">
        <f t="shared" si="9"/>
        <v>-4.792725242477041</v>
      </c>
      <c r="F49">
        <f t="shared" si="11"/>
        <v>18.021851754</v>
      </c>
    </row>
    <row r="50" spans="1:6">
      <c r="A50">
        <v>324.45</v>
      </c>
      <c r="B50">
        <v>3.1680000000000001</v>
      </c>
      <c r="C50">
        <f t="shared" si="10"/>
        <v>5.0830958560000008</v>
      </c>
      <c r="D50">
        <f t="shared" si="8"/>
        <v>3.0821390044691015E-3</v>
      </c>
      <c r="E50">
        <f t="shared" si="9"/>
        <v>-4.1562109446255917</v>
      </c>
      <c r="F50">
        <f t="shared" si="11"/>
        <v>17.917678498000001</v>
      </c>
    </row>
    <row r="51" spans="1:6">
      <c r="A51">
        <v>329.03</v>
      </c>
      <c r="B51">
        <v>4.9690000000000003</v>
      </c>
      <c r="C51">
        <f t="shared" si="10"/>
        <v>10.741103048000003</v>
      </c>
      <c r="D51">
        <f t="shared" si="8"/>
        <v>3.0392365437802026E-3</v>
      </c>
      <c r="E51">
        <f t="shared" si="9"/>
        <v>-3.4220711435561189</v>
      </c>
      <c r="F51">
        <f t="shared" si="11"/>
        <v>17.813958169199999</v>
      </c>
    </row>
    <row r="52" spans="1:6">
      <c r="A52">
        <v>333.72</v>
      </c>
      <c r="B52">
        <v>7.835</v>
      </c>
      <c r="C52">
        <f t="shared" si="10"/>
        <v>19.744905720000002</v>
      </c>
      <c r="D52">
        <f t="shared" si="8"/>
        <v>2.9965240321227372E-3</v>
      </c>
      <c r="E52">
        <f t="shared" si="9"/>
        <v>-2.8274067981863773</v>
      </c>
      <c r="F52">
        <f t="shared" si="11"/>
        <v>17.707746740799998</v>
      </c>
    </row>
    <row r="53" spans="1:6">
      <c r="A53">
        <v>338.41</v>
      </c>
      <c r="B53">
        <v>11.238</v>
      </c>
      <c r="C53">
        <f t="shared" si="10"/>
        <v>30.435743295999998</v>
      </c>
      <c r="D53">
        <f t="shared" si="8"/>
        <v>2.9549954197570991E-3</v>
      </c>
      <c r="E53">
        <f t="shared" si="9"/>
        <v>-2.4086404940667974</v>
      </c>
      <c r="F53">
        <f t="shared" si="11"/>
        <v>17.601535312399999</v>
      </c>
    </row>
    <row r="54" spans="1:6">
      <c r="A54">
        <v>343</v>
      </c>
      <c r="B54">
        <v>18.309999999999999</v>
      </c>
      <c r="C54">
        <f t="shared" si="10"/>
        <v>52.653081919999998</v>
      </c>
      <c r="D54">
        <f t="shared" si="8"/>
        <v>2.9154518950437317E-3</v>
      </c>
      <c r="E54">
        <f t="shared" si="9"/>
        <v>-1.8740056743067173</v>
      </c>
      <c r="F54">
        <f t="shared" si="11"/>
        <v>17.497588520000001</v>
      </c>
    </row>
    <row r="55" spans="1:6">
      <c r="A55" t="s">
        <v>7</v>
      </c>
      <c r="B55">
        <v>13369</v>
      </c>
    </row>
    <row r="56" spans="1:6">
      <c r="A56" t="s">
        <v>8</v>
      </c>
      <c r="B56">
        <v>37.137</v>
      </c>
    </row>
    <row r="57" spans="1:6" ht="16.2">
      <c r="A57" t="s">
        <v>5</v>
      </c>
      <c r="B57">
        <f>B55*8.314*0.239/1000</f>
        <v>26.564817973999997</v>
      </c>
    </row>
    <row r="58" spans="1:6" ht="16.2">
      <c r="A58" t="s">
        <v>14</v>
      </c>
      <c r="B58">
        <f>(B56-23.76)*8.314*0.239</f>
        <v>26.580714341999997</v>
      </c>
    </row>
    <row r="60" spans="1:6">
      <c r="A60" t="s">
        <v>15</v>
      </c>
      <c r="B60">
        <v>1</v>
      </c>
      <c r="C60">
        <v>2</v>
      </c>
      <c r="D60">
        <v>3</v>
      </c>
      <c r="E60" t="s">
        <v>18</v>
      </c>
      <c r="F60" t="s">
        <v>19</v>
      </c>
    </row>
    <row r="61" spans="1:6">
      <c r="A61" t="s">
        <v>7</v>
      </c>
      <c r="B61">
        <v>12715</v>
      </c>
      <c r="C61">
        <v>12275</v>
      </c>
      <c r="D61">
        <v>13369</v>
      </c>
    </row>
    <row r="62" spans="1:6">
      <c r="A62" t="s">
        <v>8</v>
      </c>
      <c r="B62">
        <v>35.156999999999996</v>
      </c>
      <c r="C62">
        <v>33.884999999999998</v>
      </c>
      <c r="D62">
        <v>37.137</v>
      </c>
    </row>
    <row r="63" spans="1:6" ht="16.2">
      <c r="A63" t="s">
        <v>5</v>
      </c>
      <c r="B63">
        <f>B61*8.314*0.239/1000</f>
        <v>25.265289889999995</v>
      </c>
      <c r="C63">
        <f>C61*8.314*0.239/1000</f>
        <v>24.390989649999998</v>
      </c>
      <c r="D63">
        <f>D61*8.314*0.239/1000</f>
        <v>26.564817973999997</v>
      </c>
    </row>
    <row r="64" spans="1:6" ht="16.2">
      <c r="A64" t="s">
        <v>6</v>
      </c>
      <c r="B64">
        <f>(B62-23.76)*8.314*0.239</f>
        <v>22.646363261999991</v>
      </c>
      <c r="C64">
        <f>(C62-23.76)*8.314*0.239</f>
        <v>20.11884074999999</v>
      </c>
      <c r="D64">
        <f>(D62-23.76)*8.314*0.239</f>
        <v>26.580714341999997</v>
      </c>
    </row>
    <row r="65" spans="1:6" ht="16.2">
      <c r="A65" t="s">
        <v>9</v>
      </c>
      <c r="B65">
        <f>B63-0.29815*B64</f>
        <v>18.513276683434697</v>
      </c>
      <c r="C65">
        <f>C63-0.29815*C64</f>
        <v>18.3925572803875</v>
      </c>
      <c r="D65">
        <f>D63-0.29815*D64</f>
        <v>18.639777992932697</v>
      </c>
      <c r="E65">
        <f>AVERAGE(B65:D65)</f>
        <v>18.515203985584964</v>
      </c>
      <c r="F65">
        <f>_xlfn.STDEV.S(B65:D65)</f>
        <v>0.12362162451619257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DF1E4-7A43-4440-857B-7BEDFC374944}">
  <dimension ref="A1:F64"/>
  <sheetViews>
    <sheetView topLeftCell="A40" workbookViewId="0">
      <selection activeCell="E64" sqref="E64"/>
    </sheetView>
  </sheetViews>
  <sheetFormatPr defaultRowHeight="14.4"/>
  <sheetData>
    <row r="1" spans="1:6">
      <c r="A1" t="s">
        <v>11</v>
      </c>
    </row>
    <row r="2" spans="1:6">
      <c r="A2" t="s">
        <v>20</v>
      </c>
      <c r="B2" t="s">
        <v>0</v>
      </c>
      <c r="C2" t="s">
        <v>2</v>
      </c>
      <c r="D2" t="s">
        <v>4</v>
      </c>
      <c r="E2" t="s">
        <v>3</v>
      </c>
      <c r="F2" t="s">
        <v>1</v>
      </c>
    </row>
    <row r="3" spans="1:6">
      <c r="A3">
        <v>297.18</v>
      </c>
      <c r="B3">
        <v>4.8490000000000002</v>
      </c>
      <c r="C3">
        <f>3.141592*(B3-3.014)</f>
        <v>5.7648213200000011</v>
      </c>
      <c r="D3">
        <f t="shared" ref="D3:D13" si="0">1/A3</f>
        <v>3.3649639948852548E-3</v>
      </c>
      <c r="E3">
        <f t="shared" ref="E3:E13" si="1">LN(C3/A3)</f>
        <v>-3.9425638565163816</v>
      </c>
      <c r="F3">
        <f>18.5441-A3*2.8057/1000</f>
        <v>17.710302074000001</v>
      </c>
    </row>
    <row r="4" spans="1:6">
      <c r="A4">
        <v>301.68</v>
      </c>
      <c r="B4">
        <v>3.528</v>
      </c>
      <c r="C4">
        <f t="shared" ref="C4:C13" si="2">3.141592*(B4-3.014)</f>
        <v>1.6147782880000008</v>
      </c>
      <c r="D4">
        <f t="shared" si="0"/>
        <v>3.3147706178732429E-3</v>
      </c>
      <c r="E4">
        <f t="shared" si="1"/>
        <v>-5.2301691886717876</v>
      </c>
      <c r="F4">
        <f t="shared" ref="F4:F13" si="3">18.5441-A4*2.8057/1000</f>
        <v>17.697676424000001</v>
      </c>
    </row>
    <row r="5" spans="1:6">
      <c r="A5">
        <v>306.18</v>
      </c>
      <c r="B5">
        <v>3.1120000000000001</v>
      </c>
      <c r="C5">
        <f t="shared" si="2"/>
        <v>0.30787601600000097</v>
      </c>
      <c r="D5">
        <f t="shared" si="0"/>
        <v>3.2660526487686982E-3</v>
      </c>
      <c r="E5">
        <f t="shared" si="1"/>
        <v>-6.9022312868102116</v>
      </c>
      <c r="F5">
        <f t="shared" si="3"/>
        <v>17.685050774</v>
      </c>
    </row>
    <row r="6" spans="1:6">
      <c r="A6">
        <v>310.67</v>
      </c>
      <c r="B6">
        <v>3.0139999999999998</v>
      </c>
      <c r="C6">
        <f t="shared" si="2"/>
        <v>0</v>
      </c>
      <c r="D6">
        <f t="shared" si="0"/>
        <v>3.2188495831589788E-3</v>
      </c>
      <c r="E6" t="e">
        <f t="shared" si="1"/>
        <v>#NUM!</v>
      </c>
      <c r="F6">
        <f t="shared" si="3"/>
        <v>17.672453181000002</v>
      </c>
    </row>
    <row r="7" spans="1:6">
      <c r="A7">
        <v>315.26</v>
      </c>
      <c r="B7">
        <v>3.226</v>
      </c>
      <c r="C7">
        <f t="shared" si="2"/>
        <v>0.66601750400000059</v>
      </c>
      <c r="D7">
        <f t="shared" si="0"/>
        <v>3.1719850282306669E-3</v>
      </c>
      <c r="E7">
        <f t="shared" si="1"/>
        <v>-6.1598370217032343</v>
      </c>
      <c r="F7">
        <f t="shared" si="3"/>
        <v>17.659575018000002</v>
      </c>
    </row>
    <row r="8" spans="1:6">
      <c r="A8">
        <v>319.85000000000002</v>
      </c>
      <c r="B8" s="1">
        <v>3.8559999999999999</v>
      </c>
      <c r="C8">
        <f t="shared" si="2"/>
        <v>2.6452204640000003</v>
      </c>
      <c r="D8">
        <f t="shared" si="0"/>
        <v>3.1264655307175235E-3</v>
      </c>
      <c r="E8">
        <f t="shared" si="1"/>
        <v>-4.795097722830671</v>
      </c>
      <c r="F8">
        <f t="shared" si="3"/>
        <v>17.646696855000002</v>
      </c>
    </row>
    <row r="9" spans="1:6">
      <c r="A9">
        <v>324.45</v>
      </c>
      <c r="B9">
        <v>5.09</v>
      </c>
      <c r="C9">
        <f t="shared" si="2"/>
        <v>6.5219449920000008</v>
      </c>
      <c r="D9">
        <f t="shared" si="0"/>
        <v>3.0821390044691015E-3</v>
      </c>
      <c r="E9">
        <f t="shared" si="1"/>
        <v>-3.9069587979582492</v>
      </c>
      <c r="F9">
        <f t="shared" si="3"/>
        <v>17.633790635</v>
      </c>
    </row>
    <row r="10" spans="1:6">
      <c r="A10">
        <v>329.03</v>
      </c>
      <c r="B10">
        <v>7.2279999999999998</v>
      </c>
      <c r="C10">
        <f t="shared" si="2"/>
        <v>13.238668688000002</v>
      </c>
      <c r="D10">
        <f t="shared" si="0"/>
        <v>3.0392365437802026E-3</v>
      </c>
      <c r="E10">
        <f t="shared" si="1"/>
        <v>-3.2130069388312861</v>
      </c>
      <c r="F10">
        <f t="shared" si="3"/>
        <v>17.620940529000002</v>
      </c>
    </row>
    <row r="11" spans="1:6">
      <c r="A11">
        <v>333.72</v>
      </c>
      <c r="B11">
        <v>10.871</v>
      </c>
      <c r="C11">
        <f t="shared" si="2"/>
        <v>24.683488344000004</v>
      </c>
      <c r="D11">
        <f t="shared" si="0"/>
        <v>2.9965240321227372E-3</v>
      </c>
      <c r="E11">
        <f t="shared" si="1"/>
        <v>-2.6041677860349033</v>
      </c>
      <c r="F11">
        <f t="shared" si="3"/>
        <v>17.607781796000001</v>
      </c>
    </row>
    <row r="12" spans="1:6">
      <c r="A12">
        <v>338.41</v>
      </c>
      <c r="B12">
        <v>16.89</v>
      </c>
      <c r="C12">
        <f t="shared" si="2"/>
        <v>43.592730592000009</v>
      </c>
      <c r="D12">
        <f t="shared" si="0"/>
        <v>2.9549954197570991E-3</v>
      </c>
      <c r="E12">
        <f t="shared" si="1"/>
        <v>-2.0493677712100853</v>
      </c>
      <c r="F12">
        <f t="shared" si="3"/>
        <v>17.594623063</v>
      </c>
    </row>
    <row r="13" spans="1:6">
      <c r="A13">
        <v>343</v>
      </c>
      <c r="B13">
        <v>27.131</v>
      </c>
      <c r="C13">
        <f t="shared" si="2"/>
        <v>75.765774264000001</v>
      </c>
      <c r="D13">
        <f t="shared" si="0"/>
        <v>2.9154518950437317E-3</v>
      </c>
      <c r="E13">
        <f t="shared" si="1"/>
        <v>-1.5100837833467207</v>
      </c>
      <c r="F13">
        <f t="shared" si="3"/>
        <v>17.5817449</v>
      </c>
    </row>
    <row r="14" spans="1:6">
      <c r="A14" t="s">
        <v>7</v>
      </c>
      <c r="B14">
        <v>14272</v>
      </c>
    </row>
    <row r="15" spans="1:6">
      <c r="A15" t="s">
        <v>8</v>
      </c>
      <c r="B15">
        <v>40.127000000000002</v>
      </c>
    </row>
    <row r="16" spans="1:6" ht="16.2">
      <c r="A16" t="s">
        <v>5</v>
      </c>
      <c r="B16">
        <f>B14*8.314*0.239/1000</f>
        <v>28.359120511999997</v>
      </c>
    </row>
    <row r="17" spans="1:6" ht="16.2">
      <c r="A17" t="s">
        <v>6</v>
      </c>
      <c r="B17">
        <f>(B15-23.76)*8.314*0.239</f>
        <v>32.521981881999999</v>
      </c>
    </row>
    <row r="21" spans="1:6">
      <c r="A21" t="s">
        <v>12</v>
      </c>
    </row>
    <row r="22" spans="1:6">
      <c r="A22" t="s">
        <v>20</v>
      </c>
      <c r="B22" t="s">
        <v>0</v>
      </c>
      <c r="C22" t="s">
        <v>2</v>
      </c>
      <c r="D22" t="s">
        <v>4</v>
      </c>
      <c r="E22" t="s">
        <v>3</v>
      </c>
      <c r="F22" t="s">
        <v>1</v>
      </c>
    </row>
    <row r="23" spans="1:6">
      <c r="A23">
        <v>297.18</v>
      </c>
      <c r="B23">
        <v>1.7050000000000001</v>
      </c>
      <c r="C23">
        <f>3.141592*(B23-1.676)</f>
        <v>9.1106168000000431E-2</v>
      </c>
      <c r="D23">
        <f t="shared" ref="D23:D33" si="4">1/A23</f>
        <v>3.3649639948852548E-3</v>
      </c>
      <c r="E23">
        <f t="shared" ref="E23:E33" si="5">LN(C23/A23)</f>
        <v>-8.0900677870185742</v>
      </c>
      <c r="F23">
        <f>28.15048-A23*31.01183/1000</f>
        <v>18.934384360599999</v>
      </c>
    </row>
    <row r="24" spans="1:6">
      <c r="A24">
        <v>301.68</v>
      </c>
      <c r="B24">
        <v>2.2909999999999999</v>
      </c>
      <c r="C24">
        <f t="shared" ref="C24:C33" si="6">3.141592*(B24-1.676)</f>
        <v>1.9320790800000001</v>
      </c>
      <c r="D24">
        <f t="shared" si="4"/>
        <v>3.3147706178732429E-3</v>
      </c>
      <c r="E24">
        <f t="shared" si="5"/>
        <v>-5.0507701863204355</v>
      </c>
      <c r="F24">
        <f t="shared" ref="F24:F33" si="7">28.15048-A24*31.01183/1000</f>
        <v>18.794831125600002</v>
      </c>
    </row>
    <row r="25" spans="1:6">
      <c r="A25">
        <v>306.18</v>
      </c>
      <c r="B25">
        <v>1.6759999999999999</v>
      </c>
      <c r="C25">
        <f t="shared" si="6"/>
        <v>0</v>
      </c>
      <c r="D25">
        <f t="shared" si="4"/>
        <v>3.2660526487686982E-3</v>
      </c>
      <c r="E25" t="e">
        <f t="shared" si="5"/>
        <v>#NUM!</v>
      </c>
      <c r="F25">
        <f t="shared" si="7"/>
        <v>18.655277890600004</v>
      </c>
    </row>
    <row r="26" spans="1:6">
      <c r="A26">
        <v>310.67</v>
      </c>
      <c r="B26">
        <v>1.738</v>
      </c>
      <c r="C26">
        <f t="shared" si="6"/>
        <v>0.19477870400000019</v>
      </c>
      <c r="D26">
        <f t="shared" si="4"/>
        <v>3.2188495831589788E-3</v>
      </c>
      <c r="E26">
        <f t="shared" si="5"/>
        <v>-7.3746224717054121</v>
      </c>
      <c r="F26">
        <f t="shared" si="7"/>
        <v>18.516034773900003</v>
      </c>
    </row>
    <row r="27" spans="1:6">
      <c r="A27">
        <v>315.26</v>
      </c>
      <c r="B27">
        <v>2.08</v>
      </c>
      <c r="C27">
        <f t="shared" si="6"/>
        <v>1.2692031680000004</v>
      </c>
      <c r="D27">
        <f t="shared" si="4"/>
        <v>3.1719850282306669E-3</v>
      </c>
      <c r="E27">
        <f t="shared" si="5"/>
        <v>-5.5150084184140971</v>
      </c>
      <c r="F27">
        <f t="shared" si="7"/>
        <v>18.373690474200004</v>
      </c>
    </row>
    <row r="28" spans="1:6">
      <c r="A28">
        <v>319.85000000000002</v>
      </c>
      <c r="B28" s="1">
        <v>2.3809999999999998</v>
      </c>
      <c r="C28">
        <f t="shared" si="6"/>
        <v>2.2148223599999994</v>
      </c>
      <c r="D28">
        <f t="shared" si="4"/>
        <v>3.1264655307175235E-3</v>
      </c>
      <c r="E28">
        <f t="shared" si="5"/>
        <v>-4.9726799342607295</v>
      </c>
      <c r="F28">
        <f t="shared" si="7"/>
        <v>18.231346174500001</v>
      </c>
    </row>
    <row r="29" spans="1:6">
      <c r="A29">
        <v>324.45</v>
      </c>
      <c r="B29">
        <v>3.0819999999999999</v>
      </c>
      <c r="C29">
        <f t="shared" si="6"/>
        <v>4.4170783519999999</v>
      </c>
      <c r="D29">
        <f t="shared" si="4"/>
        <v>3.0821390044691015E-3</v>
      </c>
      <c r="E29">
        <f t="shared" si="5"/>
        <v>-4.2966529698734188</v>
      </c>
      <c r="F29">
        <f t="shared" si="7"/>
        <v>18.088691756500005</v>
      </c>
    </row>
    <row r="30" spans="1:6">
      <c r="A30">
        <v>329.03</v>
      </c>
      <c r="B30">
        <v>4.4530000000000003</v>
      </c>
      <c r="C30">
        <f t="shared" si="6"/>
        <v>8.7242009840000012</v>
      </c>
      <c r="D30">
        <f t="shared" si="4"/>
        <v>3.0392365437802026E-3</v>
      </c>
      <c r="E30">
        <f t="shared" si="5"/>
        <v>-3.6300480458886208</v>
      </c>
      <c r="F30">
        <f t="shared" si="7"/>
        <v>17.946657575100001</v>
      </c>
    </row>
    <row r="31" spans="1:6">
      <c r="A31">
        <v>333.72</v>
      </c>
      <c r="B31">
        <v>6.6680000000000001</v>
      </c>
      <c r="C31">
        <f t="shared" si="6"/>
        <v>15.682827264</v>
      </c>
      <c r="D31">
        <f t="shared" si="4"/>
        <v>2.9965240321227372E-3</v>
      </c>
      <c r="E31">
        <f t="shared" si="5"/>
        <v>-3.0577360091614616</v>
      </c>
      <c r="F31">
        <f t="shared" si="7"/>
        <v>17.8012120924</v>
      </c>
    </row>
    <row r="32" spans="1:6">
      <c r="A32">
        <v>338.41</v>
      </c>
      <c r="B32">
        <v>10.518000000000001</v>
      </c>
      <c r="C32">
        <f t="shared" si="6"/>
        <v>27.777956464000003</v>
      </c>
      <c r="D32">
        <f t="shared" si="4"/>
        <v>2.9549954197570991E-3</v>
      </c>
      <c r="E32">
        <f t="shared" si="5"/>
        <v>-2.5000154049135368</v>
      </c>
      <c r="F32">
        <f t="shared" si="7"/>
        <v>17.655766609700002</v>
      </c>
    </row>
    <row r="33" spans="1:6">
      <c r="A33">
        <v>343</v>
      </c>
      <c r="B33">
        <v>16.806000000000001</v>
      </c>
      <c r="C33">
        <f t="shared" si="6"/>
        <v>47.532286960000008</v>
      </c>
      <c r="D33">
        <f t="shared" si="4"/>
        <v>2.9154518950437317E-3</v>
      </c>
      <c r="E33">
        <f t="shared" si="5"/>
        <v>-1.9763212415603892</v>
      </c>
      <c r="F33">
        <f t="shared" si="7"/>
        <v>17.513422310000003</v>
      </c>
    </row>
    <row r="34" spans="1:6">
      <c r="A34" t="s">
        <v>7</v>
      </c>
      <c r="B34">
        <v>13824</v>
      </c>
    </row>
    <row r="35" spans="1:6">
      <c r="A35" t="s">
        <v>8</v>
      </c>
      <c r="B35">
        <v>38.345999999999997</v>
      </c>
    </row>
    <row r="36" spans="1:6" ht="16.2">
      <c r="A36" t="s">
        <v>5</v>
      </c>
      <c r="B36">
        <f>B34*8.314*0.239/1000</f>
        <v>27.468923904</v>
      </c>
    </row>
    <row r="37" spans="1:6" ht="16.2">
      <c r="A37" t="s">
        <v>6</v>
      </c>
      <c r="B37">
        <f>(B35-23.76)*8.314*0.239</f>
        <v>28.983052955999991</v>
      </c>
    </row>
    <row r="41" spans="1:6">
      <c r="A41" t="s">
        <v>13</v>
      </c>
    </row>
    <row r="42" spans="1:6">
      <c r="A42" t="s">
        <v>20</v>
      </c>
      <c r="B42" t="s">
        <v>0</v>
      </c>
      <c r="C42" t="s">
        <v>2</v>
      </c>
      <c r="D42" t="s">
        <v>4</v>
      </c>
      <c r="E42" t="s">
        <v>3</v>
      </c>
      <c r="F42" t="s">
        <v>1</v>
      </c>
    </row>
    <row r="43" spans="1:6">
      <c r="A43">
        <v>297.18</v>
      </c>
      <c r="B43">
        <v>2.5830000000000002</v>
      </c>
      <c r="C43">
        <f>3.141592*(B43-2.413)</f>
        <v>0.53407064000000115</v>
      </c>
      <c r="D43">
        <f t="shared" ref="D43:D53" si="8">1/A43</f>
        <v>3.3649639948852548E-3</v>
      </c>
      <c r="E43">
        <f t="shared" ref="E43:E53" si="9">LN(C43/A43)</f>
        <v>-6.3215651799547885</v>
      </c>
      <c r="F43">
        <f>21.45016-A43*12.43195/1000</f>
        <v>17.755633099000001</v>
      </c>
    </row>
    <row r="44" spans="1:6">
      <c r="A44">
        <v>301.68</v>
      </c>
      <c r="B44">
        <v>2.4129999999999998</v>
      </c>
      <c r="C44">
        <f t="shared" ref="C44:C53" si="10">3.141592*(B44-2.413)</f>
        <v>0</v>
      </c>
      <c r="D44">
        <f t="shared" si="8"/>
        <v>3.3147706178732429E-3</v>
      </c>
      <c r="E44" t="e">
        <f t="shared" si="9"/>
        <v>#NUM!</v>
      </c>
      <c r="F44">
        <f t="shared" ref="F44:F53" si="11">21.45016-A44*12.43195/1000</f>
        <v>17.699689324000001</v>
      </c>
    </row>
    <row r="45" spans="1:6">
      <c r="A45">
        <v>306.18</v>
      </c>
      <c r="B45">
        <v>3.7370000000000001</v>
      </c>
      <c r="C45">
        <f t="shared" si="10"/>
        <v>4.1594678080000014</v>
      </c>
      <c r="D45">
        <f t="shared" si="8"/>
        <v>3.2660526487686982E-3</v>
      </c>
      <c r="E45">
        <f t="shared" si="9"/>
        <v>-4.2987860289838329</v>
      </c>
      <c r="F45">
        <f t="shared" si="11"/>
        <v>17.643745549000002</v>
      </c>
    </row>
    <row r="46" spans="1:6">
      <c r="A46">
        <v>310.67</v>
      </c>
      <c r="B46">
        <v>4.2930000000000001</v>
      </c>
      <c r="C46">
        <f t="shared" si="10"/>
        <v>5.9061929600000012</v>
      </c>
      <c r="D46">
        <f t="shared" si="8"/>
        <v>3.2188495831589788E-3</v>
      </c>
      <c r="E46">
        <f t="shared" si="9"/>
        <v>-3.9627298009265095</v>
      </c>
      <c r="F46">
        <f t="shared" si="11"/>
        <v>17.587926093499998</v>
      </c>
    </row>
    <row r="47" spans="1:6">
      <c r="A47">
        <v>315.26</v>
      </c>
      <c r="B47">
        <v>4.8789999999999996</v>
      </c>
      <c r="C47">
        <f t="shared" si="10"/>
        <v>7.7471658719999992</v>
      </c>
      <c r="D47">
        <f t="shared" si="8"/>
        <v>3.1719850282306669E-3</v>
      </c>
      <c r="E47">
        <f t="shared" si="9"/>
        <v>-3.7060706126509579</v>
      </c>
      <c r="F47">
        <f t="shared" si="11"/>
        <v>17.530863443000001</v>
      </c>
    </row>
    <row r="48" spans="1:6">
      <c r="A48">
        <v>319.85000000000002</v>
      </c>
      <c r="B48" s="1">
        <v>5.3609999999999998</v>
      </c>
      <c r="C48">
        <f t="shared" si="10"/>
        <v>9.2614132160000011</v>
      </c>
      <c r="D48">
        <f t="shared" si="8"/>
        <v>3.1264655307175235E-3</v>
      </c>
      <c r="E48">
        <f t="shared" si="9"/>
        <v>-3.5419954837637704</v>
      </c>
      <c r="F48">
        <f t="shared" si="11"/>
        <v>17.473800792500001</v>
      </c>
    </row>
    <row r="49" spans="1:6">
      <c r="A49">
        <v>324.45</v>
      </c>
      <c r="B49">
        <v>6.6719999999999997</v>
      </c>
      <c r="C49">
        <f t="shared" si="10"/>
        <v>13.380040328000002</v>
      </c>
      <c r="D49">
        <f t="shared" si="8"/>
        <v>3.0821390044691015E-3</v>
      </c>
      <c r="E49">
        <f t="shared" si="9"/>
        <v>-3.188367372320815</v>
      </c>
      <c r="F49">
        <f t="shared" si="11"/>
        <v>17.4166138225</v>
      </c>
    </row>
    <row r="50" spans="1:6">
      <c r="A50">
        <v>329.03</v>
      </c>
      <c r="B50">
        <v>8.4060000000000006</v>
      </c>
      <c r="C50">
        <f t="shared" si="10"/>
        <v>18.827560856000002</v>
      </c>
      <c r="D50">
        <f t="shared" si="8"/>
        <v>3.0392365437802026E-3</v>
      </c>
      <c r="E50">
        <f t="shared" si="9"/>
        <v>-2.860827132737235</v>
      </c>
      <c r="F50">
        <f t="shared" si="11"/>
        <v>17.359675491499999</v>
      </c>
    </row>
    <row r="51" spans="1:6">
      <c r="A51">
        <v>333.72</v>
      </c>
      <c r="B51">
        <v>12.678000000000001</v>
      </c>
      <c r="C51">
        <f t="shared" si="10"/>
        <v>32.248441880000001</v>
      </c>
      <c r="D51">
        <f t="shared" si="8"/>
        <v>2.9965240321227372E-3</v>
      </c>
      <c r="E51">
        <f t="shared" si="9"/>
        <v>-2.3368325897576909</v>
      </c>
      <c r="F51">
        <f t="shared" si="11"/>
        <v>17.301369645999998</v>
      </c>
    </row>
    <row r="52" spans="1:6">
      <c r="A52">
        <v>338.41</v>
      </c>
      <c r="B52">
        <v>17.998999999999999</v>
      </c>
      <c r="C52">
        <f t="shared" si="10"/>
        <v>48.964852911999998</v>
      </c>
      <c r="D52">
        <f t="shared" si="8"/>
        <v>2.9549954197570991E-3</v>
      </c>
      <c r="E52">
        <f t="shared" si="9"/>
        <v>-1.9331554248962193</v>
      </c>
      <c r="F52">
        <f t="shared" si="11"/>
        <v>17.2430638005</v>
      </c>
    </row>
    <row r="53" spans="1:6">
      <c r="A53">
        <v>343</v>
      </c>
      <c r="B53">
        <v>29.454000000000001</v>
      </c>
      <c r="C53">
        <f t="shared" si="10"/>
        <v>84.951789271999999</v>
      </c>
      <c r="D53">
        <f t="shared" si="8"/>
        <v>2.9154518950437317E-3</v>
      </c>
      <c r="E53">
        <f t="shared" si="9"/>
        <v>-1.3956465366211965</v>
      </c>
      <c r="F53">
        <f t="shared" si="11"/>
        <v>17.186001150000003</v>
      </c>
    </row>
    <row r="54" spans="1:6">
      <c r="A54" t="s">
        <v>7</v>
      </c>
      <c r="B54">
        <v>10795</v>
      </c>
    </row>
    <row r="55" spans="1:6">
      <c r="A55" t="s">
        <v>8</v>
      </c>
      <c r="B55">
        <v>30.016999999999999</v>
      </c>
    </row>
    <row r="56" spans="1:6" ht="16.2">
      <c r="A56" t="s">
        <v>5</v>
      </c>
      <c r="B56">
        <f>B54*8.314*0.239/1000</f>
        <v>21.450161569999999</v>
      </c>
    </row>
    <row r="57" spans="1:6" ht="16.2">
      <c r="A57" t="s">
        <v>14</v>
      </c>
      <c r="B57">
        <f>(B55-23.76)*8.314*0.239</f>
        <v>12.432946821999995</v>
      </c>
    </row>
    <row r="59" spans="1:6">
      <c r="A59" t="s">
        <v>15</v>
      </c>
      <c r="B59">
        <v>1</v>
      </c>
      <c r="C59">
        <v>2</v>
      </c>
      <c r="D59">
        <v>3</v>
      </c>
      <c r="E59" t="s">
        <v>18</v>
      </c>
      <c r="F59" t="s">
        <v>19</v>
      </c>
    </row>
    <row r="60" spans="1:6">
      <c r="A60" t="s">
        <v>7</v>
      </c>
      <c r="B60">
        <v>14272</v>
      </c>
      <c r="C60">
        <v>13824</v>
      </c>
      <c r="D60">
        <v>10795</v>
      </c>
    </row>
    <row r="61" spans="1:6">
      <c r="A61" t="s">
        <v>8</v>
      </c>
      <c r="B61">
        <v>40.127000000000002</v>
      </c>
      <c r="C61">
        <v>38.345999999999997</v>
      </c>
      <c r="D61">
        <v>30.016999999999999</v>
      </c>
    </row>
    <row r="62" spans="1:6" ht="16.2">
      <c r="A62" t="s">
        <v>5</v>
      </c>
      <c r="B62">
        <f>B60*8.314*0.239/1000</f>
        <v>28.359120511999997</v>
      </c>
      <c r="C62">
        <f>C60*8.314*0.239/1000</f>
        <v>27.468923904</v>
      </c>
      <c r="D62">
        <f>D60*8.314*0.239/1000</f>
        <v>21.450161569999999</v>
      </c>
    </row>
    <row r="63" spans="1:6" ht="16.2">
      <c r="A63" t="s">
        <v>14</v>
      </c>
      <c r="B63">
        <f>(B61-23.76)*8.314*0.239</f>
        <v>32.521981881999999</v>
      </c>
      <c r="C63">
        <f>(C61-23.76)*8.314*0.239</f>
        <v>28.983052955999991</v>
      </c>
      <c r="D63">
        <f>(D61-23.76)*8.314*0.239</f>
        <v>12.432946821999995</v>
      </c>
    </row>
    <row r="64" spans="1:6" ht="16.2">
      <c r="A64" t="s">
        <v>9</v>
      </c>
      <c r="B64">
        <f>B62-0.29815*B63</f>
        <v>18.662691613881698</v>
      </c>
      <c r="C64">
        <f t="shared" ref="C64:D64" si="12">C62-0.29815*C63</f>
        <v>18.827626665168602</v>
      </c>
      <c r="D64">
        <f t="shared" si="12"/>
        <v>17.743278475020702</v>
      </c>
      <c r="E64">
        <f>AVERAGE(B64:D64)</f>
        <v>18.411198918023668</v>
      </c>
      <c r="F64">
        <f>_xlfn.STDEV.S(B64:D64)</f>
        <v>0.58428518843259358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F7FFC-3DFB-4279-A3E8-2428ADE01581}">
  <dimension ref="A1:Q59"/>
  <sheetViews>
    <sheetView topLeftCell="A37" zoomScaleNormal="100" workbookViewId="0">
      <selection activeCell="F59" sqref="F59"/>
    </sheetView>
  </sheetViews>
  <sheetFormatPr defaultRowHeight="14.4"/>
  <sheetData>
    <row r="1" spans="1:17">
      <c r="A1" t="s">
        <v>11</v>
      </c>
    </row>
    <row r="2" spans="1:17">
      <c r="A2" t="s">
        <v>20</v>
      </c>
      <c r="B2" t="s">
        <v>0</v>
      </c>
      <c r="C2" t="s">
        <v>2</v>
      </c>
      <c r="D2" t="s">
        <v>4</v>
      </c>
      <c r="E2" t="s">
        <v>3</v>
      </c>
      <c r="F2" t="s">
        <v>1</v>
      </c>
    </row>
    <row r="3" spans="1:17">
      <c r="A3">
        <v>297.18</v>
      </c>
      <c r="B3">
        <v>2.121</v>
      </c>
      <c r="C3">
        <f>3.141592*(B3-1.927)</f>
        <v>0.6094688479999999</v>
      </c>
      <c r="D3">
        <f t="shared" ref="D3:D11" si="0">1/A3</f>
        <v>3.3649639948852548E-3</v>
      </c>
      <c r="E3">
        <f t="shared" ref="E3:E11" si="1">LN(C3/A3)</f>
        <v>-6.189505457941725</v>
      </c>
      <c r="F3">
        <f>25.53354-A3*22.6404/1000</f>
        <v>18.805265927999997</v>
      </c>
    </row>
    <row r="4" spans="1:17">
      <c r="A4">
        <v>310.67</v>
      </c>
      <c r="B4">
        <v>1.927</v>
      </c>
      <c r="C4">
        <f t="shared" ref="C4:C11" si="2">3.141592*(B4-1.927)</f>
        <v>0</v>
      </c>
      <c r="D4">
        <f t="shared" si="0"/>
        <v>3.2188495831589788E-3</v>
      </c>
      <c r="E4" t="e">
        <f t="shared" si="1"/>
        <v>#NUM!</v>
      </c>
      <c r="F4">
        <f t="shared" ref="F4:F11" si="3">25.53354-A4*22.6404/1000</f>
        <v>18.499846931999997</v>
      </c>
    </row>
    <row r="5" spans="1:17">
      <c r="A5">
        <v>315.26</v>
      </c>
      <c r="B5">
        <v>2.5830000000000002</v>
      </c>
      <c r="C5">
        <f t="shared" si="2"/>
        <v>2.0608843520000004</v>
      </c>
      <c r="D5">
        <f t="shared" si="0"/>
        <v>3.1719850282306669E-3</v>
      </c>
      <c r="E5">
        <f t="shared" si="1"/>
        <v>-5.030262507431158</v>
      </c>
      <c r="F5">
        <f t="shared" si="3"/>
        <v>18.395927495999999</v>
      </c>
    </row>
    <row r="6" spans="1:17">
      <c r="A6">
        <v>319.85000000000002</v>
      </c>
      <c r="B6" s="1">
        <v>2.5830000000000002</v>
      </c>
      <c r="C6">
        <f t="shared" si="2"/>
        <v>2.0608843520000004</v>
      </c>
      <c r="D6">
        <f t="shared" si="0"/>
        <v>3.1264655307175235E-3</v>
      </c>
      <c r="E6">
        <f t="shared" si="1"/>
        <v>-5.0447169481289089</v>
      </c>
      <c r="F6">
        <f t="shared" si="3"/>
        <v>18.292008059999997</v>
      </c>
    </row>
    <row r="7" spans="1:17">
      <c r="A7">
        <v>324.45</v>
      </c>
      <c r="B7">
        <v>3.1640000000000001</v>
      </c>
      <c r="C7">
        <f t="shared" si="2"/>
        <v>3.8861493040000004</v>
      </c>
      <c r="D7">
        <f t="shared" si="0"/>
        <v>3.0821390044691015E-3</v>
      </c>
      <c r="E7">
        <f t="shared" si="1"/>
        <v>-4.4247126698515409</v>
      </c>
      <c r="F7">
        <f t="shared" si="3"/>
        <v>18.18786222</v>
      </c>
    </row>
    <row r="8" spans="1:17">
      <c r="A8">
        <v>329.03</v>
      </c>
      <c r="B8">
        <v>4.0439999999999996</v>
      </c>
      <c r="C8">
        <f t="shared" si="2"/>
        <v>6.6507502639999991</v>
      </c>
      <c r="D8">
        <f t="shared" si="0"/>
        <v>3.0392365437802026E-3</v>
      </c>
      <c r="E8">
        <f t="shared" si="1"/>
        <v>-3.9014192620605557</v>
      </c>
      <c r="F8">
        <f t="shared" si="3"/>
        <v>18.084169188000001</v>
      </c>
    </row>
    <row r="9" spans="1:17">
      <c r="A9">
        <v>333.72</v>
      </c>
      <c r="B9">
        <v>5.4770000000000003</v>
      </c>
      <c r="C9">
        <f t="shared" si="2"/>
        <v>11.152651600000002</v>
      </c>
      <c r="D9">
        <f t="shared" si="0"/>
        <v>2.9965240321227372E-3</v>
      </c>
      <c r="E9">
        <f t="shared" si="1"/>
        <v>-3.3986250367412634</v>
      </c>
      <c r="F9">
        <f t="shared" si="3"/>
        <v>17.977985711999999</v>
      </c>
    </row>
    <row r="10" spans="1:17">
      <c r="A10">
        <v>338.41</v>
      </c>
      <c r="B10">
        <v>8.14</v>
      </c>
      <c r="C10">
        <f t="shared" si="2"/>
        <v>19.518711096000004</v>
      </c>
      <c r="D10">
        <f t="shared" si="0"/>
        <v>2.9549954197570991E-3</v>
      </c>
      <c r="E10">
        <f t="shared" si="1"/>
        <v>-2.8528846292360317</v>
      </c>
      <c r="F10">
        <f t="shared" si="3"/>
        <v>17.871802235999997</v>
      </c>
    </row>
    <row r="11" spans="1:17">
      <c r="A11">
        <v>343</v>
      </c>
      <c r="B11">
        <v>13.365</v>
      </c>
      <c r="C11">
        <f t="shared" si="2"/>
        <v>35.933529296000003</v>
      </c>
      <c r="D11">
        <f t="shared" si="0"/>
        <v>2.9154518950437317E-3</v>
      </c>
      <c r="E11">
        <f t="shared" si="1"/>
        <v>-2.2560596238675297</v>
      </c>
      <c r="F11">
        <f t="shared" si="3"/>
        <v>17.767882799999999</v>
      </c>
    </row>
    <row r="12" spans="1:17">
      <c r="A12" t="s">
        <v>7</v>
      </c>
      <c r="B12">
        <v>12886</v>
      </c>
    </row>
    <row r="13" spans="1:17">
      <c r="A13" t="s">
        <v>8</v>
      </c>
      <c r="B13">
        <v>35.262</v>
      </c>
      <c r="Q13" t="s">
        <v>10</v>
      </c>
    </row>
    <row r="14" spans="1:17" ht="16.2">
      <c r="A14" t="s">
        <v>5</v>
      </c>
      <c r="B14">
        <f>B12*8.314*0.239/1000</f>
        <v>25.605074755999997</v>
      </c>
    </row>
    <row r="15" spans="1:17" ht="16.2">
      <c r="A15" t="s">
        <v>6</v>
      </c>
      <c r="B15">
        <f>(B13-23.76)*8.314*0.239</f>
        <v>22.855003091999997</v>
      </c>
    </row>
    <row r="21" spans="1:6">
      <c r="A21" t="s">
        <v>12</v>
      </c>
    </row>
    <row r="22" spans="1:6">
      <c r="A22" t="s">
        <v>20</v>
      </c>
      <c r="B22" t="s">
        <v>0</v>
      </c>
      <c r="C22" t="s">
        <v>2</v>
      </c>
      <c r="D22" t="s">
        <v>4</v>
      </c>
      <c r="E22" t="s">
        <v>3</v>
      </c>
      <c r="F22" t="s">
        <v>1</v>
      </c>
    </row>
    <row r="23" spans="1:6">
      <c r="A23">
        <v>297.18</v>
      </c>
      <c r="B23">
        <v>2.4420000000000002</v>
      </c>
      <c r="C23">
        <f>3.141592*(B23-1.872)</f>
        <v>1.7907074400000003</v>
      </c>
      <c r="D23">
        <f t="shared" ref="D23:D29" si="4">1/A23</f>
        <v>3.3649639948852548E-3</v>
      </c>
      <c r="E23">
        <f t="shared" ref="E23:E29" si="5">LN(C23/A23)</f>
        <v>-5.1117272561764562</v>
      </c>
      <c r="F23">
        <f>25.53354-A23*22.6404/1000</f>
        <v>18.805265927999997</v>
      </c>
    </row>
    <row r="24" spans="1:6">
      <c r="A24">
        <v>310.67</v>
      </c>
      <c r="B24">
        <v>1.9590000000000001</v>
      </c>
      <c r="C24">
        <f t="shared" ref="C24:C29" si="6">3.141592*(B24-1.872)</f>
        <v>0.27331850399999991</v>
      </c>
      <c r="D24">
        <f t="shared" si="4"/>
        <v>3.2188495831589788E-3</v>
      </c>
      <c r="E24">
        <f t="shared" si="5"/>
        <v>-7.0358487380959218</v>
      </c>
      <c r="F24">
        <f t="shared" ref="F24:F29" si="7">25.53354-A24*22.6404/1000</f>
        <v>18.499846931999997</v>
      </c>
    </row>
    <row r="25" spans="1:6">
      <c r="A25">
        <v>315.26</v>
      </c>
      <c r="B25">
        <v>1.8720000000000001</v>
      </c>
      <c r="C25">
        <f t="shared" si="6"/>
        <v>0</v>
      </c>
      <c r="D25">
        <f t="shared" si="4"/>
        <v>3.1719850282306669E-3</v>
      </c>
      <c r="E25" t="e">
        <f t="shared" si="5"/>
        <v>#NUM!</v>
      </c>
      <c r="F25">
        <f t="shared" si="7"/>
        <v>18.395927495999999</v>
      </c>
    </row>
    <row r="26" spans="1:6">
      <c r="A26">
        <v>319.85000000000002</v>
      </c>
      <c r="B26" s="1">
        <v>2.1709999999999998</v>
      </c>
      <c r="C26">
        <f t="shared" si="6"/>
        <v>0.93933600799999917</v>
      </c>
      <c r="D26">
        <f t="shared" si="4"/>
        <v>3.1264655307175235E-3</v>
      </c>
      <c r="E26">
        <f t="shared" si="5"/>
        <v>-5.8304341636823125</v>
      </c>
      <c r="F26">
        <f t="shared" si="7"/>
        <v>18.292008059999997</v>
      </c>
    </row>
    <row r="27" spans="1:6">
      <c r="A27">
        <v>324.45</v>
      </c>
      <c r="B27">
        <v>2.61</v>
      </c>
      <c r="C27">
        <f t="shared" si="6"/>
        <v>2.3184948959999994</v>
      </c>
      <c r="D27">
        <f t="shared" si="4"/>
        <v>3.0821390044691015E-3</v>
      </c>
      <c r="E27">
        <f t="shared" si="5"/>
        <v>-4.9412132176435568</v>
      </c>
      <c r="F27">
        <f t="shared" si="7"/>
        <v>18.18786222</v>
      </c>
    </row>
    <row r="28" spans="1:6">
      <c r="A28">
        <v>329.03</v>
      </c>
      <c r="B28">
        <v>4.5960000000000001</v>
      </c>
      <c r="C28">
        <f t="shared" si="6"/>
        <v>8.5576966080000005</v>
      </c>
      <c r="D28">
        <f t="shared" si="4"/>
        <v>3.0392365437802026E-3</v>
      </c>
      <c r="E28">
        <f t="shared" si="5"/>
        <v>-3.6493178659260175</v>
      </c>
      <c r="F28">
        <f t="shared" si="7"/>
        <v>18.084169188000001</v>
      </c>
    </row>
    <row r="29" spans="1:6">
      <c r="A29">
        <v>333.72</v>
      </c>
      <c r="B29">
        <v>5.6970000000000001</v>
      </c>
      <c r="C29">
        <f t="shared" si="6"/>
        <v>12.016589400000001</v>
      </c>
      <c r="D29">
        <f t="shared" si="4"/>
        <v>2.9965240321227372E-3</v>
      </c>
      <c r="E29">
        <f t="shared" si="5"/>
        <v>-3.3240141729500889</v>
      </c>
      <c r="F29">
        <f t="shared" si="7"/>
        <v>17.977985711999999</v>
      </c>
    </row>
    <row r="30" spans="1:6">
      <c r="A30">
        <v>338.41</v>
      </c>
      <c r="B30" s="2" t="s">
        <v>17</v>
      </c>
      <c r="C30" s="2"/>
      <c r="D30" s="2"/>
      <c r="E30" s="2"/>
      <c r="F30" s="2"/>
    </row>
    <row r="31" spans="1:6">
      <c r="A31">
        <v>343</v>
      </c>
      <c r="B31">
        <v>15.337999999999999</v>
      </c>
      <c r="C31">
        <f>3.141592*(B31-1.872)</f>
        <v>42.304677871999999</v>
      </c>
      <c r="D31">
        <f>1/A31</f>
        <v>2.9154518950437317E-3</v>
      </c>
      <c r="E31">
        <f>LN(C31/A31)</f>
        <v>-2.0928327792375652</v>
      </c>
      <c r="F31">
        <f>25.53354-A31*22.6404/1000</f>
        <v>17.767882799999999</v>
      </c>
    </row>
    <row r="32" spans="1:6">
      <c r="A32" t="s">
        <v>7</v>
      </c>
      <c r="B32">
        <v>16070</v>
      </c>
    </row>
    <row r="33" spans="1:6">
      <c r="A33" t="s">
        <v>8</v>
      </c>
      <c r="B33">
        <v>44.841999999999999</v>
      </c>
    </row>
    <row r="34" spans="1:6" ht="16.2">
      <c r="A34" t="s">
        <v>5</v>
      </c>
      <c r="B34">
        <f>B32*8.314*0.239/1000</f>
        <v>31.931829220000001</v>
      </c>
    </row>
    <row r="35" spans="1:6" ht="16.2">
      <c r="A35" t="s">
        <v>6</v>
      </c>
      <c r="B35">
        <f>(B33-23.76)*8.314*0.239</f>
        <v>41.890903771999987</v>
      </c>
    </row>
    <row r="37" spans="1:6">
      <c r="A37" t="s">
        <v>13</v>
      </c>
    </row>
    <row r="38" spans="1:6">
      <c r="A38" t="s">
        <v>20</v>
      </c>
      <c r="B38" t="s">
        <v>0</v>
      </c>
      <c r="C38" t="s">
        <v>2</v>
      </c>
      <c r="D38" t="s">
        <v>4</v>
      </c>
      <c r="E38" t="s">
        <v>3</v>
      </c>
      <c r="F38" t="s">
        <v>1</v>
      </c>
    </row>
    <row r="39" spans="1:6">
      <c r="A39">
        <v>297.18</v>
      </c>
      <c r="B39">
        <v>1.9179999999999999</v>
      </c>
      <c r="C39">
        <f>3.141592*(B39-1.918)</f>
        <v>0</v>
      </c>
      <c r="D39">
        <f t="shared" ref="D39:D47" si="8">1/A39</f>
        <v>3.3649639948852548E-3</v>
      </c>
      <c r="E39" t="e">
        <f t="shared" ref="E39:E47" si="9">LN(C39/A39)</f>
        <v>#NUM!</v>
      </c>
      <c r="F39">
        <f>25.53354-A39*22.6404/1000</f>
        <v>18.805265927999997</v>
      </c>
    </row>
    <row r="40" spans="1:6">
      <c r="A40">
        <v>310.67</v>
      </c>
      <c r="B40">
        <v>2.3130000000000002</v>
      </c>
      <c r="C40">
        <f t="shared" ref="C40:C47" si="10">3.141592*(B40-1.918)</f>
        <v>1.2409288400000009</v>
      </c>
      <c r="D40">
        <f t="shared" si="8"/>
        <v>3.2188495831589788E-3</v>
      </c>
      <c r="E40">
        <f t="shared" si="9"/>
        <v>-5.5228710918493817</v>
      </c>
      <c r="F40">
        <f t="shared" ref="F40:F47" si="11">25.53354-A40*22.6404/1000</f>
        <v>18.499846931999997</v>
      </c>
    </row>
    <row r="41" spans="1:6">
      <c r="A41">
        <v>315.26</v>
      </c>
      <c r="B41">
        <v>2.0979999999999999</v>
      </c>
      <c r="C41">
        <f t="shared" si="10"/>
        <v>0.56548655999999986</v>
      </c>
      <c r="D41">
        <f t="shared" si="8"/>
        <v>3.1719850282306669E-3</v>
      </c>
      <c r="E41">
        <f t="shared" si="9"/>
        <v>-6.3234664454850371</v>
      </c>
      <c r="F41">
        <f t="shared" si="11"/>
        <v>18.395927495999999</v>
      </c>
    </row>
    <row r="42" spans="1:6">
      <c r="A42">
        <v>319.85000000000002</v>
      </c>
      <c r="B42" s="1">
        <v>2.2709999999999999</v>
      </c>
      <c r="C42">
        <f t="shared" si="10"/>
        <v>1.1089819759999999</v>
      </c>
      <c r="D42">
        <f t="shared" si="8"/>
        <v>3.1264655307175235E-3</v>
      </c>
      <c r="E42">
        <f t="shared" si="9"/>
        <v>-5.664409680139701</v>
      </c>
      <c r="F42">
        <f t="shared" si="11"/>
        <v>18.292008059999997</v>
      </c>
    </row>
    <row r="43" spans="1:6">
      <c r="A43">
        <v>324.45</v>
      </c>
      <c r="B43">
        <v>2.7160000000000002</v>
      </c>
      <c r="C43">
        <f t="shared" si="10"/>
        <v>2.5069904160000012</v>
      </c>
      <c r="D43">
        <f t="shared" si="8"/>
        <v>3.0821390044691015E-3</v>
      </c>
      <c r="E43">
        <f t="shared" si="9"/>
        <v>-4.8630484447942193</v>
      </c>
      <c r="F43">
        <f t="shared" si="11"/>
        <v>18.18786222</v>
      </c>
    </row>
    <row r="44" spans="1:6">
      <c r="A44">
        <v>329.03</v>
      </c>
      <c r="B44">
        <v>3.67</v>
      </c>
      <c r="C44">
        <f t="shared" si="10"/>
        <v>5.5040691840000004</v>
      </c>
      <c r="D44">
        <f t="shared" si="8"/>
        <v>3.0392365437802026E-3</v>
      </c>
      <c r="E44">
        <f t="shared" si="9"/>
        <v>-4.0906612616990836</v>
      </c>
      <c r="F44">
        <f t="shared" si="11"/>
        <v>18.084169188000001</v>
      </c>
    </row>
    <row r="45" spans="1:6">
      <c r="A45">
        <v>333.72</v>
      </c>
      <c r="B45">
        <v>5.2240000000000002</v>
      </c>
      <c r="C45">
        <f t="shared" si="10"/>
        <v>10.386103152</v>
      </c>
      <c r="D45">
        <f t="shared" si="8"/>
        <v>2.9965240321227372E-3</v>
      </c>
      <c r="E45">
        <f t="shared" si="9"/>
        <v>-3.4698336408297554</v>
      </c>
      <c r="F45">
        <f t="shared" si="11"/>
        <v>17.977985711999999</v>
      </c>
    </row>
    <row r="46" spans="1:6">
      <c r="A46">
        <v>338.41</v>
      </c>
      <c r="B46">
        <v>7.7830000000000004</v>
      </c>
      <c r="C46">
        <f t="shared" si="10"/>
        <v>18.425437080000002</v>
      </c>
      <c r="D46">
        <f t="shared" si="8"/>
        <v>2.9549954197570991E-3</v>
      </c>
      <c r="E46">
        <f t="shared" si="9"/>
        <v>-2.9105260182121495</v>
      </c>
      <c r="F46">
        <f t="shared" si="11"/>
        <v>17.871802235999997</v>
      </c>
    </row>
    <row r="47" spans="1:6">
      <c r="A47">
        <v>343</v>
      </c>
      <c r="B47">
        <v>11.752000000000001</v>
      </c>
      <c r="C47">
        <f t="shared" si="10"/>
        <v>30.894415728000006</v>
      </c>
      <c r="D47">
        <f t="shared" si="8"/>
        <v>2.9154518950437317E-3</v>
      </c>
      <c r="E47">
        <f t="shared" si="9"/>
        <v>-2.4071550003709064</v>
      </c>
      <c r="F47">
        <f t="shared" si="11"/>
        <v>17.767882799999999</v>
      </c>
    </row>
    <row r="48" spans="1:6">
      <c r="A48" t="s">
        <v>7</v>
      </c>
      <c r="B48">
        <v>14602</v>
      </c>
    </row>
    <row r="49" spans="1:6">
      <c r="A49" t="s">
        <v>8</v>
      </c>
      <c r="B49">
        <v>40.222999999999999</v>
      </c>
    </row>
    <row r="50" spans="1:6" ht="16.2">
      <c r="A50" t="s">
        <v>5</v>
      </c>
      <c r="B50">
        <f>B48*8.314*0.239/1000</f>
        <v>29.014845691999998</v>
      </c>
    </row>
    <row r="51" spans="1:6" ht="16.2">
      <c r="A51" t="s">
        <v>14</v>
      </c>
      <c r="B51">
        <f>(B49-23.76)*8.314*0.239</f>
        <v>32.712738297999998</v>
      </c>
    </row>
    <row r="54" spans="1:6">
      <c r="A54" t="s">
        <v>15</v>
      </c>
      <c r="B54">
        <v>1</v>
      </c>
      <c r="C54">
        <v>2</v>
      </c>
      <c r="D54">
        <v>3</v>
      </c>
      <c r="E54" t="s">
        <v>18</v>
      </c>
      <c r="F54" t="s">
        <v>19</v>
      </c>
    </row>
    <row r="55" spans="1:6">
      <c r="A55" t="s">
        <v>7</v>
      </c>
      <c r="B55">
        <v>12886</v>
      </c>
      <c r="C55">
        <v>16070</v>
      </c>
      <c r="D55">
        <v>14602</v>
      </c>
    </row>
    <row r="56" spans="1:6">
      <c r="A56" t="s">
        <v>8</v>
      </c>
      <c r="B56">
        <v>35.262</v>
      </c>
      <c r="C56">
        <v>44.841999999999999</v>
      </c>
      <c r="D56">
        <v>40.222999999999999</v>
      </c>
    </row>
    <row r="57" spans="1:6" ht="16.2">
      <c r="A57" t="s">
        <v>5</v>
      </c>
      <c r="B57">
        <f>B55*8.314*0.239/1000</f>
        <v>25.605074755999997</v>
      </c>
      <c r="C57">
        <f>C55*8.314*0.239/1000</f>
        <v>31.931829220000001</v>
      </c>
      <c r="D57">
        <f>D55*8.314*0.239/1000</f>
        <v>29.014845691999998</v>
      </c>
    </row>
    <row r="58" spans="1:6" ht="16.2">
      <c r="A58" t="s">
        <v>14</v>
      </c>
      <c r="B58">
        <f>(B56-23.76)*8.314*0.239</f>
        <v>22.855003091999997</v>
      </c>
      <c r="C58">
        <f>(C56-23.76)*8.314*0.239</f>
        <v>41.890903771999987</v>
      </c>
      <c r="D58">
        <f>(D56-23.76)*8.314*0.239</f>
        <v>32.712738297999998</v>
      </c>
    </row>
    <row r="59" spans="1:6" ht="16.2">
      <c r="A59" t="s">
        <v>9</v>
      </c>
      <c r="B59">
        <f>B57-0.29815*B58</f>
        <v>18.790855584120198</v>
      </c>
      <c r="C59">
        <f>C57-0.29815*C58</f>
        <v>19.442056260378202</v>
      </c>
      <c r="D59">
        <f>D57-0.29815*D58</f>
        <v>19.261542768451299</v>
      </c>
      <c r="E59">
        <f>AVERAGE(B59:D59)</f>
        <v>19.164818204316568</v>
      </c>
      <c r="F59">
        <f>_xlfn.STDEV.S(B59:D59)</f>
        <v>0.33620278281122373</v>
      </c>
    </row>
  </sheetData>
  <mergeCells count="1">
    <mergeCell ref="B30:F30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20537-EB4C-433F-88E4-ABC77A81E6D5}">
  <dimension ref="A1:F63"/>
  <sheetViews>
    <sheetView topLeftCell="A43" workbookViewId="0">
      <selection activeCell="F63" sqref="F63"/>
    </sheetView>
  </sheetViews>
  <sheetFormatPr defaultRowHeight="14.4"/>
  <sheetData>
    <row r="1" spans="1:6">
      <c r="A1" t="s">
        <v>11</v>
      </c>
    </row>
    <row r="2" spans="1:6">
      <c r="A2" t="s">
        <v>20</v>
      </c>
      <c r="B2" t="s">
        <v>0</v>
      </c>
      <c r="C2" t="s">
        <v>2</v>
      </c>
      <c r="D2" t="s">
        <v>4</v>
      </c>
      <c r="E2" t="s">
        <v>3</v>
      </c>
      <c r="F2" t="s">
        <v>1</v>
      </c>
    </row>
    <row r="3" spans="1:6">
      <c r="A3">
        <v>297.18</v>
      </c>
      <c r="B3">
        <v>2.5249999999999999</v>
      </c>
      <c r="C3">
        <f>3.141592*(B3-2.371)</f>
        <v>0.48380516799999973</v>
      </c>
      <c r="D3">
        <f t="shared" ref="D3:D13" si="0">1/A3</f>
        <v>3.3649639948852548E-3</v>
      </c>
      <c r="E3">
        <f t="shared" ref="E3:E13" si="1">LN(C3/A3)</f>
        <v>-6.4204110145914237</v>
      </c>
      <c r="F3">
        <f>26.83307-A3*26.46745/1000</f>
        <v>18.967473208999998</v>
      </c>
    </row>
    <row r="4" spans="1:6">
      <c r="A4">
        <v>301.68</v>
      </c>
      <c r="B4">
        <v>2.4580000000000002</v>
      </c>
      <c r="C4">
        <f t="shared" ref="C4:C13" si="2">3.141592*(B4-2.371)</f>
        <v>0.27331850400000063</v>
      </c>
      <c r="D4">
        <f t="shared" si="0"/>
        <v>3.3147706178732429E-3</v>
      </c>
      <c r="E4">
        <f t="shared" si="1"/>
        <v>-7.0064843354723667</v>
      </c>
      <c r="F4">
        <f t="shared" ref="F4:F13" si="3">26.83307-A4*26.46745/1000</f>
        <v>18.848369683999998</v>
      </c>
    </row>
    <row r="5" spans="1:6">
      <c r="A5">
        <v>306.18</v>
      </c>
      <c r="B5">
        <v>2.371</v>
      </c>
      <c r="C5">
        <f t="shared" si="2"/>
        <v>0</v>
      </c>
      <c r="D5">
        <f t="shared" si="0"/>
        <v>3.2660526487686982E-3</v>
      </c>
      <c r="E5" t="e">
        <f t="shared" si="1"/>
        <v>#NUM!</v>
      </c>
      <c r="F5">
        <f t="shared" si="3"/>
        <v>18.729266158999998</v>
      </c>
    </row>
    <row r="6" spans="1:6">
      <c r="A6">
        <v>310.67</v>
      </c>
      <c r="B6">
        <v>2.407</v>
      </c>
      <c r="C6">
        <f>3.141592*(B6-2.371)</f>
        <v>0.1130973120000001</v>
      </c>
      <c r="D6">
        <f t="shared" si="0"/>
        <v>3.2188495831589788E-3</v>
      </c>
      <c r="E6">
        <f t="shared" si="1"/>
        <v>-7.9182379182943938</v>
      </c>
      <c r="F6">
        <f t="shared" si="3"/>
        <v>18.6104273085</v>
      </c>
    </row>
    <row r="7" spans="1:6">
      <c r="A7">
        <v>315.26</v>
      </c>
      <c r="B7">
        <v>2.512</v>
      </c>
      <c r="C7">
        <f t="shared" si="2"/>
        <v>0.44296447200000005</v>
      </c>
      <c r="D7">
        <f t="shared" si="0"/>
        <v>3.1719850282306669E-3</v>
      </c>
      <c r="E7">
        <f t="shared" si="1"/>
        <v>-6.5676634059970791</v>
      </c>
      <c r="F7">
        <f t="shared" si="3"/>
        <v>18.488941712999999</v>
      </c>
    </row>
    <row r="8" spans="1:6">
      <c r="A8">
        <v>319.85000000000002</v>
      </c>
      <c r="B8" s="1">
        <v>2.7690000000000001</v>
      </c>
      <c r="C8">
        <f t="shared" si="2"/>
        <v>1.2503536160000004</v>
      </c>
      <c r="D8">
        <f t="shared" si="0"/>
        <v>3.1264655307175235E-3</v>
      </c>
      <c r="E8">
        <f t="shared" si="1"/>
        <v>-5.5444257317885599</v>
      </c>
      <c r="F8">
        <f t="shared" si="3"/>
        <v>18.367456117499998</v>
      </c>
    </row>
    <row r="9" spans="1:6">
      <c r="A9">
        <v>324.45</v>
      </c>
      <c r="B9">
        <v>3.282</v>
      </c>
      <c r="C9">
        <f t="shared" si="2"/>
        <v>2.8619903120000001</v>
      </c>
      <c r="D9">
        <f t="shared" si="0"/>
        <v>3.0821390044691015E-3</v>
      </c>
      <c r="E9">
        <f t="shared" si="1"/>
        <v>-4.7306141449840702</v>
      </c>
      <c r="F9">
        <f t="shared" si="3"/>
        <v>18.245705847499998</v>
      </c>
    </row>
    <row r="10" spans="1:6">
      <c r="A10">
        <v>329.03</v>
      </c>
      <c r="B10">
        <v>4.3739999999999997</v>
      </c>
      <c r="C10">
        <f t="shared" si="2"/>
        <v>6.2926087759999989</v>
      </c>
      <c r="D10">
        <f t="shared" si="0"/>
        <v>3.0392365437802026E-3</v>
      </c>
      <c r="E10">
        <f t="shared" si="1"/>
        <v>-3.9567731975296025</v>
      </c>
      <c r="F10">
        <f t="shared" si="3"/>
        <v>18.124484926500003</v>
      </c>
    </row>
    <row r="11" spans="1:6">
      <c r="A11">
        <v>333.72</v>
      </c>
      <c r="B11">
        <v>5.9870000000000001</v>
      </c>
      <c r="C11">
        <f t="shared" si="2"/>
        <v>11.359996672000001</v>
      </c>
      <c r="D11">
        <f t="shared" si="0"/>
        <v>2.9965240321227372E-3</v>
      </c>
      <c r="E11">
        <f t="shared" si="1"/>
        <v>-3.3802041976986579</v>
      </c>
      <c r="F11">
        <f t="shared" si="3"/>
        <v>18.000352585999998</v>
      </c>
    </row>
    <row r="12" spans="1:6">
      <c r="A12">
        <v>338.41</v>
      </c>
      <c r="B12">
        <v>8.6549999999999994</v>
      </c>
      <c r="C12">
        <f t="shared" si="2"/>
        <v>19.741764127999996</v>
      </c>
      <c r="D12">
        <f t="shared" si="0"/>
        <v>2.9549954197570991E-3</v>
      </c>
      <c r="E12">
        <f t="shared" si="1"/>
        <v>-2.8415217799242138</v>
      </c>
      <c r="F12">
        <f t="shared" si="3"/>
        <v>17.876220245500001</v>
      </c>
    </row>
    <row r="13" spans="1:6">
      <c r="A13">
        <v>343</v>
      </c>
      <c r="B13">
        <v>13.567</v>
      </c>
      <c r="C13">
        <f t="shared" si="2"/>
        <v>35.173264031999999</v>
      </c>
      <c r="D13">
        <f t="shared" si="0"/>
        <v>2.9154518950437317E-3</v>
      </c>
      <c r="E13">
        <f t="shared" si="1"/>
        <v>-2.2774441977074469</v>
      </c>
      <c r="F13">
        <f t="shared" si="3"/>
        <v>17.75473465</v>
      </c>
    </row>
    <row r="14" spans="1:6">
      <c r="A14" t="s">
        <v>7</v>
      </c>
      <c r="C14">
        <v>14428</v>
      </c>
    </row>
    <row r="15" spans="1:6">
      <c r="A15" t="s">
        <v>8</v>
      </c>
      <c r="C15">
        <v>39.811999999999998</v>
      </c>
    </row>
    <row r="16" spans="1:6" ht="16.2">
      <c r="A16" t="s">
        <v>5</v>
      </c>
      <c r="C16">
        <f>C14*8.314*0.239/1000</f>
        <v>28.669099688000003</v>
      </c>
    </row>
    <row r="17" spans="1:6" ht="16.2">
      <c r="A17" t="s">
        <v>14</v>
      </c>
      <c r="C17">
        <f>(C15-23.76)*8.314*0.239</f>
        <v>31.896062391999987</v>
      </c>
    </row>
    <row r="20" spans="1:6">
      <c r="A20" t="s">
        <v>12</v>
      </c>
    </row>
    <row r="21" spans="1:6">
      <c r="A21" t="s">
        <v>20</v>
      </c>
      <c r="B21" t="s">
        <v>0</v>
      </c>
      <c r="C21" t="s">
        <v>2</v>
      </c>
      <c r="D21" t="s">
        <v>4</v>
      </c>
      <c r="E21" t="s">
        <v>3</v>
      </c>
      <c r="F21" t="s">
        <v>1</v>
      </c>
    </row>
    <row r="22" spans="1:6">
      <c r="A22">
        <v>297.18</v>
      </c>
      <c r="B22">
        <v>7.8029999999999999</v>
      </c>
      <c r="C22">
        <f>3.141592*(B22-5.345)</f>
        <v>7.7220331360000012</v>
      </c>
      <c r="D22">
        <f t="shared" ref="D22:D32" si="4">1/A22</f>
        <v>3.3649639948852548E-3</v>
      </c>
      <c r="E22">
        <f t="shared" ref="E22:E32" si="5">LN(C22/A22)</f>
        <v>-3.6502603268790725</v>
      </c>
      <c r="F22">
        <f>26.83307-A22*26.46745/1000</f>
        <v>18.967473208999998</v>
      </c>
    </row>
    <row r="23" spans="1:6">
      <c r="A23">
        <v>301.68</v>
      </c>
      <c r="B23">
        <v>7.1319999999999997</v>
      </c>
      <c r="C23">
        <f t="shared" ref="C23:C32" si="6">3.141592*(B23-5.345)</f>
        <v>5.6140249039999999</v>
      </c>
      <c r="D23">
        <f t="shared" si="4"/>
        <v>3.3147706178732429E-3</v>
      </c>
      <c r="E23">
        <f t="shared" si="5"/>
        <v>-3.984098938967525</v>
      </c>
      <c r="F23">
        <f t="shared" ref="F23:F32" si="7">26.83307-A23*26.46745/1000</f>
        <v>18.848369683999998</v>
      </c>
    </row>
    <row r="24" spans="1:6">
      <c r="A24">
        <v>306.18</v>
      </c>
      <c r="B24">
        <v>6.59</v>
      </c>
      <c r="C24">
        <f t="shared" si="6"/>
        <v>3.9112820400000006</v>
      </c>
      <c r="D24">
        <f t="shared" si="4"/>
        <v>3.2660526487686982E-3</v>
      </c>
      <c r="E24">
        <f t="shared" si="5"/>
        <v>-4.3603079565819778</v>
      </c>
      <c r="F24">
        <f t="shared" si="7"/>
        <v>18.729266158999998</v>
      </c>
    </row>
    <row r="25" spans="1:6">
      <c r="A25">
        <v>310.67</v>
      </c>
      <c r="B25">
        <v>5.81</v>
      </c>
      <c r="C25">
        <f t="shared" si="6"/>
        <v>1.4608402799999995</v>
      </c>
      <c r="D25">
        <f t="shared" si="4"/>
        <v>3.2188495831589788E-3</v>
      </c>
      <c r="E25">
        <f t="shared" si="5"/>
        <v>-5.3597194511631487</v>
      </c>
      <c r="F25">
        <f t="shared" si="7"/>
        <v>18.6104273085</v>
      </c>
    </row>
    <row r="26" spans="1:6">
      <c r="A26">
        <v>315.26</v>
      </c>
      <c r="B26">
        <v>5.3449999999999998</v>
      </c>
      <c r="C26">
        <f t="shared" si="6"/>
        <v>0</v>
      </c>
      <c r="D26">
        <f t="shared" si="4"/>
        <v>3.1719850282306669E-3</v>
      </c>
      <c r="E26" t="e">
        <f t="shared" si="5"/>
        <v>#NUM!</v>
      </c>
      <c r="F26">
        <f t="shared" si="7"/>
        <v>18.488941712999999</v>
      </c>
    </row>
    <row r="27" spans="1:6">
      <c r="A27">
        <v>319.85000000000002</v>
      </c>
      <c r="B27" s="1">
        <v>5.7590000000000003</v>
      </c>
      <c r="C27">
        <f t="shared" si="6"/>
        <v>1.3006190880000019</v>
      </c>
      <c r="D27">
        <f t="shared" si="4"/>
        <v>3.1264655307175235E-3</v>
      </c>
      <c r="E27">
        <f t="shared" si="5"/>
        <v>-5.5050117632476816</v>
      </c>
      <c r="F27">
        <f t="shared" si="7"/>
        <v>18.367456117499998</v>
      </c>
    </row>
    <row r="28" spans="1:6">
      <c r="A28">
        <v>324.45</v>
      </c>
      <c r="B28">
        <v>6.3170000000000002</v>
      </c>
      <c r="C28">
        <f t="shared" si="6"/>
        <v>3.0536274240000014</v>
      </c>
      <c r="D28">
        <f t="shared" si="4"/>
        <v>3.0821390044691015E-3</v>
      </c>
      <c r="E28">
        <f t="shared" si="5"/>
        <v>-4.6658012377835894</v>
      </c>
      <c r="F28">
        <f t="shared" si="7"/>
        <v>18.245705847499998</v>
      </c>
    </row>
    <row r="29" spans="1:6">
      <c r="A29">
        <v>329.03</v>
      </c>
      <c r="B29">
        <v>7.2130000000000001</v>
      </c>
      <c r="C29">
        <f t="shared" si="6"/>
        <v>5.8684938560000015</v>
      </c>
      <c r="D29">
        <f t="shared" si="4"/>
        <v>3.0392365437802026E-3</v>
      </c>
      <c r="E29">
        <f t="shared" si="5"/>
        <v>-4.0265509144066325</v>
      </c>
      <c r="F29">
        <f t="shared" si="7"/>
        <v>18.124484926500003</v>
      </c>
    </row>
    <row r="30" spans="1:6">
      <c r="A30">
        <v>333.72</v>
      </c>
      <c r="B30">
        <v>8.8919999999999995</v>
      </c>
      <c r="C30">
        <f t="shared" si="6"/>
        <v>11.143226823999999</v>
      </c>
      <c r="D30">
        <f t="shared" si="4"/>
        <v>2.9965240321227372E-3</v>
      </c>
      <c r="E30">
        <f t="shared" si="5"/>
        <v>-3.3994704644371034</v>
      </c>
      <c r="F30">
        <f t="shared" si="7"/>
        <v>18.000352585999998</v>
      </c>
    </row>
    <row r="31" spans="1:6">
      <c r="A31">
        <v>338.41</v>
      </c>
      <c r="B31">
        <v>8.9600000000000009</v>
      </c>
      <c r="C31">
        <f t="shared" si="6"/>
        <v>11.356855080000004</v>
      </c>
      <c r="D31">
        <f t="shared" si="4"/>
        <v>2.9549954197570991E-3</v>
      </c>
      <c r="E31">
        <f t="shared" si="5"/>
        <v>-3.3944366447068601</v>
      </c>
      <c r="F31">
        <f t="shared" si="7"/>
        <v>17.876220245500001</v>
      </c>
    </row>
    <row r="32" spans="1:6">
      <c r="A32">
        <v>343</v>
      </c>
      <c r="B32">
        <v>12.823</v>
      </c>
      <c r="C32">
        <f t="shared" si="6"/>
        <v>23.492824976000005</v>
      </c>
      <c r="D32">
        <f t="shared" si="4"/>
        <v>2.9154518950437317E-3</v>
      </c>
      <c r="E32">
        <f t="shared" si="5"/>
        <v>-2.681035392805732</v>
      </c>
      <c r="F32">
        <f t="shared" si="7"/>
        <v>17.75473465</v>
      </c>
    </row>
    <row r="33" spans="1:6">
      <c r="A33" t="s">
        <v>7</v>
      </c>
      <c r="C33">
        <v>11024</v>
      </c>
    </row>
    <row r="34" spans="1:6">
      <c r="A34" t="s">
        <v>8</v>
      </c>
      <c r="C34">
        <v>29.413</v>
      </c>
    </row>
    <row r="35" spans="1:6" ht="16.2">
      <c r="A35" t="s">
        <v>5</v>
      </c>
      <c r="C35">
        <f>C33*8.314*0.239/1000</f>
        <v>21.905195104000001</v>
      </c>
    </row>
    <row r="36" spans="1:6" ht="16.2">
      <c r="A36" t="s">
        <v>6</v>
      </c>
      <c r="C36">
        <f>(C34-23.76)*8.314*0.239</f>
        <v>11.232771037999997</v>
      </c>
    </row>
    <row r="40" spans="1:6">
      <c r="A40" t="s">
        <v>13</v>
      </c>
    </row>
    <row r="41" spans="1:6">
      <c r="A41" t="s">
        <v>20</v>
      </c>
      <c r="B41" t="s">
        <v>0</v>
      </c>
      <c r="C41" t="s">
        <v>2</v>
      </c>
      <c r="D41" t="s">
        <v>4</v>
      </c>
      <c r="E41" t="s">
        <v>3</v>
      </c>
      <c r="F41" t="s">
        <v>1</v>
      </c>
    </row>
    <row r="42" spans="1:6">
      <c r="A42">
        <v>297.18</v>
      </c>
      <c r="B42">
        <v>1.9750000000000001</v>
      </c>
      <c r="C42">
        <f>3.141592*(B42-1.883)</f>
        <v>0.28902646400000026</v>
      </c>
      <c r="D42">
        <f t="shared" ref="D42:D52" si="8">1/A42</f>
        <v>3.3649639948852548E-3</v>
      </c>
      <c r="E42">
        <f t="shared" ref="E42:E52" si="9">LN(C42/A42)</f>
        <v>-6.935575039956011</v>
      </c>
      <c r="F42">
        <f>26.83307-A42*26.46745/1000</f>
        <v>18.967473208999998</v>
      </c>
    </row>
    <row r="43" spans="1:6">
      <c r="A43">
        <v>301.68</v>
      </c>
      <c r="B43">
        <v>2.2330000000000001</v>
      </c>
      <c r="C43">
        <f t="shared" ref="C43:C52" si="10">3.141592*(B43-1.883)</f>
        <v>1.0995572000000002</v>
      </c>
      <c r="D43">
        <f t="shared" si="8"/>
        <v>3.3147706178732429E-3</v>
      </c>
      <c r="E43">
        <f t="shared" si="9"/>
        <v>-5.6144592996434932</v>
      </c>
      <c r="F43">
        <f t="shared" ref="F43:F52" si="11">26.83307-A43*26.46745/1000</f>
        <v>18.848369683999998</v>
      </c>
    </row>
    <row r="44" spans="1:6">
      <c r="A44">
        <v>306.18</v>
      </c>
      <c r="B44">
        <v>1.885</v>
      </c>
      <c r="C44">
        <f t="shared" si="10"/>
        <v>6.2831840000000059E-3</v>
      </c>
      <c r="D44">
        <f t="shared" si="8"/>
        <v>3.2660526487686982E-3</v>
      </c>
      <c r="E44">
        <f t="shared" si="9"/>
        <v>-10.79405158492084</v>
      </c>
      <c r="F44">
        <f t="shared" si="11"/>
        <v>18.729266158999998</v>
      </c>
    </row>
    <row r="45" spans="1:6">
      <c r="A45">
        <v>310.67</v>
      </c>
      <c r="B45">
        <v>1.883</v>
      </c>
      <c r="C45">
        <f t="shared" si="10"/>
        <v>0</v>
      </c>
      <c r="D45">
        <f t="shared" si="8"/>
        <v>3.2188495831589788E-3</v>
      </c>
      <c r="E45" t="e">
        <f t="shared" si="9"/>
        <v>#NUM!</v>
      </c>
      <c r="F45">
        <f t="shared" si="11"/>
        <v>18.6104273085</v>
      </c>
    </row>
    <row r="46" spans="1:6">
      <c r="A46">
        <v>315.26</v>
      </c>
      <c r="B46">
        <v>2.0259999999999998</v>
      </c>
      <c r="C46">
        <f t="shared" si="10"/>
        <v>0.44924765599999938</v>
      </c>
      <c r="D46">
        <f t="shared" si="8"/>
        <v>3.1719850282306669E-3</v>
      </c>
      <c r="E46">
        <f t="shared" si="9"/>
        <v>-6.5535786661153415</v>
      </c>
      <c r="F46">
        <f t="shared" si="11"/>
        <v>18.488941712999999</v>
      </c>
    </row>
    <row r="47" spans="1:6">
      <c r="A47">
        <v>319.85000000000002</v>
      </c>
      <c r="B47" s="1">
        <v>2.3330000000000002</v>
      </c>
      <c r="C47">
        <f t="shared" si="10"/>
        <v>1.4137164000000007</v>
      </c>
      <c r="D47">
        <f t="shared" si="8"/>
        <v>3.1264655307175235E-3</v>
      </c>
      <c r="E47">
        <f t="shared" si="9"/>
        <v>-5.421630154308632</v>
      </c>
      <c r="F47">
        <f t="shared" si="11"/>
        <v>18.367456117499998</v>
      </c>
    </row>
    <row r="48" spans="1:6">
      <c r="A48">
        <v>324.45</v>
      </c>
      <c r="B48">
        <v>2.88</v>
      </c>
      <c r="C48">
        <f t="shared" si="10"/>
        <v>3.1321672239999998</v>
      </c>
      <c r="D48">
        <f t="shared" si="8"/>
        <v>3.0821390044691015E-3</v>
      </c>
      <c r="E48">
        <f t="shared" si="9"/>
        <v>-4.6404062722821902</v>
      </c>
      <c r="F48">
        <f t="shared" si="11"/>
        <v>18.245705847499998</v>
      </c>
    </row>
    <row r="49" spans="1:6">
      <c r="A49">
        <v>329.03</v>
      </c>
      <c r="B49">
        <v>3.8860000000000001</v>
      </c>
      <c r="C49">
        <f t="shared" si="10"/>
        <v>6.2926087760000007</v>
      </c>
      <c r="D49">
        <f t="shared" si="8"/>
        <v>3.0392365437802026E-3</v>
      </c>
      <c r="E49">
        <f t="shared" si="9"/>
        <v>-3.9567731975296021</v>
      </c>
      <c r="F49">
        <f t="shared" si="11"/>
        <v>18.124484926500003</v>
      </c>
    </row>
    <row r="50" spans="1:6">
      <c r="A50">
        <v>333.72</v>
      </c>
      <c r="B50">
        <v>5.6130000000000004</v>
      </c>
      <c r="C50">
        <f t="shared" si="10"/>
        <v>11.718138160000002</v>
      </c>
      <c r="D50">
        <f t="shared" si="8"/>
        <v>2.9965240321227372E-3</v>
      </c>
      <c r="E50">
        <f t="shared" si="9"/>
        <v>-3.3491644065728634</v>
      </c>
      <c r="F50">
        <f t="shared" si="11"/>
        <v>18.000352585999998</v>
      </c>
    </row>
    <row r="51" spans="1:6">
      <c r="A51">
        <v>338.41</v>
      </c>
      <c r="B51">
        <v>8.3979999999999997</v>
      </c>
      <c r="C51">
        <f t="shared" si="10"/>
        <v>20.467471880000002</v>
      </c>
      <c r="D51">
        <f t="shared" si="8"/>
        <v>2.9549954197570991E-3</v>
      </c>
      <c r="E51">
        <f t="shared" si="9"/>
        <v>-2.8054212897407802</v>
      </c>
      <c r="F51">
        <f t="shared" si="11"/>
        <v>17.876220245500001</v>
      </c>
    </row>
    <row r="52" spans="1:6">
      <c r="A52">
        <v>343</v>
      </c>
      <c r="B52">
        <v>12.657999999999999</v>
      </c>
      <c r="C52">
        <f t="shared" si="10"/>
        <v>33.850653799999996</v>
      </c>
      <c r="D52">
        <f t="shared" si="8"/>
        <v>2.9154518950437317E-3</v>
      </c>
      <c r="E52">
        <f t="shared" si="9"/>
        <v>-2.3157721333708428</v>
      </c>
      <c r="F52">
        <f t="shared" si="11"/>
        <v>17.75473465</v>
      </c>
    </row>
    <row r="53" spans="1:6">
      <c r="A53" t="s">
        <v>7</v>
      </c>
      <c r="C53">
        <v>13900</v>
      </c>
    </row>
    <row r="54" spans="1:6">
      <c r="A54" t="s">
        <v>8</v>
      </c>
      <c r="C54">
        <v>38.255000000000003</v>
      </c>
    </row>
    <row r="55" spans="1:6" ht="16.2">
      <c r="A55" t="s">
        <v>5</v>
      </c>
      <c r="C55">
        <f>C53*8.314*0.239/1000</f>
        <v>27.6199394</v>
      </c>
    </row>
    <row r="56" spans="1:6" ht="16.2">
      <c r="A56" t="s">
        <v>14</v>
      </c>
      <c r="C56">
        <f>(C54-23.76)*8.314*0.239</f>
        <v>28.802231769999999</v>
      </c>
    </row>
    <row r="58" spans="1:6">
      <c r="A58" t="s">
        <v>15</v>
      </c>
      <c r="B58">
        <v>1</v>
      </c>
      <c r="C58">
        <v>2</v>
      </c>
      <c r="D58">
        <v>3</v>
      </c>
      <c r="E58" t="s">
        <v>18</v>
      </c>
      <c r="F58" t="s">
        <v>19</v>
      </c>
    </row>
    <row r="59" spans="1:6">
      <c r="A59" t="s">
        <v>7</v>
      </c>
      <c r="B59">
        <v>14428</v>
      </c>
      <c r="C59">
        <v>11024</v>
      </c>
      <c r="D59">
        <v>13900</v>
      </c>
    </row>
    <row r="60" spans="1:6">
      <c r="A60" t="s">
        <v>8</v>
      </c>
      <c r="B60">
        <v>39.811999999999998</v>
      </c>
      <c r="C60">
        <v>29.413</v>
      </c>
      <c r="D60">
        <v>38.255000000000003</v>
      </c>
    </row>
    <row r="61" spans="1:6" ht="16.2">
      <c r="A61" t="s">
        <v>5</v>
      </c>
      <c r="B61">
        <f>B59*8.314*0.239/1000</f>
        <v>28.669099688000003</v>
      </c>
      <c r="C61">
        <f>C59*8.314*0.239/1000</f>
        <v>21.905195104000001</v>
      </c>
      <c r="D61">
        <f>D59*8.314*0.239/1000</f>
        <v>27.6199394</v>
      </c>
    </row>
    <row r="62" spans="1:6" ht="16.2">
      <c r="A62" t="s">
        <v>14</v>
      </c>
      <c r="B62">
        <f>(B60-23.76)*8.314*0.239</f>
        <v>31.896062391999987</v>
      </c>
      <c r="C62">
        <f>(C60-23.76)*8.314*0.239</f>
        <v>11.232771037999997</v>
      </c>
      <c r="D62">
        <f>(D60-23.76)*8.314*0.239</f>
        <v>28.802231769999999</v>
      </c>
    </row>
    <row r="63" spans="1:6" ht="16.2">
      <c r="A63" t="s">
        <v>9</v>
      </c>
      <c r="B63">
        <f>B61-0.29815*B62</f>
        <v>19.159288685825206</v>
      </c>
      <c r="C63">
        <f>C61-0.29815*C62</f>
        <v>18.556144419020299</v>
      </c>
      <c r="D63">
        <f>D61-0.29815*D62</f>
        <v>19.0325539977745</v>
      </c>
      <c r="E63">
        <f>AVERAGE(B63:D63)</f>
        <v>18.915995700873335</v>
      </c>
      <c r="F63">
        <f>_xlfn.STDEV.S(B63:D63)</f>
        <v>0.31801749806776725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E64D0-125E-4FD2-B1BB-0C6E8D368574}">
  <dimension ref="A1:G63"/>
  <sheetViews>
    <sheetView topLeftCell="A37" workbookViewId="0">
      <selection activeCell="I62" sqref="I62"/>
    </sheetView>
  </sheetViews>
  <sheetFormatPr defaultRowHeight="14.4"/>
  <sheetData>
    <row r="1" spans="1:6">
      <c r="A1" t="s">
        <v>11</v>
      </c>
    </row>
    <row r="2" spans="1:6">
      <c r="A2" t="s">
        <v>20</v>
      </c>
      <c r="B2" t="s">
        <v>0</v>
      </c>
      <c r="C2" t="s">
        <v>2</v>
      </c>
      <c r="D2" t="s">
        <v>4</v>
      </c>
      <c r="E2" t="s">
        <v>3</v>
      </c>
      <c r="F2" t="s">
        <v>1</v>
      </c>
    </row>
    <row r="3" spans="1:6">
      <c r="A3">
        <v>297.18</v>
      </c>
      <c r="B3">
        <v>2.4380000000000002</v>
      </c>
      <c r="C3">
        <f>3.141592*(B3-2.1)</f>
        <v>1.0618580960000004</v>
      </c>
      <c r="D3">
        <f t="shared" ref="D3:D13" si="0">1/A3</f>
        <v>3.3649639948852548E-3</v>
      </c>
      <c r="E3">
        <f t="shared" ref="E3:E13" si="1">LN(C3/A3)</f>
        <v>-5.6343177215220335</v>
      </c>
      <c r="F3">
        <f>27.08741-A3*27.61994/1000</f>
        <v>18.879316230799997</v>
      </c>
    </row>
    <row r="4" spans="1:6">
      <c r="A4">
        <v>301.68</v>
      </c>
      <c r="B4">
        <v>2.161</v>
      </c>
      <c r="C4">
        <f t="shared" ref="C4:C13" si="2">3.141592*(B4-2.1)</f>
        <v>0.19163711199999983</v>
      </c>
      <c r="D4">
        <f t="shared" si="0"/>
        <v>3.3147706178732429E-3</v>
      </c>
      <c r="E4">
        <f t="shared" si="1"/>
        <v>-7.3615185899536426</v>
      </c>
      <c r="F4">
        <f t="shared" ref="F4:F13" si="3">27.08741-A4*27.61994/1000</f>
        <v>18.7550265008</v>
      </c>
    </row>
    <row r="5" spans="1:6">
      <c r="A5">
        <v>306.18</v>
      </c>
      <c r="B5">
        <v>2.1</v>
      </c>
      <c r="C5">
        <f t="shared" si="2"/>
        <v>0</v>
      </c>
      <c r="D5">
        <f t="shared" si="0"/>
        <v>3.2660526487686982E-3</v>
      </c>
      <c r="E5" t="e">
        <f t="shared" si="1"/>
        <v>#NUM!</v>
      </c>
      <c r="F5">
        <f t="shared" si="3"/>
        <v>18.630736770799999</v>
      </c>
    </row>
    <row r="6" spans="1:6">
      <c r="A6">
        <v>310.67</v>
      </c>
      <c r="B6">
        <v>2.1219999999999999</v>
      </c>
      <c r="C6">
        <f t="shared" si="2"/>
        <v>6.9115023999999373E-2</v>
      </c>
      <c r="D6">
        <f t="shared" si="0"/>
        <v>3.2188495831589788E-3</v>
      </c>
      <c r="E6">
        <f t="shared" si="1"/>
        <v>-8.4107144033921983</v>
      </c>
      <c r="F6">
        <f t="shared" si="3"/>
        <v>18.506723240199996</v>
      </c>
    </row>
    <row r="7" spans="1:6">
      <c r="A7">
        <v>315.26</v>
      </c>
      <c r="B7">
        <v>2.343</v>
      </c>
      <c r="C7">
        <f t="shared" si="2"/>
        <v>0.76340685599999969</v>
      </c>
      <c r="D7">
        <f t="shared" si="0"/>
        <v>3.1719850282306669E-3</v>
      </c>
      <c r="E7">
        <f t="shared" si="1"/>
        <v>-6.0233618530346993</v>
      </c>
      <c r="F7">
        <f t="shared" si="3"/>
        <v>18.379947715599997</v>
      </c>
    </row>
    <row r="8" spans="1:6">
      <c r="A8">
        <v>319.85000000000002</v>
      </c>
      <c r="B8" s="1">
        <v>2.6640000000000001</v>
      </c>
      <c r="C8">
        <f t="shared" si="2"/>
        <v>1.7718578880000002</v>
      </c>
      <c r="D8">
        <f t="shared" si="0"/>
        <v>3.1264655307175235E-3</v>
      </c>
      <c r="E8">
        <f t="shared" si="1"/>
        <v>-5.1958234855749392</v>
      </c>
      <c r="F8">
        <f t="shared" si="3"/>
        <v>18.253172190999997</v>
      </c>
    </row>
    <row r="9" spans="1:6">
      <c r="A9">
        <v>324.45</v>
      </c>
      <c r="B9">
        <v>3.351</v>
      </c>
      <c r="C9">
        <f t="shared" si="2"/>
        <v>3.930131592</v>
      </c>
      <c r="D9">
        <f t="shared" si="0"/>
        <v>3.0821390044691015E-3</v>
      </c>
      <c r="E9">
        <f t="shared" si="1"/>
        <v>-4.4134585317771178</v>
      </c>
      <c r="F9">
        <f t="shared" si="3"/>
        <v>18.126120467</v>
      </c>
    </row>
    <row r="10" spans="1:6">
      <c r="A10">
        <v>329.03</v>
      </c>
      <c r="B10">
        <v>4.5739999999999998</v>
      </c>
      <c r="C10">
        <f t="shared" si="2"/>
        <v>7.7722986079999998</v>
      </c>
      <c r="D10">
        <f t="shared" si="0"/>
        <v>3.0392365437802026E-3</v>
      </c>
      <c r="E10">
        <f t="shared" si="1"/>
        <v>-3.7455829802429874</v>
      </c>
      <c r="F10">
        <f t="shared" si="3"/>
        <v>17.999621141799999</v>
      </c>
    </row>
    <row r="11" spans="1:6">
      <c r="A11">
        <v>333.72</v>
      </c>
      <c r="B11">
        <v>6.76</v>
      </c>
      <c r="C11">
        <f t="shared" si="2"/>
        <v>14.639818720000001</v>
      </c>
      <c r="D11">
        <f t="shared" si="0"/>
        <v>2.9965240321227372E-3</v>
      </c>
      <c r="E11">
        <f t="shared" si="1"/>
        <v>-3.1265571920910333</v>
      </c>
      <c r="F11">
        <f t="shared" si="3"/>
        <v>17.870083623199996</v>
      </c>
    </row>
    <row r="12" spans="1:6">
      <c r="A12">
        <v>338.41</v>
      </c>
      <c r="B12">
        <v>10.287000000000001</v>
      </c>
      <c r="C12">
        <f t="shared" si="2"/>
        <v>25.720213704000006</v>
      </c>
      <c r="D12">
        <f t="shared" si="0"/>
        <v>2.9549954197570991E-3</v>
      </c>
      <c r="E12">
        <f t="shared" si="1"/>
        <v>-2.5769809699232771</v>
      </c>
      <c r="F12">
        <f t="shared" si="3"/>
        <v>17.7405461046</v>
      </c>
    </row>
    <row r="13" spans="1:6">
      <c r="A13">
        <v>343</v>
      </c>
      <c r="B13">
        <v>14.76</v>
      </c>
      <c r="C13">
        <f t="shared" si="2"/>
        <v>39.772554720000002</v>
      </c>
      <c r="D13">
        <f t="shared" si="0"/>
        <v>2.9154518950437317E-3</v>
      </c>
      <c r="E13">
        <f t="shared" si="1"/>
        <v>-2.1545533526446237</v>
      </c>
      <c r="F13">
        <f t="shared" si="3"/>
        <v>17.613770580000001</v>
      </c>
    </row>
    <row r="14" spans="1:6">
      <c r="A14" t="s">
        <v>7</v>
      </c>
      <c r="C14">
        <v>13632</v>
      </c>
    </row>
    <row r="15" spans="1:6">
      <c r="A15" t="s">
        <v>8</v>
      </c>
      <c r="C15">
        <v>37.659999999999997</v>
      </c>
    </row>
    <row r="16" spans="1:6" ht="16.2">
      <c r="A16" t="s">
        <v>5</v>
      </c>
      <c r="C16">
        <f>C14*8.314*0.239/1000</f>
        <v>27.087411071999998</v>
      </c>
    </row>
    <row r="17" spans="1:6" ht="16.2">
      <c r="A17" t="s">
        <v>14</v>
      </c>
      <c r="C17">
        <f>(C15-23.76)*8.314*0.239</f>
        <v>27.619939399999989</v>
      </c>
    </row>
    <row r="22" spans="1:6">
      <c r="A22" t="s">
        <v>12</v>
      </c>
    </row>
    <row r="23" spans="1:6">
      <c r="A23" t="s">
        <v>20</v>
      </c>
      <c r="B23" t="s">
        <v>0</v>
      </c>
      <c r="C23" t="s">
        <v>2</v>
      </c>
      <c r="D23" t="s">
        <v>4</v>
      </c>
      <c r="E23" t="s">
        <v>3</v>
      </c>
      <c r="F23" t="s">
        <v>1</v>
      </c>
    </row>
    <row r="24" spans="1:6">
      <c r="A24">
        <v>297.18</v>
      </c>
      <c r="B24">
        <v>1.944</v>
      </c>
      <c r="C24">
        <f>3.141592*(B24-1.884)</f>
        <v>0.18849552000000017</v>
      </c>
      <c r="D24">
        <f t="shared" ref="D24:D33" si="4">1/A24</f>
        <v>3.3649639948852548E-3</v>
      </c>
      <c r="E24">
        <f t="shared" ref="E24:E33" si="5">LN(C24/A24)</f>
        <v>-7.363019054782951</v>
      </c>
      <c r="F24">
        <f>27.08741-A24*27.61994/1000</f>
        <v>18.879316230799997</v>
      </c>
    </row>
    <row r="25" spans="1:6">
      <c r="A25">
        <v>301.68</v>
      </c>
      <c r="B25">
        <v>1.8839999999999999</v>
      </c>
      <c r="C25">
        <f t="shared" ref="C25:C33" si="6">3.141592*(B25-1.884)</f>
        <v>0</v>
      </c>
      <c r="D25">
        <f t="shared" si="4"/>
        <v>3.3147706178732429E-3</v>
      </c>
      <c r="E25" t="e">
        <f t="shared" si="5"/>
        <v>#NUM!</v>
      </c>
      <c r="F25">
        <f t="shared" ref="F25:F33" si="7">27.08741-A25*27.61994/1000</f>
        <v>18.7550265008</v>
      </c>
    </row>
    <row r="26" spans="1:6">
      <c r="A26">
        <v>306.18</v>
      </c>
      <c r="B26">
        <v>1.9590000000000001</v>
      </c>
      <c r="C26">
        <f t="shared" si="6"/>
        <v>0.23561940000000056</v>
      </c>
      <c r="D26">
        <f t="shared" si="4"/>
        <v>3.2660526487686982E-3</v>
      </c>
      <c r="E26">
        <f t="shared" si="5"/>
        <v>-7.1697106519444738</v>
      </c>
      <c r="F26">
        <f t="shared" si="7"/>
        <v>18.630736770799999</v>
      </c>
    </row>
    <row r="27" spans="1:6">
      <c r="A27">
        <v>310.67</v>
      </c>
      <c r="B27">
        <v>2.0190000000000001</v>
      </c>
      <c r="C27">
        <f t="shared" si="6"/>
        <v>0.42411492000000073</v>
      </c>
      <c r="D27">
        <f t="shared" si="4"/>
        <v>3.2188495831589788E-3</v>
      </c>
      <c r="E27">
        <f t="shared" si="5"/>
        <v>-6.5964820783120741</v>
      </c>
      <c r="F27">
        <f t="shared" si="7"/>
        <v>18.506723240199996</v>
      </c>
    </row>
    <row r="28" spans="1:6">
      <c r="A28">
        <v>315.26</v>
      </c>
      <c r="B28">
        <v>2.2410000000000001</v>
      </c>
      <c r="C28">
        <f t="shared" si="6"/>
        <v>1.1215483440000007</v>
      </c>
      <c r="D28">
        <f t="shared" si="4"/>
        <v>3.1719850282306669E-3</v>
      </c>
      <c r="E28">
        <f t="shared" si="5"/>
        <v>-5.6386875145956079</v>
      </c>
      <c r="F28">
        <f t="shared" si="7"/>
        <v>18.379947715599997</v>
      </c>
    </row>
    <row r="29" spans="1:6">
      <c r="A29">
        <v>319.85000000000002</v>
      </c>
      <c r="B29" s="1">
        <v>2.718</v>
      </c>
      <c r="C29">
        <f t="shared" si="6"/>
        <v>2.6200877280000006</v>
      </c>
      <c r="D29">
        <f t="shared" si="4"/>
        <v>3.1264655307175235E-3</v>
      </c>
      <c r="E29">
        <f t="shared" si="5"/>
        <v>-4.8046443347142507</v>
      </c>
      <c r="F29">
        <f t="shared" si="7"/>
        <v>18.253172190999997</v>
      </c>
    </row>
    <row r="30" spans="1:6">
      <c r="A30">
        <v>324.45</v>
      </c>
      <c r="B30">
        <v>3.3420000000000001</v>
      </c>
      <c r="C30">
        <f t="shared" si="6"/>
        <v>4.580441136000001</v>
      </c>
      <c r="D30">
        <f t="shared" si="4"/>
        <v>3.0821390044691015E-3</v>
      </c>
      <c r="E30">
        <f t="shared" si="5"/>
        <v>-4.2603361296754247</v>
      </c>
      <c r="F30">
        <f t="shared" si="7"/>
        <v>18.126120467</v>
      </c>
    </row>
    <row r="31" spans="1:6">
      <c r="A31">
        <v>329.03</v>
      </c>
      <c r="B31">
        <v>4.3920000000000003</v>
      </c>
      <c r="C31">
        <f t="shared" si="6"/>
        <v>7.8791127360000015</v>
      </c>
      <c r="D31">
        <f t="shared" si="4"/>
        <v>3.0392365437802026E-3</v>
      </c>
      <c r="E31">
        <f t="shared" si="5"/>
        <v>-3.731933631442609</v>
      </c>
      <c r="F31">
        <f t="shared" si="7"/>
        <v>17.999621141799999</v>
      </c>
    </row>
    <row r="32" spans="1:6">
      <c r="A32">
        <v>333.72</v>
      </c>
      <c r="B32">
        <v>7.6890000000000001</v>
      </c>
      <c r="C32">
        <f t="shared" si="6"/>
        <v>18.236941560000002</v>
      </c>
      <c r="D32">
        <f t="shared" si="4"/>
        <v>2.9965240321227372E-3</v>
      </c>
      <c r="E32">
        <f t="shared" si="5"/>
        <v>-2.9068530250787332</v>
      </c>
      <c r="F32">
        <f t="shared" si="7"/>
        <v>17.870083623199996</v>
      </c>
    </row>
    <row r="33" spans="1:6">
      <c r="A33">
        <v>338.41</v>
      </c>
      <c r="B33">
        <v>12.439</v>
      </c>
      <c r="C33">
        <f t="shared" si="6"/>
        <v>33.159503559999997</v>
      </c>
      <c r="D33">
        <f t="shared" si="4"/>
        <v>2.9549954197570991E-3</v>
      </c>
      <c r="E33">
        <f t="shared" si="5"/>
        <v>-2.3229288190173047</v>
      </c>
      <c r="F33">
        <f t="shared" si="7"/>
        <v>17.7405461046</v>
      </c>
    </row>
    <row r="34" spans="1:6">
      <c r="A34" t="s">
        <v>7</v>
      </c>
      <c r="C34">
        <v>14731</v>
      </c>
    </row>
    <row r="35" spans="1:6">
      <c r="A35" t="s">
        <v>8</v>
      </c>
      <c r="C35">
        <v>41.173999999999999</v>
      </c>
    </row>
    <row r="36" spans="1:6" ht="16.2">
      <c r="A36" t="s">
        <v>5</v>
      </c>
      <c r="C36">
        <f>C34*8.314*0.239/1000</f>
        <v>29.271174626000001</v>
      </c>
    </row>
    <row r="37" spans="1:6" ht="16.2">
      <c r="A37" t="s">
        <v>6</v>
      </c>
      <c r="C37">
        <f>(C35-23.76)*8.314*0.239</f>
        <v>34.602419043999994</v>
      </c>
    </row>
    <row r="41" spans="1:6">
      <c r="A41" t="s">
        <v>13</v>
      </c>
    </row>
    <row r="42" spans="1:6">
      <c r="A42" t="s">
        <v>20</v>
      </c>
      <c r="B42" t="s">
        <v>0</v>
      </c>
      <c r="C42" t="s">
        <v>2</v>
      </c>
      <c r="D42" t="s">
        <v>4</v>
      </c>
      <c r="E42" t="s">
        <v>3</v>
      </c>
      <c r="F42" t="s">
        <v>1</v>
      </c>
    </row>
    <row r="43" spans="1:6">
      <c r="A43">
        <v>297.18</v>
      </c>
      <c r="B43">
        <v>2.2530000000000001</v>
      </c>
      <c r="C43">
        <f>3.141592*(B43-1.843)</f>
        <v>1.2880527200000005</v>
      </c>
      <c r="D43">
        <f t="shared" ref="D43:D52" si="8">1/A43</f>
        <v>3.3649639948852548E-3</v>
      </c>
      <c r="E43">
        <f t="shared" ref="E43:E52" si="9">LN(C43/A43)</f>
        <v>-5.4412064573066985</v>
      </c>
      <c r="F43">
        <f>27.08741-A43*27.61994/1000</f>
        <v>18.879316230799997</v>
      </c>
    </row>
    <row r="44" spans="1:6">
      <c r="A44">
        <v>301.68</v>
      </c>
      <c r="B44">
        <v>1.843</v>
      </c>
      <c r="C44">
        <f t="shared" ref="C44:C52" si="10">3.141592*(B44-1.843)</f>
        <v>0</v>
      </c>
      <c r="D44">
        <f t="shared" si="8"/>
        <v>3.3147706178732429E-3</v>
      </c>
      <c r="E44" t="e">
        <f t="shared" si="9"/>
        <v>#NUM!</v>
      </c>
      <c r="F44">
        <f t="shared" ref="F44:F52" si="11">27.08741-A44*27.61994/1000</f>
        <v>18.7550265008</v>
      </c>
    </row>
    <row r="45" spans="1:6">
      <c r="A45">
        <v>306.18</v>
      </c>
      <c r="B45">
        <v>1.903</v>
      </c>
      <c r="C45">
        <f t="shared" si="10"/>
        <v>0.18849552000000017</v>
      </c>
      <c r="D45">
        <f t="shared" si="8"/>
        <v>3.2660526487686982E-3</v>
      </c>
      <c r="E45">
        <f t="shared" si="9"/>
        <v>-7.3928542032586844</v>
      </c>
      <c r="F45">
        <f t="shared" si="11"/>
        <v>18.630736770799999</v>
      </c>
    </row>
    <row r="46" spans="1:6">
      <c r="A46">
        <v>310.67</v>
      </c>
      <c r="B46">
        <v>2.0529999999999999</v>
      </c>
      <c r="C46">
        <f t="shared" si="10"/>
        <v>0.65973431999999987</v>
      </c>
      <c r="D46">
        <f t="shared" si="8"/>
        <v>3.2188495831589788E-3</v>
      </c>
      <c r="E46">
        <f t="shared" si="9"/>
        <v>-6.1546493260330362</v>
      </c>
      <c r="F46">
        <f t="shared" si="11"/>
        <v>18.506723240199996</v>
      </c>
    </row>
    <row r="47" spans="1:6">
      <c r="A47">
        <v>315.26</v>
      </c>
      <c r="B47">
        <v>2.254</v>
      </c>
      <c r="C47">
        <f t="shared" si="10"/>
        <v>1.2911943120000002</v>
      </c>
      <c r="D47">
        <f t="shared" si="8"/>
        <v>3.1719850282306669E-3</v>
      </c>
      <c r="E47">
        <f t="shared" si="9"/>
        <v>-5.4978300818790125</v>
      </c>
      <c r="F47">
        <f t="shared" si="11"/>
        <v>18.379947715599997</v>
      </c>
    </row>
    <row r="48" spans="1:6">
      <c r="A48">
        <v>319.85000000000002</v>
      </c>
      <c r="B48" s="1">
        <v>2.6960000000000002</v>
      </c>
      <c r="C48">
        <f t="shared" si="10"/>
        <v>2.6797779760000009</v>
      </c>
      <c r="D48">
        <f t="shared" si="8"/>
        <v>3.1264655307175235E-3</v>
      </c>
      <c r="E48">
        <f t="shared" si="9"/>
        <v>-4.7821181895813183</v>
      </c>
      <c r="F48">
        <f t="shared" si="11"/>
        <v>18.253172190999997</v>
      </c>
    </row>
    <row r="49" spans="1:7">
      <c r="A49">
        <v>324.45</v>
      </c>
      <c r="B49">
        <v>3.415</v>
      </c>
      <c r="C49">
        <f t="shared" si="10"/>
        <v>4.9385826240000004</v>
      </c>
      <c r="D49">
        <f t="shared" si="8"/>
        <v>3.0821390044691015E-3</v>
      </c>
      <c r="E49">
        <f t="shared" si="9"/>
        <v>-4.1850530692548764</v>
      </c>
      <c r="F49">
        <f t="shared" si="11"/>
        <v>18.126120467</v>
      </c>
    </row>
    <row r="50" spans="1:7">
      <c r="A50">
        <v>329.03</v>
      </c>
      <c r="B50">
        <v>4.5110000000000001</v>
      </c>
      <c r="C50">
        <f t="shared" si="10"/>
        <v>8.3817674560000004</v>
      </c>
      <c r="D50">
        <f t="shared" si="8"/>
        <v>3.0392365437802026E-3</v>
      </c>
      <c r="E50">
        <f t="shared" si="9"/>
        <v>-3.6700901261599062</v>
      </c>
      <c r="F50">
        <f t="shared" si="11"/>
        <v>17.999621141799999</v>
      </c>
    </row>
    <row r="51" spans="1:7">
      <c r="A51">
        <v>333.72</v>
      </c>
      <c r="B51">
        <v>8.0510000000000002</v>
      </c>
      <c r="C51">
        <f t="shared" si="10"/>
        <v>19.503003136</v>
      </c>
      <c r="D51">
        <f t="shared" si="8"/>
        <v>2.9965240321227372E-3</v>
      </c>
      <c r="E51">
        <f t="shared" si="9"/>
        <v>-2.8397338573476705</v>
      </c>
      <c r="F51">
        <f t="shared" si="11"/>
        <v>17.870083623199996</v>
      </c>
    </row>
    <row r="52" spans="1:7">
      <c r="A52">
        <v>338.41</v>
      </c>
      <c r="B52">
        <v>12.412000000000001</v>
      </c>
      <c r="C52">
        <f t="shared" si="10"/>
        <v>33.203485848000007</v>
      </c>
      <c r="D52">
        <f t="shared" si="8"/>
        <v>2.9549954197570991E-3</v>
      </c>
      <c r="E52">
        <f t="shared" si="9"/>
        <v>-2.3216033122903781</v>
      </c>
      <c r="F52">
        <f t="shared" si="11"/>
        <v>17.7405461046</v>
      </c>
    </row>
    <row r="53" spans="1:7">
      <c r="A53" t="s">
        <v>7</v>
      </c>
      <c r="C53">
        <v>14618</v>
      </c>
    </row>
    <row r="54" spans="1:7">
      <c r="A54" t="s">
        <v>8</v>
      </c>
      <c r="C54">
        <v>40.877000000000002</v>
      </c>
    </row>
    <row r="55" spans="1:7" ht="16.2">
      <c r="A55" t="s">
        <v>5</v>
      </c>
      <c r="C55">
        <f>C53*8.314*0.239/1000</f>
        <v>29.046638427999998</v>
      </c>
    </row>
    <row r="56" spans="1:7" ht="16.2">
      <c r="A56" t="s">
        <v>6</v>
      </c>
      <c r="C56">
        <f>(C54-23.76)*8.314*0.239</f>
        <v>34.012266382</v>
      </c>
    </row>
    <row r="58" spans="1:7">
      <c r="A58" t="s">
        <v>15</v>
      </c>
      <c r="C58">
        <v>1</v>
      </c>
      <c r="D58">
        <v>2</v>
      </c>
      <c r="E58">
        <v>3</v>
      </c>
      <c r="F58" t="s">
        <v>18</v>
      </c>
      <c r="G58" t="s">
        <v>19</v>
      </c>
    </row>
    <row r="59" spans="1:7">
      <c r="A59" t="s">
        <v>7</v>
      </c>
      <c r="C59">
        <v>13632</v>
      </c>
      <c r="D59">
        <v>14731</v>
      </c>
      <c r="E59">
        <v>14618</v>
      </c>
    </row>
    <row r="60" spans="1:7">
      <c r="A60" t="s">
        <v>8</v>
      </c>
      <c r="C60">
        <v>37.659999999999997</v>
      </c>
      <c r="D60">
        <v>41.173999999999999</v>
      </c>
      <c r="E60">
        <v>40.877000000000002</v>
      </c>
    </row>
    <row r="61" spans="1:7" ht="16.2">
      <c r="A61" t="s">
        <v>5</v>
      </c>
      <c r="C61">
        <f>C59*8.314*0.239/1000</f>
        <v>27.087411071999998</v>
      </c>
      <c r="D61">
        <f>D59*8.314*0.239/1000</f>
        <v>29.271174626000001</v>
      </c>
      <c r="E61">
        <f>E59*8.314*0.239/1000</f>
        <v>29.046638427999998</v>
      </c>
    </row>
    <row r="62" spans="1:7" ht="16.2">
      <c r="A62" t="s">
        <v>14</v>
      </c>
      <c r="C62">
        <f>(C60-23.76)*8.314*0.239</f>
        <v>27.619939399999989</v>
      </c>
      <c r="D62">
        <f>(D60-23.76)*8.314*0.239</f>
        <v>34.602419043999994</v>
      </c>
      <c r="E62">
        <f>(E60-23.76)*8.314*0.239</f>
        <v>34.012266382</v>
      </c>
    </row>
    <row r="63" spans="1:7" ht="16.2">
      <c r="A63" t="s">
        <v>9</v>
      </c>
      <c r="C63">
        <f>C61-0.29815*C62</f>
        <v>18.852526139890003</v>
      </c>
      <c r="D63">
        <f>D61-0.29815*D62</f>
        <v>18.9544633880314</v>
      </c>
      <c r="E63">
        <f>E61-0.29815*E62</f>
        <v>18.905881206206697</v>
      </c>
      <c r="F63">
        <f>AVERAGE(C63:E63)</f>
        <v>18.904290244709369</v>
      </c>
      <c r="G63">
        <f>_xlfn.STDEV.S(C63:E63)</f>
        <v>5.09872435862605E-2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2-Mes</vt:lpstr>
      <vt:lpstr>2-Me</vt:lpstr>
      <vt:lpstr>2-Et</vt:lpstr>
      <vt:lpstr>2-iPr</vt:lpstr>
      <vt:lpstr>2-Br</vt:lpstr>
      <vt:lpstr>2-OEt</vt:lpstr>
      <vt:lpstr>2-NEt2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Satoshi Takebayashi</dc:creator>
  <cp:lastModifiedBy>Takebayashi Satoshi</cp:lastModifiedBy>
  <dcterms:created xsi:type="dcterms:W3CDTF">2020-04-03T15:49:49Z</dcterms:created>
  <dcterms:modified xsi:type="dcterms:W3CDTF">2022-05-01T01:08:32Z</dcterms:modified>
</cp:coreProperties>
</file>