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embeddings/oleObject3.bin" ContentType="application/vnd.openxmlformats-officedocument.oleObject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zsw\Documents\CURRENT CO-WORKERS\Andrew Turley\Arrrrrhh NEXT\CHEMICAL SCIENCE\FOR SUBMISSION\"/>
    </mc:Choice>
  </mc:AlternateContent>
  <bookViews>
    <workbookView xWindow="-105" yWindow="-105" windowWidth="20715" windowHeight="13275" activeTab="6"/>
  </bookViews>
  <sheets>
    <sheet name="Model" sheetId="1" r:id="rId1"/>
    <sheet name="Obs" sheetId="2" r:id="rId2"/>
    <sheet name="Calc" sheetId="3" r:id="rId3"/>
    <sheet name="Diff" sheetId="4" r:id="rId4"/>
    <sheet name="ExactLaws" sheetId="5" r:id="rId5"/>
    <sheet name="nmol-vs-time" sheetId="6" r:id="rId6"/>
    <sheet name="Experimental" sheetId="7" r:id="rId7"/>
  </sheets>
  <definedNames>
    <definedName name="solver_adj" localSheetId="3" hidden="1">Diff!$F$4:$F$6</definedName>
    <definedName name="solver_adj" localSheetId="4" hidden="1">ExactLaws!$G$47:$G$48</definedName>
    <definedName name="solver_cvg" localSheetId="3" hidden="1">0.0001</definedName>
    <definedName name="solver_cvg" localSheetId="4" hidden="1">0.0001</definedName>
    <definedName name="solver_drv" localSheetId="3" hidden="1">1</definedName>
    <definedName name="solver_drv" localSheetId="4" hidden="1">1</definedName>
    <definedName name="solver_eng" localSheetId="3" hidden="1">1</definedName>
    <definedName name="solver_eng" localSheetId="4" hidden="1">1</definedName>
    <definedName name="solver_est" localSheetId="3" hidden="1">1</definedName>
    <definedName name="solver_est" localSheetId="4" hidden="1">1</definedName>
    <definedName name="solver_itr" localSheetId="3" hidden="1">2147483647</definedName>
    <definedName name="solver_itr" localSheetId="4" hidden="1">2147483647</definedName>
    <definedName name="solver_mip" localSheetId="3" hidden="1">2147483647</definedName>
    <definedName name="solver_mip" localSheetId="4" hidden="1">2147483647</definedName>
    <definedName name="solver_mni" localSheetId="3" hidden="1">30</definedName>
    <definedName name="solver_mni" localSheetId="4" hidden="1">30</definedName>
    <definedName name="solver_mrt" localSheetId="3" hidden="1">0.075</definedName>
    <definedName name="solver_mrt" localSheetId="4" hidden="1">0.075</definedName>
    <definedName name="solver_msl" localSheetId="3" hidden="1">2</definedName>
    <definedName name="solver_msl" localSheetId="4" hidden="1">2</definedName>
    <definedName name="solver_neg" localSheetId="3" hidden="1">1</definedName>
    <definedName name="solver_neg" localSheetId="4" hidden="1">1</definedName>
    <definedName name="solver_nod" localSheetId="3" hidden="1">2147483647</definedName>
    <definedName name="solver_nod" localSheetId="4" hidden="1">2147483647</definedName>
    <definedName name="solver_num" localSheetId="3" hidden="1">0</definedName>
    <definedName name="solver_num" localSheetId="4" hidden="1">0</definedName>
    <definedName name="solver_nwt" localSheetId="3" hidden="1">1</definedName>
    <definedName name="solver_nwt" localSheetId="4" hidden="1">1</definedName>
    <definedName name="solver_opt" localSheetId="3" hidden="1">Diff!$CM$16</definedName>
    <definedName name="solver_opt" localSheetId="4" hidden="1">ExactLaws!$E$60</definedName>
    <definedName name="solver_pre" localSheetId="3" hidden="1">0.000001</definedName>
    <definedName name="solver_pre" localSheetId="4" hidden="1">0.000001</definedName>
    <definedName name="solver_rbv" localSheetId="3" hidden="1">1</definedName>
    <definedName name="solver_rbv" localSheetId="4" hidden="1">1</definedName>
    <definedName name="solver_rlx" localSheetId="3" hidden="1">2</definedName>
    <definedName name="solver_rlx" localSheetId="4" hidden="1">2</definedName>
    <definedName name="solver_rsd" localSheetId="3" hidden="1">0</definedName>
    <definedName name="solver_rsd" localSheetId="4" hidden="1">0</definedName>
    <definedName name="solver_scl" localSheetId="3" hidden="1">1</definedName>
    <definedName name="solver_scl" localSheetId="4" hidden="1">1</definedName>
    <definedName name="solver_sho" localSheetId="3" hidden="1">2</definedName>
    <definedName name="solver_sho" localSheetId="4" hidden="1">2</definedName>
    <definedName name="solver_ssz" localSheetId="3" hidden="1">100</definedName>
    <definedName name="solver_ssz" localSheetId="4" hidden="1">100</definedName>
    <definedName name="solver_tim" localSheetId="3" hidden="1">2147483647</definedName>
    <definedName name="solver_tim" localSheetId="4" hidden="1">2147483647</definedName>
    <definedName name="solver_tol" localSheetId="3" hidden="1">0.01</definedName>
    <definedName name="solver_tol" localSheetId="4" hidden="1">0.01</definedName>
    <definedName name="solver_typ" localSheetId="3" hidden="1">2</definedName>
    <definedName name="solver_typ" localSheetId="4" hidden="1">2</definedName>
    <definedName name="solver_val" localSheetId="3" hidden="1">0</definedName>
    <definedName name="solver_val" localSheetId="4" hidden="1">0</definedName>
    <definedName name="solver_ver" localSheetId="3" hidden="1">3</definedName>
    <definedName name="solver_ver" localSheetId="4" hidden="1">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5" l="1"/>
  <c r="D51" i="5"/>
  <c r="D52" i="5"/>
  <c r="D53" i="5"/>
  <c r="D54" i="5"/>
  <c r="D56" i="5"/>
  <c r="D57" i="5"/>
  <c r="D58" i="5"/>
  <c r="E51" i="5" l="1"/>
  <c r="E58" i="5"/>
  <c r="E57" i="5"/>
  <c r="E56" i="5"/>
  <c r="E55" i="5"/>
  <c r="E54" i="5"/>
  <c r="E53" i="5"/>
  <c r="E52" i="5"/>
  <c r="E60" i="5" l="1"/>
  <c r="H21" i="6"/>
  <c r="I11" i="7" l="1"/>
  <c r="I10" i="7"/>
  <c r="I9" i="7"/>
  <c r="V8" i="6"/>
  <c r="K16" i="6"/>
  <c r="L16" i="6" s="1"/>
  <c r="C16" i="6"/>
  <c r="D16" i="6" s="1"/>
  <c r="C15" i="6"/>
  <c r="D15" i="6" s="1"/>
  <c r="C14" i="6"/>
  <c r="D14" i="6" s="1"/>
  <c r="V13" i="6"/>
  <c r="W13" i="6" s="1"/>
  <c r="C13" i="6"/>
  <c r="D13" i="6" s="1"/>
  <c r="C12" i="6"/>
  <c r="D12" i="6" s="1"/>
  <c r="F11" i="6"/>
  <c r="G11" i="6" s="1"/>
  <c r="C11" i="6"/>
  <c r="D11" i="6" s="1"/>
  <c r="F10" i="6"/>
  <c r="G10" i="6" s="1"/>
  <c r="C10" i="6"/>
  <c r="D10" i="6" s="1"/>
  <c r="P9" i="6"/>
  <c r="Q9" i="6" s="1"/>
  <c r="C9" i="6"/>
  <c r="D9" i="6" s="1"/>
  <c r="C8" i="6"/>
  <c r="D8" i="6" s="1"/>
  <c r="AF7" i="6"/>
  <c r="Z7" i="6"/>
  <c r="F7" i="6"/>
  <c r="G7" i="6" s="1"/>
  <c r="H1" i="6"/>
  <c r="K11" i="6" s="1"/>
  <c r="L11" i="6" s="1"/>
  <c r="D32" i="5"/>
  <c r="E32" i="5" s="1"/>
  <c r="D33" i="5"/>
  <c r="E33" i="5"/>
  <c r="D34" i="5"/>
  <c r="E34" i="5" s="1"/>
  <c r="D35" i="5"/>
  <c r="E35" i="5" s="1"/>
  <c r="D31" i="5"/>
  <c r="E31" i="5" s="1"/>
  <c r="B35" i="5"/>
  <c r="B34" i="5"/>
  <c r="B33" i="5"/>
  <c r="B32" i="5"/>
  <c r="D9" i="5"/>
  <c r="E9" i="5"/>
  <c r="D10" i="5"/>
  <c r="E10" i="5" s="1"/>
  <c r="D11" i="5"/>
  <c r="E11" i="5"/>
  <c r="D12" i="5"/>
  <c r="E12" i="5" s="1"/>
  <c r="D13" i="5"/>
  <c r="E13" i="5"/>
  <c r="D14" i="5"/>
  <c r="E14" i="5" s="1"/>
  <c r="D15" i="5"/>
  <c r="E15" i="5" s="1"/>
  <c r="D16" i="5"/>
  <c r="E16" i="5" s="1"/>
  <c r="D17" i="5"/>
  <c r="E17" i="5"/>
  <c r="D8" i="5"/>
  <c r="E8" i="5" s="1"/>
  <c r="B17" i="5"/>
  <c r="B16" i="5"/>
  <c r="B15" i="5"/>
  <c r="B14" i="5"/>
  <c r="B13" i="5"/>
  <c r="B12" i="5"/>
  <c r="B11" i="5"/>
  <c r="B10" i="5"/>
  <c r="B9" i="5"/>
  <c r="Z11" i="6" l="1"/>
  <c r="F14" i="6"/>
  <c r="G14" i="6" s="1"/>
  <c r="K12" i="6"/>
  <c r="L12" i="6" s="1"/>
  <c r="V14" i="6"/>
  <c r="W14" i="6" s="1"/>
  <c r="V10" i="6"/>
  <c r="W10" i="6" s="1"/>
  <c r="K8" i="6"/>
  <c r="L8" i="6" s="1"/>
  <c r="Z10" i="6"/>
  <c r="P12" i="6"/>
  <c r="Q12" i="6" s="1"/>
  <c r="F15" i="6"/>
  <c r="G15" i="6" s="1"/>
  <c r="P8" i="6"/>
  <c r="Q8" i="6" s="1"/>
  <c r="AB10" i="6"/>
  <c r="AC10" i="6" s="1"/>
  <c r="Z15" i="6"/>
  <c r="P13" i="6"/>
  <c r="Q13" i="6" s="1"/>
  <c r="K7" i="6"/>
  <c r="L7" i="6" s="1"/>
  <c r="V9" i="6"/>
  <c r="W9" i="6" s="1"/>
  <c r="Z14" i="6"/>
  <c r="K15" i="6"/>
  <c r="L15" i="6" s="1"/>
  <c r="P16" i="6"/>
  <c r="Q16" i="6" s="1"/>
  <c r="AF11" i="6"/>
  <c r="AB14" i="6"/>
  <c r="AC14" i="6" s="1"/>
  <c r="AF15" i="6"/>
  <c r="P7" i="6"/>
  <c r="Q7" i="6" s="1"/>
  <c r="W8" i="6"/>
  <c r="F9" i="6"/>
  <c r="G9" i="6" s="1"/>
  <c r="Z9" i="6"/>
  <c r="K10" i="6"/>
  <c r="L10" i="6" s="1"/>
  <c r="P11" i="6"/>
  <c r="Q11" i="6" s="1"/>
  <c r="V12" i="6"/>
  <c r="W12" i="6" s="1"/>
  <c r="F13" i="6"/>
  <c r="G13" i="6" s="1"/>
  <c r="Z13" i="6"/>
  <c r="K14" i="6"/>
  <c r="L14" i="6" s="1"/>
  <c r="P15" i="6"/>
  <c r="Q15" i="6" s="1"/>
  <c r="V16" i="6"/>
  <c r="W16" i="6" s="1"/>
  <c r="AB9" i="6"/>
  <c r="AC9" i="6" s="1"/>
  <c r="AF10" i="6"/>
  <c r="AB13" i="6"/>
  <c r="AC13" i="6" s="1"/>
  <c r="AF14" i="6"/>
  <c r="V7" i="6"/>
  <c r="W7" i="6" s="1"/>
  <c r="F8" i="6"/>
  <c r="G8" i="6" s="1"/>
  <c r="Z8" i="6"/>
  <c r="K9" i="6"/>
  <c r="L9" i="6" s="1"/>
  <c r="P10" i="6"/>
  <c r="Q10" i="6" s="1"/>
  <c r="V11" i="6"/>
  <c r="W11" i="6" s="1"/>
  <c r="F12" i="6"/>
  <c r="G12" i="6" s="1"/>
  <c r="Z12" i="6"/>
  <c r="K13" i="6"/>
  <c r="L13" i="6" s="1"/>
  <c r="P14" i="6"/>
  <c r="Q14" i="6" s="1"/>
  <c r="V15" i="6"/>
  <c r="W15" i="6" s="1"/>
  <c r="F16" i="6"/>
  <c r="G16" i="6" s="1"/>
  <c r="Z16" i="6"/>
  <c r="AB8" i="6"/>
  <c r="AC8" i="6" s="1"/>
  <c r="AF9" i="6"/>
  <c r="AB12" i="6"/>
  <c r="AC12" i="6" s="1"/>
  <c r="AF13" i="6"/>
  <c r="AB16" i="6"/>
  <c r="AC16" i="6" s="1"/>
  <c r="AB7" i="6"/>
  <c r="AC7" i="6" s="1"/>
  <c r="AF8" i="6"/>
  <c r="AB11" i="6"/>
  <c r="AC11" i="6" s="1"/>
  <c r="AF12" i="6"/>
  <c r="AB15" i="6"/>
  <c r="AC15" i="6" s="1"/>
  <c r="AF16" i="6"/>
  <c r="E40" i="5"/>
  <c r="E19" i="5"/>
  <c r="I36" i="2" l="1"/>
  <c r="I25" i="2" l="1"/>
  <c r="I26" i="2" l="1"/>
  <c r="I27" i="2"/>
  <c r="I28" i="2"/>
  <c r="I29" i="2"/>
  <c r="I30" i="2"/>
  <c r="I31" i="2"/>
  <c r="I32" i="2"/>
  <c r="I33" i="2"/>
  <c r="I34" i="2"/>
  <c r="C20" i="4" l="1"/>
  <c r="C18" i="4"/>
  <c r="C16" i="4"/>
  <c r="C13" i="4"/>
  <c r="F4" i="2" l="1"/>
  <c r="F4" i="3"/>
  <c r="D13" i="3" s="1"/>
  <c r="D21" i="3" l="1"/>
  <c r="E21" i="3" l="1"/>
  <c r="E13" i="3"/>
  <c r="F21" i="3" l="1"/>
  <c r="F13" i="3"/>
  <c r="G13" i="3" l="1"/>
  <c r="G21" i="3"/>
  <c r="H21" i="3" l="1"/>
  <c r="H13" i="3"/>
  <c r="I13" i="3" l="1"/>
  <c r="I13" i="4" s="1"/>
  <c r="I21" i="3"/>
  <c r="J21" i="3" l="1"/>
  <c r="J13" i="3"/>
  <c r="K13" i="3" l="1"/>
  <c r="K21" i="3"/>
  <c r="L21" i="3" l="1"/>
  <c r="L13" i="3"/>
  <c r="M21" i="3" l="1"/>
  <c r="M13" i="3"/>
  <c r="N13" i="3" l="1"/>
  <c r="N21" i="3"/>
  <c r="O21" i="3" l="1"/>
  <c r="O13" i="3"/>
  <c r="P13" i="3" l="1"/>
  <c r="P13" i="4" s="1"/>
  <c r="P21" i="3"/>
  <c r="Q21" i="3" l="1"/>
  <c r="Q13" i="3"/>
  <c r="R13" i="3" l="1"/>
  <c r="R21" i="3"/>
  <c r="S21" i="3" l="1"/>
  <c r="S13" i="3"/>
  <c r="T21" i="3" l="1"/>
  <c r="T13" i="3"/>
  <c r="U21" i="3" l="1"/>
  <c r="T13" i="4"/>
  <c r="U13" i="3"/>
  <c r="V13" i="3" l="1"/>
  <c r="V21" i="3"/>
  <c r="W21" i="3" l="1"/>
  <c r="W13" i="3"/>
  <c r="X13" i="3" l="1"/>
  <c r="X21" i="3"/>
  <c r="Y13" i="3" l="1"/>
  <c r="Y21" i="3"/>
  <c r="Z13" i="3" l="1"/>
  <c r="Z21" i="3"/>
  <c r="AA13" i="3" l="1"/>
  <c r="AA21" i="3"/>
  <c r="AB21" i="3" l="1"/>
  <c r="AB13" i="3"/>
  <c r="AC21" i="3" l="1"/>
  <c r="AC13" i="3"/>
  <c r="AD13" i="3" l="1"/>
  <c r="AD21" i="3"/>
  <c r="AE21" i="3" l="1"/>
  <c r="AE13" i="3"/>
  <c r="AE13" i="4" s="1"/>
  <c r="AF13" i="3" l="1"/>
  <c r="AF21" i="3"/>
  <c r="AG13" i="3" l="1"/>
  <c r="AG21" i="3"/>
  <c r="AH13" i="3" l="1"/>
  <c r="AH21" i="3"/>
  <c r="AI21" i="3" l="1"/>
  <c r="AI13" i="3"/>
  <c r="AJ13" i="3" l="1"/>
  <c r="AJ21" i="3"/>
  <c r="AK21" i="3" l="1"/>
  <c r="AK13" i="3"/>
  <c r="AL13" i="3" s="1"/>
  <c r="AL21" i="3" l="1"/>
  <c r="AM21" i="3" s="1"/>
  <c r="AM13" i="3" l="1"/>
  <c r="AN13" i="3" s="1"/>
  <c r="AN21" i="3" l="1"/>
  <c r="AO21" i="3" s="1"/>
  <c r="AO13" i="3" l="1"/>
  <c r="AP13" i="3" s="1"/>
  <c r="AP13" i="4" s="1"/>
  <c r="AP21" i="3" l="1"/>
  <c r="AQ21" i="3" s="1"/>
  <c r="F5" i="2"/>
  <c r="F5" i="3"/>
  <c r="AQ13" i="3" l="1"/>
  <c r="AR13" i="3" s="1"/>
  <c r="D14" i="3"/>
  <c r="D18" i="3"/>
  <c r="D17" i="3"/>
  <c r="D16" i="3"/>
  <c r="E14" i="3" l="1"/>
  <c r="F14" i="3" s="1"/>
  <c r="G14" i="3" s="1"/>
  <c r="H14" i="3" s="1"/>
  <c r="I14" i="3" s="1"/>
  <c r="J14" i="3" s="1"/>
  <c r="K14" i="3" s="1"/>
  <c r="L14" i="3" s="1"/>
  <c r="M14" i="3" s="1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Y14" i="3" s="1"/>
  <c r="Z14" i="3" s="1"/>
  <c r="AA14" i="3" s="1"/>
  <c r="AB14" i="3" s="1"/>
  <c r="AC14" i="3" s="1"/>
  <c r="AD14" i="3" s="1"/>
  <c r="AE14" i="3" s="1"/>
  <c r="AF14" i="3" s="1"/>
  <c r="AG14" i="3" s="1"/>
  <c r="AH14" i="3" s="1"/>
  <c r="AI14" i="3" s="1"/>
  <c r="AJ14" i="3" s="1"/>
  <c r="AK14" i="3" s="1"/>
  <c r="AL14" i="3" s="1"/>
  <c r="AM14" i="3" s="1"/>
  <c r="AN14" i="3" s="1"/>
  <c r="AO14" i="3" s="1"/>
  <c r="AP14" i="3" s="1"/>
  <c r="AQ14" i="3" s="1"/>
  <c r="AR14" i="3" s="1"/>
  <c r="AR21" i="3"/>
  <c r="AS21" i="3" s="1"/>
  <c r="E16" i="3"/>
  <c r="F16" i="3" s="1"/>
  <c r="G16" i="3" l="1"/>
  <c r="H16" i="3" s="1"/>
  <c r="I16" i="3" s="1"/>
  <c r="AS13" i="3"/>
  <c r="AT13" i="3" s="1"/>
  <c r="AS14" i="3"/>
  <c r="J16" i="3" l="1"/>
  <c r="K16" i="3" s="1"/>
  <c r="L16" i="3" s="1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Z16" i="3" s="1"/>
  <c r="AA16" i="3" s="1"/>
  <c r="AB16" i="3" s="1"/>
  <c r="AC16" i="3" s="1"/>
  <c r="AD16" i="3" s="1"/>
  <c r="AE16" i="3" s="1"/>
  <c r="AF16" i="3" s="1"/>
  <c r="AG16" i="3" s="1"/>
  <c r="AH16" i="3" s="1"/>
  <c r="AI16" i="3" s="1"/>
  <c r="AJ16" i="3" s="1"/>
  <c r="AK16" i="3" s="1"/>
  <c r="AL16" i="3" s="1"/>
  <c r="AM16" i="3" s="1"/>
  <c r="AN16" i="3" s="1"/>
  <c r="AO16" i="3" s="1"/>
  <c r="AP16" i="3" s="1"/>
  <c r="AQ16" i="3" s="1"/>
  <c r="AR16" i="3" s="1"/>
  <c r="AS16" i="3" s="1"/>
  <c r="AT16" i="3" s="1"/>
  <c r="I16" i="4"/>
  <c r="AT21" i="3"/>
  <c r="AU21" i="3" s="1"/>
  <c r="AT14" i="3"/>
  <c r="P16" i="4" l="1"/>
  <c r="AU13" i="3"/>
  <c r="AV13" i="3" s="1"/>
  <c r="AU16" i="3"/>
  <c r="AU14" i="3"/>
  <c r="T16" i="4"/>
  <c r="AV14" i="3" l="1"/>
  <c r="AV21" i="3"/>
  <c r="AV16" i="3"/>
  <c r="AE16" i="4"/>
  <c r="AW16" i="3" l="1"/>
  <c r="AW14" i="3"/>
  <c r="AW21" i="3"/>
  <c r="AW13" i="3"/>
  <c r="AP16" i="4"/>
  <c r="AX13" i="3" l="1"/>
  <c r="AX14" i="3"/>
  <c r="AX21" i="3"/>
  <c r="AX16" i="3"/>
  <c r="AY21" i="3" l="1"/>
  <c r="AY16" i="3"/>
  <c r="AY14" i="3"/>
  <c r="AY13" i="3"/>
  <c r="AZ13" i="3" l="1"/>
  <c r="AZ14" i="3"/>
  <c r="AZ16" i="3"/>
  <c r="AZ21" i="3"/>
  <c r="BA21" i="3" l="1"/>
  <c r="BA13" i="3"/>
  <c r="BA16" i="3"/>
  <c r="BA14" i="3"/>
  <c r="BB14" i="3" l="1"/>
  <c r="BA16" i="4"/>
  <c r="BB16" i="3"/>
  <c r="BB21" i="3"/>
  <c r="BA13" i="4"/>
  <c r="BB13" i="3"/>
  <c r="BC13" i="3" l="1"/>
  <c r="BC14" i="3"/>
  <c r="BC21" i="3"/>
  <c r="BC16" i="3"/>
  <c r="BD21" i="3" l="1"/>
  <c r="BD16" i="3"/>
  <c r="BD14" i="3"/>
  <c r="BD13" i="3"/>
  <c r="BE13" i="3" l="1"/>
  <c r="BE14" i="3"/>
  <c r="BE16" i="3"/>
  <c r="BE21" i="3"/>
  <c r="BF21" i="3" l="1"/>
  <c r="BF16" i="3"/>
  <c r="BF14" i="3"/>
  <c r="BF13" i="3"/>
  <c r="BG13" i="3" l="1"/>
  <c r="BG14" i="3"/>
  <c r="BG16" i="3"/>
  <c r="BG21" i="3"/>
  <c r="BH21" i="3" l="1"/>
  <c r="BH16" i="3"/>
  <c r="BH14" i="3"/>
  <c r="BH13" i="3"/>
  <c r="BI13" i="3" l="1"/>
  <c r="BI14" i="3"/>
  <c r="BI16" i="3"/>
  <c r="BI21" i="3"/>
  <c r="BJ21" i="3" l="1"/>
  <c r="BJ16" i="3"/>
  <c r="BJ14" i="3"/>
  <c r="BJ13" i="3"/>
  <c r="BK13" i="3" l="1"/>
  <c r="BK14" i="3"/>
  <c r="BK16" i="3"/>
  <c r="BK21" i="3"/>
  <c r="BL21" i="3" l="1"/>
  <c r="BL16" i="3"/>
  <c r="BL14" i="3"/>
  <c r="BL13" i="3"/>
  <c r="BM13" i="3" l="1"/>
  <c r="BL13" i="4"/>
  <c r="BM14" i="3"/>
  <c r="BL16" i="4"/>
  <c r="BM16" i="3"/>
  <c r="BM21" i="3"/>
  <c r="BN21" i="3" l="1"/>
  <c r="BN16" i="3"/>
  <c r="BN14" i="3"/>
  <c r="BN13" i="3"/>
  <c r="BO13" i="3" s="1"/>
  <c r="BO14" i="3" l="1"/>
  <c r="BO16" i="3"/>
  <c r="BO21" i="3"/>
  <c r="BP21" i="3" s="1"/>
  <c r="BP16" i="3" l="1"/>
  <c r="BP14" i="3"/>
  <c r="BP13" i="3"/>
  <c r="BQ13" i="3" s="1"/>
  <c r="BQ14" i="3" l="1"/>
  <c r="BQ16" i="3"/>
  <c r="BQ21" i="3"/>
  <c r="BR21" i="3" s="1"/>
  <c r="BR16" i="3" l="1"/>
  <c r="BR14" i="3"/>
  <c r="BR13" i="3"/>
  <c r="BS13" i="3" s="1"/>
  <c r="BS14" i="3" l="1"/>
  <c r="BS16" i="3"/>
  <c r="BS21" i="3"/>
  <c r="BT21" i="3" s="1"/>
  <c r="BT16" i="3" l="1"/>
  <c r="BT14" i="3"/>
  <c r="BT13" i="3"/>
  <c r="BU13" i="3" s="1"/>
  <c r="BU14" i="3" l="1"/>
  <c r="BU16" i="3"/>
  <c r="BU21" i="3"/>
  <c r="BV21" i="3" s="1"/>
  <c r="BV16" i="3" l="1"/>
  <c r="BV14" i="3"/>
  <c r="BV13" i="3"/>
  <c r="BW13" i="3" s="1"/>
  <c r="BW13" i="4" s="1"/>
  <c r="BW14" i="3" l="1"/>
  <c r="BW16" i="3"/>
  <c r="BW21" i="3"/>
  <c r="BX14" i="3" l="1"/>
  <c r="BX13" i="3"/>
  <c r="BX21" i="3"/>
  <c r="BW16" i="4"/>
  <c r="BX16" i="3"/>
  <c r="BY14" i="3" l="1"/>
  <c r="BY16" i="3"/>
  <c r="BY13" i="3"/>
  <c r="BY21" i="3"/>
  <c r="BZ13" i="3" l="1"/>
  <c r="BZ21" i="3"/>
  <c r="BZ16" i="3"/>
  <c r="BZ14" i="3"/>
  <c r="CA21" i="3" l="1"/>
  <c r="CA13" i="3"/>
  <c r="CB21" i="3" s="1"/>
  <c r="CA14" i="3"/>
  <c r="CA16" i="3"/>
  <c r="CB16" i="3" l="1"/>
  <c r="CB14" i="3"/>
  <c r="CB13" i="3"/>
  <c r="CC13" i="3" s="1"/>
  <c r="CC21" i="3" l="1"/>
  <c r="CD21" i="3" s="1"/>
  <c r="CC14" i="3"/>
  <c r="CC16" i="3"/>
  <c r="CD14" i="3" l="1"/>
  <c r="CD16" i="3"/>
  <c r="CD13" i="3"/>
  <c r="CE13" i="3" s="1"/>
  <c r="CE21" i="3"/>
  <c r="CE16" i="3"/>
  <c r="CE14" i="3" l="1"/>
  <c r="CF13" i="3"/>
  <c r="CF16" i="3"/>
  <c r="CF21" i="3"/>
  <c r="CF14" i="3"/>
  <c r="CG16" i="3" l="1"/>
  <c r="CG13" i="3"/>
  <c r="CG21" i="3"/>
  <c r="CH13" i="3" s="1"/>
  <c r="CG14" i="3"/>
  <c r="CH16" i="3" s="1"/>
  <c r="CH21" i="3" l="1"/>
  <c r="CI21" i="3" s="1"/>
  <c r="CI13" i="3"/>
  <c r="CI13" i="4" s="1"/>
  <c r="CK13" i="4" s="1"/>
  <c r="CH14" i="3"/>
  <c r="F6" i="2"/>
  <c r="F6" i="3"/>
  <c r="CI16" i="3" l="1"/>
  <c r="CI16" i="4" s="1"/>
  <c r="CK16" i="4" s="1"/>
  <c r="CI14" i="3"/>
  <c r="D20" i="3"/>
  <c r="D19" i="3"/>
  <c r="D15" i="3"/>
  <c r="E15" i="3" l="1"/>
  <c r="E17" i="3"/>
  <c r="E18" i="3"/>
  <c r="E19" i="3"/>
  <c r="E20" i="3"/>
  <c r="F18" i="3" l="1"/>
  <c r="F20" i="3"/>
  <c r="F19" i="3"/>
  <c r="F17" i="3"/>
  <c r="F15" i="3"/>
  <c r="G15" i="3" s="1"/>
  <c r="G19" i="3" l="1"/>
  <c r="G17" i="3"/>
  <c r="G18" i="3"/>
  <c r="G20" i="3"/>
  <c r="H20" i="3" l="1"/>
  <c r="H15" i="3"/>
  <c r="H18" i="3"/>
  <c r="H19" i="3"/>
  <c r="H17" i="3"/>
  <c r="I20" i="3" l="1"/>
  <c r="I20" i="4"/>
  <c r="I19" i="3"/>
  <c r="J20" i="3" s="1"/>
  <c r="I17" i="3"/>
  <c r="I15" i="3"/>
  <c r="I18" i="3"/>
  <c r="J15" i="3" l="1"/>
  <c r="J18" i="3"/>
  <c r="I18" i="4"/>
  <c r="J19" i="3"/>
  <c r="J17" i="3"/>
  <c r="K17" i="3" s="1"/>
  <c r="K19" i="3" l="1"/>
  <c r="K15" i="3"/>
  <c r="L17" i="3" s="1"/>
  <c r="K18" i="3"/>
  <c r="K20" i="3"/>
  <c r="L20" i="3" s="1"/>
  <c r="L19" i="3" l="1"/>
  <c r="M20" i="3" s="1"/>
  <c r="L15" i="3"/>
  <c r="L18" i="3"/>
  <c r="M19" i="3" l="1"/>
  <c r="N20" i="3" s="1"/>
  <c r="M15" i="3"/>
  <c r="M18" i="3"/>
  <c r="M17" i="3"/>
  <c r="N15" i="3" l="1"/>
  <c r="N18" i="3"/>
  <c r="N19" i="3"/>
  <c r="O20" i="3" s="1"/>
  <c r="N17" i="3"/>
  <c r="O17" i="3" l="1"/>
  <c r="O19" i="3"/>
  <c r="P20" i="3" s="1"/>
  <c r="O15" i="3"/>
  <c r="O18" i="3"/>
  <c r="P17" i="3" l="1"/>
  <c r="P15" i="3"/>
  <c r="P18" i="3"/>
  <c r="P19" i="3"/>
  <c r="P20" i="4"/>
  <c r="Q19" i="3" l="1"/>
  <c r="Q15" i="3"/>
  <c r="Q20" i="3"/>
  <c r="R20" i="3" s="1"/>
  <c r="Q17" i="3"/>
  <c r="R17" i="3" s="1"/>
  <c r="P18" i="4"/>
  <c r="Q18" i="3"/>
  <c r="R18" i="3" l="1"/>
  <c r="R15" i="3"/>
  <c r="S17" i="3" s="1"/>
  <c r="R19" i="3"/>
  <c r="S19" i="3" l="1"/>
  <c r="S20" i="3"/>
  <c r="S18" i="3"/>
  <c r="S15" i="3"/>
  <c r="T17" i="3" s="1"/>
  <c r="T20" i="3" l="1"/>
  <c r="T20" i="4" s="1"/>
  <c r="T15" i="3"/>
  <c r="T18" i="3"/>
  <c r="T19" i="3"/>
  <c r="U19" i="3" l="1"/>
  <c r="U20" i="3"/>
  <c r="V20" i="3" s="1"/>
  <c r="T18" i="4"/>
  <c r="U18" i="3"/>
  <c r="U15" i="3"/>
  <c r="V15" i="3" s="1"/>
  <c r="U17" i="3"/>
  <c r="V17" i="3" l="1"/>
  <c r="W17" i="3" s="1"/>
  <c r="V18" i="3"/>
  <c r="V19" i="3"/>
  <c r="W18" i="3" l="1"/>
  <c r="W19" i="3"/>
  <c r="W15" i="3"/>
  <c r="X17" i="3" s="1"/>
  <c r="W20" i="3"/>
  <c r="X18" i="3" l="1"/>
  <c r="X15" i="3"/>
  <c r="Y17" i="3"/>
  <c r="X19" i="3"/>
  <c r="X20" i="3"/>
  <c r="Y18" i="3" l="1"/>
  <c r="Y15" i="3"/>
  <c r="Y19" i="3"/>
  <c r="Y20" i="3"/>
  <c r="Z20" i="3" s="1"/>
  <c r="Z19" i="3"/>
  <c r="Z15" i="3"/>
  <c r="Z18" i="3"/>
  <c r="Z17" i="3"/>
  <c r="AA20" i="3" l="1"/>
  <c r="AA17" i="3"/>
  <c r="AA15" i="3"/>
  <c r="AA18" i="3"/>
  <c r="AA19" i="3"/>
  <c r="AB17" i="3" l="1"/>
  <c r="AB19" i="3"/>
  <c r="AB20" i="3"/>
  <c r="AB15" i="3"/>
  <c r="AC17" i="3" s="1"/>
  <c r="AB18" i="3"/>
  <c r="AC19" i="3" l="1"/>
  <c r="AC20" i="3"/>
  <c r="AC15" i="3"/>
  <c r="AD17" i="3" s="1"/>
  <c r="AC18" i="3"/>
  <c r="AD20" i="3" l="1"/>
  <c r="AD15" i="3"/>
  <c r="AE17" i="3" s="1"/>
  <c r="AD18" i="3"/>
  <c r="AD19" i="3"/>
  <c r="AE19" i="3" l="1"/>
  <c r="AE15" i="3"/>
  <c r="AF17" i="3" s="1"/>
  <c r="AE18" i="3"/>
  <c r="AE20" i="3"/>
  <c r="AF15" i="3" l="1"/>
  <c r="AG17" i="3" s="1"/>
  <c r="AF18" i="3"/>
  <c r="AE18" i="4"/>
  <c r="AF20" i="3"/>
  <c r="AE20" i="4"/>
  <c r="AF19" i="3"/>
  <c r="AG19" i="3" s="1"/>
  <c r="AG20" i="3" l="1"/>
  <c r="AH20" i="3" s="1"/>
  <c r="AG15" i="3"/>
  <c r="AH17" i="3" s="1"/>
  <c r="AG18" i="3"/>
  <c r="AH15" i="3" l="1"/>
  <c r="AI17" i="3" s="1"/>
  <c r="AH18" i="3"/>
  <c r="AH19" i="3"/>
  <c r="AI19" i="3" l="1"/>
  <c r="AI20" i="3"/>
  <c r="AI15" i="3"/>
  <c r="AJ17" i="3" s="1"/>
  <c r="AI18" i="3"/>
  <c r="AJ19" i="3" l="1"/>
  <c r="AJ20" i="3"/>
  <c r="AK20" i="3" s="1"/>
  <c r="AJ15" i="3"/>
  <c r="AK17" i="3" s="1"/>
  <c r="AJ18" i="3"/>
  <c r="AK15" i="3" l="1"/>
  <c r="AL17" i="3" s="1"/>
  <c r="AK18" i="3"/>
  <c r="AK19" i="3"/>
  <c r="AL19" i="3" l="1"/>
  <c r="AL15" i="3"/>
  <c r="AM17" i="3" s="1"/>
  <c r="AL18" i="3"/>
  <c r="AL20" i="3"/>
  <c r="AM20" i="3" l="1"/>
  <c r="AM19" i="3"/>
  <c r="AM15" i="3"/>
  <c r="AM18" i="3"/>
  <c r="AN20" i="3" l="1"/>
  <c r="AN19" i="3"/>
  <c r="AN17" i="3"/>
  <c r="AN15" i="3"/>
  <c r="AN18" i="3"/>
  <c r="AO20" i="3" l="1"/>
  <c r="AO19" i="3"/>
  <c r="AP20" i="3" s="1"/>
  <c r="AO17" i="3"/>
  <c r="AO15" i="3"/>
  <c r="AO18" i="3"/>
  <c r="AP19" i="3" l="1"/>
  <c r="AQ20" i="3" s="1"/>
  <c r="AP15" i="3"/>
  <c r="AP18" i="3"/>
  <c r="AP18" i="4" s="1"/>
  <c r="AP17" i="3"/>
  <c r="AP20" i="4"/>
  <c r="AQ15" i="3" l="1"/>
  <c r="AQ18" i="3"/>
  <c r="AQ17" i="3"/>
  <c r="AQ19" i="3"/>
  <c r="AR15" i="3" l="1"/>
  <c r="AR17" i="3"/>
  <c r="AS17" i="3" s="1"/>
  <c r="AR19" i="3"/>
  <c r="AR18" i="3"/>
  <c r="AR20" i="3"/>
  <c r="AS20" i="3" l="1"/>
  <c r="AS15" i="3"/>
  <c r="AT17" i="3" s="1"/>
  <c r="AS18" i="3"/>
  <c r="AS19" i="3"/>
  <c r="AT19" i="3" l="1"/>
  <c r="AT15" i="3"/>
  <c r="AU17" i="3" s="1"/>
  <c r="AT18" i="3"/>
  <c r="AT20" i="3"/>
  <c r="AU20" i="3" l="1"/>
  <c r="AU19" i="3"/>
  <c r="AU15" i="3"/>
  <c r="AU18" i="3"/>
  <c r="AV20" i="3" l="1"/>
  <c r="AV19" i="3"/>
  <c r="AV17" i="3"/>
  <c r="AV15" i="3"/>
  <c r="AV18" i="3"/>
  <c r="AW20" i="3" l="1"/>
  <c r="AW17" i="3"/>
  <c r="AW15" i="3"/>
  <c r="AW18" i="3"/>
  <c r="AW19" i="3"/>
  <c r="AX17" i="3" l="1"/>
  <c r="AX19" i="3"/>
  <c r="AX15" i="3"/>
  <c r="AY17" i="3" s="1"/>
  <c r="AX18" i="3"/>
  <c r="AX20" i="3"/>
  <c r="AY20" i="3" s="1"/>
  <c r="AY19" i="3" l="1"/>
  <c r="AZ20" i="3" s="1"/>
  <c r="AY15" i="3"/>
  <c r="AZ17" i="3" s="1"/>
  <c r="AY18" i="3"/>
  <c r="AZ15" i="3" l="1"/>
  <c r="AZ18" i="3"/>
  <c r="AZ19" i="3"/>
  <c r="BA18" i="3" l="1"/>
  <c r="BA15" i="3"/>
  <c r="BB15" i="3" s="1"/>
  <c r="BA19" i="3"/>
  <c r="BA20" i="3"/>
  <c r="BA18" i="4"/>
  <c r="BA17" i="3"/>
  <c r="BB19" i="3" l="1"/>
  <c r="BB17" i="3"/>
  <c r="BB18" i="3"/>
  <c r="BB20" i="3"/>
  <c r="BA20" i="4"/>
  <c r="BC20" i="3" l="1"/>
  <c r="BC18" i="3"/>
  <c r="BC15" i="3"/>
  <c r="BC19" i="3"/>
  <c r="BD20" i="3" s="1"/>
  <c r="BC17" i="3"/>
  <c r="BD15" i="3" l="1"/>
  <c r="BD18" i="3"/>
  <c r="BD19" i="3"/>
  <c r="BE20" i="3" s="1"/>
  <c r="BD17" i="3"/>
  <c r="BE19" i="3" l="1"/>
  <c r="BE17" i="3"/>
  <c r="BE15" i="3"/>
  <c r="BE18" i="3"/>
  <c r="BF19" i="3" l="1"/>
  <c r="BF15" i="3"/>
  <c r="BF18" i="3"/>
  <c r="BF20" i="3"/>
  <c r="BF17" i="3"/>
  <c r="BG17" i="3" s="1"/>
  <c r="BG20" i="3" l="1"/>
  <c r="BG19" i="3"/>
  <c r="BH20" i="3" s="1"/>
  <c r="BG15" i="3"/>
  <c r="BH17" i="3" s="1"/>
  <c r="BG18" i="3"/>
  <c r="BH15" i="3" l="1"/>
  <c r="BI17" i="3" s="1"/>
  <c r="BH18" i="3"/>
  <c r="BH19" i="3"/>
  <c r="BI20" i="3" s="1"/>
  <c r="BI19" i="3" l="1"/>
  <c r="BJ20" i="3" s="1"/>
  <c r="BI15" i="3"/>
  <c r="BJ17" i="3" s="1"/>
  <c r="BI18" i="3"/>
  <c r="BJ19" i="3" l="1"/>
  <c r="BK20" i="3" s="1"/>
  <c r="BJ15" i="3"/>
  <c r="BK17" i="3" s="1"/>
  <c r="BJ18" i="3"/>
  <c r="BK15" i="3" l="1"/>
  <c r="BL17" i="3" s="1"/>
  <c r="BK18" i="3"/>
  <c r="BK19" i="3"/>
  <c r="BL19" i="3" l="1"/>
  <c r="BL15" i="3"/>
  <c r="BM17" i="3" s="1"/>
  <c r="BL18" i="3"/>
  <c r="BL20" i="3"/>
  <c r="BL18" i="4" l="1"/>
  <c r="BM18" i="3"/>
  <c r="BM20" i="3"/>
  <c r="BL20" i="4"/>
  <c r="BM15" i="3"/>
  <c r="BN15" i="3" s="1"/>
  <c r="BM19" i="3"/>
  <c r="BN17" i="3" l="1"/>
  <c r="BO17" i="3" s="1"/>
  <c r="BN19" i="3"/>
  <c r="BN20" i="3"/>
  <c r="BN18" i="3"/>
  <c r="BO20" i="3" l="1"/>
  <c r="BO15" i="3"/>
  <c r="BP17" i="3" s="1"/>
  <c r="BO18" i="3"/>
  <c r="BO19" i="3"/>
  <c r="BP19" i="3" l="1"/>
  <c r="BP15" i="3"/>
  <c r="BQ17" i="3" s="1"/>
  <c r="BP18" i="3"/>
  <c r="BP20" i="3"/>
  <c r="BQ20" i="3" s="1"/>
  <c r="BQ18" i="3" l="1"/>
  <c r="BQ19" i="3"/>
  <c r="BQ15" i="3"/>
  <c r="BR17" i="3" s="1"/>
  <c r="BR18" i="3" l="1"/>
  <c r="BR15" i="3"/>
  <c r="BS15" i="3" s="1"/>
  <c r="BR19" i="3"/>
  <c r="BR20" i="3"/>
  <c r="BS20" i="3" l="1"/>
  <c r="BS19" i="3"/>
  <c r="BS18" i="3"/>
  <c r="BS17" i="3"/>
  <c r="BT17" i="3" s="1"/>
  <c r="BT15" i="3" l="1"/>
  <c r="BU17" i="3" s="1"/>
  <c r="BT18" i="3"/>
  <c r="BT19" i="3"/>
  <c r="BT20" i="3"/>
  <c r="BU20" i="3" l="1"/>
  <c r="BU19" i="3"/>
  <c r="BV20" i="3" s="1"/>
  <c r="BU15" i="3"/>
  <c r="BV17" i="3" s="1"/>
  <c r="BU18" i="3"/>
  <c r="BV19" i="3" l="1"/>
  <c r="BV15" i="3"/>
  <c r="BW17" i="3" s="1"/>
  <c r="BV18" i="3"/>
  <c r="BW20" i="3"/>
  <c r="BW20" i="4" l="1"/>
  <c r="BW15" i="3"/>
  <c r="BW18" i="3"/>
  <c r="BW19" i="3"/>
  <c r="BX19" i="3" s="1"/>
  <c r="BX15" i="3" l="1"/>
  <c r="BW18" i="4"/>
  <c r="BX18" i="3"/>
  <c r="BX20" i="3"/>
  <c r="BY20" i="3" s="1"/>
  <c r="BX17" i="3"/>
  <c r="BY17" i="3" l="1"/>
  <c r="BY15" i="3"/>
  <c r="BY18" i="3"/>
  <c r="BY19" i="3"/>
  <c r="BZ17" i="3" l="1"/>
  <c r="BZ18" i="3"/>
  <c r="BZ19" i="3"/>
  <c r="BZ15" i="3"/>
  <c r="BZ20" i="3"/>
  <c r="CA20" i="3" l="1"/>
  <c r="CA15" i="3"/>
  <c r="CA18" i="3"/>
  <c r="CA19" i="3"/>
  <c r="CB20" i="3" s="1"/>
  <c r="CA17" i="3"/>
  <c r="CB15" i="3"/>
  <c r="CB17" i="3"/>
  <c r="CB19" i="3" l="1"/>
  <c r="CC17" i="3"/>
  <c r="CB18" i="3"/>
  <c r="CC15" i="3"/>
  <c r="CC20" i="3"/>
  <c r="CC18" i="3"/>
  <c r="CC19" i="3"/>
  <c r="CD17" i="3" l="1"/>
  <c r="CD19" i="3"/>
  <c r="CD20" i="3"/>
  <c r="CD15" i="3"/>
  <c r="CE17" i="3" s="1"/>
  <c r="CD18" i="3"/>
  <c r="CE20" i="3" l="1"/>
  <c r="CE15" i="3"/>
  <c r="CF17" i="3" s="1"/>
  <c r="CE18" i="3"/>
  <c r="CE19" i="3"/>
  <c r="CF19" i="3" l="1"/>
  <c r="CF20" i="3"/>
  <c r="CF15" i="3"/>
  <c r="CF18" i="3"/>
  <c r="CG20" i="3" l="1"/>
  <c r="CG19" i="3"/>
  <c r="CH20" i="3" s="1"/>
  <c r="CG15" i="3"/>
  <c r="CG18" i="3"/>
  <c r="CG17" i="3"/>
  <c r="CH17" i="3" s="1"/>
  <c r="CH15" i="3" l="1"/>
  <c r="CI17" i="3" s="1"/>
  <c r="CH18" i="3"/>
  <c r="CH19" i="3"/>
  <c r="CI19" i="3" l="1"/>
  <c r="CI20" i="3"/>
  <c r="CI20" i="4" s="1"/>
  <c r="CK20" i="4" s="1"/>
  <c r="CI15" i="3"/>
  <c r="CI18" i="3"/>
  <c r="CI18" i="4" s="1"/>
  <c r="CK18" i="4" s="1"/>
  <c r="CM16" i="4" s="1"/>
</calcChain>
</file>

<file path=xl/sharedStrings.xml><?xml version="1.0" encoding="utf-8"?>
<sst xmlns="http://schemas.openxmlformats.org/spreadsheetml/2006/main" count="235" uniqueCount="146">
  <si>
    <t>Notes:</t>
  </si>
  <si>
    <t>Species</t>
  </si>
  <si>
    <t>Time (m)</t>
  </si>
  <si>
    <t>A</t>
  </si>
  <si>
    <t>B</t>
  </si>
  <si>
    <t>C</t>
  </si>
  <si>
    <t>D</t>
  </si>
  <si>
    <t>E</t>
  </si>
  <si>
    <t>F</t>
  </si>
  <si>
    <t>G</t>
  </si>
  <si>
    <t>H</t>
  </si>
  <si>
    <t>Sectrum</t>
  </si>
  <si>
    <t>Concentrations….</t>
  </si>
  <si>
    <t>dithiol</t>
  </si>
  <si>
    <t>[dithiol]0</t>
  </si>
  <si>
    <t>[C6F6]</t>
  </si>
  <si>
    <t>Errors^2</t>
  </si>
  <si>
    <t>Time (min)</t>
  </si>
  <si>
    <r>
      <t>A (</t>
    </r>
    <r>
      <rPr>
        <b/>
        <sz val="11"/>
        <color theme="1"/>
        <rFont val="Calibri"/>
        <family val="2"/>
      </rPr>
      <t>μ</t>
    </r>
    <r>
      <rPr>
        <b/>
        <sz val="11"/>
        <color theme="1"/>
        <rFont val="Calibri"/>
        <family val="2"/>
        <scheme val="minor"/>
      </rPr>
      <t>mol)</t>
    </r>
  </si>
  <si>
    <r>
      <t>D (</t>
    </r>
    <r>
      <rPr>
        <b/>
        <sz val="11"/>
        <color theme="1"/>
        <rFont val="Calibri"/>
        <family val="2"/>
      </rPr>
      <t>μ</t>
    </r>
    <r>
      <rPr>
        <b/>
        <sz val="11"/>
        <color theme="1"/>
        <rFont val="Calibri"/>
        <family val="2"/>
        <scheme val="minor"/>
      </rPr>
      <t>mol)</t>
    </r>
  </si>
  <si>
    <r>
      <t>F (</t>
    </r>
    <r>
      <rPr>
        <b/>
        <sz val="11"/>
        <color theme="1"/>
        <rFont val="Calibri"/>
        <family val="2"/>
      </rPr>
      <t>μ</t>
    </r>
    <r>
      <rPr>
        <b/>
        <sz val="11"/>
        <color theme="1"/>
        <rFont val="Calibri"/>
        <family val="2"/>
        <scheme val="minor"/>
      </rPr>
      <t>mol)</t>
    </r>
  </si>
  <si>
    <r>
      <t>H (</t>
    </r>
    <r>
      <rPr>
        <b/>
        <sz val="11"/>
        <color theme="1"/>
        <rFont val="Calibri"/>
        <family val="2"/>
      </rPr>
      <t>μ</t>
    </r>
    <r>
      <rPr>
        <b/>
        <sz val="11"/>
        <color theme="1"/>
        <rFont val="Calibri"/>
        <family val="2"/>
        <scheme val="minor"/>
      </rPr>
      <t>mol)</t>
    </r>
  </si>
  <si>
    <t>ks</t>
  </si>
  <si>
    <t>kf</t>
  </si>
  <si>
    <t>μmol</t>
  </si>
  <si>
    <t>ktemp</t>
  </si>
  <si>
    <r>
      <rPr>
        <i/>
        <sz val="11"/>
        <color theme="1"/>
        <rFont val="Calibri"/>
        <family val="2"/>
        <scheme val="minor"/>
      </rPr>
      <t>ks</t>
    </r>
    <r>
      <rPr>
        <sz val="11"/>
        <color theme="1"/>
        <rFont val="Calibri"/>
        <family val="2"/>
        <scheme val="minor"/>
      </rPr>
      <t xml:space="preserve"> represents all slow C-S coupling events (i.e. a fluoride trans/1,4 to the leaving group)</t>
    </r>
  </si>
  <si>
    <r>
      <t>Only the species in yellow (</t>
    </r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) are observed (and therefore can be fitted)</t>
    </r>
  </si>
  <si>
    <r>
      <t>All other species (</t>
    </r>
    <r>
      <rPr>
        <b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) should be predicted to be present at only low concentrations if the model is valid</t>
    </r>
  </si>
  <si>
    <r>
      <t>Arabic numerals (1,2) and Greek characters (</t>
    </r>
    <r>
      <rPr>
        <sz val="11"/>
        <color theme="1"/>
        <rFont val="Calibri"/>
        <family val="2"/>
      </rPr>
      <t>α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Calibri"/>
        <family val="2"/>
      </rPr>
      <t>β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Calibri"/>
        <family val="2"/>
      </rPr>
      <t>γ</t>
    </r>
    <r>
      <rPr>
        <sz val="11"/>
        <color theme="1"/>
        <rFont val="Calibri"/>
        <family val="2"/>
        <scheme val="minor"/>
      </rPr>
      <t>) indicate the explicit chain growth; parentheses indicate symmetric possibilities</t>
    </r>
  </si>
  <si>
    <t>A time interval of 1 min between simulated points has been used to simplify the concentration calcs</t>
  </si>
  <si>
    <t>Numerical integration model applied</t>
  </si>
  <si>
    <r>
      <t>(μM)</t>
    </r>
    <r>
      <rPr>
        <vertAlign val="superscript"/>
        <sz val="10"/>
        <color theme="1"/>
        <rFont val="Verdana"/>
        <family val="2"/>
      </rPr>
      <t>-1</t>
    </r>
    <r>
      <rPr>
        <sz val="10"/>
        <color theme="1"/>
        <rFont val="Verdana"/>
        <family val="2"/>
      </rPr>
      <t xml:space="preserve"> min</t>
    </r>
    <r>
      <rPr>
        <vertAlign val="superscript"/>
        <sz val="10"/>
        <color theme="1"/>
        <rFont val="Verdana"/>
        <family val="2"/>
      </rPr>
      <t>-1</t>
    </r>
  </si>
  <si>
    <r>
      <t>(μM)</t>
    </r>
    <r>
      <rPr>
        <vertAlign val="superscript"/>
        <sz val="10"/>
        <color theme="1"/>
        <rFont val="Verdana"/>
        <family val="2"/>
      </rPr>
      <t>-1</t>
    </r>
    <r>
      <rPr>
        <sz val="10"/>
        <color theme="1"/>
        <rFont val="Verdana"/>
        <family val="2"/>
      </rPr>
      <t xml:space="preserve"> min</t>
    </r>
    <r>
      <rPr>
        <vertAlign val="superscript"/>
        <sz val="10"/>
        <color theme="1"/>
        <rFont val="Verdana"/>
        <family val="2"/>
      </rPr>
      <t>-1</t>
    </r>
    <r>
      <rPr>
        <sz val="10"/>
        <color theme="1"/>
        <rFont val="Verdana"/>
        <family val="2"/>
      </rPr>
      <t xml:space="preserve"> (min</t>
    </r>
    <r>
      <rPr>
        <vertAlign val="superscript"/>
        <sz val="10"/>
        <color theme="1"/>
        <rFont val="Verdana"/>
        <family val="2"/>
      </rPr>
      <t>-1</t>
    </r>
    <r>
      <rPr>
        <sz val="10"/>
        <color theme="1"/>
        <rFont val="Verdana"/>
        <family val="2"/>
      </rPr>
      <t xml:space="preserve"> for </t>
    </r>
    <r>
      <rPr>
        <b/>
        <sz val="10"/>
        <color theme="1"/>
        <rFont val="Verdana"/>
        <family val="2"/>
      </rPr>
      <t>G</t>
    </r>
    <r>
      <rPr>
        <sz val="10"/>
        <color theme="1"/>
        <rFont val="Verdana"/>
        <family val="2"/>
      </rPr>
      <t xml:space="preserve"> to </t>
    </r>
    <r>
      <rPr>
        <b/>
        <sz val="10"/>
        <color theme="1"/>
        <rFont val="Verdana"/>
        <family val="2"/>
      </rPr>
      <t>H</t>
    </r>
    <r>
      <rPr>
        <sz val="10"/>
        <color theme="1"/>
        <rFont val="Verdana"/>
        <family val="2"/>
      </rPr>
      <t>)</t>
    </r>
  </si>
  <si>
    <t>Mass balance</t>
  </si>
  <si>
    <r>
      <t xml:space="preserve">Calculated species </t>
    </r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-</t>
    </r>
    <r>
      <rPr>
        <b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concentrations (μM between 0 and 86 min). After 86 min &gt;80% of C6F6 had been consumed</t>
    </r>
  </si>
  <si>
    <t>Unobserved and uncollected data have been given zero values (to aid comparison with the calculated behaviour)</t>
  </si>
  <si>
    <r>
      <t xml:space="preserve">Observed (19F NMR) species </t>
    </r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-</t>
    </r>
    <r>
      <rPr>
        <b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concentrations (μM at 0, 6, 13, 17, 28, 39, 50, 61, 72, 84 min, shown in green highlighter). After 86 min &gt;80% of C6F6 had been consumed in the 1 mL sample</t>
    </r>
  </si>
  <si>
    <t>The volume of the NMR sample is 1mL</t>
  </si>
  <si>
    <t>per mL</t>
  </si>
  <si>
    <t>Simulated for the chain growth and macrocycle closure process shown on sheet 'Model'; the data fitted to the 50 experimetal time-conc points are in green highlighter.</t>
  </si>
  <si>
    <r>
      <t xml:space="preserve">Differences between observed and calculated species </t>
    </r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-</t>
    </r>
    <r>
      <rPr>
        <b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concentrations (μM between 0 and 86 min). After 86 min &gt;80% of C6F6 had been consumed</t>
    </r>
  </si>
  <si>
    <r>
      <t xml:space="preserve">The differences (green highlighter) between the 50 experimetal time-conc points and their calculated values was minimised by Solver allowing only </t>
    </r>
    <r>
      <rPr>
        <i/>
        <sz val="11"/>
        <color theme="1"/>
        <rFont val="Calibri"/>
        <family val="2"/>
        <scheme val="minor"/>
      </rPr>
      <t>ks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kf</t>
    </r>
    <r>
      <rPr>
        <sz val="11"/>
        <color theme="1"/>
        <rFont val="Calibri"/>
        <family val="2"/>
        <scheme val="minor"/>
      </rPr>
      <t xml:space="preserve">, and </t>
    </r>
    <r>
      <rPr>
        <i/>
        <sz val="11"/>
        <color theme="1"/>
        <rFont val="Calibri"/>
        <family val="2"/>
        <scheme val="minor"/>
      </rPr>
      <t>ktemp</t>
    </r>
    <r>
      <rPr>
        <sz val="11"/>
        <color theme="1"/>
        <rFont val="Calibri"/>
        <family val="2"/>
        <scheme val="minor"/>
      </rPr>
      <t xml:space="preserve"> to vary</t>
    </r>
  </si>
  <si>
    <r>
      <t>[</t>
    </r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](t =0)</t>
    </r>
  </si>
  <si>
    <t>μM</t>
  </si>
  <si>
    <t>min-1</t>
  </si>
  <si>
    <r>
      <t>(</t>
    </r>
    <r>
      <rPr>
        <sz val="11"/>
        <color theme="1"/>
        <rFont val="Calibri"/>
        <family val="2"/>
      </rPr>
      <t>μM)-1</t>
    </r>
    <r>
      <rPr>
        <sz val="6.6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min-1</t>
    </r>
  </si>
  <si>
    <t>Spectrum</t>
  </si>
  <si>
    <r>
      <t>[</t>
    </r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]obs (μM)</t>
    </r>
  </si>
  <si>
    <r>
      <t>[</t>
    </r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]calc (μM)</t>
    </r>
  </si>
  <si>
    <t>(Obs-Calc)^2</t>
  </si>
  <si>
    <t>k1obs</t>
  </si>
  <si>
    <t>k2obs</t>
  </si>
  <si>
    <t>k-values, std. dev., R2</t>
  </si>
  <si>
    <t>The Solver fitted parameters are highlighted in yellow, the SolvStat derived errors and fit in green</t>
  </si>
  <si>
    <r>
      <t>Disappearance of C6F6 (</t>
    </r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 behaviour by exact integrated rate law [see: Billo, E. J. Excel for Chemists: A Comprehensive Guide, 3rd Ed., John Wiley &amp; Sons, Inc., New York 2011]</t>
    </r>
  </si>
  <si>
    <r>
      <t>Appearance of HSC6H4SC6F4SC6H4SH (</t>
    </r>
    <r>
      <rPr>
        <b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) behaviour by exact integrated rate law [see: Billo, E. J. Excel for Chemists: A Comprehensive Guide, 3rd Ed., John Wiley &amp; Sons, Inc., New York 2011]</t>
    </r>
  </si>
  <si>
    <r>
      <t>Due to further consumption of (</t>
    </r>
    <r>
      <rPr>
        <b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) in cascade processes, only the forst 28 min of the reaction could be modelled to [</t>
    </r>
    <r>
      <rPr>
        <b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] = 3.9 micromolar, by first order kinetics</t>
    </r>
  </si>
  <si>
    <r>
      <t>[</t>
    </r>
    <r>
      <rPr>
        <b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](t =inf)</t>
    </r>
  </si>
  <si>
    <t>k3obs</t>
  </si>
  <si>
    <t>For: Rate = k3obs[D]</t>
  </si>
  <si>
    <r>
      <t>For: Rate = k1obs[</t>
    </r>
    <r>
      <rPr>
        <b/>
        <i/>
        <sz val="11"/>
        <color theme="1"/>
        <rFont val="Calibri"/>
        <family val="2"/>
        <scheme val="minor"/>
      </rPr>
      <t>A</t>
    </r>
    <r>
      <rPr>
        <i/>
        <sz val="11"/>
        <color theme="1"/>
        <rFont val="Calibri"/>
        <family val="2"/>
        <scheme val="minor"/>
      </rPr>
      <t>] + k2obs[</t>
    </r>
    <r>
      <rPr>
        <b/>
        <i/>
        <sz val="11"/>
        <color theme="1"/>
        <rFont val="Calibri"/>
        <family val="2"/>
        <scheme val="minor"/>
      </rPr>
      <t>A</t>
    </r>
    <r>
      <rPr>
        <i/>
        <sz val="11"/>
        <color theme="1"/>
        <rFont val="Calibri"/>
        <family val="2"/>
        <scheme val="minor"/>
      </rPr>
      <t>]2</t>
    </r>
  </si>
  <si>
    <t>Using Solver the fit to rate = k1obs[A] + k2obs[A]2 (R2 = 0.994) was superior to that for simple second (R2 = 0.991) and first (R2 = 0.967) order kinetic laws</t>
  </si>
  <si>
    <t>Conversion factor</t>
  </si>
  <si>
    <t>1 integration unit is</t>
  </si>
  <si>
    <t>nmol</t>
  </si>
  <si>
    <t xml:space="preserve">             Signal 2</t>
  </si>
  <si>
    <t xml:space="preserve">                Signal 9</t>
  </si>
  <si>
    <t xml:space="preserve">                py.HF</t>
  </si>
  <si>
    <r>
      <t xml:space="preserve">C6F6 = </t>
    </r>
    <r>
      <rPr>
        <b/>
        <sz val="11"/>
        <color theme="1"/>
        <rFont val="Calibri"/>
        <family val="2"/>
        <scheme val="minor"/>
      </rPr>
      <t>A</t>
    </r>
  </si>
  <si>
    <t xml:space="preserve">             broad</t>
  </si>
  <si>
    <t xml:space="preserve">            broad</t>
  </si>
  <si>
    <t xml:space="preserve">      templated macrocycle</t>
  </si>
  <si>
    <t>Time rel. (min)</t>
  </si>
  <si>
    <t>Time rel. (Sec)</t>
  </si>
  <si>
    <t xml:space="preserve">   "around -169.8"</t>
  </si>
  <si>
    <t xml:space="preserve">   "around -133.0"</t>
  </si>
  <si>
    <t xml:space="preserve">   "around -132.3"</t>
  </si>
  <si>
    <t xml:space="preserve">   "around -132.2"</t>
  </si>
  <si>
    <t xml:space="preserve">        "around -131.85"</t>
  </si>
  <si>
    <t>Int.</t>
  </si>
  <si>
    <t>nmol F</t>
  </si>
  <si>
    <t>n mol NMe4F</t>
  </si>
  <si>
    <t>Ht.</t>
  </si>
  <si>
    <t>n mol C6F6</t>
  </si>
  <si>
    <r>
      <t xml:space="preserve">nmol </t>
    </r>
    <r>
      <rPr>
        <b/>
        <sz val="11"/>
        <color theme="1"/>
        <rFont val="Calibri"/>
        <family val="2"/>
        <scheme val="minor"/>
      </rPr>
      <t>C</t>
    </r>
  </si>
  <si>
    <t>2021-03-11T09:44:18 (prior to addition thiol at 09:55)</t>
  </si>
  <si>
    <t>2021-03-11T10:00:31</t>
  </si>
  <si>
    <t>2021-03-11T10:06:57</t>
  </si>
  <si>
    <t>2021-03-11T10:11:05</t>
  </si>
  <si>
    <t>2021-03-11T10:22:12</t>
  </si>
  <si>
    <t>2021-03-11T10:33:20</t>
  </si>
  <si>
    <t>2021-03-11T10:44:26</t>
  </si>
  <si>
    <t>2021-03-11T10:55:33</t>
  </si>
  <si>
    <t>2021-03-11T11:06:40</t>
  </si>
  <si>
    <t>2021-03-11T11:17:47</t>
  </si>
  <si>
    <t xml:space="preserve">            "around -170.8 ppm"</t>
  </si>
  <si>
    <t xml:space="preserve">                 "around -162.6"</t>
  </si>
  <si>
    <t xml:space="preserve">        small imp.</t>
  </si>
  <si>
    <t xml:space="preserve">           Signals 6+7 assigned to:</t>
  </si>
  <si>
    <r>
      <t xml:space="preserve">    (8F in two enviroments) = </t>
    </r>
    <r>
      <rPr>
        <b/>
        <sz val="11"/>
        <color theme="1"/>
        <rFont val="Calibri"/>
        <family val="2"/>
        <scheme val="minor"/>
      </rPr>
      <t>F</t>
    </r>
  </si>
  <si>
    <r>
      <t xml:space="preserve">n mol </t>
    </r>
    <r>
      <rPr>
        <b/>
        <sz val="11"/>
        <color theme="1"/>
        <rFont val="Calibri"/>
        <family val="2"/>
        <scheme val="minor"/>
      </rPr>
      <t>F</t>
    </r>
  </si>
  <si>
    <t xml:space="preserve">              "around -132.0"</t>
  </si>
  <si>
    <t xml:space="preserve">          "around -132.8"</t>
  </si>
  <si>
    <t>File and absolute time</t>
  </si>
  <si>
    <r>
      <t xml:space="preserve">nmol </t>
    </r>
    <r>
      <rPr>
        <b/>
        <sz val="11"/>
        <color theme="1"/>
        <rFont val="Calibri"/>
        <family val="2"/>
        <scheme val="minor"/>
      </rPr>
      <t>H</t>
    </r>
  </si>
  <si>
    <t>nmol F-</t>
  </si>
  <si>
    <t>C6F6 = 1.6 mg, 0.0086 mmol</t>
  </si>
  <si>
    <t>1,4-dithiobenzene 12 mg, 0.086 mmol</t>
  </si>
  <si>
    <t>NMe4+F- = 20 mg, 0.12 mmol</t>
  </si>
  <si>
    <t>The amounts of each compound used:</t>
  </si>
  <si>
    <t>Experimental</t>
  </si>
  <si>
    <t>M2</t>
  </si>
  <si>
    <t>Ksp (NMe4F.4H2O in pyridine)</t>
  </si>
  <si>
    <t xml:space="preserve">         free and bound F-</t>
  </si>
  <si>
    <t xml:space="preserve">                Signal 1</t>
  </si>
  <si>
    <t xml:space="preserve">                 Signal 3</t>
  </si>
  <si>
    <r>
      <t xml:space="preserve">    HSC6H4SC6F4SC6H4SH = </t>
    </r>
    <r>
      <rPr>
        <b/>
        <sz val="11"/>
        <color theme="1"/>
        <rFont val="Calibri"/>
        <family val="2"/>
        <scheme val="minor"/>
      </rPr>
      <t>C</t>
    </r>
  </si>
  <si>
    <t xml:space="preserve">                   Signal 5</t>
  </si>
  <si>
    <t xml:space="preserve">         Signal 4</t>
  </si>
  <si>
    <t xml:space="preserve">           Signal 6</t>
  </si>
  <si>
    <t xml:space="preserve">           Signal 7</t>
  </si>
  <si>
    <r>
      <t xml:space="preserve">            small imp (</t>
    </r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)</t>
    </r>
  </si>
  <si>
    <t xml:space="preserve">               Signal 8</t>
  </si>
  <si>
    <t xml:space="preserve">               Signal 10</t>
  </si>
  <si>
    <r>
      <rPr>
        <i/>
        <sz val="11"/>
        <color theme="1"/>
        <rFont val="Calibri"/>
        <family val="2"/>
        <scheme val="minor"/>
      </rPr>
      <t>kf</t>
    </r>
    <r>
      <rPr>
        <sz val="11"/>
        <color theme="1"/>
        <rFont val="Calibri"/>
        <family val="2"/>
        <scheme val="minor"/>
      </rPr>
      <t xml:space="preserve"> represents all fast C-S coupling events (i.e. an ArS unit trans/1,4 to the leaving group)</t>
    </r>
  </si>
  <si>
    <r>
      <t>ktemp</t>
    </r>
    <r>
      <rPr>
        <sz val="11"/>
        <color theme="1"/>
        <rFont val="Calibri"/>
        <family val="2"/>
        <scheme val="minor"/>
      </rPr>
      <t xml:space="preserve"> represents all the templated events (featuring 2 x NMe4F induced macrocyclisation or their immediate precursors)</t>
    </r>
  </si>
  <si>
    <t>A simple rectangle rule approach has been used for the numerical integration to simplify the concetration calcs</t>
  </si>
  <si>
    <t>pyridine (1 mL)</t>
  </si>
  <si>
    <t xml:space="preserve">  HSC6H4SC6F4SC6H4C6F4SC6H4SH</t>
  </si>
  <si>
    <t>There are about 2 micromols of 'non generated' F- generated in the first 6 mins indicating a maximum soluble NMe4F.4H2O concentration of 2 micromols in HF.pyridine</t>
  </si>
  <si>
    <r>
      <t xml:space="preserve">Comparison against acyclic model compound </t>
    </r>
    <r>
      <rPr>
        <b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(uncatalysed reaction), Scheme S217</t>
    </r>
  </si>
  <si>
    <t>k (min-1)</t>
  </si>
  <si>
    <t>delta^2</t>
  </si>
  <si>
    <r>
      <t>[</t>
    </r>
    <r>
      <rPr>
        <b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]obs</t>
    </r>
  </si>
  <si>
    <r>
      <t>[</t>
    </r>
    <r>
      <rPr>
        <b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]calc</t>
    </r>
  </si>
  <si>
    <r>
      <t>[</t>
    </r>
    <r>
      <rPr>
        <b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]initial</t>
    </r>
  </si>
  <si>
    <t xml:space="preserve">Acyclic model </t>
  </si>
  <si>
    <r>
      <t xml:space="preserve">In presence of NMe4F.4H2O rate </t>
    </r>
    <r>
      <rPr>
        <sz val="11"/>
        <color theme="1"/>
        <rFont val="Calibri"/>
        <family val="2"/>
      </rPr>
      <t>≥25x faster</t>
    </r>
  </si>
  <si>
    <t>(intital rate, see ESI text)</t>
  </si>
  <si>
    <t>For one-pot reaction</t>
  </si>
  <si>
    <t>The first specrum was just C6F6 in pyridine, then 1,4-dithiobenzene and the template (NMe4F.4H2O) , the mixture was then given a quick shake (because the template isn't that soluble) and the kinetics clock started</t>
  </si>
  <si>
    <r>
      <t xml:space="preserve">For control reaction using </t>
    </r>
    <r>
      <rPr>
        <b/>
        <i/>
        <sz val="11"/>
        <color theme="1"/>
        <rFont val="Calibri"/>
        <family val="2"/>
        <scheme val="minor"/>
      </rPr>
      <t>7</t>
    </r>
  </si>
  <si>
    <t>PhSC6F5 (7) =  2.7 mg, 9.8 μmol</t>
  </si>
  <si>
    <t>Thiophenol  = 10 µL, 10.8 mg, 98 μmol</t>
  </si>
  <si>
    <t>This is the primary data supporting Section 8 and 8.1 of the Electronic Supporting Information (ESI pdf)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</si>
</sst>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vertAlign val="superscript"/>
      <sz val="10"/>
      <color theme="1"/>
      <name val="Verdana"/>
      <family val="2"/>
    </font>
    <font>
      <b/>
      <sz val="10"/>
      <color theme="1"/>
      <name val="Verdana"/>
      <family val="2"/>
    </font>
    <font>
      <sz val="6.6"/>
      <color theme="1"/>
      <name val="Calibri"/>
      <family val="2"/>
    </font>
    <font>
      <sz val="8"/>
      <color theme="1"/>
      <name val="Arial"/>
      <family val="2"/>
    </font>
    <font>
      <sz val="12"/>
      <color rgb="FF000000"/>
      <name val="Calibri"/>
      <family val="2"/>
    </font>
    <font>
      <sz val="11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2" borderId="0" xfId="0" applyFill="1"/>
    <xf numFmtId="11" fontId="0" fillId="0" borderId="0" xfId="0" applyNumberFormat="1"/>
    <xf numFmtId="0" fontId="4" fillId="0" borderId="0" xfId="0" applyFont="1"/>
    <xf numFmtId="0" fontId="0" fillId="0" borderId="0" xfId="0" applyNumberFormat="1"/>
    <xf numFmtId="0" fontId="5" fillId="0" borderId="0" xfId="0" applyFont="1"/>
    <xf numFmtId="0" fontId="6" fillId="0" borderId="0" xfId="0" applyFont="1"/>
    <xf numFmtId="0" fontId="0" fillId="0" borderId="0" xfId="0" applyFont="1"/>
    <xf numFmtId="0" fontId="0" fillId="3" borderId="0" xfId="0" applyFill="1"/>
    <xf numFmtId="11" fontId="0" fillId="3" borderId="0" xfId="0" applyNumberFormat="1" applyFill="1"/>
    <xf numFmtId="164" fontId="0" fillId="0" borderId="0" xfId="0" applyNumberFormat="1"/>
    <xf numFmtId="2" fontId="0" fillId="0" borderId="0" xfId="0" applyNumberFormat="1"/>
    <xf numFmtId="0" fontId="0" fillId="0" borderId="0" xfId="0" applyFill="1"/>
    <xf numFmtId="2" fontId="0" fillId="0" borderId="0" xfId="0" applyNumberFormat="1" applyFill="1"/>
    <xf numFmtId="0" fontId="0" fillId="4" borderId="0" xfId="0" applyFill="1"/>
    <xf numFmtId="0" fontId="0" fillId="5" borderId="0" xfId="0" applyFill="1"/>
    <xf numFmtId="0" fontId="0" fillId="4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10" fillId="0" borderId="0" xfId="0" applyFont="1" applyAlignment="1">
      <alignment wrapText="1"/>
    </xf>
    <xf numFmtId="1" fontId="0" fillId="4" borderId="0" xfId="0" applyNumberFormat="1" applyFill="1"/>
    <xf numFmtId="1" fontId="0" fillId="5" borderId="0" xfId="0" applyNumberFormat="1" applyFill="1"/>
    <xf numFmtId="3" fontId="0" fillId="0" borderId="0" xfId="0" applyNumberFormat="1" applyFill="1"/>
    <xf numFmtId="1" fontId="0" fillId="0" borderId="0" xfId="0" applyNumberFormat="1" applyFill="1"/>
    <xf numFmtId="0" fontId="10" fillId="0" borderId="0" xfId="0" applyFont="1"/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165" fontId="0" fillId="0" borderId="0" xfId="0" applyNumberFormat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Observed Conc.</a:t>
            </a:r>
            <a:r>
              <a:rPr lang="en-GB" baseline="0"/>
              <a:t> (</a:t>
            </a:r>
            <a:r>
              <a:rPr lang="el-GR" baseline="0"/>
              <a:t>μ</a:t>
            </a:r>
            <a:r>
              <a:rPr lang="en-GB" baseline="0"/>
              <a:t>M)  </a:t>
            </a:r>
            <a:r>
              <a:rPr lang="en-GB" b="1" baseline="0"/>
              <a:t>A-H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3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Obs!$B$13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Obs!$C$13:$BS$13</c:f>
              <c:numCache>
                <c:formatCode>General</c:formatCode>
                <c:ptCount val="69"/>
                <c:pt idx="0">
                  <c:v>8.6</c:v>
                </c:pt>
                <c:pt idx="6">
                  <c:v>6.617920459990418</c:v>
                </c:pt>
                <c:pt idx="13">
                  <c:v>5.6509183836447852</c:v>
                </c:pt>
                <c:pt idx="17">
                  <c:v>5.4924985359101308</c:v>
                </c:pt>
                <c:pt idx="28">
                  <c:v>3.8419102379811534</c:v>
                </c:pt>
                <c:pt idx="39">
                  <c:v>3.405111004631848</c:v>
                </c:pt>
                <c:pt idx="50">
                  <c:v>2.6899323856678912</c:v>
                </c:pt>
                <c:pt idx="61">
                  <c:v>2.3483682052920196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6-466D-A747-61B4F976C2A6}"/>
            </c:ext>
          </c:extLst>
        </c:ser>
        <c:ser>
          <c:idx val="1"/>
          <c:order val="1"/>
          <c:tx>
            <c:strRef>
              <c:f>Obs!$B$14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Obs!$C$14:$BS$14</c:f>
              <c:numCache>
                <c:formatCode>General</c:formatCode>
                <c:ptCount val="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66-466D-A747-61B4F976C2A6}"/>
            </c:ext>
          </c:extLst>
        </c:ser>
        <c:ser>
          <c:idx val="2"/>
          <c:order val="2"/>
          <c:tx>
            <c:strRef>
              <c:f>Obs!$B$15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Obs!$C$15:$BS$15</c:f>
              <c:numCache>
                <c:formatCode>General</c:formatCode>
                <c:ptCount val="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66-466D-A747-61B4F976C2A6}"/>
            </c:ext>
          </c:extLst>
        </c:ser>
        <c:ser>
          <c:idx val="3"/>
          <c:order val="3"/>
          <c:tx>
            <c:strRef>
              <c:f>Obs!$B$16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Obs!$C$16:$BS$16</c:f>
              <c:numCache>
                <c:formatCode>General</c:formatCode>
                <c:ptCount val="69"/>
                <c:pt idx="0">
                  <c:v>0</c:v>
                </c:pt>
                <c:pt idx="6">
                  <c:v>2.3886599584730877</c:v>
                </c:pt>
                <c:pt idx="13">
                  <c:v>3.0836927008465103</c:v>
                </c:pt>
                <c:pt idx="17">
                  <c:v>3.3872544321993292</c:v>
                </c:pt>
                <c:pt idx="28">
                  <c:v>3.9325666826385564</c:v>
                </c:pt>
                <c:pt idx="39">
                  <c:v>4.0836607570675607</c:v>
                </c:pt>
                <c:pt idx="50">
                  <c:v>4.2223925890432836</c:v>
                </c:pt>
                <c:pt idx="61">
                  <c:v>4.1351701006229042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66-466D-A747-61B4F976C2A6}"/>
            </c:ext>
          </c:extLst>
        </c:ser>
        <c:ser>
          <c:idx val="4"/>
          <c:order val="4"/>
          <c:tx>
            <c:strRef>
              <c:f>Obs!$B$17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Obs!$C$17:$BS$17</c:f>
              <c:numCache>
                <c:formatCode>General</c:formatCode>
                <c:ptCount val="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66-466D-A747-61B4F976C2A6}"/>
            </c:ext>
          </c:extLst>
        </c:ser>
        <c:ser>
          <c:idx val="5"/>
          <c:order val="5"/>
          <c:tx>
            <c:strRef>
              <c:f>Obs!$B$18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Obs!$C$18:$BS$18</c:f>
              <c:numCache>
                <c:formatCode>General</c:formatCode>
                <c:ptCount val="69"/>
                <c:pt idx="0">
                  <c:v>0</c:v>
                </c:pt>
                <c:pt idx="6">
                  <c:v>0.39318798913911518</c:v>
                </c:pt>
                <c:pt idx="13">
                  <c:v>0.87737581855933555</c:v>
                </c:pt>
                <c:pt idx="17">
                  <c:v>0.87291167545120596</c:v>
                </c:pt>
                <c:pt idx="28">
                  <c:v>1.3773598466698611</c:v>
                </c:pt>
                <c:pt idx="39">
                  <c:v>1.5205558217537134</c:v>
                </c:pt>
                <c:pt idx="50">
                  <c:v>1.6761140392908482</c:v>
                </c:pt>
                <c:pt idx="61">
                  <c:v>1.7715780226800832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66-466D-A747-61B4F976C2A6}"/>
            </c:ext>
          </c:extLst>
        </c:ser>
        <c:ser>
          <c:idx val="6"/>
          <c:order val="6"/>
          <c:tx>
            <c:strRef>
              <c:f>Obs!$B$19</c:f>
              <c:strCache>
                <c:ptCount val="1"/>
                <c:pt idx="0">
                  <c:v>G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Obs!$C$19:$BS$19</c:f>
              <c:numCache>
                <c:formatCode>General</c:formatCode>
                <c:ptCount val="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166-466D-A747-61B4F976C2A6}"/>
            </c:ext>
          </c:extLst>
        </c:ser>
        <c:ser>
          <c:idx val="7"/>
          <c:order val="7"/>
          <c:tx>
            <c:strRef>
              <c:f>Obs!$B$20</c:f>
              <c:strCache>
                <c:ptCount val="1"/>
                <c:pt idx="0">
                  <c:v>H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val>
            <c:numRef>
              <c:f>Obs!$C$20:$BS$20</c:f>
              <c:numCache>
                <c:formatCode>General</c:formatCode>
                <c:ptCount val="69"/>
                <c:pt idx="0">
                  <c:v>0</c:v>
                </c:pt>
                <c:pt idx="6">
                  <c:v>0</c:v>
                </c:pt>
                <c:pt idx="13">
                  <c:v>2.3522600223606454E-2</c:v>
                </c:pt>
                <c:pt idx="17">
                  <c:v>2.4999201405526274E-2</c:v>
                </c:pt>
                <c:pt idx="28">
                  <c:v>5.2264813927487622E-2</c:v>
                </c:pt>
                <c:pt idx="39">
                  <c:v>6.9571953362082745E-2</c:v>
                </c:pt>
                <c:pt idx="50">
                  <c:v>8.1831177128254287E-2</c:v>
                </c:pt>
                <c:pt idx="61">
                  <c:v>9.3249081616355228E-2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66-466D-A747-61B4F976C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0565264"/>
        <c:axId val="660566248"/>
        <c:axId val="646096128"/>
      </c:bar3DChart>
      <c:catAx>
        <c:axId val="660565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Column  (C</a:t>
                </a:r>
                <a:r>
                  <a:rPr lang="en-GB" baseline="0"/>
                  <a:t> </a:t>
                </a:r>
                <a:r>
                  <a:rPr lang="en-GB"/>
                  <a:t>to CI above;</a:t>
                </a:r>
                <a:r>
                  <a:rPr lang="en-GB" baseline="0"/>
                  <a:t> 1 =  column C at 0 min)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566248"/>
        <c:crosses val="autoZero"/>
        <c:auto val="1"/>
        <c:lblAlgn val="ctr"/>
        <c:lblOffset val="100"/>
        <c:noMultiLvlLbl val="0"/>
      </c:catAx>
      <c:valAx>
        <c:axId val="66056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Amount A-H (</a:t>
                </a:r>
                <a:r>
                  <a:rPr lang="el-GR"/>
                  <a:t>μ</a:t>
                </a:r>
                <a:r>
                  <a:rPr lang="en-GB"/>
                  <a:t>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565264"/>
        <c:crosses val="autoZero"/>
        <c:crossBetween val="between"/>
      </c:valAx>
      <c:serAx>
        <c:axId val="646096128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Species</a:t>
                </a:r>
                <a:r>
                  <a:rPr lang="en-GB" baseline="0"/>
                  <a:t> A-H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566248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Calc</a:t>
            </a:r>
            <a:r>
              <a:rPr lang="en-GB" baseline="0"/>
              <a:t>ulated Concs. </a:t>
            </a:r>
            <a:r>
              <a:rPr lang="en-GB" b="1" baseline="0"/>
              <a:t>A-H</a:t>
            </a:r>
            <a:r>
              <a:rPr lang="en-GB" baseline="0"/>
              <a:t> (µM)</a:t>
            </a:r>
            <a:endParaRPr lang="en-GB"/>
          </a:p>
        </c:rich>
      </c:tx>
      <c:layout>
        <c:manualLayout>
          <c:xMode val="edge"/>
          <c:yMode val="edge"/>
          <c:x val="0.43670830774918257"/>
          <c:y val="2.11081794195250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90"/>
      <c:rotY val="110"/>
      <c:depthPercent val="3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Calc!$B$13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val>
            <c:numRef>
              <c:f>Calc!$C$13:$CI$13</c:f>
              <c:numCache>
                <c:formatCode>General</c:formatCode>
                <c:ptCount val="85"/>
                <c:pt idx="0">
                  <c:v>8.6</c:v>
                </c:pt>
                <c:pt idx="1">
                  <c:v>8.4262544626626212</c:v>
                </c:pt>
                <c:pt idx="2">
                  <c:v>8.2563630270905151</c:v>
                </c:pt>
                <c:pt idx="3">
                  <c:v>8.0902264851051058</c:v>
                </c:pt>
                <c:pt idx="4">
                  <c:v>7.9277487324155915</c:v>
                </c:pt>
                <c:pt idx="5">
                  <c:v>7.7688366494175467</c:v>
                </c:pt>
                <c:pt idx="6">
                  <c:v>7.613399987479875</c:v>
                </c:pt>
                <c:pt idx="7">
                  <c:v>7.4613512604263974</c:v>
                </c:pt>
                <c:pt idx="8">
                  <c:v>7.3126056409361793</c:v>
                </c:pt>
                <c:pt idx="9">
                  <c:v>7.1670808616033641</c:v>
                </c:pt>
                <c:pt idx="10">
                  <c:v>7.0246971204127666</c:v>
                </c:pt>
                <c:pt idx="11">
                  <c:v>6.8853769904019835</c:v>
                </c:pt>
                <c:pt idx="12">
                  <c:v>6.7490453332942781</c:v>
                </c:pt>
                <c:pt idx="13">
                  <c:v>6.6156292168991362</c:v>
                </c:pt>
                <c:pt idx="14">
                  <c:v>6.4850578360891769</c:v>
                </c:pt>
                <c:pt idx="15">
                  <c:v>6.3572624371731488</c:v>
                </c:pt>
                <c:pt idx="16">
                  <c:v>6.2321762454950633</c:v>
                </c:pt>
                <c:pt idx="17">
                  <c:v>6.109734396099177</c:v>
                </c:pt>
                <c:pt idx="18">
                  <c:v>5.9898738673095826</c:v>
                </c:pt>
                <c:pt idx="19">
                  <c:v>5.8725334170816605</c:v>
                </c:pt>
                <c:pt idx="20">
                  <c:v>5.7576535219905658</c:v>
                </c:pt>
                <c:pt idx="21">
                  <c:v>5.645176318729404</c:v>
                </c:pt>
                <c:pt idx="22">
                  <c:v>5.5350455479967238</c:v>
                </c:pt>
                <c:pt idx="23">
                  <c:v>5.4272065006595236</c:v>
                </c:pt>
                <c:pt idx="24">
                  <c:v>5.3216059660841397</c:v>
                </c:pt>
                <c:pt idx="25">
                  <c:v>5.2181921825331594</c:v>
                </c:pt>
                <c:pt idx="26">
                  <c:v>5.1169147895319584</c:v>
                </c:pt>
                <c:pt idx="27">
                  <c:v>5.0177247821135689</c:v>
                </c:pt>
                <c:pt idx="28">
                  <c:v>4.9205744668554079</c:v>
                </c:pt>
                <c:pt idx="29">
                  <c:v>4.8254174196259161</c:v>
                </c:pt>
                <c:pt idx="30">
                  <c:v>4.7322084449634296</c:v>
                </c:pt>
                <c:pt idx="31">
                  <c:v>4.6409035370136147</c:v>
                </c:pt>
                <c:pt idx="32">
                  <c:v>4.5514598419555936</c:v>
                </c:pt>
                <c:pt idx="33">
                  <c:v>4.4638356218504418</c:v>
                </c:pt>
                <c:pt idx="34">
                  <c:v>4.377990219849111</c:v>
                </c:pt>
                <c:pt idx="35">
                  <c:v>4.293884026699998</c:v>
                </c:pt>
                <c:pt idx="36">
                  <c:v>4.2114784484993804</c:v>
                </c:pt>
                <c:pt idx="37">
                  <c:v>4.1307358756307613</c:v>
                </c:pt>
                <c:pt idx="38">
                  <c:v>4.0516196528418327</c:v>
                </c:pt>
                <c:pt idx="39">
                  <c:v>3.9740940504102964</c:v>
                </c:pt>
                <c:pt idx="40">
                  <c:v>3.8981242363521571</c:v>
                </c:pt>
                <c:pt idx="41">
                  <c:v>3.8236762496283547</c:v>
                </c:pt>
                <c:pt idx="42">
                  <c:v>3.7507169743077391</c:v>
                </c:pt>
                <c:pt idx="43">
                  <c:v>3.6792141146463995</c:v>
                </c:pt>
                <c:pt idx="44">
                  <c:v>3.6091361710452712</c:v>
                </c:pt>
                <c:pt idx="45">
                  <c:v>3.5404524168497473</c:v>
                </c:pt>
                <c:pt idx="46">
                  <c:v>3.4731328759567304</c:v>
                </c:pt>
                <c:pt idx="47">
                  <c:v>3.4071483011961816</c:v>
                </c:pt>
                <c:pt idx="48">
                  <c:v>3.3424701534557584</c:v>
                </c:pt>
                <c:pt idx="49">
                  <c:v>3.2790705815185848</c:v>
                </c:pt>
                <c:pt idx="50">
                  <c:v>3.2169224025855785</c:v>
                </c:pt>
                <c:pt idx="51">
                  <c:v>3.1559990834550691</c:v>
                </c:pt>
                <c:pt idx="52">
                  <c:v>3.0962747223336793</c:v>
                </c:pt>
                <c:pt idx="53">
                  <c:v>3.0377240312536236</c:v>
                </c:pt>
                <c:pt idx="54">
                  <c:v>2.980322319072688</c:v>
                </c:pt>
                <c:pt idx="55">
                  <c:v>2.924045475034232</c:v>
                </c:pt>
                <c:pt idx="56">
                  <c:v>2.8688699528655439</c:v>
                </c:pt>
                <c:pt idx="57">
                  <c:v>2.8147727553938546</c:v>
                </c:pt>
                <c:pt idx="58">
                  <c:v>2.7617314196602174</c:v>
                </c:pt>
                <c:pt idx="59">
                  <c:v>2.709724002512329</c:v>
                </c:pt>
                <c:pt idx="60">
                  <c:v>2.6587290666581924</c:v>
                </c:pt>
                <c:pt idx="61">
                  <c:v>2.6087256671633061</c:v>
                </c:pt>
                <c:pt idx="62">
                  <c:v>2.559693338374804</c:v>
                </c:pt>
                <c:pt idx="63">
                  <c:v>2.5116120812566871</c:v>
                </c:pt>
                <c:pt idx="64">
                  <c:v>2.4644623511209618</c:v>
                </c:pt>
                <c:pt idx="65">
                  <c:v>2.4182250457401357</c:v>
                </c:pt>
                <c:pt idx="66">
                  <c:v>2.3728814938271476</c:v>
                </c:pt>
                <c:pt idx="67">
                  <c:v>2.3284134438693798</c:v>
                </c:pt>
                <c:pt idx="68">
                  <c:v>2.284803053303964</c:v>
                </c:pt>
                <c:pt idx="69">
                  <c:v>2.2420328780221199</c:v>
                </c:pt>
                <c:pt idx="70">
                  <c:v>2.2000858621907744</c:v>
                </c:pt>
                <c:pt idx="71">
                  <c:v>2.1589453283801863</c:v>
                </c:pt>
                <c:pt idx="72">
                  <c:v>2.1185949679867653</c:v>
                </c:pt>
                <c:pt idx="73">
                  <c:v>2.0790188319407132</c:v>
                </c:pt>
                <c:pt idx="74">
                  <c:v>2.0402013216885329</c:v>
                </c:pt>
                <c:pt idx="75">
                  <c:v>2.0021271804408496</c:v>
                </c:pt>
                <c:pt idx="76">
                  <c:v>1.9647814846763754</c:v>
                </c:pt>
                <c:pt idx="77">
                  <c:v>1.9281496358932055</c:v>
                </c:pt>
                <c:pt idx="78">
                  <c:v>1.8922173525989918</c:v>
                </c:pt>
                <c:pt idx="79">
                  <c:v>1.8569706625318645</c:v>
                </c:pt>
                <c:pt idx="80">
                  <c:v>1.8223958951042964</c:v>
                </c:pt>
                <c:pt idx="81">
                  <c:v>1.7884796740624069</c:v>
                </c:pt>
                <c:pt idx="82">
                  <c:v>1.7552089103534905</c:v>
                </c:pt>
                <c:pt idx="83">
                  <c:v>1.7225707951948404</c:v>
                </c:pt>
                <c:pt idx="84">
                  <c:v>1.6905527933371953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2-4172-AA3D-EE6C57A213B1}"/>
            </c:ext>
          </c:extLst>
        </c:ser>
        <c:ser>
          <c:idx val="1"/>
          <c:order val="1"/>
          <c:tx>
            <c:strRef>
              <c:f>Calc!$B$14</c:f>
              <c:strCache>
                <c:ptCount val="1"/>
                <c:pt idx="0">
                  <c:v>B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val>
            <c:numRef>
              <c:f>Calc!$C$14:$CI$14</c:f>
              <c:numCache>
                <c:formatCode>0.00E+00</c:formatCode>
                <c:ptCount val="85"/>
                <c:pt idx="0" formatCode="General">
                  <c:v>0</c:v>
                </c:pt>
                <c:pt idx="1">
                  <c:v>0.1737455373373783</c:v>
                </c:pt>
                <c:pt idx="2">
                  <c:v>0.27492198422513048</c:v>
                </c:pt>
                <c:pt idx="3" formatCode="General">
                  <c:v>0.33255417432978618</c:v>
                </c:pt>
                <c:pt idx="4" formatCode="General">
                  <c:v>0.36404798871306204</c:v>
                </c:pt>
                <c:pt idx="5" formatCode="General">
                  <c:v>0.37985668273798451</c:v>
                </c:pt>
                <c:pt idx="6" formatCode="General">
                  <c:v>0.38626667450309382</c:v>
                </c:pt>
                <c:pt idx="7" formatCode="General">
                  <c:v>0.38706332891706613</c:v>
                </c:pt>
                <c:pt idx="8" formatCode="General">
                  <c:v>0.38452859009414175</c:v>
                </c:pt>
                <c:pt idx="9" formatCode="General">
                  <c:v>0.38003937597639026</c:v>
                </c:pt>
                <c:pt idx="10" formatCode="General">
                  <c:v>0.37442704157398843</c:v>
                </c:pt>
                <c:pt idx="11" formatCode="General">
                  <c:v>0.36819362868892891</c:v>
                </c:pt>
                <c:pt idx="12" formatCode="General">
                  <c:v>0.36164214528587796</c:v>
                </c:pt>
                <c:pt idx="13" formatCode="General">
                  <c:v>0.3549551613143932</c:v>
                </c:pt>
                <c:pt idx="14" formatCode="General">
                  <c:v>0.34824228878351204</c:v>
                </c:pt>
                <c:pt idx="15" formatCode="General">
                  <c:v>0.34156890247037497</c:v>
                </c:pt>
                <c:pt idx="16" formatCode="General">
                  <c:v>0.33497353526831986</c:v>
                </c:pt>
                <c:pt idx="17" formatCode="General">
                  <c:v>0.32847842704407193</c:v>
                </c:pt>
                <c:pt idx="18" formatCode="General">
                  <c:v>0.32209592918344143</c:v>
                </c:pt>
                <c:pt idx="19" formatCode="General">
                  <c:v>0.31583239730116769</c:v>
                </c:pt>
                <c:pt idx="20" formatCode="General">
                  <c:v>0.30969055965072328</c:v>
                </c:pt>
                <c:pt idx="21" formatCode="General">
                  <c:v>0.30367095939732708</c:v>
                </c:pt>
                <c:pt idx="22" formatCode="General">
                  <c:v>0.29777283352690198</c:v>
                </c:pt>
                <c:pt idx="23" formatCode="General">
                  <c:v>0.2919946486760307</c:v>
                </c:pt>
                <c:pt idx="24" formatCode="General">
                  <c:v>0.28633442780689766</c:v>
                </c:pt>
                <c:pt idx="25" formatCode="General">
                  <c:v>0.28078994924304829</c:v>
                </c:pt>
                <c:pt idx="26" formatCode="General">
                  <c:v>0.2753588677392324</c:v>
                </c:pt>
                <c:pt idx="27" formatCode="General">
                  <c:v>0.27003878788841312</c:v>
                </c:pt>
                <c:pt idx="28" formatCode="General">
                  <c:v>0.26482730837221141</c:v>
                </c:pt>
                <c:pt idx="29" formatCode="General">
                  <c:v>0.25972204836840629</c:v>
                </c:pt>
                <c:pt idx="30" formatCode="General">
                  <c:v>0.25472066303879987</c:v>
                </c:pt>
                <c:pt idx="31" formatCode="General">
                  <c:v>0.24982085233805756</c:v>
                </c:pt>
                <c:pt idx="32" formatCode="General">
                  <c:v>0.24502036574314118</c:v>
                </c:pt>
                <c:pt idx="33" formatCode="General">
                  <c:v>0.24031700449814003</c:v>
                </c:pt>
                <c:pt idx="34" formatCode="General">
                  <c:v>0.23570862235342643</c:v>
                </c:pt>
                <c:pt idx="35" formatCode="General">
                  <c:v>0.23119312540021458</c:v>
                </c:pt>
                <c:pt idx="36" formatCode="General">
                  <c:v>0.22676847136957951</c:v>
                </c:pt>
                <c:pt idx="37" formatCode="General">
                  <c:v>0.22243266862239841</c:v>
                </c:pt>
                <c:pt idx="38" formatCode="General">
                  <c:v>0.21818377496897406</c:v>
                </c:pt>
                <c:pt idx="39" formatCode="General">
                  <c:v>0.21401989640312447</c:v>
                </c:pt>
                <c:pt idx="40" formatCode="General">
                  <c:v>0.20993918580229348</c:v>
                </c:pt>
                <c:pt idx="41" formatCode="General">
                  <c:v>0.20593984162476861</c:v>
                </c:pt>
                <c:pt idx="42" formatCode="General">
                  <c:v>0.20202010662249273</c:v>
                </c:pt>
                <c:pt idx="43" formatCode="General">
                  <c:v>0.19817826658020246</c:v>
                </c:pt>
                <c:pt idx="44" formatCode="General">
                  <c:v>0.19441264908686456</c:v>
                </c:pt>
                <c:pt idx="45" formatCode="General">
                  <c:v>0.19072162234246448</c:v>
                </c:pt>
                <c:pt idx="46" formatCode="General">
                  <c:v>0.18710359400142532</c:v>
                </c:pt>
                <c:pt idx="47" formatCode="General">
                  <c:v>0.18355701005286174</c:v>
                </c:pt>
                <c:pt idx="48" formatCode="General">
                  <c:v>0.18008035373723549</c:v>
                </c:pt>
                <c:pt idx="49" formatCode="General">
                  <c:v>0.17667214449860685</c:v>
                </c:pt>
                <c:pt idx="50" formatCode="General">
                  <c:v>0.17333093697147189</c:v>
                </c:pt>
                <c:pt idx="51" formatCode="General">
                  <c:v>0.17005532000106835</c:v>
                </c:pt>
                <c:pt idx="52" formatCode="General">
                  <c:v>0.16684391569599177</c:v>
                </c:pt>
                <c:pt idx="53" formatCode="General">
                  <c:v>0.16369537851195409</c:v>
                </c:pt>
                <c:pt idx="54" formatCode="General">
                  <c:v>0.16060839436553609</c:v>
                </c:pt>
                <c:pt idx="55" formatCode="General">
                  <c:v>0.15758167977681015</c:v>
                </c:pt>
                <c:pt idx="56" formatCode="General">
                  <c:v>0.15461398103974874</c:v>
                </c:pt>
                <c:pt idx="57" formatCode="General">
                  <c:v>0.15170407341936964</c:v>
                </c:pt>
                <c:pt idx="58" formatCode="General">
                  <c:v>0.14885076037461215</c:v>
                </c:pt>
                <c:pt idx="59" formatCode="General">
                  <c:v>0.14605287280597742</c:v>
                </c:pt>
                <c:pt idx="60" formatCode="General">
                  <c:v>0.14330926832700652</c:v>
                </c:pt>
                <c:pt idx="61" formatCode="General">
                  <c:v>0.14061883055870744</c:v>
                </c:pt>
                <c:pt idx="62" formatCode="General">
                  <c:v>0.13798046844608125</c:v>
                </c:pt>
                <c:pt idx="63" formatCode="General">
                  <c:v>0.1353931155959317</c:v>
                </c:pt>
                <c:pt idx="64" formatCode="General">
                  <c:v>0.13285572963517772</c:v>
                </c:pt>
                <c:pt idx="65" formatCode="General">
                  <c:v>0.13036729158892116</c:v>
                </c:pt>
                <c:pt idx="66" formatCode="General">
                  <c:v>0.12792680527755232</c:v>
                </c:pt>
                <c:pt idx="67" formatCode="General">
                  <c:v>0.1255332967322072</c:v>
                </c:pt>
                <c:pt idx="68" formatCode="General">
                  <c:v>0.12318581362791781</c:v>
                </c:pt>
                <c:pt idx="69" formatCode="General">
                  <c:v>0.12088342473382396</c:v>
                </c:pt>
                <c:pt idx="70" formatCode="General">
                  <c:v>0.11862521937984191</c:v>
                </c:pt>
                <c:pt idx="71" formatCode="General">
                  <c:v>0.11641030693920892</c:v>
                </c:pt>
                <c:pt idx="72" formatCode="General">
                  <c:v>0.11423781632634672</c:v>
                </c:pt>
                <c:pt idx="73" formatCode="General">
                  <c:v>0.11210689550950985</c:v>
                </c:pt>
                <c:pt idx="74" formatCode="General">
                  <c:v>0.11001671103770536</c:v>
                </c:pt>
                <c:pt idx="75" formatCode="General">
                  <c:v>0.10796644758139204</c:v>
                </c:pt>
                <c:pt idx="76" formatCode="General">
                  <c:v>0.1059553074864861</c:v>
                </c:pt>
                <c:pt idx="77" formatCode="General">
                  <c:v>0.10398251034121928</c:v>
                </c:pt>
                <c:pt idx="78" formatCode="General">
                  <c:v>0.10204729255541299</c:v>
                </c:pt>
                <c:pt idx="79" formatCode="General">
                  <c:v>0.10014890695174998</c:v>
                </c:pt>
                <c:pt idx="80" formatCode="General">
                  <c:v>9.828662236864022E-2</c:v>
                </c:pt>
                <c:pt idx="81" formatCode="General">
                  <c:v>9.6459723274293946E-2</c:v>
                </c:pt>
                <c:pt idx="82" formatCode="General">
                  <c:v>9.4667509391630267E-2</c:v>
                </c:pt>
                <c:pt idx="83" formatCode="General">
                  <c:v>9.29092953336626E-2</c:v>
                </c:pt>
                <c:pt idx="84" formatCode="General">
                  <c:v>9.1184410249017328E-2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22-4172-AA3D-EE6C57A213B1}"/>
            </c:ext>
          </c:extLst>
        </c:ser>
        <c:ser>
          <c:idx val="2"/>
          <c:order val="2"/>
          <c:tx>
            <c:strRef>
              <c:f>Calc!$B$15</c:f>
              <c:strCache>
                <c:ptCount val="1"/>
                <c:pt idx="0">
                  <c:v>C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val>
            <c:numRef>
              <c:f>Calc!$C$15:$CI$15</c:f>
              <c:numCache>
                <c:formatCode>General</c:formatCode>
                <c:ptCount val="85"/>
                <c:pt idx="0">
                  <c:v>0</c:v>
                </c:pt>
                <c:pt idx="1">
                  <c:v>0</c:v>
                </c:pt>
                <c:pt idx="2">
                  <c:v>3.4392598101010504E-4</c:v>
                </c:pt>
                <c:pt idx="3">
                  <c:v>7.4208519544152209E-4</c:v>
                </c:pt>
                <c:pt idx="4">
                  <c:v>1.0832417447518736E-3</c:v>
                </c:pt>
                <c:pt idx="5">
                  <c:v>1.3374159521927428E-3</c:v>
                </c:pt>
                <c:pt idx="6">
                  <c:v>1.508275751639038E-3</c:v>
                </c:pt>
                <c:pt idx="7">
                  <c:v>1.6108204396301003E-3</c:v>
                </c:pt>
                <c:pt idx="8">
                  <c:v>1.6616439216235689E-3</c:v>
                </c:pt>
                <c:pt idx="9">
                  <c:v>1.6752291429182266E-3</c:v>
                </c:pt>
                <c:pt idx="10">
                  <c:v>1.6629763088631955E-3</c:v>
                </c:pt>
                <c:pt idx="11">
                  <c:v>1.6333554135934177E-3</c:v>
                </c:pt>
                <c:pt idx="12">
                  <c:v>1.5924321362202122E-3</c:v>
                </c:pt>
                <c:pt idx="13">
                  <c:v>1.54444131116711E-3</c:v>
                </c:pt>
                <c:pt idx="14">
                  <c:v>1.4922850598009208E-3</c:v>
                </c:pt>
                <c:pt idx="15">
                  <c:v>1.4379241799435177E-3</c:v>
                </c:pt>
                <c:pt idx="16">
                  <c:v>1.3826687917395063E-3</c:v>
                </c:pt>
                <c:pt idx="17">
                  <c:v>1.3273865064725257E-3</c:v>
                </c:pt>
                <c:pt idx="18">
                  <c:v>1.2726478017045966E-3</c:v>
                </c:pt>
                <c:pt idx="19">
                  <c:v>1.2188256398280779E-3</c:v>
                </c:pt>
                <c:pt idx="20">
                  <c:v>1.1661627073803831E-3</c:v>
                </c:pt>
                <c:pt idx="21">
                  <c:v>1.1148162191332868E-3</c:v>
                </c:pt>
                <c:pt idx="22">
                  <c:v>1.0648874260527216E-3</c:v>
                </c:pt>
                <c:pt idx="23">
                  <c:v>1.016440831445895E-3</c:v>
                </c:pt>
                <c:pt idx="24">
                  <c:v>9.6951656269496128E-4</c:v>
                </c:pt>
                <c:pt idx="25">
                  <c:v>9.2413824202189896E-4</c:v>
                </c:pt>
                <c:pt idx="26">
                  <c:v>8.8031793224613145E-4</c:v>
                </c:pt>
                <c:pt idx="27">
                  <c:v>8.3805920756298096E-4</c:v>
                </c:pt>
                <c:pt idx="28">
                  <c:v>7.973590428496793E-4</c:v>
                </c:pt>
                <c:pt idx="29">
                  <c:v>7.5820897533967872E-4</c:v>
                </c:pt>
                <c:pt idx="30">
                  <c:v>7.2059583246338033E-4</c:v>
                </c:pt>
                <c:pt idx="31">
                  <c:v>6.8450221337569876E-4</c:v>
                </c:pt>
                <c:pt idx="32">
                  <c:v>6.4990684147855037E-4</c:v>
                </c:pt>
                <c:pt idx="33">
                  <c:v>6.1678485911636604E-4</c:v>
                </c:pt>
                <c:pt idx="34">
                  <c:v>5.8510810552886005E-4</c:v>
                </c:pt>
                <c:pt idx="35">
                  <c:v>5.5484539971642564E-4</c:v>
                </c:pt>
                <c:pt idx="36">
                  <c:v>5.259628375375192E-4</c:v>
                </c:pt>
                <c:pt idx="37">
                  <c:v>4.9842410474141489E-4</c:v>
                </c:pt>
                <c:pt idx="38">
                  <c:v>4.7219080316537757E-4</c:v>
                </c:pt>
                <c:pt idx="39">
                  <c:v>4.4722278493792753E-4</c:v>
                </c:pt>
                <c:pt idx="40">
                  <c:v>4.2347848851937662E-4</c:v>
                </c:pt>
                <c:pt idx="41">
                  <c:v>4.009152702943029E-4</c:v>
                </c:pt>
                <c:pt idx="42">
                  <c:v>3.7948972587583725E-4</c:v>
                </c:pt>
                <c:pt idx="43">
                  <c:v>3.5915799605766525E-4</c:v>
                </c:pt>
                <c:pt idx="44">
                  <c:v>3.3987605329497918E-4</c:v>
                </c:pt>
                <c:pt idx="45">
                  <c:v>3.2159996559757168E-4</c:v>
                </c:pt>
                <c:pt idx="46">
                  <c:v>3.0428613569936599E-4</c:v>
                </c:pt>
                <c:pt idx="47">
                  <c:v>2.8789151427760301E-4</c:v>
                </c:pt>
                <c:pt idx="48">
                  <c:v>2.7237378679993316E-4</c:v>
                </c:pt>
                <c:pt idx="49">
                  <c:v>2.5769153426199938E-4</c:v>
                </c:pt>
                <c:pt idx="50">
                  <c:v>2.4380436863609623E-4</c:v>
                </c:pt>
                <c:pt idx="51">
                  <c:v>2.3067304428567686E-4</c:v>
                </c:pt>
                <c:pt idx="52">
                  <c:v>2.1825954691907871E-4</c:v>
                </c:pt>
                <c:pt idx="53">
                  <c:v>2.0652716187075554E-4</c:v>
                </c:pt>
                <c:pt idx="54">
                  <c:v>1.9544052362345041E-4</c:v>
                </c:pt>
                <c:pt idx="55">
                  <c:v>1.8496564853479476E-4</c:v>
                </c:pt>
                <c:pt idx="56">
                  <c:v>1.750699527212096E-4</c:v>
                </c:pt>
                <c:pt idx="57">
                  <c:v>1.6572225699424076E-4</c:v>
                </c:pt>
                <c:pt idx="58">
                  <c:v>1.5689278065177261E-4</c:v>
                </c:pt>
                <c:pt idx="59">
                  <c:v>1.4855312580952564E-4</c:v>
                </c:pt>
                <c:pt idx="60">
                  <c:v>1.4067625382579876E-4</c:v>
                </c:pt>
                <c:pt idx="61">
                  <c:v>1.3323645523186431E-4</c:v>
                </c:pt>
                <c:pt idx="62">
                  <c:v>1.2620931443756291E-4</c:v>
                </c:pt>
                <c:pt idx="63">
                  <c:v>1.1957167034089378E-4</c:v>
                </c:pt>
                <c:pt idx="64">
                  <c:v>1.1330157383501987E-4</c:v>
                </c:pt>
                <c:pt idx="65">
                  <c:v>1.0737824307836347E-4</c:v>
                </c:pt>
                <c:pt idx="66">
                  <c:v>1.017820172748179E-4</c:v>
                </c:pt>
                <c:pt idx="67">
                  <c:v>9.6494309602358061E-5</c:v>
                </c:pt>
                <c:pt idx="68">
                  <c:v>9.1497559829811477E-5</c:v>
                </c:pt>
                <c:pt idx="69">
                  <c:v>8.6775187073197951E-5</c:v>
                </c:pt>
                <c:pt idx="70">
                  <c:v>8.2311543064531013E-5</c:v>
                </c:pt>
                <c:pt idx="71">
                  <c:v>7.8091866236787238E-5</c:v>
                </c:pt>
                <c:pt idx="72">
                  <c:v>7.4102236868259154E-5</c:v>
                </c:pt>
                <c:pt idx="73">
                  <c:v>7.0329533477015164E-5</c:v>
                </c:pt>
                <c:pt idx="74">
                  <c:v>6.6761390610974006E-5</c:v>
                </c:pt>
                <c:pt idx="75">
                  <c:v>6.3386158140432775E-5</c:v>
                </c:pt>
                <c:pt idx="76">
                  <c:v>6.0192862127069627E-5</c:v>
                </c:pt>
                <c:pt idx="77">
                  <c:v>5.7171167315804683E-5</c:v>
                </c:pt>
                <c:pt idx="78">
                  <c:v>5.4311341272824815E-5</c:v>
                </c:pt>
                <c:pt idx="79">
                  <c:v>5.1604220173988371E-5</c:v>
                </c:pt>
                <c:pt idx="80">
                  <c:v>4.9041176232199495E-5</c:v>
                </c:pt>
                <c:pt idx="81">
                  <c:v>4.6614086739712219E-5</c:v>
                </c:pt>
                <c:pt idx="82">
                  <c:v>4.4315304691266641E-5</c:v>
                </c:pt>
                <c:pt idx="83">
                  <c:v>4.2137630946103937E-5</c:v>
                </c:pt>
                <c:pt idx="84">
                  <c:v>4.0074287880917844E-5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22-4172-AA3D-EE6C57A213B1}"/>
            </c:ext>
          </c:extLst>
        </c:ser>
        <c:ser>
          <c:idx val="3"/>
          <c:order val="3"/>
          <c:tx>
            <c:strRef>
              <c:f>Calc!$B$16</c:f>
              <c:strCache>
                <c:ptCount val="1"/>
                <c:pt idx="0">
                  <c:v>D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val>
            <c:numRef>
              <c:f>Calc!$C$16:$CI$16</c:f>
              <c:numCache>
                <c:formatCode>General</c:formatCode>
                <c:ptCount val="85"/>
                <c:pt idx="0">
                  <c:v>0</c:v>
                </c:pt>
                <c:pt idx="1">
                  <c:v>0</c:v>
                </c:pt>
                <c:pt idx="2">
                  <c:v>6.8371062703343727E-2</c:v>
                </c:pt>
                <c:pt idx="3">
                  <c:v>0.17620957356903738</c:v>
                </c:pt>
                <c:pt idx="4">
                  <c:v>0.30622658508367417</c:v>
                </c:pt>
                <c:pt idx="5">
                  <c:v>0.44808167288531348</c:v>
                </c:pt>
                <c:pt idx="6">
                  <c:v>0.5955973211941159</c:v>
                </c:pt>
                <c:pt idx="7">
                  <c:v>0.74509330396182016</c:v>
                </c:pt>
                <c:pt idx="8">
                  <c:v>0.8943892095504149</c:v>
                </c:pt>
                <c:pt idx="9">
                  <c:v>1.0422061954934216</c:v>
                </c:pt>
                <c:pt idx="10">
                  <c:v>1.1878076673789921</c:v>
                </c:pt>
                <c:pt idx="11">
                  <c:v>1.3307831643927368</c:v>
                </c:pt>
                <c:pt idx="12">
                  <c:v>1.4709182087347503</c:v>
                </c:pt>
                <c:pt idx="13">
                  <c:v>1.6081158324613891</c:v>
                </c:pt>
                <c:pt idx="14">
                  <c:v>1.7423492142837462</c:v>
                </c:pt>
                <c:pt idx="15">
                  <c:v>1.8736330702537933</c:v>
                </c:pt>
                <c:pt idx="16">
                  <c:v>2.0020063646264386</c:v>
                </c:pt>
                <c:pt idx="17">
                  <c:v>2.127521862303881</c:v>
                </c:pt>
                <c:pt idx="18">
                  <c:v>2.2502398209423649</c:v>
                </c:pt>
                <c:pt idx="19">
                  <c:v>2.3702241904897998</c:v>
                </c:pt>
                <c:pt idx="20">
                  <c:v>2.4875403328481491</c:v>
                </c:pt>
                <c:pt idx="21">
                  <c:v>2.6022536637136042</c:v>
                </c:pt>
                <c:pt idx="22">
                  <c:v>2.7144288540254982</c:v>
                </c:pt>
                <c:pt idx="23">
                  <c:v>2.8241293709308226</c:v>
                </c:pt>
                <c:pt idx="24">
                  <c:v>2.9314172245212724</c:v>
                </c:pt>
                <c:pt idx="25">
                  <c:v>3.0363528389975745</c:v>
                </c:pt>
                <c:pt idx="26">
                  <c:v>3.138994998748772</c:v>
                </c:pt>
                <c:pt idx="27">
                  <c:v>3.2394008391952567</c:v>
                </c:pt>
                <c:pt idx="28">
                  <c:v>3.3376258640326673</c:v>
                </c:pt>
                <c:pt idx="29">
                  <c:v>3.4337239776984547</c:v>
                </c:pt>
                <c:pt idx="30">
                  <c:v>3.5277475262657538</c:v>
                </c:pt>
                <c:pt idx="31">
                  <c:v>3.6197473426448838</c:v>
                </c:pt>
                <c:pt idx="32">
                  <c:v>3.7097727936071956</c:v>
                </c:pt>
                <c:pt idx="33">
                  <c:v>3.7978718271446121</c:v>
                </c:pt>
                <c:pt idx="34">
                  <c:v>3.8840910192882618</c:v>
                </c:pt>
                <c:pt idx="35">
                  <c:v>3.9684756198819788</c:v>
                </c:pt>
                <c:pt idx="36">
                  <c:v>4.051069597033317</c:v>
                </c:pt>
                <c:pt idx="37">
                  <c:v>4.1319156801024732</c:v>
                </c:pt>
                <c:pt idx="38">
                  <c:v>4.2110554011726586</c:v>
                </c:pt>
                <c:pt idx="39">
                  <c:v>4.2885291349951293</c:v>
                </c:pt>
                <c:pt idx="40">
                  <c:v>4.3643761374312771</c:v>
                </c:pt>
                <c:pt idx="41">
                  <c:v>4.4386345824308266</c:v>
                </c:pt>
                <c:pt idx="42">
                  <c:v>4.5113415975941988</c:v>
                </c:pt>
                <c:pt idx="43">
                  <c:v>4.5825332983714429</c:v>
                </c:pt>
                <c:pt idx="44">
                  <c:v>4.6522448209517195</c:v>
                </c:pt>
                <c:pt idx="45">
                  <c:v>4.7205103538972057</c:v>
                </c:pt>
                <c:pt idx="46">
                  <c:v>4.7873631685742097</c:v>
                </c:pt>
                <c:pt idx="47">
                  <c:v>4.8528356484326771</c:v>
                </c:pt>
                <c:pt idx="48">
                  <c:v>4.916959317183343</c:v>
                </c:pt>
                <c:pt idx="49">
                  <c:v>4.9797648659197735</c:v>
                </c:pt>
                <c:pt idx="50">
                  <c:v>5.0412821792304552</c:v>
                </c:pt>
                <c:pt idx="51">
                  <c:v>5.101540360344047</c:v>
                </c:pt>
                <c:pt idx="52">
                  <c:v>5.1605677553489295</c:v>
                </c:pt>
                <c:pt idx="53">
                  <c:v>5.2183919765262523</c:v>
                </c:pt>
                <c:pt idx="54">
                  <c:v>5.2750399248338518</c:v>
                </c:pt>
                <c:pt idx="55">
                  <c:v>5.3305378115766491</c:v>
                </c:pt>
                <c:pt idx="56">
                  <c:v>5.3849111792974798</c:v>
                </c:pt>
                <c:pt idx="57">
                  <c:v>5.4381849219207083</c:v>
                </c:pt>
                <c:pt idx="58">
                  <c:v>5.4903833041794723</c:v>
                </c:pt>
                <c:pt idx="59">
                  <c:v>5.5415299803559694</c:v>
                </c:pt>
                <c:pt idx="60">
                  <c:v>5.5916480123628585</c:v>
                </c:pt>
                <c:pt idx="61">
                  <c:v>5.6407598871925204</c:v>
                </c:pt>
                <c:pt idx="62">
                  <c:v>5.6888875337597238</c:v>
                </c:pt>
                <c:pt idx="63">
                  <c:v>5.736052339162085</c:v>
                </c:pt>
                <c:pt idx="64">
                  <c:v>5.7822751643815771</c:v>
                </c:pt>
                <c:pt idx="65">
                  <c:v>5.827576359449318</c:v>
                </c:pt>
                <c:pt idx="66">
                  <c:v>5.8719757780948676</c:v>
                </c:pt>
                <c:pt idx="67">
                  <c:v>5.915492791900296</c:v>
                </c:pt>
                <c:pt idx="68">
                  <c:v>5.9581463039784266</c:v>
                </c:pt>
                <c:pt idx="69">
                  <c:v>5.9999547621937444</c:v>
                </c:pt>
                <c:pt idx="70">
                  <c:v>6.0409361719437031</c:v>
                </c:pt>
                <c:pt idx="71">
                  <c:v>6.0811081085173484</c:v>
                </c:pt>
                <c:pt idx="72">
                  <c:v>6.120487729047456</c:v>
                </c:pt>
                <c:pt idx="73">
                  <c:v>6.1590917840716823</c:v>
                </c:pt>
                <c:pt idx="74">
                  <c:v>6.19693662871755</c:v>
                </c:pt>
                <c:pt idx="75">
                  <c:v>6.2340382335254594</c:v>
                </c:pt>
                <c:pt idx="76">
                  <c:v>6.2704121949233125</c:v>
                </c:pt>
                <c:pt idx="77">
                  <c:v>6.3060737453657589</c:v>
                </c:pt>
                <c:pt idx="78">
                  <c:v>6.3410377631505161</c:v>
                </c:pt>
                <c:pt idx="79">
                  <c:v>6.375318781923708</c:v>
                </c:pt>
                <c:pt idx="80">
                  <c:v>6.4089309998856452</c:v>
                </c:pt>
                <c:pt idx="81">
                  <c:v>6.4418882887080153</c:v>
                </c:pt>
                <c:pt idx="82">
                  <c:v>6.4742042021729862</c:v>
                </c:pt>
                <c:pt idx="83">
                  <c:v>6.505891984544288</c:v>
                </c:pt>
                <c:pt idx="84">
                  <c:v>6.5369645786799371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22-4172-AA3D-EE6C57A213B1}"/>
            </c:ext>
          </c:extLst>
        </c:ser>
        <c:ser>
          <c:idx val="4"/>
          <c:order val="4"/>
          <c:tx>
            <c:strRef>
              <c:f>Calc!$B$17</c:f>
              <c:strCache>
                <c:ptCount val="1"/>
                <c:pt idx="0">
                  <c:v>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val>
            <c:numRef>
              <c:f>Calc!$C$17:$CI$17</c:f>
              <c:numCache>
                <c:formatCode>General</c:formatCode>
                <c:ptCount val="8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2.6768180062888494E-4</c:v>
                </c:pt>
                <c:pt idx="4">
                  <c:v>8.8807580340751467E-4</c:v>
                </c:pt>
                <c:pt idx="5">
                  <c:v>1.8643721454617217E-3</c:v>
                </c:pt>
                <c:pt idx="6">
                  <c:v>3.1670807862968944E-3</c:v>
                </c:pt>
                <c:pt idx="7">
                  <c:v>4.7569303596446269E-3</c:v>
                </c:pt>
                <c:pt idx="8">
                  <c:v>6.5947519019049425E-3</c:v>
                </c:pt>
                <c:pt idx="9">
                  <c:v>8.645146273004594E-3</c:v>
                </c:pt>
                <c:pt idx="10">
                  <c:v>1.0877348046576203E-2</c:v>
                </c:pt>
                <c:pt idx="11">
                  <c:v>1.3264947176344766E-2</c:v>
                </c:pt>
                <c:pt idx="12">
                  <c:v>1.5785241337698808E-2</c:v>
                </c:pt>
                <c:pt idx="13">
                  <c:v>1.8418552733703065E-2</c:v>
                </c:pt>
                <c:pt idx="14">
                  <c:v>2.1147633929711432E-2</c:v>
                </c:pt>
                <c:pt idx="15">
                  <c:v>2.3957193106825734E-2</c:v>
                </c:pt>
                <c:pt idx="16">
                  <c:v>2.6833530818507378E-2</c:v>
                </c:pt>
                <c:pt idx="17">
                  <c:v>2.9764267968707427E-2</c:v>
                </c:pt>
                <c:pt idx="18">
                  <c:v>3.2738143546365464E-2</c:v>
                </c:pt>
                <c:pt idx="19">
                  <c:v>3.5744863630811058E-2</c:v>
                </c:pt>
                <c:pt idx="20">
                  <c:v>3.8774987170534014E-2</c:v>
                </c:pt>
                <c:pt idx="21">
                  <c:v>4.1819837752583994E-2</c:v>
                </c:pt>
                <c:pt idx="22">
                  <c:v>4.4871433609075667E-2</c:v>
                </c:pt>
                <c:pt idx="23">
                  <c:v>4.7922430412705226E-2</c:v>
                </c:pt>
                <c:pt idx="24">
                  <c:v>5.0966073095753066E-2</c:v>
                </c:pt>
                <c:pt idx="25">
                  <c:v>5.3996154121203885E-2</c:v>
                </c:pt>
                <c:pt idx="26">
                  <c:v>5.7006976465466069E-2</c:v>
                </c:pt>
                <c:pt idx="27">
                  <c:v>5.9993320141709341E-2</c:v>
                </c:pt>
                <c:pt idx="28">
                  <c:v>6.2950411478693805E-2</c:v>
                </c:pt>
                <c:pt idx="29">
                  <c:v>6.5873894628817015E-2</c:v>
                </c:pt>
                <c:pt idx="30">
                  <c:v>6.8759804951218723E-2</c:v>
                </c:pt>
                <c:pt idx="31">
                  <c:v>7.1604544029208586E-2</c:v>
                </c:pt>
                <c:pt idx="32">
                  <c:v>7.4404856155301791E-2</c:v>
                </c:pt>
                <c:pt idx="33">
                  <c:v>7.7157806164877982E-2</c:v>
                </c:pt>
                <c:pt idx="34">
                  <c:v>7.9860758529786663E-2</c:v>
                </c:pt>
                <c:pt idx="35">
                  <c:v>8.2511357642067476E-2</c:v>
                </c:pt>
                <c:pt idx="36">
                  <c:v>8.5107509229335188E-2</c:v>
                </c:pt>
                <c:pt idx="37">
                  <c:v>8.7647362849974167E-2</c:v>
                </c:pt>
                <c:pt idx="38">
                  <c:v>9.0129295419886277E-2</c:v>
                </c:pt>
                <c:pt idx="39">
                  <c:v>9.2551895724336461E-2</c:v>
                </c:pt>
                <c:pt idx="40">
                  <c:v>9.4913949869238678E-2</c:v>
                </c:pt>
                <c:pt idx="41">
                  <c:v>9.7214427626544406E-2</c:v>
                </c:pt>
                <c:pt idx="42">
                  <c:v>9.9452469628578552E-2</c:v>
                </c:pt>
                <c:pt idx="43">
                  <c:v>0.10162737536642354</c:v>
                </c:pt>
                <c:pt idx="44">
                  <c:v>0.10373859194790488</c:v>
                </c:pt>
                <c:pt idx="45">
                  <c:v>0.10578570357144229</c:v>
                </c:pt>
                <c:pt idx="46">
                  <c:v>0.10776842167301759</c:v>
                </c:pt>
                <c:pt idx="47">
                  <c:v>0.10968657570476424</c:v>
                </c:pt>
                <c:pt idx="48">
                  <c:v>0.11154010450517367</c:v>
                </c:pt>
                <c:pt idx="49">
                  <c:v>0.1133290482226017</c:v>
                </c:pt>
                <c:pt idx="50">
                  <c:v>0.11505354075559789</c:v>
                </c:pt>
                <c:pt idx="51">
                  <c:v>0.11671380267552588</c:v>
                </c:pt>
                <c:pt idx="52">
                  <c:v>0.11831013459894957</c:v>
                </c:pt>
                <c:pt idx="53">
                  <c:v>0.11984291097928666</c:v>
                </c:pt>
                <c:pt idx="54">
                  <c:v>0.12131257428924422</c:v>
                </c:pt>
                <c:pt idx="55">
                  <c:v>0.12271962956751939</c:v>
                </c:pt>
                <c:pt idx="56">
                  <c:v>0.12406463930515009</c:v>
                </c:pt>
                <c:pt idx="57">
                  <c:v>0.12534821864871715</c:v>
                </c:pt>
                <c:pt idx="58">
                  <c:v>0.12657103089931776</c:v>
                </c:pt>
                <c:pt idx="59">
                  <c:v>0.12773378328784443</c:v>
                </c:pt>
                <c:pt idx="60">
                  <c:v>0.12883722300860634</c:v>
                </c:pt>
                <c:pt idx="61">
                  <c:v>0.12988213349472469</c:v>
                </c:pt>
                <c:pt idx="62">
                  <c:v>0.13086933092001782</c:v>
                </c:pt>
                <c:pt idx="63">
                  <c:v>0.13179966091327128</c:v>
                </c:pt>
                <c:pt idx="64">
                  <c:v>0.13267399547186876</c:v>
                </c:pt>
                <c:pt idx="65">
                  <c:v>0.13349323006274386</c:v>
                </c:pt>
                <c:pt idx="66">
                  <c:v>0.13425828089951131</c:v>
                </c:pt>
                <c:pt idx="67">
                  <c:v>0.13497008238545252</c:v>
                </c:pt>
                <c:pt idx="68">
                  <c:v>0.13562958471277192</c:v>
                </c:pt>
                <c:pt idx="69">
                  <c:v>0.13623775160921631</c:v>
                </c:pt>
                <c:pt idx="70">
                  <c:v>0.13679555822376113</c:v>
                </c:pt>
                <c:pt idx="71">
                  <c:v>0.13730398914362593</c:v>
                </c:pt>
                <c:pt idx="72">
                  <c:v>0.13776403653538813</c:v>
                </c:pt>
                <c:pt idx="73">
                  <c:v>0.13817669840342747</c:v>
                </c:pt>
                <c:pt idx="74">
                  <c:v>0.13854297695935514</c:v>
                </c:pt>
                <c:pt idx="75">
                  <c:v>0.13886387709646825</c:v>
                </c:pt>
                <c:pt idx="76">
                  <c:v>0.1391404049636252</c:v>
                </c:pt>
                <c:pt idx="77">
                  <c:v>0.13937356663326123</c:v>
                </c:pt>
                <c:pt idx="78">
                  <c:v>0.13956436685856505</c:v>
                </c:pt>
                <c:pt idx="79">
                  <c:v>0.1397138079151127</c:v>
                </c:pt>
                <c:pt idx="80">
                  <c:v>0.13982288852251193</c:v>
                </c:pt>
                <c:pt idx="81">
                  <c:v>0.13989260284184712</c:v>
                </c:pt>
                <c:pt idx="82">
                  <c:v>0.13992393954493701</c:v>
                </c:pt>
                <c:pt idx="83">
                  <c:v>0.13991788095162236</c:v>
                </c:pt>
                <c:pt idx="84">
                  <c:v>0.13987540223149519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22-4172-AA3D-EE6C57A213B1}"/>
            </c:ext>
          </c:extLst>
        </c:ser>
        <c:ser>
          <c:idx val="5"/>
          <c:order val="5"/>
          <c:tx>
            <c:strRef>
              <c:f>Calc!$B$18</c:f>
              <c:strCache>
                <c:ptCount val="1"/>
                <c:pt idx="0">
                  <c:v>F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val>
            <c:numRef>
              <c:f>Calc!$C$18:$CI$18</c:f>
              <c:numCache>
                <c:formatCode>General</c:formatCode>
                <c:ptCount val="8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1.0492375494905254E-4</c:v>
                </c:pt>
                <c:pt idx="5">
                  <c:v>4.5236245007054034E-4</c:v>
                </c:pt>
                <c:pt idx="6">
                  <c:v>1.1803939625808061E-3</c:v>
                </c:pt>
                <c:pt idx="7">
                  <c:v>2.4148685870377397E-3</c:v>
                </c:pt>
                <c:pt idx="8">
                  <c:v>4.2657179047231354E-3</c:v>
                </c:pt>
                <c:pt idx="9">
                  <c:v>6.8271302808877096E-3</c:v>
                </c:pt>
                <c:pt idx="10">
                  <c:v>1.0179141034279995E-2</c:v>
                </c:pt>
                <c:pt idx="11">
                  <c:v>1.4389537985324807E-2</c:v>
                </c:pt>
                <c:pt idx="12">
                  <c:v>1.95156387696735E-2</c:v>
                </c:pt>
                <c:pt idx="13">
                  <c:v>2.5605799720460933E-2</c:v>
                </c:pt>
                <c:pt idx="14">
                  <c:v>3.2700646141860981E-2</c:v>
                </c:pt>
                <c:pt idx="15">
                  <c:v>4.0834061610465891E-2</c:v>
                </c:pt>
                <c:pt idx="16">
                  <c:v>5.0033985005911025E-2</c:v>
                </c:pt>
                <c:pt idx="17">
                  <c:v>6.0323060255846613E-2</c:v>
                </c:pt>
                <c:pt idx="18">
                  <c:v>7.1719175419487871E-2</c:v>
                </c:pt>
                <c:pt idx="19">
                  <c:v>8.4235919057949332E-2</c:v>
                </c:pt>
                <c:pt idx="20">
                  <c:v>9.7882974431465555E-2</c:v>
                </c:pt>
                <c:pt idx="21">
                  <c:v>0.11266646628197986</c:v>
                </c:pt>
                <c:pt idx="22">
                  <c:v>0.12858927067236747</c:v>
                </c:pt>
                <c:pt idx="23">
                  <c:v>0.14565129527597767</c:v>
                </c:pt>
                <c:pt idx="24">
                  <c:v>0.16384973534872083</c:v>
                </c:pt>
                <c:pt idx="25">
                  <c:v>0.18317930912070679</c:v>
                </c:pt>
                <c:pt idx="26">
                  <c:v>0.20363247532080458</c:v>
                </c:pt>
                <c:pt idx="27">
                  <c:v>0.22519963485132935</c:v>
                </c:pt>
                <c:pt idx="28">
                  <c:v>0.2478693181581022</c:v>
                </c:pt>
                <c:pt idx="29">
                  <c:v>0.27162835952100611</c:v>
                </c:pt>
                <c:pt idx="30">
                  <c:v>0.29646205927197</c:v>
                </c:pt>
                <c:pt idx="31">
                  <c:v>0.32235433479704811</c:v>
                </c:pt>
                <c:pt idx="32">
                  <c:v>0.34928786107395277</c:v>
                </c:pt>
                <c:pt idx="33">
                  <c:v>0.37724420142065263</c:v>
                </c:pt>
                <c:pt idx="34">
                  <c:v>0.40620392907419722</c:v>
                </c:pt>
                <c:pt idx="35">
                  <c:v>0.43614674017497973</c:v>
                </c:pt>
                <c:pt idx="36">
                  <c:v>0.46705155869572224</c:v>
                </c:pt>
                <c:pt idx="37">
                  <c:v>0.49889663382364402</c:v>
                </c:pt>
                <c:pt idx="38">
                  <c:v>0.53165963027666807</c:v>
                </c:pt>
                <c:pt idx="39">
                  <c:v>0.5653177120089482</c:v>
                </c:pt>
                <c:pt idx="40">
                  <c:v>0.59984761973672851</c:v>
                </c:pt>
                <c:pt idx="41">
                  <c:v>0.63522574269215804</c:v>
                </c:pt>
                <c:pt idx="42">
                  <c:v>0.67142818498996171</c:v>
                </c:pt>
                <c:pt idx="43">
                  <c:v>0.70843082696971726</c:v>
                </c:pt>
                <c:pt idx="44">
                  <c:v>0.74620938185490893</c:v>
                </c:pt>
                <c:pt idx="45">
                  <c:v>0.78473944804895213</c:v>
                </c:pt>
                <c:pt idx="46">
                  <c:v>0.82399655736808453</c:v>
                </c:pt>
                <c:pt idx="47">
                  <c:v>0.86395621949145784</c:v>
                </c:pt>
                <c:pt idx="48">
                  <c:v>0.90459396289002236</c:v>
                </c:pt>
                <c:pt idx="49">
                  <c:v>0.94588537247792359</c:v>
                </c:pt>
                <c:pt idx="50">
                  <c:v>0.98780612421317771</c:v>
                </c:pt>
                <c:pt idx="51">
                  <c:v>1.0303320168583925</c:v>
                </c:pt>
                <c:pt idx="52">
                  <c:v>1.073439001097263</c:v>
                </c:pt>
                <c:pt idx="53">
                  <c:v>1.1171032061885031</c:v>
                </c:pt>
                <c:pt idx="54">
                  <c:v>1.1613009643257528</c:v>
                </c:pt>
                <c:pt idx="55">
                  <c:v>1.2060088328598177</c:v>
                </c:pt>
                <c:pt idx="56">
                  <c:v>1.2512036145282979</c:v>
                </c:pt>
                <c:pt idx="57">
                  <c:v>1.2968623758272224</c:v>
                </c:pt>
                <c:pt idx="58">
                  <c:v>1.3429624636496766</c:v>
                </c:pt>
                <c:pt idx="59">
                  <c:v>1.3894815203075239</c:v>
                </c:pt>
                <c:pt idx="60">
                  <c:v>1.4363974970441624</c:v>
                </c:pt>
                <c:pt idx="61">
                  <c:v>1.4836886661387365</c:v>
                </c:pt>
                <c:pt idx="62">
                  <c:v>1.5313336316953168</c:v>
                </c:pt>
                <c:pt idx="63">
                  <c:v>1.5793113392042051</c:v>
                </c:pt>
                <c:pt idx="64">
                  <c:v>1.6276010839566752</c:v>
                </c:pt>
                <c:pt idx="65">
                  <c:v>1.6761825183890839</c:v>
                </c:pt>
                <c:pt idx="66">
                  <c:v>1.7250356584273236</c:v>
                </c:pt>
                <c:pt idx="67">
                  <c:v>1.7741408888980186</c:v>
                </c:pt>
                <c:pt idx="68">
                  <c:v>1.8234789680686467</c:v>
                </c:pt>
                <c:pt idx="69">
                  <c:v>1.8730310313748635</c:v>
                </c:pt>
                <c:pt idx="70">
                  <c:v>1.9227785943896907</c:v>
                </c:pt>
                <c:pt idx="71">
                  <c:v>1.9727035550858825</c:v>
                </c:pt>
                <c:pt idx="72">
                  <c:v>2.0227881954396647</c:v>
                </c:pt>
                <c:pt idx="73">
                  <c:v>2.073015182421154</c:v>
                </c:pt>
                <c:pt idx="74">
                  <c:v>2.1233675684140572</c:v>
                </c:pt>
                <c:pt idx="75">
                  <c:v>2.1738287911047398</c:v>
                </c:pt>
                <c:pt idx="76">
                  <c:v>2.2243826728784004</c:v>
                </c:pt>
                <c:pt idx="77">
                  <c:v>2.2750134197578822</c:v>
                </c:pt>
                <c:pt idx="78">
                  <c:v>2.325705619918589</c:v>
                </c:pt>
                <c:pt idx="79">
                  <c:v>2.3764442418110487</c:v>
                </c:pt>
                <c:pt idx="80">
                  <c:v>2.4272146319208301</c:v>
                </c:pt>
                <c:pt idx="81">
                  <c:v>2.4780025121938265</c:v>
                </c:pt>
                <c:pt idx="82">
                  <c:v>2.5287939771532986</c:v>
                </c:pt>
                <c:pt idx="83">
                  <c:v>2.5795754907335553</c:v>
                </c:pt>
                <c:pt idx="84">
                  <c:v>2.6303338828537211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22-4172-AA3D-EE6C57A213B1}"/>
            </c:ext>
          </c:extLst>
        </c:ser>
        <c:ser>
          <c:idx val="6"/>
          <c:order val="6"/>
          <c:tx>
            <c:strRef>
              <c:f>Calc!$B$19</c:f>
              <c:strCache>
                <c:ptCount val="1"/>
                <c:pt idx="0">
                  <c:v>G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val>
            <c:numRef>
              <c:f>Calc!$C$19:$CI$19</c:f>
              <c:numCache>
                <c:formatCode>General</c:formatCode>
                <c:ptCount val="8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1.606728326811057E-8</c:v>
                </c:pt>
                <c:pt idx="5">
                  <c:v>2.1480046610915029E-7</c:v>
                </c:pt>
                <c:pt idx="6">
                  <c:v>1.0817135808847434E-6</c:v>
                </c:pt>
                <c:pt idx="7">
                  <c:v>3.4875489022598229E-6</c:v>
                </c:pt>
                <c:pt idx="8">
                  <c:v>8.6518669135695414E-6</c:v>
                </c:pt>
                <c:pt idx="9">
                  <c:v>1.8053394936331534E-5</c:v>
                </c:pt>
                <c:pt idx="10">
                  <c:v>3.3328816813624716E-5</c:v>
                </c:pt>
                <c:pt idx="11">
                  <c:v>5.618192262143478E-5</c:v>
                </c:pt>
                <c:pt idx="12">
                  <c:v>8.8310443306000415E-5</c:v>
                </c:pt>
                <c:pt idx="13">
                  <c:v>1.3135040787219901E-4</c:v>
                </c:pt>
                <c:pt idx="14">
                  <c:v>1.8683514012247205E-4</c:v>
                </c:pt>
                <c:pt idx="15">
                  <c:v>2.5616567231347706E-4</c:v>
                </c:pt>
                <c:pt idx="16">
                  <c:v>3.4058990143199971E-4</c:v>
                </c:pt>
                <c:pt idx="17">
                  <c:v>4.411885186927035E-4</c:v>
                </c:pt>
                <c:pt idx="18">
                  <c:v>5.588663264391474E-4</c:v>
                </c:pt>
                <c:pt idx="19">
                  <c:v>6.9434796055998387E-4</c:v>
                </c:pt>
                <c:pt idx="20">
                  <c:v>8.4817728768107458E-4</c:v>
                </c:pt>
                <c:pt idx="21">
                  <c:v>1.0207198921583611E-3</c:v>
                </c:pt>
                <c:pt idx="22">
                  <c:v>1.2121681505315176E-3</c:v>
                </c:pt>
                <c:pt idx="23">
                  <c:v>1.4225484407706026E-3</c:v>
                </c:pt>
                <c:pt idx="24">
                  <c:v>1.6517300690893672E-3</c:v>
                </c:pt>
                <c:pt idx="25">
                  <c:v>1.8994355285294373E-3</c:v>
                </c:pt>
                <c:pt idx="26">
                  <c:v>2.1652517356161405E-3</c:v>
                </c:pt>
                <c:pt idx="27">
                  <c:v>2.4486419255870459E-3</c:v>
                </c:pt>
                <c:pt idx="28">
                  <c:v>2.7489579227583929E-3</c:v>
                </c:pt>
                <c:pt idx="29">
                  <c:v>3.0654525395657048E-3</c:v>
                </c:pt>
                <c:pt idx="30">
                  <c:v>3.3972918945594198E-3</c:v>
                </c:pt>
                <c:pt idx="31">
                  <c:v>3.7435674751153205E-3</c:v>
                </c:pt>
                <c:pt idx="32">
                  <c:v>4.1033078040018413E-3</c:v>
                </c:pt>
                <c:pt idx="33">
                  <c:v>4.475489599635586E-3</c:v>
                </c:pt>
                <c:pt idx="34">
                  <c:v>4.8590483474762799E-3</c:v>
                </c:pt>
                <c:pt idx="35">
                  <c:v>5.252888224374079E-3</c:v>
                </c:pt>
                <c:pt idx="36">
                  <c:v>5.6558913387485255E-3</c:v>
                </c:pt>
                <c:pt idx="37">
                  <c:v>6.0669262673294097E-3</c:v>
                </c:pt>
                <c:pt idx="38">
                  <c:v>6.484855883992495E-3</c:v>
                </c:pt>
                <c:pt idx="39">
                  <c:v>6.9085444882060034E-3</c:v>
                </c:pt>
                <c:pt idx="40">
                  <c:v>7.3368642500357996E-3</c:v>
                </c:pt>
                <c:pt idx="41">
                  <c:v>7.7687009958294318E-3</c:v>
                </c:pt>
                <c:pt idx="42">
                  <c:v>8.2029593639107341E-3</c:v>
                </c:pt>
                <c:pt idx="43">
                  <c:v>8.6385673631628451E-3</c:v>
                </c:pt>
                <c:pt idx="44">
                  <c:v>9.0744803695399934E-3</c:v>
                </c:pt>
                <c:pt idx="45">
                  <c:v>9.5096845965893326E-3</c:v>
                </c:pt>
                <c:pt idx="46">
                  <c:v>9.9432000762199602E-3</c:v>
                </c:pt>
                <c:pt idx="47">
                  <c:v>1.0374083185436018E-2</c:v>
                </c:pt>
                <c:pt idx="48">
                  <c:v>1.0801428753733668E-2</c:v>
                </c:pt>
                <c:pt idx="49">
                  <c:v>1.1224371784498595E-2</c:v>
                </c:pt>
                <c:pt idx="50">
                  <c:v>1.1642088822154142E-2</c:v>
                </c:pt>
                <c:pt idx="51">
                  <c:v>1.20537989950977E-2</c:v>
                </c:pt>
                <c:pt idx="52">
                  <c:v>1.245876476269956E-2</c:v>
                </c:pt>
                <c:pt idx="53">
                  <c:v>1.2856292392879136E-2</c:v>
                </c:pt>
                <c:pt idx="54">
                  <c:v>1.324573219505747E-2</c:v>
                </c:pt>
                <c:pt idx="55">
                  <c:v>1.3626478531637908E-2</c:v>
                </c:pt>
                <c:pt idx="56">
                  <c:v>1.3997969629603996E-2</c:v>
                </c:pt>
                <c:pt idx="57">
                  <c:v>1.4359687212352649E-2</c:v>
                </c:pt>
                <c:pt idx="58">
                  <c:v>1.4711155970502843E-2</c:v>
                </c:pt>
                <c:pt idx="59">
                  <c:v>1.5051942889133692E-2</c:v>
                </c:pt>
                <c:pt idx="60">
                  <c:v>1.5381656447705453E-2</c:v>
                </c:pt>
                <c:pt idx="61">
                  <c:v>1.5699945707797106E-2</c:v>
                </c:pt>
                <c:pt idx="62">
                  <c:v>1.6006499302747557E-2</c:v>
                </c:pt>
                <c:pt idx="63">
                  <c:v>1.630104434230735E-2</c:v>
                </c:pt>
                <c:pt idx="64">
                  <c:v>1.6583345244487811E-2</c:v>
                </c:pt>
                <c:pt idx="65">
                  <c:v>1.685320250592854E-2</c:v>
                </c:pt>
                <c:pt idx="66">
                  <c:v>1.7110451421287108E-2</c:v>
                </c:pt>
                <c:pt idx="67">
                  <c:v>1.7354960761382064E-2</c:v>
                </c:pt>
                <c:pt idx="68">
                  <c:v>1.7586631419088179E-2</c:v>
                </c:pt>
                <c:pt idx="69">
                  <c:v>1.7805395031288081E-2</c:v>
                </c:pt>
                <c:pt idx="70">
                  <c:v>1.8011212584524476E-2</c:v>
                </c:pt>
                <c:pt idx="71">
                  <c:v>1.8204073011369802E-2</c:v>
                </c:pt>
                <c:pt idx="72">
                  <c:v>1.8383991783934205E-2</c:v>
                </c:pt>
                <c:pt idx="73">
                  <c:v>1.8551009510366104E-2</c:v>
                </c:pt>
                <c:pt idx="74">
                  <c:v>1.8705190539661815E-2</c:v>
                </c:pt>
                <c:pt idx="75">
                  <c:v>1.8846621579590724E-2</c:v>
                </c:pt>
                <c:pt idx="76">
                  <c:v>1.8975410332059087E-2</c:v>
                </c:pt>
                <c:pt idx="77">
                  <c:v>1.9091684149778923E-2</c:v>
                </c:pt>
                <c:pt idx="78">
                  <c:v>1.9195588717677042E-2</c:v>
                </c:pt>
                <c:pt idx="79">
                  <c:v>1.9287286762072982E-2</c:v>
                </c:pt>
                <c:pt idx="80">
                  <c:v>1.9366956790273056E-2</c:v>
                </c:pt>
                <c:pt idx="81">
                  <c:v>1.9434791862869484E-2</c:v>
                </c:pt>
                <c:pt idx="82">
                  <c:v>1.949099840069899E-2</c:v>
                </c:pt>
                <c:pt idx="83">
                  <c:v>1.9535795028102827E-2</c:v>
                </c:pt>
                <c:pt idx="84">
                  <c:v>1.9569411453839839E-2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22-4172-AA3D-EE6C57A213B1}"/>
            </c:ext>
          </c:extLst>
        </c:ser>
        <c:ser>
          <c:idx val="7"/>
          <c:order val="7"/>
          <c:tx>
            <c:strRef>
              <c:f>Calc!$B$20</c:f>
              <c:strCache>
                <c:ptCount val="1"/>
                <c:pt idx="0">
                  <c:v>H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val>
            <c:numRef>
              <c:f>Calc!$C$20:$CI$20</c:f>
              <c:numCache>
                <c:formatCode>General</c:formatCode>
                <c:ptCount val="8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3.6028585412936495E-9</c:v>
                </c:pt>
                <c:pt idx="6">
                  <c:v>5.1768791828297645E-8</c:v>
                </c:pt>
                <c:pt idx="7">
                  <c:v>2.9432759589562858E-7</c:v>
                </c:pt>
                <c:pt idx="8">
                  <c:v>1.0763605719137137E-6</c:v>
                </c:pt>
                <c:pt idx="9">
                  <c:v>3.0164180220463865E-6</c:v>
                </c:pt>
                <c:pt idx="10">
                  <c:v>7.0646337073206279E-6</c:v>
                </c:pt>
                <c:pt idx="11">
                  <c:v>1.4538144339108965E-5</c:v>
                </c:pt>
                <c:pt idx="12">
                  <c:v>2.7136137192367363E-5</c:v>
                </c:pt>
                <c:pt idx="13">
                  <c:v>4.6938491432423486E-5</c:v>
                </c:pt>
                <c:pt idx="14">
                  <c:v>7.63919423368468E-5</c:v>
                </c:pt>
                <c:pt idx="15">
                  <c:v>1.1828705112229128E-4</c:v>
                </c:pt>
                <c:pt idx="16">
                  <c:v>1.7572854045687079E-4</c:v>
                </c:pt>
                <c:pt idx="17">
                  <c:v>2.5210095606543326E-4</c:v>
                </c:pt>
                <c:pt idx="18">
                  <c:v>3.5103117322588678E-4</c:v>
                </c:pt>
                <c:pt idx="19">
                  <c:v>4.7634895620473049E-4</c:v>
                </c:pt>
                <c:pt idx="20">
                  <c:v>6.320465585055795E-4</c:v>
                </c:pt>
                <c:pt idx="21">
                  <c:v>8.2223818794664022E-4</c:v>
                </c:pt>
                <c:pt idx="22">
                  <c:v>1.0511200294107785E-3</c:v>
                </c:pt>
                <c:pt idx="23">
                  <c:v>1.3229314054692635E-3</c:v>
                </c:pt>
                <c:pt idx="24">
                  <c:v>1.6419175535759951E-3</c:v>
                </c:pt>
                <c:pt idx="25">
                  <c:v>2.0122944049719795E-3</c:v>
                </c:pt>
                <c:pt idx="26">
                  <c:v>2.4382156639306293E-3</c:v>
                </c:pt>
                <c:pt idx="27">
                  <c:v>2.9237424066624689E-3</c:v>
                </c:pt>
                <c:pt idx="28">
                  <c:v>3.4728153475547625E-3</c:v>
                </c:pt>
                <c:pt idx="29">
                  <c:v>4.089229856865371E-3</c:v>
                </c:pt>
                <c:pt idx="30">
                  <c:v>4.7766137587241806E-3</c:v>
                </c:pt>
                <c:pt idx="31">
                  <c:v>5.5384078912689323E-3</c:v>
                </c:pt>
                <c:pt idx="32">
                  <c:v>6.3778493716713878E-3</c:v>
                </c:pt>
                <c:pt idx="33">
                  <c:v>7.2979574772244057E-3</c:v>
                </c:pt>
                <c:pt idx="34">
                  <c:v>8.3015220289567489E-3</c:v>
                </c:pt>
                <c:pt idx="35">
                  <c:v>9.3910941457320558E-3</c:v>
                </c:pt>
                <c:pt idx="36">
                  <c:v>1.0568979223740798E-2</c:v>
                </c:pt>
                <c:pt idx="37">
                  <c:v>1.1837231987970253E-2</c:v>
                </c:pt>
                <c:pt idx="38">
                  <c:v>1.3197653457916552E-2</c:v>
                </c:pt>
                <c:pt idx="39">
                  <c:v>1.4651789668801209E-2</c:v>
                </c:pt>
                <c:pt idx="40">
                  <c:v>1.6200931991239838E-2</c:v>
                </c:pt>
                <c:pt idx="41">
                  <c:v>1.7846118896111155E-2</c:v>
                </c:pt>
                <c:pt idx="42">
                  <c:v>1.9588139016782868E-2</c:v>
                </c:pt>
                <c:pt idx="43">
                  <c:v>2.1427535367428394E-2</c:v>
                </c:pt>
                <c:pt idx="44">
                  <c:v>2.336461058354063E-2</c:v>
                </c:pt>
                <c:pt idx="45">
                  <c:v>2.5399433058606345E-2</c:v>
                </c:pt>
                <c:pt idx="46">
                  <c:v>2.7531843858995472E-2</c:v>
                </c:pt>
                <c:pt idx="47">
                  <c:v>2.9761464307245244E-2</c:v>
                </c:pt>
                <c:pt idx="48">
                  <c:v>3.2087704131928081E-2</c:v>
                </c:pt>
                <c:pt idx="49">
                  <c:v>3.4509770090073132E-2</c:v>
                </c:pt>
                <c:pt idx="50">
                  <c:v>3.7026674975586593E-2</c:v>
                </c:pt>
                <c:pt idx="51">
                  <c:v>3.9637246934235447E-2</c:v>
                </c:pt>
                <c:pt idx="52">
                  <c:v>4.2340139012494768E-2</c:v>
                </c:pt>
                <c:pt idx="53">
                  <c:v>4.5133838873898838E-2</c:v>
                </c:pt>
                <c:pt idx="54">
                  <c:v>4.8016678622481927E-2</c:v>
                </c:pt>
                <c:pt idx="55">
                  <c:v>5.0986844678455309E-2</c:v>
                </c:pt>
                <c:pt idx="56">
                  <c:v>5.4042387656458669E-2</c:v>
                </c:pt>
                <c:pt idx="57">
                  <c:v>5.7181232201565048E-2</c:v>
                </c:pt>
                <c:pt idx="58">
                  <c:v>6.0401186742729603E-2</c:v>
                </c:pt>
                <c:pt idx="59">
                  <c:v>6.3699953127574829E-2</c:v>
                </c:pt>
                <c:pt idx="60">
                  <c:v>6.7075136106318489E-2</c:v>
                </c:pt>
                <c:pt idx="61">
                  <c:v>7.0524252636295304E-2</c:v>
                </c:pt>
                <c:pt idx="62">
                  <c:v>7.4044740981916851E-2</c:v>
                </c:pt>
                <c:pt idx="63">
                  <c:v>7.7633969588072893E-2</c:v>
                </c:pt>
                <c:pt idx="64">
                  <c:v>8.1289245707916583E-2</c:v>
                </c:pt>
                <c:pt idx="65">
                  <c:v>8.5007823768708454E-2</c:v>
                </c:pt>
                <c:pt idx="66">
                  <c:v>8.8786913461933015E-2</c:v>
                </c:pt>
                <c:pt idx="67">
                  <c:v>9.2623687546256703E-2</c:v>
                </c:pt>
                <c:pt idx="68">
                  <c:v>9.651528935407834E-2</c:v>
                </c:pt>
                <c:pt idx="69">
                  <c:v>0.10045883999444097</c:v>
                </c:pt>
                <c:pt idx="70">
                  <c:v>0.104451445246936</c:v>
                </c:pt>
                <c:pt idx="71">
                  <c:v>0.10849020214294489</c:v>
                </c:pt>
                <c:pt idx="72">
                  <c:v>0.11257220523213668</c:v>
                </c:pt>
                <c:pt idx="73">
                  <c:v>0.11669455253357991</c:v>
                </c:pt>
                <c:pt idx="74">
                  <c:v>0.12085435117213979</c:v>
                </c:pt>
                <c:pt idx="75">
                  <c:v>0.12504872270202386</c:v>
                </c:pt>
                <c:pt idx="76">
                  <c:v>0.12927480812041722</c:v>
                </c:pt>
                <c:pt idx="77">
                  <c:v>0.1335297725751175</c:v>
                </c:pt>
                <c:pt idx="78">
                  <c:v>0.13781080977094709</c:v>
                </c:pt>
                <c:pt idx="79">
                  <c:v>0.1421151460804902</c:v>
                </c:pt>
                <c:pt idx="80">
                  <c:v>0.14644004436538152</c:v>
                </c:pt>
                <c:pt idx="81">
                  <c:v>0.15078280751496689</c:v>
                </c:pt>
                <c:pt idx="82">
                  <c:v>0.15514078170966955</c:v>
                </c:pt>
                <c:pt idx="83">
                  <c:v>0.15951135941683392</c:v>
                </c:pt>
                <c:pt idx="84">
                  <c:v>0.16389198212718706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F22-4172-AA3D-EE6C57A21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03411968"/>
        <c:axId val="1003413936"/>
        <c:axId val="649983200"/>
      </c:bar3DChart>
      <c:catAx>
        <c:axId val="1003411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Column</a:t>
                </a:r>
                <a:r>
                  <a:rPr lang="en-GB" sz="1800" b="0" i="0" u="none" strike="noStrike" kern="1200" baseline="0">
                    <a:solidFill>
                      <a:sysClr val="windowText" lastClr="000000">
                        <a:lumMod val="50000"/>
                        <a:lumOff val="50000"/>
                      </a:sysClr>
                    </a:solidFill>
                    <a:effectLst/>
                    <a:latin typeface="+mn-lt"/>
                    <a:ea typeface="+mn-ea"/>
                    <a:cs typeface="+mn-cs"/>
                  </a:rPr>
                  <a:t> </a:t>
                </a:r>
                <a:r>
                  <a:rPr lang="en-GB" sz="1000" b="0" i="0" baseline="0">
                    <a:effectLst/>
                  </a:rPr>
                  <a:t>(C to CI above; 1 =  column C at 0 min)</a:t>
                </a:r>
                <a:endParaRPr lang="en-GB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413936"/>
        <c:crosses val="autoZero"/>
        <c:auto val="1"/>
        <c:lblAlgn val="ctr"/>
        <c:lblOffset val="100"/>
        <c:noMultiLvlLbl val="0"/>
      </c:catAx>
      <c:valAx>
        <c:axId val="100341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Conc.</a:t>
                </a:r>
                <a:r>
                  <a:rPr lang="en-GB" baseline="0"/>
                  <a:t> (micromol)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411968"/>
        <c:crosses val="autoZero"/>
        <c:crossBetween val="between"/>
      </c:valAx>
      <c:serAx>
        <c:axId val="649983200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Species</a:t>
                </a:r>
                <a:r>
                  <a:rPr lang="en-GB" baseline="0"/>
                  <a:t> </a:t>
                </a:r>
                <a:r>
                  <a:rPr lang="en-GB" b="1" baseline="0"/>
                  <a:t>A-H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413936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Best fit for [C6F6] vs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ExactLaws!$C$7</c:f>
              <c:strCache>
                <c:ptCount val="1"/>
                <c:pt idx="0">
                  <c:v>[A]obs (μM)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ExactLaws!$B$8:$B$17</c:f>
              <c:numCache>
                <c:formatCode>0.0</c:formatCode>
                <c:ptCount val="10"/>
                <c:pt idx="0">
                  <c:v>0</c:v>
                </c:pt>
                <c:pt idx="1">
                  <c:v>6.2866666666666671</c:v>
                </c:pt>
                <c:pt idx="2">
                  <c:v>12.719999999999999</c:v>
                </c:pt>
                <c:pt idx="3">
                  <c:v>16.853333333333332</c:v>
                </c:pt>
                <c:pt idx="4">
                  <c:v>27.97</c:v>
                </c:pt>
                <c:pt idx="5">
                  <c:v>39.103333333333339</c:v>
                </c:pt>
                <c:pt idx="6">
                  <c:v>50.203333333333333</c:v>
                </c:pt>
                <c:pt idx="7">
                  <c:v>61.32</c:v>
                </c:pt>
                <c:pt idx="8">
                  <c:v>72.426666666666677</c:v>
                </c:pt>
                <c:pt idx="9">
                  <c:v>83.553333333333327</c:v>
                </c:pt>
              </c:numCache>
            </c:numRef>
          </c:xVal>
          <c:yVal>
            <c:numRef>
              <c:f>ExactLaws!$C$8:$C$17</c:f>
              <c:numCache>
                <c:formatCode>0.00</c:formatCode>
                <c:ptCount val="10"/>
                <c:pt idx="0">
                  <c:v>8.6</c:v>
                </c:pt>
                <c:pt idx="1">
                  <c:v>6.617920459990418</c:v>
                </c:pt>
                <c:pt idx="2">
                  <c:v>5.6509183836447852</c:v>
                </c:pt>
                <c:pt idx="3">
                  <c:v>5.4924985359101308</c:v>
                </c:pt>
                <c:pt idx="4">
                  <c:v>3.8419102379811534</c:v>
                </c:pt>
                <c:pt idx="5">
                  <c:v>3.405111004631848</c:v>
                </c:pt>
                <c:pt idx="6">
                  <c:v>2.6899323856678912</c:v>
                </c:pt>
                <c:pt idx="7">
                  <c:v>2.3483682052920196</c:v>
                </c:pt>
                <c:pt idx="8">
                  <c:v>2.022371293190651</c:v>
                </c:pt>
                <c:pt idx="9">
                  <c:v>1.6437203854549327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E1-47F2-96F9-42807CEBAEE0}"/>
            </c:ext>
          </c:extLst>
        </c:ser>
        <c:ser>
          <c:idx val="1"/>
          <c:order val="1"/>
          <c:tx>
            <c:strRef>
              <c:f>ExactLaws!$D$7</c:f>
              <c:strCache>
                <c:ptCount val="1"/>
                <c:pt idx="0">
                  <c:v>[A]calc (μM)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ExactLaws!$B$8:$B$17</c:f>
              <c:numCache>
                <c:formatCode>0.0</c:formatCode>
                <c:ptCount val="10"/>
                <c:pt idx="0">
                  <c:v>0</c:v>
                </c:pt>
                <c:pt idx="1">
                  <c:v>6.2866666666666671</c:v>
                </c:pt>
                <c:pt idx="2">
                  <c:v>12.719999999999999</c:v>
                </c:pt>
                <c:pt idx="3">
                  <c:v>16.853333333333332</c:v>
                </c:pt>
                <c:pt idx="4">
                  <c:v>27.97</c:v>
                </c:pt>
                <c:pt idx="5">
                  <c:v>39.103333333333339</c:v>
                </c:pt>
                <c:pt idx="6">
                  <c:v>50.203333333333333</c:v>
                </c:pt>
                <c:pt idx="7">
                  <c:v>61.32</c:v>
                </c:pt>
                <c:pt idx="8">
                  <c:v>72.426666666666677</c:v>
                </c:pt>
                <c:pt idx="9">
                  <c:v>83.553333333333327</c:v>
                </c:pt>
              </c:numCache>
            </c:numRef>
          </c:xVal>
          <c:yVal>
            <c:numRef>
              <c:f>ExactLaws!$D$8:$D$17</c:f>
              <c:numCache>
                <c:formatCode>0.00E+00</c:formatCode>
                <c:ptCount val="10"/>
                <c:pt idx="0">
                  <c:v>8.6</c:v>
                </c:pt>
                <c:pt idx="1">
                  <c:v>6.9123729073734186</c:v>
                </c:pt>
                <c:pt idx="2">
                  <c:v>5.7275077014324927</c:v>
                </c:pt>
                <c:pt idx="3">
                  <c:v>5.1465598524691751</c:v>
                </c:pt>
                <c:pt idx="4">
                  <c:v>4.0122084070435058</c:v>
                </c:pt>
                <c:pt idx="5">
                  <c:v>3.2552866544954795</c:v>
                </c:pt>
                <c:pt idx="6">
                  <c:v>2.7169953856472238</c:v>
                </c:pt>
                <c:pt idx="7">
                  <c:v>2.313454648234424</c:v>
                </c:pt>
                <c:pt idx="8">
                  <c:v>2.0007379520166007</c:v>
                </c:pt>
                <c:pt idx="9">
                  <c:v>1.7509815533941233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E1-47F2-96F9-42807CEBA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279632"/>
        <c:axId val="395279960"/>
      </c:scatterChart>
      <c:valAx>
        <c:axId val="395279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279960"/>
        <c:crosses val="autoZero"/>
        <c:crossBetween val="midCat"/>
      </c:valAx>
      <c:valAx>
        <c:axId val="395279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2796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[</a:t>
            </a:r>
            <a:r>
              <a:rPr lang="en-GB" b="1"/>
              <a:t>D</a:t>
            </a:r>
            <a:r>
              <a:rPr lang="en-GB" b="0"/>
              <a:t>] vs time (0-28</a:t>
            </a:r>
            <a:r>
              <a:rPr lang="en-GB" b="0" baseline="0"/>
              <a:t> min)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ExactLaws!$C$30</c:f>
              <c:strCache>
                <c:ptCount val="1"/>
                <c:pt idx="0">
                  <c:v>[A]obs (μM)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ExactLaws!$B$31:$B$35</c:f>
              <c:numCache>
                <c:formatCode>0.0</c:formatCode>
                <c:ptCount val="5"/>
                <c:pt idx="0">
                  <c:v>0</c:v>
                </c:pt>
                <c:pt idx="1">
                  <c:v>6.2866666666666671</c:v>
                </c:pt>
                <c:pt idx="2">
                  <c:v>12.719999999999999</c:v>
                </c:pt>
                <c:pt idx="3">
                  <c:v>16.853333333333332</c:v>
                </c:pt>
                <c:pt idx="4">
                  <c:v>27.97</c:v>
                </c:pt>
              </c:numCache>
            </c:numRef>
          </c:xVal>
          <c:yVal>
            <c:numRef>
              <c:f>ExactLaws!$C$31:$C$35</c:f>
              <c:numCache>
                <c:formatCode>0.0</c:formatCode>
                <c:ptCount val="5"/>
                <c:pt idx="0">
                  <c:v>0</c:v>
                </c:pt>
                <c:pt idx="1">
                  <c:v>2.3886599584730877</c:v>
                </c:pt>
                <c:pt idx="2">
                  <c:v>3.0836927008465103</c:v>
                </c:pt>
                <c:pt idx="3">
                  <c:v>3.3872544321993292</c:v>
                </c:pt>
                <c:pt idx="4">
                  <c:v>3.9325666826385564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807-49E9-8F51-2237B11C3404}"/>
            </c:ext>
          </c:extLst>
        </c:ser>
        <c:ser>
          <c:idx val="1"/>
          <c:order val="1"/>
          <c:tx>
            <c:strRef>
              <c:f>ExactLaws!$D$30</c:f>
              <c:strCache>
                <c:ptCount val="1"/>
                <c:pt idx="0">
                  <c:v>[A]calc (μM)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ExactLaws!$B$31:$B$35</c:f>
              <c:numCache>
                <c:formatCode>0.0</c:formatCode>
                <c:ptCount val="5"/>
                <c:pt idx="0">
                  <c:v>0</c:v>
                </c:pt>
                <c:pt idx="1">
                  <c:v>6.2866666666666671</c:v>
                </c:pt>
                <c:pt idx="2">
                  <c:v>12.719999999999999</c:v>
                </c:pt>
                <c:pt idx="3">
                  <c:v>16.853333333333332</c:v>
                </c:pt>
                <c:pt idx="4">
                  <c:v>27.97</c:v>
                </c:pt>
              </c:numCache>
            </c:numRef>
          </c:xVal>
          <c:yVal>
            <c:numRef>
              <c:f>ExactLaws!$D$31:$D$35</c:f>
              <c:numCache>
                <c:formatCode>0.00E+00</c:formatCode>
                <c:ptCount val="5"/>
                <c:pt idx="0">
                  <c:v>0</c:v>
                </c:pt>
                <c:pt idx="1">
                  <c:v>2.2399004257085129</c:v>
                </c:pt>
                <c:pt idx="2">
                  <c:v>3.2062605272855191</c:v>
                </c:pt>
                <c:pt idx="3">
                  <c:v>3.5033046142214785</c:v>
                </c:pt>
                <c:pt idx="4">
                  <c:v>3.8101741180290292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807-49E9-8F51-2237B11C3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7382672"/>
        <c:axId val="737383000"/>
      </c:scatterChart>
      <c:valAx>
        <c:axId val="737382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7383000"/>
        <c:crosses val="autoZero"/>
        <c:crossBetween val="midCat"/>
      </c:valAx>
      <c:valAx>
        <c:axId val="737383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73826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[</a:t>
            </a:r>
            <a:r>
              <a:rPr lang="en-GB" b="1"/>
              <a:t>7</a:t>
            </a:r>
            <a:r>
              <a:rPr lang="en-GB" b="0"/>
              <a:t>] vs time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ExactLaws!$C$50</c:f>
              <c:strCache>
                <c:ptCount val="1"/>
                <c:pt idx="0">
                  <c:v>[7]obs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ExactLaws!$B$51:$B$58</c:f>
              <c:numCache>
                <c:formatCode>General</c:formatCode>
                <c:ptCount val="8"/>
                <c:pt idx="0">
                  <c:v>3.2533333333333339</c:v>
                </c:pt>
                <c:pt idx="1">
                  <c:v>9.370000000000001</c:v>
                </c:pt>
                <c:pt idx="2">
                  <c:v>15.486666666666668</c:v>
                </c:pt>
                <c:pt idx="3">
                  <c:v>21.603333333333332</c:v>
                </c:pt>
                <c:pt idx="4">
                  <c:v>27.72</c:v>
                </c:pt>
                <c:pt idx="5">
                  <c:v>33.836666666666666</c:v>
                </c:pt>
                <c:pt idx="6">
                  <c:v>39.953333333333333</c:v>
                </c:pt>
                <c:pt idx="7">
                  <c:v>46.07</c:v>
                </c:pt>
              </c:numCache>
            </c:numRef>
          </c:xVal>
          <c:yVal>
            <c:numRef>
              <c:f>ExactLaws!$C$51:$C$58</c:f>
              <c:numCache>
                <c:formatCode>0.000</c:formatCode>
                <c:ptCount val="8"/>
                <c:pt idx="0">
                  <c:v>9.6999999999999993</c:v>
                </c:pt>
                <c:pt idx="1">
                  <c:v>8.3760095140277837</c:v>
                </c:pt>
                <c:pt idx="2">
                  <c:v>7.3923239094005071</c:v>
                </c:pt>
                <c:pt idx="3">
                  <c:v>6.5958322071463318</c:v>
                </c:pt>
                <c:pt idx="4">
                  <c:v>6.0415914373749926</c:v>
                </c:pt>
                <c:pt idx="5" formatCode="General">
                  <c:v>5.5990377858262601</c:v>
                </c:pt>
                <c:pt idx="6" formatCode="General">
                  <c:v>5.1664468349640513</c:v>
                </c:pt>
                <c:pt idx="7" formatCode="General">
                  <c:v>4.8644196983620729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B8-4BCA-8FD1-A17B191B16FE}"/>
            </c:ext>
          </c:extLst>
        </c:ser>
        <c:ser>
          <c:idx val="1"/>
          <c:order val="1"/>
          <c:tx>
            <c:strRef>
              <c:f>ExactLaws!$D$50</c:f>
              <c:strCache>
                <c:ptCount val="1"/>
                <c:pt idx="0">
                  <c:v>[7]calc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ExactLaws!$B$51:$B$58</c:f>
              <c:numCache>
                <c:formatCode>General</c:formatCode>
                <c:ptCount val="8"/>
                <c:pt idx="0">
                  <c:v>3.2533333333333339</c:v>
                </c:pt>
                <c:pt idx="1">
                  <c:v>9.370000000000001</c:v>
                </c:pt>
                <c:pt idx="2">
                  <c:v>15.486666666666668</c:v>
                </c:pt>
                <c:pt idx="3">
                  <c:v>21.603333333333332</c:v>
                </c:pt>
                <c:pt idx="4">
                  <c:v>27.72</c:v>
                </c:pt>
                <c:pt idx="5">
                  <c:v>33.836666666666666</c:v>
                </c:pt>
                <c:pt idx="6">
                  <c:v>39.953333333333333</c:v>
                </c:pt>
                <c:pt idx="7">
                  <c:v>46.07</c:v>
                </c:pt>
              </c:numCache>
            </c:numRef>
          </c:xVal>
          <c:yVal>
            <c:numRef>
              <c:f>ExactLaws!$D$51:$D$58</c:f>
              <c:numCache>
                <c:formatCode>General</c:formatCode>
                <c:ptCount val="8"/>
                <c:pt idx="0">
                  <c:v>9.3623535180729576</c:v>
                </c:pt>
                <c:pt idx="1">
                  <c:v>8.445985978981092</c:v>
                </c:pt>
                <c:pt idx="2">
                  <c:v>7.6193105739322631</c:v>
                </c:pt>
                <c:pt idx="3">
                  <c:v>6.8735484248387895</c:v>
                </c:pt>
                <c:pt idx="4">
                  <c:v>6.2007799117999083</c:v>
                </c:pt>
                <c:pt idx="5">
                  <c:v>5.593860570711418</c:v>
                </c:pt>
                <c:pt idx="6">
                  <c:v>5.046345222641019</c:v>
                </c:pt>
                <c:pt idx="7">
                  <c:v>4.5524195292613756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B8-4BCA-8FD1-A17B191B1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818144"/>
        <c:axId val="471810272"/>
      </c:scatterChart>
      <c:valAx>
        <c:axId val="471818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810272"/>
        <c:crosses val="autoZero"/>
        <c:crossBetween val="midCat"/>
      </c:valAx>
      <c:valAx>
        <c:axId val="47181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818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581025</xdr:colOff>
          <xdr:row>2</xdr:row>
          <xdr:rowOff>47625</xdr:rowOff>
        </xdr:from>
        <xdr:to>
          <xdr:col>11</xdr:col>
          <xdr:colOff>304800</xdr:colOff>
          <xdr:row>34</xdr:row>
          <xdr:rowOff>57150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266700</xdr:colOff>
          <xdr:row>13</xdr:row>
          <xdr:rowOff>0</xdr:rowOff>
        </xdr:from>
        <xdr:to>
          <xdr:col>19</xdr:col>
          <xdr:colOff>600075</xdr:colOff>
          <xdr:row>27</xdr:row>
          <xdr:rowOff>171450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20</xdr:row>
      <xdr:rowOff>190499</xdr:rowOff>
    </xdr:from>
    <xdr:to>
      <xdr:col>35</xdr:col>
      <xdr:colOff>202406</xdr:colOff>
      <xdr:row>41</xdr:row>
      <xdr:rowOff>47624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464342</xdr:colOff>
      <xdr:row>22</xdr:row>
      <xdr:rowOff>57150</xdr:rowOff>
    </xdr:from>
    <xdr:to>
      <xdr:col>29</xdr:col>
      <xdr:colOff>154781</xdr:colOff>
      <xdr:row>41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4</xdr:row>
      <xdr:rowOff>19050</xdr:rowOff>
    </xdr:from>
    <xdr:to>
      <xdr:col>16</xdr:col>
      <xdr:colOff>314325</xdr:colOff>
      <xdr:row>20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27</xdr:row>
      <xdr:rowOff>9525</xdr:rowOff>
    </xdr:from>
    <xdr:to>
      <xdr:col>16</xdr:col>
      <xdr:colOff>323850</xdr:colOff>
      <xdr:row>41</xdr:row>
      <xdr:rowOff>9525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47624</xdr:colOff>
      <xdr:row>45</xdr:row>
      <xdr:rowOff>188119</xdr:rowOff>
    </xdr:from>
    <xdr:to>
      <xdr:col>16</xdr:col>
      <xdr:colOff>369093</xdr:colOff>
      <xdr:row>60</xdr:row>
      <xdr:rowOff>73819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50</xdr:row>
          <xdr:rowOff>47625</xdr:rowOff>
        </xdr:from>
        <xdr:to>
          <xdr:col>21</xdr:col>
          <xdr:colOff>66675</xdr:colOff>
          <xdr:row>56</xdr:row>
          <xdr:rowOff>57150</xdr:rowOff>
        </xdr:to>
        <xdr:sp macro="" textlink="">
          <xdr:nvSpPr>
            <xdr:cNvPr id="4110" name="Object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Relationship Id="rId4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1"/>
  <sheetViews>
    <sheetView zoomScale="80" zoomScaleNormal="80" workbookViewId="0">
      <selection activeCell="W20" sqref="W20"/>
    </sheetView>
  </sheetViews>
  <sheetFormatPr defaultRowHeight="15" x14ac:dyDescent="0.25"/>
  <sheetData>
    <row r="1" spans="1:13" x14ac:dyDescent="0.25">
      <c r="A1" t="s">
        <v>31</v>
      </c>
    </row>
    <row r="3" spans="1:13" x14ac:dyDescent="0.25">
      <c r="M3" s="7" t="s">
        <v>0</v>
      </c>
    </row>
    <row r="4" spans="1:13" x14ac:dyDescent="0.25">
      <c r="M4" t="s">
        <v>27</v>
      </c>
    </row>
    <row r="5" spans="1:13" x14ac:dyDescent="0.25">
      <c r="M5" t="s">
        <v>28</v>
      </c>
    </row>
    <row r="6" spans="1:13" x14ac:dyDescent="0.25">
      <c r="M6" t="s">
        <v>29</v>
      </c>
    </row>
    <row r="7" spans="1:13" x14ac:dyDescent="0.25">
      <c r="M7" t="s">
        <v>26</v>
      </c>
    </row>
    <row r="8" spans="1:13" x14ac:dyDescent="0.25">
      <c r="M8" t="s">
        <v>125</v>
      </c>
    </row>
    <row r="9" spans="1:13" x14ac:dyDescent="0.25">
      <c r="M9" s="1" t="s">
        <v>126</v>
      </c>
    </row>
    <row r="10" spans="1:13" x14ac:dyDescent="0.25">
      <c r="M10" t="s">
        <v>30</v>
      </c>
    </row>
    <row r="11" spans="1:13" x14ac:dyDescent="0.25">
      <c r="M11" t="s">
        <v>127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ChemDraw.Document.6.0" shapeId="1029" r:id="rId4">
          <objectPr defaultSize="0" r:id="rId5">
            <anchor moveWithCells="1">
              <from>
                <xdr:col>0</xdr:col>
                <xdr:colOff>581025</xdr:colOff>
                <xdr:row>2</xdr:row>
                <xdr:rowOff>47625</xdr:rowOff>
              </from>
              <to>
                <xdr:col>11</xdr:col>
                <xdr:colOff>304800</xdr:colOff>
                <xdr:row>34</xdr:row>
                <xdr:rowOff>57150</xdr:rowOff>
              </to>
            </anchor>
          </objectPr>
        </oleObject>
      </mc:Choice>
      <mc:Fallback>
        <oleObject progId="ChemDraw.Document.6.0" shapeId="1029" r:id="rId4"/>
      </mc:Fallback>
    </mc:AlternateContent>
    <mc:AlternateContent xmlns:mc="http://schemas.openxmlformats.org/markup-compatibility/2006">
      <mc:Choice Requires="x14">
        <oleObject progId="ChemDraw.Document.6.0" shapeId="1033" r:id="rId6">
          <objectPr defaultSize="0" r:id="rId7">
            <anchor moveWithCells="1">
              <from>
                <xdr:col>12</xdr:col>
                <xdr:colOff>266700</xdr:colOff>
                <xdr:row>13</xdr:row>
                <xdr:rowOff>0</xdr:rowOff>
              </from>
              <to>
                <xdr:col>19</xdr:col>
                <xdr:colOff>600075</xdr:colOff>
                <xdr:row>27</xdr:row>
                <xdr:rowOff>171450</xdr:rowOff>
              </to>
            </anchor>
          </objectPr>
        </oleObject>
      </mc:Choice>
      <mc:Fallback>
        <oleObject progId="ChemDraw.Document.6.0" shapeId="1033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6"/>
  <sheetViews>
    <sheetView topLeftCell="A16" zoomScale="80" zoomScaleNormal="80" workbookViewId="0">
      <selection activeCell="B8" sqref="B8"/>
    </sheetView>
  </sheetViews>
  <sheetFormatPr defaultRowHeight="15" x14ac:dyDescent="0.25"/>
  <cols>
    <col min="1" max="1" width="9.140625" customWidth="1"/>
    <col min="2" max="2" width="10.7109375" customWidth="1"/>
    <col min="3" max="3" width="11.28515625" customWidth="1"/>
  </cols>
  <sheetData>
    <row r="1" spans="1:87" x14ac:dyDescent="0.25">
      <c r="A1" t="s">
        <v>37</v>
      </c>
    </row>
    <row r="2" spans="1:87" x14ac:dyDescent="0.25">
      <c r="A2" t="s">
        <v>36</v>
      </c>
    </row>
    <row r="3" spans="1:87" x14ac:dyDescent="0.25">
      <c r="D3" t="s">
        <v>39</v>
      </c>
    </row>
    <row r="4" spans="1:87" ht="15.75" x14ac:dyDescent="0.25">
      <c r="B4" t="s">
        <v>14</v>
      </c>
      <c r="C4">
        <v>86</v>
      </c>
      <c r="D4" s="5" t="s">
        <v>24</v>
      </c>
      <c r="E4" s="1" t="s">
        <v>22</v>
      </c>
      <c r="F4">
        <f>Diff!$F$4</f>
        <v>2.3491824950970565E-4</v>
      </c>
      <c r="G4" s="8" t="s">
        <v>32</v>
      </c>
    </row>
    <row r="5" spans="1:87" ht="15.75" x14ac:dyDescent="0.25">
      <c r="B5" t="s">
        <v>15</v>
      </c>
      <c r="C5">
        <v>8.6</v>
      </c>
      <c r="D5" s="5" t="s">
        <v>24</v>
      </c>
      <c r="E5" s="1" t="s">
        <v>23</v>
      </c>
      <c r="F5">
        <f>Diff!$F$5</f>
        <v>4.5849912564758528E-3</v>
      </c>
      <c r="G5" s="8" t="s">
        <v>32</v>
      </c>
    </row>
    <row r="6" spans="1:87" ht="15.75" x14ac:dyDescent="0.25">
      <c r="E6" s="1" t="s">
        <v>25</v>
      </c>
      <c r="F6">
        <f>Diff!$F$6</f>
        <v>0.22423570190266068</v>
      </c>
      <c r="G6" s="8" t="s">
        <v>33</v>
      </c>
    </row>
    <row r="8" spans="1:87" x14ac:dyDescent="0.25">
      <c r="B8" t="s">
        <v>38</v>
      </c>
    </row>
    <row r="11" spans="1:87" x14ac:dyDescent="0.25">
      <c r="C11" t="s">
        <v>2</v>
      </c>
    </row>
    <row r="12" spans="1:87" x14ac:dyDescent="0.25">
      <c r="B12" t="s">
        <v>1</v>
      </c>
      <c r="C12">
        <v>0</v>
      </c>
      <c r="D12">
        <v>1</v>
      </c>
      <c r="E12">
        <v>2</v>
      </c>
      <c r="F12">
        <v>3</v>
      </c>
      <c r="G12">
        <v>4</v>
      </c>
      <c r="H12">
        <v>5</v>
      </c>
      <c r="I12">
        <v>6</v>
      </c>
      <c r="J12">
        <v>7</v>
      </c>
      <c r="K12">
        <v>8</v>
      </c>
      <c r="L12">
        <v>9</v>
      </c>
      <c r="M12">
        <v>10</v>
      </c>
      <c r="N12">
        <v>11</v>
      </c>
      <c r="O12">
        <v>12</v>
      </c>
      <c r="P12">
        <v>13</v>
      </c>
      <c r="Q12">
        <v>14</v>
      </c>
      <c r="R12">
        <v>15</v>
      </c>
      <c r="S12">
        <v>16</v>
      </c>
      <c r="T12">
        <v>17</v>
      </c>
      <c r="U12">
        <v>18</v>
      </c>
      <c r="V12">
        <v>19</v>
      </c>
      <c r="W12">
        <v>20</v>
      </c>
      <c r="X12">
        <v>21</v>
      </c>
      <c r="Y12">
        <v>22</v>
      </c>
      <c r="Z12">
        <v>23</v>
      </c>
      <c r="AA12">
        <v>24</v>
      </c>
      <c r="AB12">
        <v>25</v>
      </c>
      <c r="AC12">
        <v>26</v>
      </c>
      <c r="AD12">
        <v>27</v>
      </c>
      <c r="AE12">
        <v>28</v>
      </c>
      <c r="AF12">
        <v>29</v>
      </c>
      <c r="AG12">
        <v>30</v>
      </c>
      <c r="AH12">
        <v>31</v>
      </c>
      <c r="AI12">
        <v>32</v>
      </c>
      <c r="AJ12">
        <v>33</v>
      </c>
      <c r="AK12">
        <v>34</v>
      </c>
      <c r="AL12">
        <v>35</v>
      </c>
      <c r="AM12">
        <v>36</v>
      </c>
      <c r="AN12">
        <v>37</v>
      </c>
      <c r="AO12">
        <v>38</v>
      </c>
      <c r="AP12">
        <v>39</v>
      </c>
      <c r="AQ12">
        <v>40</v>
      </c>
      <c r="AR12">
        <v>41</v>
      </c>
      <c r="AS12">
        <v>42</v>
      </c>
      <c r="AT12">
        <v>43</v>
      </c>
      <c r="AU12">
        <v>44</v>
      </c>
      <c r="AV12">
        <v>45</v>
      </c>
      <c r="AW12">
        <v>46</v>
      </c>
      <c r="AX12">
        <v>47</v>
      </c>
      <c r="AY12">
        <v>48</v>
      </c>
      <c r="AZ12">
        <v>49</v>
      </c>
      <c r="BA12">
        <v>50</v>
      </c>
      <c r="BB12">
        <v>51</v>
      </c>
      <c r="BC12">
        <v>52</v>
      </c>
      <c r="BD12">
        <v>53</v>
      </c>
      <c r="BE12">
        <v>54</v>
      </c>
      <c r="BF12">
        <v>55</v>
      </c>
      <c r="BG12">
        <v>56</v>
      </c>
      <c r="BH12">
        <v>57</v>
      </c>
      <c r="BI12">
        <v>58</v>
      </c>
      <c r="BJ12">
        <v>59</v>
      </c>
      <c r="BK12">
        <v>60</v>
      </c>
      <c r="BL12">
        <v>61</v>
      </c>
      <c r="BM12">
        <v>62</v>
      </c>
      <c r="BN12">
        <v>63</v>
      </c>
      <c r="BO12">
        <v>64</v>
      </c>
      <c r="BP12">
        <v>65</v>
      </c>
      <c r="BQ12">
        <v>66</v>
      </c>
      <c r="BR12">
        <v>67</v>
      </c>
      <c r="BS12">
        <v>68</v>
      </c>
      <c r="BT12">
        <v>69</v>
      </c>
      <c r="BU12">
        <v>70</v>
      </c>
      <c r="BV12">
        <v>71</v>
      </c>
      <c r="BW12">
        <v>72</v>
      </c>
      <c r="BX12">
        <v>73</v>
      </c>
      <c r="BY12">
        <v>74</v>
      </c>
      <c r="BZ12">
        <v>75</v>
      </c>
      <c r="CA12">
        <v>76</v>
      </c>
      <c r="CB12">
        <v>77</v>
      </c>
      <c r="CC12">
        <v>78</v>
      </c>
      <c r="CD12">
        <v>79</v>
      </c>
      <c r="CE12">
        <v>80</v>
      </c>
      <c r="CF12">
        <v>81</v>
      </c>
      <c r="CG12">
        <v>82</v>
      </c>
      <c r="CH12">
        <v>83</v>
      </c>
      <c r="CI12">
        <v>84</v>
      </c>
    </row>
    <row r="13" spans="1:87" x14ac:dyDescent="0.25">
      <c r="B13" s="2" t="s">
        <v>3</v>
      </c>
      <c r="C13">
        <v>8.6</v>
      </c>
      <c r="I13" s="3">
        <v>6.617920459990418</v>
      </c>
      <c r="P13" s="3">
        <v>5.6509183836447852</v>
      </c>
      <c r="T13" s="3">
        <v>5.4924985359101308</v>
      </c>
      <c r="AE13" s="3">
        <v>3.8419102379811534</v>
      </c>
      <c r="AP13" s="3">
        <v>3.405111004631848</v>
      </c>
      <c r="BA13" s="3">
        <v>2.6899323856678912</v>
      </c>
      <c r="BL13" s="3">
        <v>2.3483682052920196</v>
      </c>
      <c r="BW13" s="3">
        <v>2.022371293190651</v>
      </c>
      <c r="CI13" s="3">
        <v>1.6437203854549327</v>
      </c>
    </row>
    <row r="14" spans="1:87" x14ac:dyDescent="0.25">
      <c r="B14" s="2" t="s">
        <v>4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</row>
    <row r="15" spans="1:87" x14ac:dyDescent="0.25">
      <c r="B15" s="2" t="s">
        <v>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</row>
    <row r="16" spans="1:87" x14ac:dyDescent="0.25">
      <c r="B16" s="2" t="s">
        <v>6</v>
      </c>
      <c r="C16">
        <v>0</v>
      </c>
      <c r="I16" s="3">
        <v>2.3886599584730877</v>
      </c>
      <c r="P16" s="3">
        <v>3.0836927008465103</v>
      </c>
      <c r="T16" s="3">
        <v>3.3872544321993292</v>
      </c>
      <c r="AE16" s="3">
        <v>3.9325666826385564</v>
      </c>
      <c r="AP16" s="3">
        <v>4.0836607570675607</v>
      </c>
      <c r="BA16" s="3">
        <v>4.2223925890432836</v>
      </c>
      <c r="BL16" s="3">
        <v>4.1351701006229042</v>
      </c>
      <c r="BW16" s="3">
        <v>4.0534419421817605</v>
      </c>
      <c r="CI16" s="3">
        <v>4.2065963903529795</v>
      </c>
    </row>
    <row r="17" spans="2:87" x14ac:dyDescent="0.25">
      <c r="B17" s="2" t="s">
        <v>7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</row>
    <row r="18" spans="2:87" x14ac:dyDescent="0.25">
      <c r="B18" s="2" t="s">
        <v>8</v>
      </c>
      <c r="C18">
        <v>0</v>
      </c>
      <c r="I18" s="3">
        <v>0.39318798913911518</v>
      </c>
      <c r="P18" s="3">
        <v>0.87737581855933555</v>
      </c>
      <c r="T18" s="3">
        <v>0.87291167545120596</v>
      </c>
      <c r="AE18" s="3">
        <v>1.3773598466698611</v>
      </c>
      <c r="AP18" s="3">
        <v>1.5205558217537134</v>
      </c>
      <c r="BA18" s="3">
        <v>1.6761140392908482</v>
      </c>
      <c r="BL18" s="3">
        <v>1.7715780226800832</v>
      </c>
      <c r="BW18" s="3">
        <v>1.7564686152371827</v>
      </c>
      <c r="CI18" s="3">
        <v>1.7423893946653888</v>
      </c>
    </row>
    <row r="19" spans="2:87" x14ac:dyDescent="0.25">
      <c r="B19" s="2" t="s">
        <v>9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</row>
    <row r="20" spans="2:87" x14ac:dyDescent="0.25">
      <c r="B20" s="2" t="s">
        <v>10</v>
      </c>
      <c r="C20">
        <v>0</v>
      </c>
      <c r="I20" s="3">
        <v>0</v>
      </c>
      <c r="P20" s="3">
        <v>2.3522600223606454E-2</v>
      </c>
      <c r="T20" s="3">
        <v>2.4999201405526274E-2</v>
      </c>
      <c r="AE20" s="3">
        <v>5.2264813927487622E-2</v>
      </c>
      <c r="AP20" s="3">
        <v>6.9571953362082745E-2</v>
      </c>
      <c r="BA20" s="3">
        <v>8.1831177128254287E-2</v>
      </c>
      <c r="BL20" s="3">
        <v>9.3249081616355228E-2</v>
      </c>
      <c r="BW20" s="3">
        <v>8.9626257786296126E-2</v>
      </c>
      <c r="CI20" s="3">
        <v>9.5292285577383812E-2</v>
      </c>
    </row>
    <row r="21" spans="2:87" x14ac:dyDescent="0.25">
      <c r="B21" s="2" t="s">
        <v>13</v>
      </c>
      <c r="C21">
        <v>86</v>
      </c>
    </row>
    <row r="23" spans="2:87" x14ac:dyDescent="0.25">
      <c r="B23" s="2" t="s">
        <v>11</v>
      </c>
      <c r="D23" t="s">
        <v>12</v>
      </c>
    </row>
    <row r="24" spans="2:87" x14ac:dyDescent="0.25">
      <c r="C24" t="s">
        <v>17</v>
      </c>
      <c r="D24" s="2" t="s">
        <v>18</v>
      </c>
      <c r="E24" s="2" t="s">
        <v>19</v>
      </c>
      <c r="F24" s="2" t="s">
        <v>20</v>
      </c>
      <c r="G24" s="2" t="s">
        <v>21</v>
      </c>
      <c r="I24" s="9" t="s">
        <v>34</v>
      </c>
    </row>
    <row r="25" spans="2:87" x14ac:dyDescent="0.25">
      <c r="B25">
        <v>1</v>
      </c>
      <c r="C25">
        <v>0</v>
      </c>
      <c r="D25">
        <v>8.6</v>
      </c>
      <c r="E25">
        <v>0</v>
      </c>
      <c r="F25">
        <v>0</v>
      </c>
      <c r="G25">
        <v>0</v>
      </c>
      <c r="I25">
        <f>SUM(D25:G25)</f>
        <v>8.6</v>
      </c>
    </row>
    <row r="26" spans="2:87" x14ac:dyDescent="0.25">
      <c r="B26">
        <v>2</v>
      </c>
      <c r="C26">
        <v>6.2866666666666671</v>
      </c>
      <c r="D26">
        <v>6.617920459990418</v>
      </c>
      <c r="E26">
        <v>2.3886599584730877</v>
      </c>
      <c r="F26">
        <v>0.39318798913911518</v>
      </c>
      <c r="G26">
        <v>0</v>
      </c>
      <c r="I26">
        <f t="shared" ref="I26:I34" si="0">SUM(D26:G26)</f>
        <v>9.39976840760262</v>
      </c>
    </row>
    <row r="27" spans="2:87" x14ac:dyDescent="0.25">
      <c r="B27">
        <v>3</v>
      </c>
      <c r="C27">
        <v>12.719999999999999</v>
      </c>
      <c r="D27">
        <v>5.6509183836447852</v>
      </c>
      <c r="E27">
        <v>3.0836927008465103</v>
      </c>
      <c r="F27">
        <v>0.87737581855933555</v>
      </c>
      <c r="G27">
        <v>2.3522600223606454E-2</v>
      </c>
      <c r="I27">
        <f t="shared" si="0"/>
        <v>9.6355095032742355</v>
      </c>
    </row>
    <row r="28" spans="2:87" x14ac:dyDescent="0.25">
      <c r="B28">
        <v>4</v>
      </c>
      <c r="C28">
        <v>16.853333333333332</v>
      </c>
      <c r="D28">
        <v>5.4924985359101308</v>
      </c>
      <c r="E28">
        <v>3.3872544321993292</v>
      </c>
      <c r="F28">
        <v>0.87291167545120596</v>
      </c>
      <c r="G28">
        <v>2.4999201405526274E-2</v>
      </c>
      <c r="I28">
        <f t="shared" si="0"/>
        <v>9.7776638449661935</v>
      </c>
    </row>
    <row r="29" spans="2:87" x14ac:dyDescent="0.25">
      <c r="B29">
        <v>5</v>
      </c>
      <c r="C29">
        <v>27.97</v>
      </c>
      <c r="D29">
        <v>3.8419102379811534</v>
      </c>
      <c r="E29">
        <v>3.9325666826385564</v>
      </c>
      <c r="F29">
        <v>1.3773598466698611</v>
      </c>
      <c r="G29">
        <v>5.2264813927487622E-2</v>
      </c>
      <c r="I29">
        <f t="shared" si="0"/>
        <v>9.2041015812170599</v>
      </c>
    </row>
    <row r="30" spans="2:87" x14ac:dyDescent="0.25">
      <c r="B30">
        <v>6</v>
      </c>
      <c r="C30">
        <v>39.103333333333339</v>
      </c>
      <c r="D30">
        <v>3.405111004631848</v>
      </c>
      <c r="E30">
        <v>4.0836607570675607</v>
      </c>
      <c r="F30">
        <v>1.5205558217537134</v>
      </c>
      <c r="G30">
        <v>6.9571953362082745E-2</v>
      </c>
      <c r="I30">
        <f t="shared" si="0"/>
        <v>9.0788995368152055</v>
      </c>
    </row>
    <row r="31" spans="2:87" x14ac:dyDescent="0.25">
      <c r="B31">
        <v>7</v>
      </c>
      <c r="C31">
        <v>50.203333333333333</v>
      </c>
      <c r="D31">
        <v>2.6899323856678912</v>
      </c>
      <c r="E31">
        <v>4.2223925890432836</v>
      </c>
      <c r="F31">
        <v>1.6761140392908482</v>
      </c>
      <c r="G31">
        <v>8.1831177128254287E-2</v>
      </c>
      <c r="I31">
        <f t="shared" si="0"/>
        <v>8.6702701911302782</v>
      </c>
    </row>
    <row r="32" spans="2:87" x14ac:dyDescent="0.25">
      <c r="B32">
        <v>8</v>
      </c>
      <c r="C32">
        <v>61.32</v>
      </c>
      <c r="D32">
        <v>2.3483682052920196</v>
      </c>
      <c r="E32">
        <v>4.1351701006229042</v>
      </c>
      <c r="F32">
        <v>1.7715780226800832</v>
      </c>
      <c r="G32">
        <v>9.3249081616355228E-2</v>
      </c>
      <c r="I32">
        <f t="shared" si="0"/>
        <v>8.3483654102113611</v>
      </c>
    </row>
    <row r="33" spans="2:9" x14ac:dyDescent="0.25">
      <c r="B33">
        <v>9</v>
      </c>
      <c r="C33">
        <v>72.426666666666677</v>
      </c>
      <c r="D33">
        <v>2.022371293190651</v>
      </c>
      <c r="E33">
        <v>4.0534419421817605</v>
      </c>
      <c r="F33">
        <v>1.7564686152371827</v>
      </c>
      <c r="G33">
        <v>8.9626257786296126E-2</v>
      </c>
      <c r="I33">
        <f t="shared" si="0"/>
        <v>7.9219081083958907</v>
      </c>
    </row>
    <row r="34" spans="2:9" x14ac:dyDescent="0.25">
      <c r="B34">
        <v>10</v>
      </c>
      <c r="C34">
        <v>83.553333333333327</v>
      </c>
      <c r="D34">
        <v>1.6437203854549327</v>
      </c>
      <c r="E34">
        <v>4.2065963903529795</v>
      </c>
      <c r="F34">
        <v>1.7423893946653888</v>
      </c>
      <c r="G34">
        <v>9.5292285577383812E-2</v>
      </c>
      <c r="I34">
        <f t="shared" si="0"/>
        <v>7.6879984560506847</v>
      </c>
    </row>
    <row r="36" spans="2:9" x14ac:dyDescent="0.25">
      <c r="I36">
        <f>AVERAGE(I25:I34)</f>
        <v>8.8324485039663525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1"/>
  <sheetViews>
    <sheetView topLeftCell="A14" zoomScale="80" zoomScaleNormal="80" workbookViewId="0">
      <selection activeCell="B8" sqref="B8"/>
    </sheetView>
  </sheetViews>
  <sheetFormatPr defaultRowHeight="15" x14ac:dyDescent="0.25"/>
  <cols>
    <col min="2" max="2" width="10" customWidth="1"/>
    <col min="6" max="6" width="10" bestFit="1" customWidth="1"/>
    <col min="7" max="7" width="11" bestFit="1" customWidth="1"/>
  </cols>
  <sheetData>
    <row r="1" spans="1:87" x14ac:dyDescent="0.25">
      <c r="A1" t="s">
        <v>35</v>
      </c>
    </row>
    <row r="2" spans="1:87" x14ac:dyDescent="0.25">
      <c r="A2" t="s">
        <v>40</v>
      </c>
    </row>
    <row r="3" spans="1:87" x14ac:dyDescent="0.25">
      <c r="D3" t="s">
        <v>39</v>
      </c>
    </row>
    <row r="4" spans="1:87" ht="15.75" x14ac:dyDescent="0.25">
      <c r="B4" t="s">
        <v>14</v>
      </c>
      <c r="C4">
        <v>86</v>
      </c>
      <c r="D4" s="5" t="s">
        <v>24</v>
      </c>
      <c r="E4" s="1" t="s">
        <v>22</v>
      </c>
      <c r="F4">
        <f>Diff!$F$4</f>
        <v>2.3491824950970565E-4</v>
      </c>
      <c r="G4" s="8" t="s">
        <v>32</v>
      </c>
    </row>
    <row r="5" spans="1:87" ht="15.75" x14ac:dyDescent="0.25">
      <c r="B5" t="s">
        <v>15</v>
      </c>
      <c r="C5">
        <v>8.6</v>
      </c>
      <c r="D5" s="5" t="s">
        <v>24</v>
      </c>
      <c r="E5" s="1" t="s">
        <v>23</v>
      </c>
      <c r="F5">
        <f>Diff!$F$5</f>
        <v>4.5849912564758528E-3</v>
      </c>
      <c r="G5" s="8" t="s">
        <v>32</v>
      </c>
    </row>
    <row r="6" spans="1:87" ht="15.75" x14ac:dyDescent="0.25">
      <c r="E6" s="1" t="s">
        <v>25</v>
      </c>
      <c r="F6">
        <f>Diff!$F$6</f>
        <v>0.22423570190266068</v>
      </c>
      <c r="G6" s="8" t="s">
        <v>33</v>
      </c>
    </row>
    <row r="8" spans="1:87" x14ac:dyDescent="0.25">
      <c r="B8" t="s">
        <v>38</v>
      </c>
    </row>
    <row r="11" spans="1:87" x14ac:dyDescent="0.25">
      <c r="C11" t="s">
        <v>2</v>
      </c>
    </row>
    <row r="12" spans="1:87" x14ac:dyDescent="0.25">
      <c r="B12" t="s">
        <v>1</v>
      </c>
      <c r="C12">
        <v>0</v>
      </c>
      <c r="D12">
        <v>1</v>
      </c>
      <c r="E12">
        <v>2</v>
      </c>
      <c r="F12">
        <v>3</v>
      </c>
      <c r="G12">
        <v>4</v>
      </c>
      <c r="H12">
        <v>5</v>
      </c>
      <c r="I12">
        <v>6</v>
      </c>
      <c r="J12">
        <v>7</v>
      </c>
      <c r="K12">
        <v>8</v>
      </c>
      <c r="L12">
        <v>9</v>
      </c>
      <c r="M12">
        <v>10</v>
      </c>
      <c r="N12">
        <v>11</v>
      </c>
      <c r="O12">
        <v>12</v>
      </c>
      <c r="P12">
        <v>13</v>
      </c>
      <c r="Q12">
        <v>14</v>
      </c>
      <c r="R12">
        <v>15</v>
      </c>
      <c r="S12">
        <v>16</v>
      </c>
      <c r="T12">
        <v>17</v>
      </c>
      <c r="U12">
        <v>18</v>
      </c>
      <c r="V12">
        <v>19</v>
      </c>
      <c r="W12">
        <v>20</v>
      </c>
      <c r="X12">
        <v>21</v>
      </c>
      <c r="Y12">
        <v>22</v>
      </c>
      <c r="Z12">
        <v>23</v>
      </c>
      <c r="AA12">
        <v>24</v>
      </c>
      <c r="AB12">
        <v>25</v>
      </c>
      <c r="AC12">
        <v>26</v>
      </c>
      <c r="AD12">
        <v>27</v>
      </c>
      <c r="AE12">
        <v>28</v>
      </c>
      <c r="AF12">
        <v>29</v>
      </c>
      <c r="AG12">
        <v>30</v>
      </c>
      <c r="AH12">
        <v>31</v>
      </c>
      <c r="AI12">
        <v>32</v>
      </c>
      <c r="AJ12">
        <v>33</v>
      </c>
      <c r="AK12">
        <v>34</v>
      </c>
      <c r="AL12">
        <v>35</v>
      </c>
      <c r="AM12">
        <v>36</v>
      </c>
      <c r="AN12">
        <v>37</v>
      </c>
      <c r="AO12">
        <v>38</v>
      </c>
      <c r="AP12">
        <v>39</v>
      </c>
      <c r="AQ12">
        <v>40</v>
      </c>
      <c r="AR12">
        <v>41</v>
      </c>
      <c r="AS12">
        <v>42</v>
      </c>
      <c r="AT12">
        <v>43</v>
      </c>
      <c r="AU12">
        <v>44</v>
      </c>
      <c r="AV12">
        <v>45</v>
      </c>
      <c r="AW12">
        <v>46</v>
      </c>
      <c r="AX12">
        <v>47</v>
      </c>
      <c r="AY12">
        <v>48</v>
      </c>
      <c r="AZ12">
        <v>49</v>
      </c>
      <c r="BA12">
        <v>50</v>
      </c>
      <c r="BB12">
        <v>51</v>
      </c>
      <c r="BC12">
        <v>52</v>
      </c>
      <c r="BD12">
        <v>53</v>
      </c>
      <c r="BE12">
        <v>54</v>
      </c>
      <c r="BF12">
        <v>55</v>
      </c>
      <c r="BG12">
        <v>56</v>
      </c>
      <c r="BH12">
        <v>57</v>
      </c>
      <c r="BI12">
        <v>58</v>
      </c>
      <c r="BJ12">
        <v>59</v>
      </c>
      <c r="BK12">
        <v>60</v>
      </c>
      <c r="BL12">
        <v>61</v>
      </c>
      <c r="BM12">
        <v>62</v>
      </c>
      <c r="BN12">
        <v>63</v>
      </c>
      <c r="BO12">
        <v>64</v>
      </c>
      <c r="BP12">
        <v>65</v>
      </c>
      <c r="BQ12">
        <v>66</v>
      </c>
      <c r="BR12">
        <v>67</v>
      </c>
      <c r="BS12">
        <v>68</v>
      </c>
      <c r="BT12">
        <v>69</v>
      </c>
      <c r="BU12">
        <v>70</v>
      </c>
      <c r="BV12">
        <v>71</v>
      </c>
      <c r="BW12">
        <v>72</v>
      </c>
      <c r="BX12">
        <v>73</v>
      </c>
      <c r="BY12">
        <v>74</v>
      </c>
      <c r="BZ12">
        <v>75</v>
      </c>
      <c r="CA12">
        <v>76</v>
      </c>
      <c r="CB12">
        <v>77</v>
      </c>
      <c r="CC12">
        <v>78</v>
      </c>
      <c r="CD12">
        <v>79</v>
      </c>
      <c r="CE12">
        <v>80</v>
      </c>
      <c r="CF12">
        <v>81</v>
      </c>
      <c r="CG12">
        <v>82</v>
      </c>
      <c r="CH12">
        <v>83</v>
      </c>
      <c r="CI12">
        <v>84</v>
      </c>
    </row>
    <row r="13" spans="1:87" x14ac:dyDescent="0.25">
      <c r="B13" s="2" t="s">
        <v>3</v>
      </c>
      <c r="C13" s="3">
        <v>8.6</v>
      </c>
      <c r="D13">
        <f>C13-($F$4*C13*C21)</f>
        <v>8.4262544626626212</v>
      </c>
      <c r="E13">
        <f>D13-($F$4*D13*D21)</f>
        <v>8.2563630270905151</v>
      </c>
      <c r="F13">
        <f t="shared" ref="F13:BP13" si="0">E13-($F$4*E13*E21)</f>
        <v>8.0902264851051058</v>
      </c>
      <c r="G13">
        <f t="shared" si="0"/>
        <v>7.9277487324155915</v>
      </c>
      <c r="H13">
        <f t="shared" si="0"/>
        <v>7.7688366494175467</v>
      </c>
      <c r="I13" s="3">
        <f t="shared" si="0"/>
        <v>7.613399987479875</v>
      </c>
      <c r="J13">
        <f t="shared" si="0"/>
        <v>7.4613512604263974</v>
      </c>
      <c r="K13">
        <f t="shared" si="0"/>
        <v>7.3126056409361793</v>
      </c>
      <c r="L13">
        <f t="shared" si="0"/>
        <v>7.1670808616033641</v>
      </c>
      <c r="M13">
        <f t="shared" si="0"/>
        <v>7.0246971204127666</v>
      </c>
      <c r="N13">
        <f t="shared" si="0"/>
        <v>6.8853769904019835</v>
      </c>
      <c r="O13">
        <f t="shared" si="0"/>
        <v>6.7490453332942781</v>
      </c>
      <c r="P13" s="3">
        <f t="shared" si="0"/>
        <v>6.6156292168991362</v>
      </c>
      <c r="Q13">
        <f t="shared" si="0"/>
        <v>6.4850578360891769</v>
      </c>
      <c r="R13">
        <f t="shared" si="0"/>
        <v>6.3572624371731488</v>
      </c>
      <c r="S13">
        <f t="shared" si="0"/>
        <v>6.2321762454950633</v>
      </c>
      <c r="T13" s="3">
        <f t="shared" si="0"/>
        <v>6.109734396099177</v>
      </c>
      <c r="U13">
        <f t="shared" si="0"/>
        <v>5.9898738673095826</v>
      </c>
      <c r="V13">
        <f t="shared" si="0"/>
        <v>5.8725334170816605</v>
      </c>
      <c r="W13">
        <f t="shared" si="0"/>
        <v>5.7576535219905658</v>
      </c>
      <c r="X13">
        <f t="shared" si="0"/>
        <v>5.645176318729404</v>
      </c>
      <c r="Y13">
        <f t="shared" si="0"/>
        <v>5.5350455479967238</v>
      </c>
      <c r="Z13">
        <f t="shared" si="0"/>
        <v>5.4272065006595236</v>
      </c>
      <c r="AA13">
        <f t="shared" si="0"/>
        <v>5.3216059660841397</v>
      </c>
      <c r="AB13">
        <f t="shared" si="0"/>
        <v>5.2181921825331594</v>
      </c>
      <c r="AC13">
        <f t="shared" si="0"/>
        <v>5.1169147895319584</v>
      </c>
      <c r="AD13">
        <f t="shared" si="0"/>
        <v>5.0177247821135689</v>
      </c>
      <c r="AE13" s="3">
        <f t="shared" si="0"/>
        <v>4.9205744668554079</v>
      </c>
      <c r="AF13">
        <f t="shared" si="0"/>
        <v>4.8254174196259161</v>
      </c>
      <c r="AG13">
        <f t="shared" si="0"/>
        <v>4.7322084449634296</v>
      </c>
      <c r="AH13">
        <f t="shared" si="0"/>
        <v>4.6409035370136147</v>
      </c>
      <c r="AI13">
        <f t="shared" si="0"/>
        <v>4.5514598419555936</v>
      </c>
      <c r="AJ13">
        <f t="shared" si="0"/>
        <v>4.4638356218504418</v>
      </c>
      <c r="AK13">
        <f t="shared" si="0"/>
        <v>4.377990219849111</v>
      </c>
      <c r="AL13">
        <f t="shared" si="0"/>
        <v>4.293884026699998</v>
      </c>
      <c r="AM13">
        <f t="shared" si="0"/>
        <v>4.2114784484993804</v>
      </c>
      <c r="AN13">
        <f t="shared" si="0"/>
        <v>4.1307358756307613</v>
      </c>
      <c r="AO13">
        <f t="shared" si="0"/>
        <v>4.0516196528418327</v>
      </c>
      <c r="AP13" s="3">
        <f t="shared" si="0"/>
        <v>3.9740940504102964</v>
      </c>
      <c r="AQ13">
        <f t="shared" si="0"/>
        <v>3.8981242363521571</v>
      </c>
      <c r="AR13">
        <f t="shared" si="0"/>
        <v>3.8236762496283547</v>
      </c>
      <c r="AS13">
        <f t="shared" si="0"/>
        <v>3.7507169743077391</v>
      </c>
      <c r="AT13">
        <f t="shared" si="0"/>
        <v>3.6792141146463995</v>
      </c>
      <c r="AU13">
        <f t="shared" si="0"/>
        <v>3.6091361710452712</v>
      </c>
      <c r="AV13">
        <f t="shared" si="0"/>
        <v>3.5404524168497473</v>
      </c>
      <c r="AW13">
        <f t="shared" si="0"/>
        <v>3.4731328759567304</v>
      </c>
      <c r="AX13">
        <f t="shared" si="0"/>
        <v>3.4071483011961816</v>
      </c>
      <c r="AY13">
        <f t="shared" si="0"/>
        <v>3.3424701534557584</v>
      </c>
      <c r="AZ13">
        <f t="shared" si="0"/>
        <v>3.2790705815185848</v>
      </c>
      <c r="BA13" s="3">
        <f t="shared" si="0"/>
        <v>3.2169224025855785</v>
      </c>
      <c r="BB13">
        <f t="shared" si="0"/>
        <v>3.1559990834550691</v>
      </c>
      <c r="BC13">
        <f t="shared" si="0"/>
        <v>3.0962747223336793</v>
      </c>
      <c r="BD13">
        <f t="shared" si="0"/>
        <v>3.0377240312536236</v>
      </c>
      <c r="BE13">
        <f t="shared" si="0"/>
        <v>2.980322319072688</v>
      </c>
      <c r="BF13">
        <f t="shared" si="0"/>
        <v>2.924045475034232</v>
      </c>
      <c r="BG13">
        <f t="shared" si="0"/>
        <v>2.8688699528655439</v>
      </c>
      <c r="BH13">
        <f t="shared" si="0"/>
        <v>2.8147727553938546</v>
      </c>
      <c r="BI13">
        <f t="shared" si="0"/>
        <v>2.7617314196602174</v>
      </c>
      <c r="BJ13">
        <f t="shared" si="0"/>
        <v>2.709724002512329</v>
      </c>
      <c r="BK13">
        <f t="shared" si="0"/>
        <v>2.6587290666581924</v>
      </c>
      <c r="BL13" s="3">
        <f t="shared" si="0"/>
        <v>2.6087256671633061</v>
      </c>
      <c r="BM13">
        <f t="shared" si="0"/>
        <v>2.559693338374804</v>
      </c>
      <c r="BN13">
        <f t="shared" si="0"/>
        <v>2.5116120812566871</v>
      </c>
      <c r="BO13">
        <f t="shared" si="0"/>
        <v>2.4644623511209618</v>
      </c>
      <c r="BP13">
        <f t="shared" si="0"/>
        <v>2.4182250457401357</v>
      </c>
      <c r="BQ13">
        <f t="shared" ref="BQ13:CI13" si="1">BP13-($F$4*BP13*BP21)</f>
        <v>2.3728814938271476</v>
      </c>
      <c r="BR13">
        <f t="shared" si="1"/>
        <v>2.3284134438693798</v>
      </c>
      <c r="BS13">
        <f t="shared" si="1"/>
        <v>2.284803053303964</v>
      </c>
      <c r="BT13">
        <f t="shared" si="1"/>
        <v>2.2420328780221199</v>
      </c>
      <c r="BU13">
        <f t="shared" si="1"/>
        <v>2.2000858621907744</v>
      </c>
      <c r="BV13">
        <f t="shared" si="1"/>
        <v>2.1589453283801863</v>
      </c>
      <c r="BW13" s="3">
        <f t="shared" si="1"/>
        <v>2.1185949679867653</v>
      </c>
      <c r="BX13">
        <f t="shared" si="1"/>
        <v>2.0790188319407132</v>
      </c>
      <c r="BY13">
        <f t="shared" si="1"/>
        <v>2.0402013216885329</v>
      </c>
      <c r="BZ13">
        <f t="shared" si="1"/>
        <v>2.0021271804408496</v>
      </c>
      <c r="CA13">
        <f t="shared" si="1"/>
        <v>1.9647814846763754</v>
      </c>
      <c r="CB13">
        <f t="shared" si="1"/>
        <v>1.9281496358932055</v>
      </c>
      <c r="CC13">
        <f t="shared" si="1"/>
        <v>1.8922173525989918</v>
      </c>
      <c r="CD13">
        <f t="shared" si="1"/>
        <v>1.8569706625318645</v>
      </c>
      <c r="CE13">
        <f t="shared" si="1"/>
        <v>1.8223958951042964</v>
      </c>
      <c r="CF13">
        <f t="shared" si="1"/>
        <v>1.7884796740624069</v>
      </c>
      <c r="CG13">
        <f t="shared" si="1"/>
        <v>1.7552089103534905</v>
      </c>
      <c r="CH13">
        <f t="shared" si="1"/>
        <v>1.7225707951948404</v>
      </c>
      <c r="CI13" s="3">
        <f t="shared" si="1"/>
        <v>1.6905527933371953</v>
      </c>
    </row>
    <row r="14" spans="1:87" x14ac:dyDescent="0.25">
      <c r="B14" s="2" t="s">
        <v>4</v>
      </c>
      <c r="C14">
        <v>0</v>
      </c>
      <c r="D14" s="4">
        <f>C14+($F$4*C13*C21)-($F$4*C14*C13)-($F$5*C14*C21)</f>
        <v>0.1737455373373783</v>
      </c>
      <c r="E14" s="4">
        <f>D14+($F$4*D13*D21)-($F$4*D14*D13)-($F$5*D14*D21)</f>
        <v>0.27492198422513048</v>
      </c>
      <c r="F14" s="6">
        <f t="shared" ref="F14:BP14" si="2">E14+($F$4*E13*E21)-($F$4*E14*E13)-($F$5*E14*E21)</f>
        <v>0.33255417432978618</v>
      </c>
      <c r="G14" s="6">
        <f t="shared" si="2"/>
        <v>0.36404798871306204</v>
      </c>
      <c r="H14" s="6">
        <f t="shared" si="2"/>
        <v>0.37985668273798451</v>
      </c>
      <c r="I14" s="6">
        <f t="shared" si="2"/>
        <v>0.38626667450309382</v>
      </c>
      <c r="J14" s="6">
        <f t="shared" si="2"/>
        <v>0.38706332891706613</v>
      </c>
      <c r="K14" s="6">
        <f t="shared" si="2"/>
        <v>0.38452859009414175</v>
      </c>
      <c r="L14" s="6">
        <f t="shared" si="2"/>
        <v>0.38003937597639026</v>
      </c>
      <c r="M14" s="6">
        <f t="shared" si="2"/>
        <v>0.37442704157398843</v>
      </c>
      <c r="N14" s="6">
        <f t="shared" si="2"/>
        <v>0.36819362868892891</v>
      </c>
      <c r="O14" s="6">
        <f t="shared" si="2"/>
        <v>0.36164214528587796</v>
      </c>
      <c r="P14" s="6">
        <f t="shared" si="2"/>
        <v>0.3549551613143932</v>
      </c>
      <c r="Q14" s="6">
        <f t="shared" si="2"/>
        <v>0.34824228878351204</v>
      </c>
      <c r="R14" s="6">
        <f t="shared" si="2"/>
        <v>0.34156890247037497</v>
      </c>
      <c r="S14" s="6">
        <f t="shared" si="2"/>
        <v>0.33497353526831986</v>
      </c>
      <c r="T14" s="6">
        <f t="shared" si="2"/>
        <v>0.32847842704407193</v>
      </c>
      <c r="U14" s="6">
        <f t="shared" si="2"/>
        <v>0.32209592918344143</v>
      </c>
      <c r="V14" s="6">
        <f t="shared" si="2"/>
        <v>0.31583239730116769</v>
      </c>
      <c r="W14" s="6">
        <f t="shared" si="2"/>
        <v>0.30969055965072328</v>
      </c>
      <c r="X14" s="6">
        <f t="shared" si="2"/>
        <v>0.30367095939732708</v>
      </c>
      <c r="Y14" s="6">
        <f t="shared" si="2"/>
        <v>0.29777283352690198</v>
      </c>
      <c r="Z14" s="6">
        <f t="shared" si="2"/>
        <v>0.2919946486760307</v>
      </c>
      <c r="AA14" s="6">
        <f t="shared" si="2"/>
        <v>0.28633442780689766</v>
      </c>
      <c r="AB14" s="6">
        <f t="shared" si="2"/>
        <v>0.28078994924304829</v>
      </c>
      <c r="AC14" s="6">
        <f t="shared" si="2"/>
        <v>0.2753588677392324</v>
      </c>
      <c r="AD14" s="6">
        <f t="shared" si="2"/>
        <v>0.27003878788841312</v>
      </c>
      <c r="AE14" s="6">
        <f t="shared" si="2"/>
        <v>0.26482730837221141</v>
      </c>
      <c r="AF14" s="6">
        <f t="shared" si="2"/>
        <v>0.25972204836840629</v>
      </c>
      <c r="AG14" s="6">
        <f t="shared" si="2"/>
        <v>0.25472066303879987</v>
      </c>
      <c r="AH14" s="6">
        <f t="shared" si="2"/>
        <v>0.24982085233805756</v>
      </c>
      <c r="AI14" s="6">
        <f t="shared" si="2"/>
        <v>0.24502036574314118</v>
      </c>
      <c r="AJ14" s="6">
        <f t="shared" si="2"/>
        <v>0.24031700449814003</v>
      </c>
      <c r="AK14" s="6">
        <f t="shared" si="2"/>
        <v>0.23570862235342643</v>
      </c>
      <c r="AL14" s="6">
        <f t="shared" si="2"/>
        <v>0.23119312540021458</v>
      </c>
      <c r="AM14" s="6">
        <f t="shared" si="2"/>
        <v>0.22676847136957951</v>
      </c>
      <c r="AN14" s="6">
        <f t="shared" si="2"/>
        <v>0.22243266862239841</v>
      </c>
      <c r="AO14" s="6">
        <f t="shared" si="2"/>
        <v>0.21818377496897406</v>
      </c>
      <c r="AP14" s="6">
        <f t="shared" si="2"/>
        <v>0.21401989640312447</v>
      </c>
      <c r="AQ14" s="6">
        <f t="shared" si="2"/>
        <v>0.20993918580229348</v>
      </c>
      <c r="AR14" s="6">
        <f t="shared" si="2"/>
        <v>0.20593984162476861</v>
      </c>
      <c r="AS14" s="6">
        <f t="shared" si="2"/>
        <v>0.20202010662249273</v>
      </c>
      <c r="AT14" s="6">
        <f t="shared" si="2"/>
        <v>0.19817826658020246</v>
      </c>
      <c r="AU14" s="6">
        <f t="shared" si="2"/>
        <v>0.19441264908686456</v>
      </c>
      <c r="AV14" s="6">
        <f t="shared" si="2"/>
        <v>0.19072162234246448</v>
      </c>
      <c r="AW14" s="6">
        <f t="shared" si="2"/>
        <v>0.18710359400142532</v>
      </c>
      <c r="AX14" s="6">
        <f t="shared" si="2"/>
        <v>0.18355701005286174</v>
      </c>
      <c r="AY14" s="6">
        <f t="shared" si="2"/>
        <v>0.18008035373723549</v>
      </c>
      <c r="AZ14" s="6">
        <f t="shared" si="2"/>
        <v>0.17667214449860685</v>
      </c>
      <c r="BA14" s="6">
        <f t="shared" si="2"/>
        <v>0.17333093697147189</v>
      </c>
      <c r="BB14" s="6">
        <f t="shared" si="2"/>
        <v>0.17005532000106835</v>
      </c>
      <c r="BC14" s="6">
        <f t="shared" si="2"/>
        <v>0.16684391569599177</v>
      </c>
      <c r="BD14" s="6">
        <f t="shared" si="2"/>
        <v>0.16369537851195409</v>
      </c>
      <c r="BE14" s="6">
        <f t="shared" si="2"/>
        <v>0.16060839436553609</v>
      </c>
      <c r="BF14" s="6">
        <f t="shared" si="2"/>
        <v>0.15758167977681015</v>
      </c>
      <c r="BG14" s="6">
        <f t="shared" si="2"/>
        <v>0.15461398103974874</v>
      </c>
      <c r="BH14" s="6">
        <f t="shared" si="2"/>
        <v>0.15170407341936964</v>
      </c>
      <c r="BI14" s="6">
        <f t="shared" si="2"/>
        <v>0.14885076037461215</v>
      </c>
      <c r="BJ14" s="6">
        <f t="shared" si="2"/>
        <v>0.14605287280597742</v>
      </c>
      <c r="BK14" s="6">
        <f t="shared" si="2"/>
        <v>0.14330926832700652</v>
      </c>
      <c r="BL14" s="6">
        <f t="shared" si="2"/>
        <v>0.14061883055870744</v>
      </c>
      <c r="BM14" s="6">
        <f t="shared" si="2"/>
        <v>0.13798046844608125</v>
      </c>
      <c r="BN14" s="6">
        <f t="shared" si="2"/>
        <v>0.1353931155959317</v>
      </c>
      <c r="BO14" s="6">
        <f t="shared" si="2"/>
        <v>0.13285572963517772</v>
      </c>
      <c r="BP14" s="6">
        <f t="shared" si="2"/>
        <v>0.13036729158892116</v>
      </c>
      <c r="BQ14" s="6">
        <f t="shared" ref="BQ14:CI14" si="3">BP14+($F$4*BP13*BP21)-($F$4*BP14*BP13)-($F$5*BP14*BP21)</f>
        <v>0.12792680527755232</v>
      </c>
      <c r="BR14" s="6">
        <f t="shared" si="3"/>
        <v>0.1255332967322072</v>
      </c>
      <c r="BS14" s="6">
        <f t="shared" si="3"/>
        <v>0.12318581362791781</v>
      </c>
      <c r="BT14" s="6">
        <f t="shared" si="3"/>
        <v>0.12088342473382396</v>
      </c>
      <c r="BU14" s="6">
        <f t="shared" si="3"/>
        <v>0.11862521937984191</v>
      </c>
      <c r="BV14" s="6">
        <f t="shared" si="3"/>
        <v>0.11641030693920892</v>
      </c>
      <c r="BW14" s="6">
        <f t="shared" si="3"/>
        <v>0.11423781632634672</v>
      </c>
      <c r="BX14" s="6">
        <f t="shared" si="3"/>
        <v>0.11210689550950985</v>
      </c>
      <c r="BY14" s="6">
        <f t="shared" si="3"/>
        <v>0.11001671103770536</v>
      </c>
      <c r="BZ14" s="6">
        <f t="shared" si="3"/>
        <v>0.10796644758139204</v>
      </c>
      <c r="CA14" s="6">
        <f t="shared" si="3"/>
        <v>0.1059553074864861</v>
      </c>
      <c r="CB14" s="6">
        <f t="shared" si="3"/>
        <v>0.10398251034121928</v>
      </c>
      <c r="CC14" s="6">
        <f t="shared" si="3"/>
        <v>0.10204729255541299</v>
      </c>
      <c r="CD14" s="6">
        <f t="shared" si="3"/>
        <v>0.10014890695174998</v>
      </c>
      <c r="CE14" s="6">
        <f t="shared" si="3"/>
        <v>9.828662236864022E-2</v>
      </c>
      <c r="CF14" s="6">
        <f t="shared" si="3"/>
        <v>9.6459723274293946E-2</v>
      </c>
      <c r="CG14" s="6">
        <f t="shared" si="3"/>
        <v>9.4667509391630267E-2</v>
      </c>
      <c r="CH14" s="6">
        <f t="shared" si="3"/>
        <v>9.29092953336626E-2</v>
      </c>
      <c r="CI14" s="6">
        <f t="shared" si="3"/>
        <v>9.1184410249017328E-2</v>
      </c>
    </row>
    <row r="15" spans="1:87" x14ac:dyDescent="0.25">
      <c r="B15" s="2" t="s">
        <v>5</v>
      </c>
      <c r="C15">
        <v>0</v>
      </c>
      <c r="D15">
        <f>C15+($F$4*C13*C14)-($F$5*C15*C21)-($F$6*C15*C18)</f>
        <v>0</v>
      </c>
      <c r="E15">
        <f t="shared" ref="E15:BP15" si="4">D15+($F$4*D13*D14)-($F$5*D15*D21)-($F$6*D15*D18)</f>
        <v>3.4392598101010504E-4</v>
      </c>
      <c r="F15">
        <f t="shared" si="4"/>
        <v>7.4208519544152209E-4</v>
      </c>
      <c r="G15">
        <f t="shared" si="4"/>
        <v>1.0832417447518736E-3</v>
      </c>
      <c r="H15">
        <f t="shared" si="4"/>
        <v>1.3374159521927428E-3</v>
      </c>
      <c r="I15">
        <f t="shared" si="4"/>
        <v>1.508275751639038E-3</v>
      </c>
      <c r="J15">
        <f t="shared" si="4"/>
        <v>1.6108204396301003E-3</v>
      </c>
      <c r="K15">
        <f t="shared" si="4"/>
        <v>1.6616439216235689E-3</v>
      </c>
      <c r="L15">
        <f t="shared" si="4"/>
        <v>1.6752291429182266E-3</v>
      </c>
      <c r="M15">
        <f t="shared" si="4"/>
        <v>1.6629763088631955E-3</v>
      </c>
      <c r="N15">
        <f t="shared" si="4"/>
        <v>1.6333554135934177E-3</v>
      </c>
      <c r="O15">
        <f t="shared" si="4"/>
        <v>1.5924321362202122E-3</v>
      </c>
      <c r="P15">
        <f t="shared" si="4"/>
        <v>1.54444131116711E-3</v>
      </c>
      <c r="Q15">
        <f t="shared" si="4"/>
        <v>1.4922850598009208E-3</v>
      </c>
      <c r="R15">
        <f t="shared" si="4"/>
        <v>1.4379241799435177E-3</v>
      </c>
      <c r="S15">
        <f t="shared" si="4"/>
        <v>1.3826687917395063E-3</v>
      </c>
      <c r="T15">
        <f t="shared" si="4"/>
        <v>1.3273865064725257E-3</v>
      </c>
      <c r="U15">
        <f t="shared" si="4"/>
        <v>1.2726478017045966E-3</v>
      </c>
      <c r="V15">
        <f t="shared" si="4"/>
        <v>1.2188256398280779E-3</v>
      </c>
      <c r="W15">
        <f t="shared" si="4"/>
        <v>1.1661627073803831E-3</v>
      </c>
      <c r="X15">
        <f t="shared" si="4"/>
        <v>1.1148162191332868E-3</v>
      </c>
      <c r="Y15">
        <f t="shared" si="4"/>
        <v>1.0648874260527216E-3</v>
      </c>
      <c r="Z15">
        <f t="shared" si="4"/>
        <v>1.016440831445895E-3</v>
      </c>
      <c r="AA15">
        <f t="shared" si="4"/>
        <v>9.6951656269496128E-4</v>
      </c>
      <c r="AB15">
        <f t="shared" si="4"/>
        <v>9.2413824202189896E-4</v>
      </c>
      <c r="AC15">
        <f t="shared" si="4"/>
        <v>8.8031793224613145E-4</v>
      </c>
      <c r="AD15">
        <f t="shared" si="4"/>
        <v>8.3805920756298096E-4</v>
      </c>
      <c r="AE15">
        <f t="shared" si="4"/>
        <v>7.973590428496793E-4</v>
      </c>
      <c r="AF15">
        <f t="shared" si="4"/>
        <v>7.5820897533967872E-4</v>
      </c>
      <c r="AG15">
        <f t="shared" si="4"/>
        <v>7.2059583246338033E-4</v>
      </c>
      <c r="AH15">
        <f t="shared" si="4"/>
        <v>6.8450221337569876E-4</v>
      </c>
      <c r="AI15">
        <f t="shared" si="4"/>
        <v>6.4990684147855037E-4</v>
      </c>
      <c r="AJ15">
        <f t="shared" si="4"/>
        <v>6.1678485911636604E-4</v>
      </c>
      <c r="AK15">
        <f t="shared" si="4"/>
        <v>5.8510810552886005E-4</v>
      </c>
      <c r="AL15">
        <f t="shared" si="4"/>
        <v>5.5484539971642564E-4</v>
      </c>
      <c r="AM15">
        <f t="shared" si="4"/>
        <v>5.259628375375192E-4</v>
      </c>
      <c r="AN15">
        <f t="shared" si="4"/>
        <v>4.9842410474141489E-4</v>
      </c>
      <c r="AO15">
        <f t="shared" si="4"/>
        <v>4.7219080316537757E-4</v>
      </c>
      <c r="AP15">
        <f t="shared" si="4"/>
        <v>4.4722278493792753E-4</v>
      </c>
      <c r="AQ15">
        <f t="shared" si="4"/>
        <v>4.2347848851937662E-4</v>
      </c>
      <c r="AR15">
        <f t="shared" si="4"/>
        <v>4.009152702943029E-4</v>
      </c>
      <c r="AS15">
        <f t="shared" si="4"/>
        <v>3.7948972587583725E-4</v>
      </c>
      <c r="AT15">
        <f t="shared" si="4"/>
        <v>3.5915799605766525E-4</v>
      </c>
      <c r="AU15">
        <f t="shared" si="4"/>
        <v>3.3987605329497918E-4</v>
      </c>
      <c r="AV15">
        <f t="shared" si="4"/>
        <v>3.2159996559757168E-4</v>
      </c>
      <c r="AW15">
        <f t="shared" si="4"/>
        <v>3.0428613569936599E-4</v>
      </c>
      <c r="AX15">
        <f t="shared" si="4"/>
        <v>2.8789151427760301E-4</v>
      </c>
      <c r="AY15">
        <f t="shared" si="4"/>
        <v>2.7237378679993316E-4</v>
      </c>
      <c r="AZ15">
        <f t="shared" si="4"/>
        <v>2.5769153426199938E-4</v>
      </c>
      <c r="BA15">
        <f t="shared" si="4"/>
        <v>2.4380436863609623E-4</v>
      </c>
      <c r="BB15">
        <f t="shared" si="4"/>
        <v>2.3067304428567686E-4</v>
      </c>
      <c r="BC15">
        <f t="shared" si="4"/>
        <v>2.1825954691907871E-4</v>
      </c>
      <c r="BD15">
        <f t="shared" si="4"/>
        <v>2.0652716187075554E-4</v>
      </c>
      <c r="BE15">
        <f t="shared" si="4"/>
        <v>1.9544052362345041E-4</v>
      </c>
      <c r="BF15">
        <f t="shared" si="4"/>
        <v>1.8496564853479476E-4</v>
      </c>
      <c r="BG15">
        <f t="shared" si="4"/>
        <v>1.750699527212096E-4</v>
      </c>
      <c r="BH15">
        <f t="shared" si="4"/>
        <v>1.6572225699424076E-4</v>
      </c>
      <c r="BI15">
        <f t="shared" si="4"/>
        <v>1.5689278065177261E-4</v>
      </c>
      <c r="BJ15">
        <f t="shared" si="4"/>
        <v>1.4855312580952564E-4</v>
      </c>
      <c r="BK15">
        <f t="shared" si="4"/>
        <v>1.4067625382579876E-4</v>
      </c>
      <c r="BL15">
        <f t="shared" si="4"/>
        <v>1.3323645523186431E-4</v>
      </c>
      <c r="BM15">
        <f t="shared" si="4"/>
        <v>1.2620931443756291E-4</v>
      </c>
      <c r="BN15">
        <f t="shared" si="4"/>
        <v>1.1957167034089378E-4</v>
      </c>
      <c r="BO15">
        <f t="shared" si="4"/>
        <v>1.1330157383501987E-4</v>
      </c>
      <c r="BP15">
        <f t="shared" si="4"/>
        <v>1.0737824307836347E-4</v>
      </c>
      <c r="BQ15">
        <f t="shared" ref="BQ15:CI15" si="5">BP15+($F$4*BP13*BP14)-($F$5*BP15*BP21)-($F$6*BP15*BP18)</f>
        <v>1.017820172748179E-4</v>
      </c>
      <c r="BR15">
        <f t="shared" si="5"/>
        <v>9.6494309602358061E-5</v>
      </c>
      <c r="BS15">
        <f t="shared" si="5"/>
        <v>9.1497559829811477E-5</v>
      </c>
      <c r="BT15">
        <f t="shared" si="5"/>
        <v>8.6775187073197951E-5</v>
      </c>
      <c r="BU15">
        <f t="shared" si="5"/>
        <v>8.2311543064531013E-5</v>
      </c>
      <c r="BV15">
        <f t="shared" si="5"/>
        <v>7.8091866236787238E-5</v>
      </c>
      <c r="BW15">
        <f t="shared" si="5"/>
        <v>7.4102236868259154E-5</v>
      </c>
      <c r="BX15">
        <f t="shared" si="5"/>
        <v>7.0329533477015164E-5</v>
      </c>
      <c r="BY15">
        <f t="shared" si="5"/>
        <v>6.6761390610974006E-5</v>
      </c>
      <c r="BZ15">
        <f t="shared" si="5"/>
        <v>6.3386158140432775E-5</v>
      </c>
      <c r="CA15">
        <f t="shared" si="5"/>
        <v>6.0192862127069627E-5</v>
      </c>
      <c r="CB15">
        <f t="shared" si="5"/>
        <v>5.7171167315804683E-5</v>
      </c>
      <c r="CC15">
        <f t="shared" si="5"/>
        <v>5.4311341272824815E-5</v>
      </c>
      <c r="CD15">
        <f t="shared" si="5"/>
        <v>5.1604220173988371E-5</v>
      </c>
      <c r="CE15">
        <f t="shared" si="5"/>
        <v>4.9041176232199495E-5</v>
      </c>
      <c r="CF15">
        <f t="shared" si="5"/>
        <v>4.6614086739712219E-5</v>
      </c>
      <c r="CG15">
        <f t="shared" si="5"/>
        <v>4.4315304691266641E-5</v>
      </c>
      <c r="CH15">
        <f t="shared" si="5"/>
        <v>4.2137630946103937E-5</v>
      </c>
      <c r="CI15">
        <f t="shared" si="5"/>
        <v>4.0074287880917844E-5</v>
      </c>
    </row>
    <row r="16" spans="1:87" x14ac:dyDescent="0.25">
      <c r="B16" s="2" t="s">
        <v>6</v>
      </c>
      <c r="C16" s="3">
        <v>0</v>
      </c>
      <c r="D16">
        <f>C16+($F$5*C14*C21)-($F$4*C16*C13)</f>
        <v>0</v>
      </c>
      <c r="E16">
        <f t="shared" ref="E16:BP16" si="6">D16+($F$5*D14*D21)-($F$4*D16*D13)</f>
        <v>6.8371062703343727E-2</v>
      </c>
      <c r="F16">
        <f t="shared" si="6"/>
        <v>0.17620957356903738</v>
      </c>
      <c r="G16">
        <f t="shared" si="6"/>
        <v>0.30622658508367417</v>
      </c>
      <c r="H16">
        <f t="shared" si="6"/>
        <v>0.44808167288531348</v>
      </c>
      <c r="I16" s="3">
        <f t="shared" si="6"/>
        <v>0.5955973211941159</v>
      </c>
      <c r="J16">
        <f t="shared" si="6"/>
        <v>0.74509330396182016</v>
      </c>
      <c r="K16">
        <f t="shared" si="6"/>
        <v>0.8943892095504149</v>
      </c>
      <c r="L16">
        <f t="shared" si="6"/>
        <v>1.0422061954934216</v>
      </c>
      <c r="M16">
        <f t="shared" si="6"/>
        <v>1.1878076673789921</v>
      </c>
      <c r="N16">
        <f t="shared" si="6"/>
        <v>1.3307831643927368</v>
      </c>
      <c r="O16">
        <f t="shared" si="6"/>
        <v>1.4709182087347503</v>
      </c>
      <c r="P16" s="3">
        <f t="shared" si="6"/>
        <v>1.6081158324613891</v>
      </c>
      <c r="Q16">
        <f t="shared" si="6"/>
        <v>1.7423492142837462</v>
      </c>
      <c r="R16">
        <f t="shared" si="6"/>
        <v>1.8736330702537933</v>
      </c>
      <c r="S16">
        <f t="shared" si="6"/>
        <v>2.0020063646264386</v>
      </c>
      <c r="T16" s="3">
        <f t="shared" si="6"/>
        <v>2.127521862303881</v>
      </c>
      <c r="U16">
        <f t="shared" si="6"/>
        <v>2.2502398209423649</v>
      </c>
      <c r="V16">
        <f t="shared" si="6"/>
        <v>2.3702241904897998</v>
      </c>
      <c r="W16">
        <f t="shared" si="6"/>
        <v>2.4875403328481491</v>
      </c>
      <c r="X16">
        <f t="shared" si="6"/>
        <v>2.6022536637136042</v>
      </c>
      <c r="Y16">
        <f t="shared" si="6"/>
        <v>2.7144288540254982</v>
      </c>
      <c r="Z16">
        <f t="shared" si="6"/>
        <v>2.8241293709308226</v>
      </c>
      <c r="AA16">
        <f t="shared" si="6"/>
        <v>2.9314172245212724</v>
      </c>
      <c r="AB16">
        <f t="shared" si="6"/>
        <v>3.0363528389975745</v>
      </c>
      <c r="AC16">
        <f t="shared" si="6"/>
        <v>3.138994998748772</v>
      </c>
      <c r="AD16">
        <f t="shared" si="6"/>
        <v>3.2394008391952567</v>
      </c>
      <c r="AE16" s="3">
        <f t="shared" si="6"/>
        <v>3.3376258640326673</v>
      </c>
      <c r="AF16">
        <f t="shared" si="6"/>
        <v>3.4337239776984547</v>
      </c>
      <c r="AG16">
        <f t="shared" si="6"/>
        <v>3.5277475262657538</v>
      </c>
      <c r="AH16">
        <f t="shared" si="6"/>
        <v>3.6197473426448838</v>
      </c>
      <c r="AI16">
        <f t="shared" si="6"/>
        <v>3.7097727936071956</v>
      </c>
      <c r="AJ16">
        <f t="shared" si="6"/>
        <v>3.7978718271446121</v>
      </c>
      <c r="AK16">
        <f t="shared" si="6"/>
        <v>3.8840910192882618</v>
      </c>
      <c r="AL16">
        <f t="shared" si="6"/>
        <v>3.9684756198819788</v>
      </c>
      <c r="AM16">
        <f t="shared" si="6"/>
        <v>4.051069597033317</v>
      </c>
      <c r="AN16">
        <f t="shared" si="6"/>
        <v>4.1319156801024732</v>
      </c>
      <c r="AO16">
        <f t="shared" si="6"/>
        <v>4.2110554011726586</v>
      </c>
      <c r="AP16" s="3">
        <f t="shared" si="6"/>
        <v>4.2885291349951293</v>
      </c>
      <c r="AQ16">
        <f t="shared" si="6"/>
        <v>4.3643761374312771</v>
      </c>
      <c r="AR16">
        <f t="shared" si="6"/>
        <v>4.4386345824308266</v>
      </c>
      <c r="AS16">
        <f t="shared" si="6"/>
        <v>4.5113415975941988</v>
      </c>
      <c r="AT16">
        <f t="shared" si="6"/>
        <v>4.5825332983714429</v>
      </c>
      <c r="AU16">
        <f t="shared" si="6"/>
        <v>4.6522448209517195</v>
      </c>
      <c r="AV16">
        <f t="shared" si="6"/>
        <v>4.7205103538972057</v>
      </c>
      <c r="AW16">
        <f t="shared" si="6"/>
        <v>4.7873631685742097</v>
      </c>
      <c r="AX16">
        <f t="shared" si="6"/>
        <v>4.8528356484326771</v>
      </c>
      <c r="AY16">
        <f t="shared" si="6"/>
        <v>4.916959317183343</v>
      </c>
      <c r="AZ16">
        <f t="shared" si="6"/>
        <v>4.9797648659197735</v>
      </c>
      <c r="BA16" s="3">
        <f t="shared" si="6"/>
        <v>5.0412821792304552</v>
      </c>
      <c r="BB16">
        <f t="shared" si="6"/>
        <v>5.101540360344047</v>
      </c>
      <c r="BC16">
        <f t="shared" si="6"/>
        <v>5.1605677553489295</v>
      </c>
      <c r="BD16">
        <f t="shared" si="6"/>
        <v>5.2183919765262523</v>
      </c>
      <c r="BE16">
        <f t="shared" si="6"/>
        <v>5.2750399248338518</v>
      </c>
      <c r="BF16">
        <f t="shared" si="6"/>
        <v>5.3305378115766491</v>
      </c>
      <c r="BG16">
        <f t="shared" si="6"/>
        <v>5.3849111792974798</v>
      </c>
      <c r="BH16">
        <f t="shared" si="6"/>
        <v>5.4381849219207083</v>
      </c>
      <c r="BI16">
        <f t="shared" si="6"/>
        <v>5.4903833041794723</v>
      </c>
      <c r="BJ16">
        <f t="shared" si="6"/>
        <v>5.5415299803559694</v>
      </c>
      <c r="BK16">
        <f t="shared" si="6"/>
        <v>5.5916480123628585</v>
      </c>
      <c r="BL16" s="3">
        <f t="shared" si="6"/>
        <v>5.6407598871925204</v>
      </c>
      <c r="BM16">
        <f t="shared" si="6"/>
        <v>5.6888875337597238</v>
      </c>
      <c r="BN16">
        <f t="shared" si="6"/>
        <v>5.736052339162085</v>
      </c>
      <c r="BO16">
        <f t="shared" si="6"/>
        <v>5.7822751643815771</v>
      </c>
      <c r="BP16">
        <f t="shared" si="6"/>
        <v>5.827576359449318</v>
      </c>
      <c r="BQ16">
        <f t="shared" ref="BQ16:CI16" si="7">BP16+($F$5*BP14*BP21)-($F$4*BP16*BP13)</f>
        <v>5.8719757780948676</v>
      </c>
      <c r="BR16">
        <f t="shared" si="7"/>
        <v>5.915492791900296</v>
      </c>
      <c r="BS16">
        <f t="shared" si="7"/>
        <v>5.9581463039784266</v>
      </c>
      <c r="BT16">
        <f t="shared" si="7"/>
        <v>5.9999547621937444</v>
      </c>
      <c r="BU16">
        <f t="shared" si="7"/>
        <v>6.0409361719437031</v>
      </c>
      <c r="BV16">
        <f t="shared" si="7"/>
        <v>6.0811081085173484</v>
      </c>
      <c r="BW16" s="3">
        <f t="shared" si="7"/>
        <v>6.120487729047456</v>
      </c>
      <c r="BX16">
        <f t="shared" si="7"/>
        <v>6.1590917840716823</v>
      </c>
      <c r="BY16">
        <f t="shared" si="7"/>
        <v>6.19693662871755</v>
      </c>
      <c r="BZ16">
        <f t="shared" si="7"/>
        <v>6.2340382335254594</v>
      </c>
      <c r="CA16">
        <f t="shared" si="7"/>
        <v>6.2704121949233125</v>
      </c>
      <c r="CB16">
        <f t="shared" si="7"/>
        <v>6.3060737453657589</v>
      </c>
      <c r="CC16">
        <f t="shared" si="7"/>
        <v>6.3410377631505161</v>
      </c>
      <c r="CD16">
        <f t="shared" si="7"/>
        <v>6.375318781923708</v>
      </c>
      <c r="CE16">
        <f t="shared" si="7"/>
        <v>6.4089309998856452</v>
      </c>
      <c r="CF16">
        <f t="shared" si="7"/>
        <v>6.4418882887080153</v>
      </c>
      <c r="CG16">
        <f t="shared" si="7"/>
        <v>6.4742042021729862</v>
      </c>
      <c r="CH16">
        <f t="shared" si="7"/>
        <v>6.505891984544288</v>
      </c>
      <c r="CI16" s="3">
        <f t="shared" si="7"/>
        <v>6.5369645786799371</v>
      </c>
    </row>
    <row r="17" spans="2:87" x14ac:dyDescent="0.25">
      <c r="B17" s="2" t="s">
        <v>7</v>
      </c>
      <c r="C17">
        <v>0</v>
      </c>
      <c r="D17">
        <f>C17+($F$5*C15*C21)+($F$4*C16*C13)-($F$5*C17*C17)-($F$4*C17*C21)</f>
        <v>0</v>
      </c>
      <c r="E17">
        <f t="shared" ref="E17:BP17" si="8">D17+($F$5*D15*D21)+($F$4*D16*D13)-($F$5*D17*D17)-($F$4*D17*D21)</f>
        <v>0</v>
      </c>
      <c r="F17">
        <f t="shared" si="8"/>
        <v>2.6768180062888494E-4</v>
      </c>
      <c r="G17">
        <f t="shared" si="8"/>
        <v>8.8807580340751467E-4</v>
      </c>
      <c r="H17">
        <f t="shared" si="8"/>
        <v>1.8643721454617217E-3</v>
      </c>
      <c r="I17">
        <f t="shared" si="8"/>
        <v>3.1670807862968944E-3</v>
      </c>
      <c r="J17">
        <f t="shared" si="8"/>
        <v>4.7569303596446269E-3</v>
      </c>
      <c r="K17">
        <f t="shared" si="8"/>
        <v>6.5947519019049425E-3</v>
      </c>
      <c r="L17">
        <f t="shared" si="8"/>
        <v>8.645146273004594E-3</v>
      </c>
      <c r="M17">
        <f t="shared" si="8"/>
        <v>1.0877348046576203E-2</v>
      </c>
      <c r="N17">
        <f t="shared" si="8"/>
        <v>1.3264947176344766E-2</v>
      </c>
      <c r="O17">
        <f t="shared" si="8"/>
        <v>1.5785241337698808E-2</v>
      </c>
      <c r="P17">
        <f t="shared" si="8"/>
        <v>1.8418552733703065E-2</v>
      </c>
      <c r="Q17">
        <f t="shared" si="8"/>
        <v>2.1147633929711432E-2</v>
      </c>
      <c r="R17">
        <f t="shared" si="8"/>
        <v>2.3957193106825734E-2</v>
      </c>
      <c r="S17">
        <f t="shared" si="8"/>
        <v>2.6833530818507378E-2</v>
      </c>
      <c r="T17">
        <f t="shared" si="8"/>
        <v>2.9764267968707427E-2</v>
      </c>
      <c r="U17">
        <f t="shared" si="8"/>
        <v>3.2738143546365464E-2</v>
      </c>
      <c r="V17">
        <f t="shared" si="8"/>
        <v>3.5744863630811058E-2</v>
      </c>
      <c r="W17">
        <f t="shared" si="8"/>
        <v>3.8774987170534014E-2</v>
      </c>
      <c r="X17">
        <f t="shared" si="8"/>
        <v>4.1819837752583994E-2</v>
      </c>
      <c r="Y17">
        <f t="shared" si="8"/>
        <v>4.4871433609075667E-2</v>
      </c>
      <c r="Z17">
        <f t="shared" si="8"/>
        <v>4.7922430412705226E-2</v>
      </c>
      <c r="AA17">
        <f t="shared" si="8"/>
        <v>5.0966073095753066E-2</v>
      </c>
      <c r="AB17">
        <f t="shared" si="8"/>
        <v>5.3996154121203885E-2</v>
      </c>
      <c r="AC17">
        <f t="shared" si="8"/>
        <v>5.7006976465466069E-2</v>
      </c>
      <c r="AD17">
        <f t="shared" si="8"/>
        <v>5.9993320141709341E-2</v>
      </c>
      <c r="AE17">
        <f t="shared" si="8"/>
        <v>6.2950411478693805E-2</v>
      </c>
      <c r="AF17">
        <f t="shared" si="8"/>
        <v>6.5873894628817015E-2</v>
      </c>
      <c r="AG17">
        <f t="shared" si="8"/>
        <v>6.8759804951218723E-2</v>
      </c>
      <c r="AH17">
        <f t="shared" si="8"/>
        <v>7.1604544029208586E-2</v>
      </c>
      <c r="AI17">
        <f t="shared" si="8"/>
        <v>7.4404856155301791E-2</v>
      </c>
      <c r="AJ17">
        <f t="shared" si="8"/>
        <v>7.7157806164877982E-2</v>
      </c>
      <c r="AK17">
        <f t="shared" si="8"/>
        <v>7.9860758529786663E-2</v>
      </c>
      <c r="AL17">
        <f t="shared" si="8"/>
        <v>8.2511357642067476E-2</v>
      </c>
      <c r="AM17">
        <f t="shared" si="8"/>
        <v>8.5107509229335188E-2</v>
      </c>
      <c r="AN17">
        <f t="shared" si="8"/>
        <v>8.7647362849974167E-2</v>
      </c>
      <c r="AO17">
        <f t="shared" si="8"/>
        <v>9.0129295419886277E-2</v>
      </c>
      <c r="AP17">
        <f t="shared" si="8"/>
        <v>9.2551895724336461E-2</v>
      </c>
      <c r="AQ17">
        <f t="shared" si="8"/>
        <v>9.4913949869238678E-2</v>
      </c>
      <c r="AR17">
        <f t="shared" si="8"/>
        <v>9.7214427626544406E-2</v>
      </c>
      <c r="AS17">
        <f t="shared" si="8"/>
        <v>9.9452469628578552E-2</v>
      </c>
      <c r="AT17">
        <f t="shared" si="8"/>
        <v>0.10162737536642354</v>
      </c>
      <c r="AU17">
        <f t="shared" si="8"/>
        <v>0.10373859194790488</v>
      </c>
      <c r="AV17">
        <f t="shared" si="8"/>
        <v>0.10578570357144229</v>
      </c>
      <c r="AW17">
        <f t="shared" si="8"/>
        <v>0.10776842167301759</v>
      </c>
      <c r="AX17">
        <f t="shared" si="8"/>
        <v>0.10968657570476424</v>
      </c>
      <c r="AY17">
        <f t="shared" si="8"/>
        <v>0.11154010450517367</v>
      </c>
      <c r="AZ17">
        <f t="shared" si="8"/>
        <v>0.1133290482226017</v>
      </c>
      <c r="BA17">
        <f t="shared" si="8"/>
        <v>0.11505354075559789</v>
      </c>
      <c r="BB17">
        <f t="shared" si="8"/>
        <v>0.11671380267552588</v>
      </c>
      <c r="BC17">
        <f t="shared" si="8"/>
        <v>0.11831013459894957</v>
      </c>
      <c r="BD17">
        <f t="shared" si="8"/>
        <v>0.11984291097928666</v>
      </c>
      <c r="BE17">
        <f t="shared" si="8"/>
        <v>0.12131257428924422</v>
      </c>
      <c r="BF17">
        <f t="shared" si="8"/>
        <v>0.12271962956751939</v>
      </c>
      <c r="BG17">
        <f t="shared" si="8"/>
        <v>0.12406463930515009</v>
      </c>
      <c r="BH17">
        <f t="shared" si="8"/>
        <v>0.12534821864871715</v>
      </c>
      <c r="BI17">
        <f t="shared" si="8"/>
        <v>0.12657103089931776</v>
      </c>
      <c r="BJ17">
        <f t="shared" si="8"/>
        <v>0.12773378328784443</v>
      </c>
      <c r="BK17">
        <f t="shared" si="8"/>
        <v>0.12883722300860634</v>
      </c>
      <c r="BL17">
        <f t="shared" si="8"/>
        <v>0.12988213349472469</v>
      </c>
      <c r="BM17">
        <f t="shared" si="8"/>
        <v>0.13086933092001782</v>
      </c>
      <c r="BN17">
        <f t="shared" si="8"/>
        <v>0.13179966091327128</v>
      </c>
      <c r="BO17">
        <f t="shared" si="8"/>
        <v>0.13267399547186876</v>
      </c>
      <c r="BP17">
        <f t="shared" si="8"/>
        <v>0.13349323006274386</v>
      </c>
      <c r="BQ17">
        <f t="shared" ref="BQ17:CI17" si="9">BP17+($F$5*BP15*BP21)+($F$4*BP16*BP13)-($F$5*BP17*BP17)-($F$4*BP17*BP21)</f>
        <v>0.13425828089951131</v>
      </c>
      <c r="BR17">
        <f t="shared" si="9"/>
        <v>0.13497008238545252</v>
      </c>
      <c r="BS17">
        <f t="shared" si="9"/>
        <v>0.13562958471277192</v>
      </c>
      <c r="BT17">
        <f t="shared" si="9"/>
        <v>0.13623775160921631</v>
      </c>
      <c r="BU17">
        <f t="shared" si="9"/>
        <v>0.13679555822376113</v>
      </c>
      <c r="BV17">
        <f t="shared" si="9"/>
        <v>0.13730398914362593</v>
      </c>
      <c r="BW17">
        <f t="shared" si="9"/>
        <v>0.13776403653538813</v>
      </c>
      <c r="BX17">
        <f t="shared" si="9"/>
        <v>0.13817669840342747</v>
      </c>
      <c r="BY17">
        <f t="shared" si="9"/>
        <v>0.13854297695935514</v>
      </c>
      <c r="BZ17">
        <f t="shared" si="9"/>
        <v>0.13886387709646825</v>
      </c>
      <c r="CA17">
        <f t="shared" si="9"/>
        <v>0.1391404049636252</v>
      </c>
      <c r="CB17">
        <f t="shared" si="9"/>
        <v>0.13937356663326123</v>
      </c>
      <c r="CC17">
        <f t="shared" si="9"/>
        <v>0.13956436685856505</v>
      </c>
      <c r="CD17">
        <f t="shared" si="9"/>
        <v>0.1397138079151127</v>
      </c>
      <c r="CE17">
        <f t="shared" si="9"/>
        <v>0.13982288852251193</v>
      </c>
      <c r="CF17">
        <f t="shared" si="9"/>
        <v>0.13989260284184712</v>
      </c>
      <c r="CG17">
        <f t="shared" si="9"/>
        <v>0.13992393954493701</v>
      </c>
      <c r="CH17">
        <f t="shared" si="9"/>
        <v>0.13991788095162236</v>
      </c>
      <c r="CI17">
        <f t="shared" si="9"/>
        <v>0.13987540223149519</v>
      </c>
    </row>
    <row r="18" spans="2:87" x14ac:dyDescent="0.25">
      <c r="B18" s="2" t="s">
        <v>8</v>
      </c>
      <c r="C18" s="3">
        <v>0</v>
      </c>
      <c r="D18">
        <f>C18+($F$5*C17*C21)-($F$5*C18*C15)</f>
        <v>0</v>
      </c>
      <c r="E18">
        <f t="shared" ref="E18:BP18" si="10">D18+($F$5*D17*D21)-($F$5*D18*D15)</f>
        <v>0</v>
      </c>
      <c r="F18">
        <f t="shared" si="10"/>
        <v>0</v>
      </c>
      <c r="G18">
        <f t="shared" si="10"/>
        <v>1.0492375494905254E-4</v>
      </c>
      <c r="H18">
        <f t="shared" si="10"/>
        <v>4.5236245007054034E-4</v>
      </c>
      <c r="I18" s="3">
        <f t="shared" si="10"/>
        <v>1.1803939625808061E-3</v>
      </c>
      <c r="J18">
        <f t="shared" si="10"/>
        <v>2.4148685870377397E-3</v>
      </c>
      <c r="K18">
        <f t="shared" si="10"/>
        <v>4.2657179047231354E-3</v>
      </c>
      <c r="L18">
        <f t="shared" si="10"/>
        <v>6.8271302808877096E-3</v>
      </c>
      <c r="M18">
        <f t="shared" si="10"/>
        <v>1.0179141034279995E-2</v>
      </c>
      <c r="N18">
        <f t="shared" si="10"/>
        <v>1.4389537985324807E-2</v>
      </c>
      <c r="O18">
        <f t="shared" si="10"/>
        <v>1.95156387696735E-2</v>
      </c>
      <c r="P18" s="3">
        <f t="shared" si="10"/>
        <v>2.5605799720460933E-2</v>
      </c>
      <c r="Q18">
        <f t="shared" si="10"/>
        <v>3.2700646141860981E-2</v>
      </c>
      <c r="R18">
        <f t="shared" si="10"/>
        <v>4.0834061610465891E-2</v>
      </c>
      <c r="S18">
        <f t="shared" si="10"/>
        <v>5.0033985005911025E-2</v>
      </c>
      <c r="T18" s="3">
        <f t="shared" si="10"/>
        <v>6.0323060255846613E-2</v>
      </c>
      <c r="U18">
        <f t="shared" si="10"/>
        <v>7.1719175419487871E-2</v>
      </c>
      <c r="V18">
        <f t="shared" si="10"/>
        <v>8.4235919057949332E-2</v>
      </c>
      <c r="W18">
        <f t="shared" si="10"/>
        <v>9.7882974431465555E-2</v>
      </c>
      <c r="X18">
        <f t="shared" si="10"/>
        <v>0.11266646628197986</v>
      </c>
      <c r="Y18">
        <f t="shared" si="10"/>
        <v>0.12858927067236747</v>
      </c>
      <c r="Z18">
        <f t="shared" si="10"/>
        <v>0.14565129527597767</v>
      </c>
      <c r="AA18">
        <f t="shared" si="10"/>
        <v>0.16384973534872083</v>
      </c>
      <c r="AB18">
        <f t="shared" si="10"/>
        <v>0.18317930912070679</v>
      </c>
      <c r="AC18">
        <f t="shared" si="10"/>
        <v>0.20363247532080458</v>
      </c>
      <c r="AD18">
        <f t="shared" si="10"/>
        <v>0.22519963485132935</v>
      </c>
      <c r="AE18" s="3">
        <f t="shared" si="10"/>
        <v>0.2478693181581022</v>
      </c>
      <c r="AF18">
        <f t="shared" si="10"/>
        <v>0.27162835952100611</v>
      </c>
      <c r="AG18">
        <f t="shared" si="10"/>
        <v>0.29646205927197</v>
      </c>
      <c r="AH18">
        <f t="shared" si="10"/>
        <v>0.32235433479704811</v>
      </c>
      <c r="AI18">
        <f t="shared" si="10"/>
        <v>0.34928786107395277</v>
      </c>
      <c r="AJ18">
        <f t="shared" si="10"/>
        <v>0.37724420142065263</v>
      </c>
      <c r="AK18">
        <f t="shared" si="10"/>
        <v>0.40620392907419722</v>
      </c>
      <c r="AL18">
        <f t="shared" si="10"/>
        <v>0.43614674017497973</v>
      </c>
      <c r="AM18">
        <f t="shared" si="10"/>
        <v>0.46705155869572224</v>
      </c>
      <c r="AN18">
        <f t="shared" si="10"/>
        <v>0.49889663382364402</v>
      </c>
      <c r="AO18">
        <f t="shared" si="10"/>
        <v>0.53165963027666807</v>
      </c>
      <c r="AP18" s="3">
        <f t="shared" si="10"/>
        <v>0.5653177120089482</v>
      </c>
      <c r="AQ18">
        <f t="shared" si="10"/>
        <v>0.59984761973672851</v>
      </c>
      <c r="AR18">
        <f t="shared" si="10"/>
        <v>0.63522574269215804</v>
      </c>
      <c r="AS18">
        <f t="shared" si="10"/>
        <v>0.67142818498996171</v>
      </c>
      <c r="AT18">
        <f t="shared" si="10"/>
        <v>0.70843082696971726</v>
      </c>
      <c r="AU18">
        <f t="shared" si="10"/>
        <v>0.74620938185490893</v>
      </c>
      <c r="AV18">
        <f t="shared" si="10"/>
        <v>0.78473944804895213</v>
      </c>
      <c r="AW18">
        <f t="shared" si="10"/>
        <v>0.82399655736808453</v>
      </c>
      <c r="AX18">
        <f t="shared" si="10"/>
        <v>0.86395621949145784</v>
      </c>
      <c r="AY18">
        <f t="shared" si="10"/>
        <v>0.90459396289002236</v>
      </c>
      <c r="AZ18">
        <f t="shared" si="10"/>
        <v>0.94588537247792359</v>
      </c>
      <c r="BA18" s="3">
        <f t="shared" si="10"/>
        <v>0.98780612421317771</v>
      </c>
      <c r="BB18">
        <f t="shared" si="10"/>
        <v>1.0303320168583925</v>
      </c>
      <c r="BC18">
        <f t="shared" si="10"/>
        <v>1.073439001097263</v>
      </c>
      <c r="BD18">
        <f t="shared" si="10"/>
        <v>1.1171032061885031</v>
      </c>
      <c r="BE18">
        <f t="shared" si="10"/>
        <v>1.1613009643257528</v>
      </c>
      <c r="BF18">
        <f t="shared" si="10"/>
        <v>1.2060088328598177</v>
      </c>
      <c r="BG18">
        <f t="shared" si="10"/>
        <v>1.2512036145282979</v>
      </c>
      <c r="BH18">
        <f t="shared" si="10"/>
        <v>1.2968623758272224</v>
      </c>
      <c r="BI18">
        <f t="shared" si="10"/>
        <v>1.3429624636496766</v>
      </c>
      <c r="BJ18">
        <f t="shared" si="10"/>
        <v>1.3894815203075239</v>
      </c>
      <c r="BK18">
        <f t="shared" si="10"/>
        <v>1.4363974970441624</v>
      </c>
      <c r="BL18" s="3">
        <f t="shared" si="10"/>
        <v>1.4836886661387365</v>
      </c>
      <c r="BM18">
        <f t="shared" si="10"/>
        <v>1.5313336316953168</v>
      </c>
      <c r="BN18">
        <f t="shared" si="10"/>
        <v>1.5793113392042051</v>
      </c>
      <c r="BO18">
        <f t="shared" si="10"/>
        <v>1.6276010839566752</v>
      </c>
      <c r="BP18">
        <f t="shared" si="10"/>
        <v>1.6761825183890839</v>
      </c>
      <c r="BQ18">
        <f t="shared" ref="BQ18:CI18" si="11">BP18+($F$5*BP17*BP21)-($F$5*BP18*BP15)</f>
        <v>1.7250356584273236</v>
      </c>
      <c r="BR18">
        <f t="shared" si="11"/>
        <v>1.7741408888980186</v>
      </c>
      <c r="BS18">
        <f t="shared" si="11"/>
        <v>1.8234789680686467</v>
      </c>
      <c r="BT18">
        <f t="shared" si="11"/>
        <v>1.8730310313748635</v>
      </c>
      <c r="BU18">
        <f t="shared" si="11"/>
        <v>1.9227785943896907</v>
      </c>
      <c r="BV18">
        <f t="shared" si="11"/>
        <v>1.9727035550858825</v>
      </c>
      <c r="BW18" s="3">
        <f t="shared" si="11"/>
        <v>2.0227881954396647</v>
      </c>
      <c r="BX18">
        <f t="shared" si="11"/>
        <v>2.073015182421154</v>
      </c>
      <c r="BY18">
        <f t="shared" si="11"/>
        <v>2.1233675684140572</v>
      </c>
      <c r="BZ18">
        <f t="shared" si="11"/>
        <v>2.1738287911047398</v>
      </c>
      <c r="CA18">
        <f t="shared" si="11"/>
        <v>2.2243826728784004</v>
      </c>
      <c r="CB18">
        <f t="shared" si="11"/>
        <v>2.2750134197578822</v>
      </c>
      <c r="CC18">
        <f t="shared" si="11"/>
        <v>2.325705619918589</v>
      </c>
      <c r="CD18">
        <f t="shared" si="11"/>
        <v>2.3764442418110487</v>
      </c>
      <c r="CE18">
        <f t="shared" si="11"/>
        <v>2.4272146319208301</v>
      </c>
      <c r="CF18">
        <f t="shared" si="11"/>
        <v>2.4780025121938265</v>
      </c>
      <c r="CG18">
        <f t="shared" si="11"/>
        <v>2.5287939771532986</v>
      </c>
      <c r="CH18">
        <f t="shared" si="11"/>
        <v>2.5795754907335553</v>
      </c>
      <c r="CI18" s="3">
        <f t="shared" si="11"/>
        <v>2.6303338828537211</v>
      </c>
    </row>
    <row r="19" spans="2:87" x14ac:dyDescent="0.25">
      <c r="B19" s="2" t="s">
        <v>9</v>
      </c>
      <c r="C19">
        <v>0</v>
      </c>
      <c r="D19">
        <f>C19+($F$6*C17*C17)+($F$6*C15*C18)-($F$6*C19)</f>
        <v>0</v>
      </c>
      <c r="E19">
        <f t="shared" ref="E19:BP19" si="12">D19+($F$6*D17*D17)+($F$6*D15*D18)-($F$6*D19)</f>
        <v>0</v>
      </c>
      <c r="F19">
        <f t="shared" si="12"/>
        <v>0</v>
      </c>
      <c r="G19">
        <f t="shared" si="12"/>
        <v>1.606728326811057E-8</v>
      </c>
      <c r="H19">
        <f t="shared" si="12"/>
        <v>2.1480046610915029E-7</v>
      </c>
      <c r="I19">
        <f t="shared" si="12"/>
        <v>1.0817135808847434E-6</v>
      </c>
      <c r="J19">
        <f t="shared" si="12"/>
        <v>3.4875489022598229E-6</v>
      </c>
      <c r="K19">
        <f t="shared" si="12"/>
        <v>8.6518669135695414E-6</v>
      </c>
      <c r="L19">
        <f t="shared" si="12"/>
        <v>1.8053394936331534E-5</v>
      </c>
      <c r="M19">
        <f t="shared" si="12"/>
        <v>3.3328816813624716E-5</v>
      </c>
      <c r="N19">
        <f t="shared" si="12"/>
        <v>5.618192262143478E-5</v>
      </c>
      <c r="O19">
        <f t="shared" si="12"/>
        <v>8.8310443306000415E-5</v>
      </c>
      <c r="P19">
        <f t="shared" si="12"/>
        <v>1.3135040787219901E-4</v>
      </c>
      <c r="Q19">
        <f t="shared" si="12"/>
        <v>1.8683514012247205E-4</v>
      </c>
      <c r="R19">
        <f t="shared" si="12"/>
        <v>2.5616567231347706E-4</v>
      </c>
      <c r="S19">
        <f t="shared" si="12"/>
        <v>3.4058990143199971E-4</v>
      </c>
      <c r="T19">
        <f t="shared" si="12"/>
        <v>4.411885186927035E-4</v>
      </c>
      <c r="U19">
        <f t="shared" si="12"/>
        <v>5.588663264391474E-4</v>
      </c>
      <c r="V19">
        <f t="shared" si="12"/>
        <v>6.9434796055998387E-4</v>
      </c>
      <c r="W19">
        <f t="shared" si="12"/>
        <v>8.4817728768107458E-4</v>
      </c>
      <c r="X19">
        <f t="shared" si="12"/>
        <v>1.0207198921583611E-3</v>
      </c>
      <c r="Y19">
        <f t="shared" si="12"/>
        <v>1.2121681505315176E-3</v>
      </c>
      <c r="Z19">
        <f t="shared" si="12"/>
        <v>1.4225484407706026E-3</v>
      </c>
      <c r="AA19">
        <f t="shared" si="12"/>
        <v>1.6517300690893672E-3</v>
      </c>
      <c r="AB19">
        <f t="shared" si="12"/>
        <v>1.8994355285294373E-3</v>
      </c>
      <c r="AC19">
        <f t="shared" si="12"/>
        <v>2.1652517356161405E-3</v>
      </c>
      <c r="AD19">
        <f t="shared" si="12"/>
        <v>2.4486419255870459E-3</v>
      </c>
      <c r="AE19">
        <f t="shared" si="12"/>
        <v>2.7489579227583929E-3</v>
      </c>
      <c r="AF19">
        <f t="shared" si="12"/>
        <v>3.0654525395657048E-3</v>
      </c>
      <c r="AG19">
        <f t="shared" si="12"/>
        <v>3.3972918945594198E-3</v>
      </c>
      <c r="AH19">
        <f t="shared" si="12"/>
        <v>3.7435674751153205E-3</v>
      </c>
      <c r="AI19">
        <f t="shared" si="12"/>
        <v>4.1033078040018413E-3</v>
      </c>
      <c r="AJ19">
        <f t="shared" si="12"/>
        <v>4.475489599635586E-3</v>
      </c>
      <c r="AK19">
        <f t="shared" si="12"/>
        <v>4.8590483474762799E-3</v>
      </c>
      <c r="AL19">
        <f t="shared" si="12"/>
        <v>5.252888224374079E-3</v>
      </c>
      <c r="AM19">
        <f t="shared" si="12"/>
        <v>5.6558913387485255E-3</v>
      </c>
      <c r="AN19">
        <f t="shared" si="12"/>
        <v>6.0669262673294097E-3</v>
      </c>
      <c r="AO19">
        <f t="shared" si="12"/>
        <v>6.484855883992495E-3</v>
      </c>
      <c r="AP19">
        <f t="shared" si="12"/>
        <v>6.9085444882060034E-3</v>
      </c>
      <c r="AQ19">
        <f t="shared" si="12"/>
        <v>7.3368642500357996E-3</v>
      </c>
      <c r="AR19">
        <f t="shared" si="12"/>
        <v>7.7687009958294318E-3</v>
      </c>
      <c r="AS19">
        <f t="shared" si="12"/>
        <v>8.2029593639107341E-3</v>
      </c>
      <c r="AT19">
        <f t="shared" si="12"/>
        <v>8.6385673631628451E-3</v>
      </c>
      <c r="AU19">
        <f t="shared" si="12"/>
        <v>9.0744803695399934E-3</v>
      </c>
      <c r="AV19">
        <f t="shared" si="12"/>
        <v>9.5096845965893326E-3</v>
      </c>
      <c r="AW19">
        <f t="shared" si="12"/>
        <v>9.9432000762199602E-3</v>
      </c>
      <c r="AX19">
        <f t="shared" si="12"/>
        <v>1.0374083185436018E-2</v>
      </c>
      <c r="AY19">
        <f t="shared" si="12"/>
        <v>1.0801428753733668E-2</v>
      </c>
      <c r="AZ19">
        <f t="shared" si="12"/>
        <v>1.1224371784498595E-2</v>
      </c>
      <c r="BA19">
        <f t="shared" si="12"/>
        <v>1.1642088822154142E-2</v>
      </c>
      <c r="BB19">
        <f t="shared" si="12"/>
        <v>1.20537989950977E-2</v>
      </c>
      <c r="BC19">
        <f t="shared" si="12"/>
        <v>1.245876476269956E-2</v>
      </c>
      <c r="BD19">
        <f t="shared" si="12"/>
        <v>1.2856292392879136E-2</v>
      </c>
      <c r="BE19">
        <f t="shared" si="12"/>
        <v>1.324573219505747E-2</v>
      </c>
      <c r="BF19">
        <f t="shared" si="12"/>
        <v>1.3626478531637908E-2</v>
      </c>
      <c r="BG19">
        <f t="shared" si="12"/>
        <v>1.3997969629603996E-2</v>
      </c>
      <c r="BH19">
        <f t="shared" si="12"/>
        <v>1.4359687212352649E-2</v>
      </c>
      <c r="BI19">
        <f t="shared" si="12"/>
        <v>1.4711155970502843E-2</v>
      </c>
      <c r="BJ19">
        <f t="shared" si="12"/>
        <v>1.5051942889133692E-2</v>
      </c>
      <c r="BK19">
        <f t="shared" si="12"/>
        <v>1.5381656447705453E-2</v>
      </c>
      <c r="BL19">
        <f t="shared" si="12"/>
        <v>1.5699945707797106E-2</v>
      </c>
      <c r="BM19">
        <f t="shared" si="12"/>
        <v>1.6006499302747557E-2</v>
      </c>
      <c r="BN19">
        <f t="shared" si="12"/>
        <v>1.630104434230735E-2</v>
      </c>
      <c r="BO19">
        <f t="shared" si="12"/>
        <v>1.6583345244487811E-2</v>
      </c>
      <c r="BP19">
        <f t="shared" si="12"/>
        <v>1.685320250592854E-2</v>
      </c>
      <c r="BQ19">
        <f t="shared" ref="BQ19:CI19" si="13">BP19+($F$6*BP17*BP17)+($F$6*BP15*BP18)-($F$6*BP19)</f>
        <v>1.7110451421287108E-2</v>
      </c>
      <c r="BR19">
        <f t="shared" si="13"/>
        <v>1.7354960761382064E-2</v>
      </c>
      <c r="BS19">
        <f t="shared" si="13"/>
        <v>1.7586631419088179E-2</v>
      </c>
      <c r="BT19">
        <f t="shared" si="13"/>
        <v>1.7805395031288081E-2</v>
      </c>
      <c r="BU19">
        <f t="shared" si="13"/>
        <v>1.8011212584524476E-2</v>
      </c>
      <c r="BV19">
        <f t="shared" si="13"/>
        <v>1.8204073011369802E-2</v>
      </c>
      <c r="BW19">
        <f t="shared" si="13"/>
        <v>1.8383991783934205E-2</v>
      </c>
      <c r="BX19">
        <f t="shared" si="13"/>
        <v>1.8551009510366104E-2</v>
      </c>
      <c r="BY19">
        <f t="shared" si="13"/>
        <v>1.8705190539661815E-2</v>
      </c>
      <c r="BZ19">
        <f t="shared" si="13"/>
        <v>1.8846621579590724E-2</v>
      </c>
      <c r="CA19">
        <f t="shared" si="13"/>
        <v>1.8975410332059087E-2</v>
      </c>
      <c r="CB19">
        <f t="shared" si="13"/>
        <v>1.9091684149778923E-2</v>
      </c>
      <c r="CC19">
        <f t="shared" si="13"/>
        <v>1.9195588717677042E-2</v>
      </c>
      <c r="CD19">
        <f t="shared" si="13"/>
        <v>1.9287286762072982E-2</v>
      </c>
      <c r="CE19">
        <f t="shared" si="13"/>
        <v>1.9366956790273056E-2</v>
      </c>
      <c r="CF19">
        <f t="shared" si="13"/>
        <v>1.9434791862869484E-2</v>
      </c>
      <c r="CG19">
        <f t="shared" si="13"/>
        <v>1.949099840069899E-2</v>
      </c>
      <c r="CH19">
        <f t="shared" si="13"/>
        <v>1.9535795028102827E-2</v>
      </c>
      <c r="CI19">
        <f t="shared" si="13"/>
        <v>1.9569411453839839E-2</v>
      </c>
    </row>
    <row r="20" spans="2:87" x14ac:dyDescent="0.25">
      <c r="B20" s="2" t="s">
        <v>10</v>
      </c>
      <c r="C20" s="3">
        <v>0</v>
      </c>
      <c r="D20">
        <f>C20+($F$6*C19)</f>
        <v>0</v>
      </c>
      <c r="E20">
        <f>D20+($F$6*D19)</f>
        <v>0</v>
      </c>
      <c r="F20">
        <f t="shared" ref="F20:BQ20" si="14">E20+($F$6*E19)</f>
        <v>0</v>
      </c>
      <c r="G20">
        <f t="shared" si="14"/>
        <v>0</v>
      </c>
      <c r="H20">
        <f t="shared" si="14"/>
        <v>3.6028585412936495E-9</v>
      </c>
      <c r="I20" s="3">
        <f t="shared" si="14"/>
        <v>5.1768791828297645E-8</v>
      </c>
      <c r="J20">
        <f t="shared" si="14"/>
        <v>2.9432759589562858E-7</v>
      </c>
      <c r="K20">
        <f t="shared" si="14"/>
        <v>1.0763605719137137E-6</v>
      </c>
      <c r="L20">
        <f t="shared" si="14"/>
        <v>3.0164180220463865E-6</v>
      </c>
      <c r="M20">
        <f t="shared" si="14"/>
        <v>7.0646337073206279E-6</v>
      </c>
      <c r="N20">
        <f t="shared" si="14"/>
        <v>1.4538144339108965E-5</v>
      </c>
      <c r="O20">
        <f t="shared" si="14"/>
        <v>2.7136137192367363E-5</v>
      </c>
      <c r="P20" s="3">
        <f t="shared" si="14"/>
        <v>4.6938491432423486E-5</v>
      </c>
      <c r="Q20">
        <f t="shared" si="14"/>
        <v>7.63919423368468E-5</v>
      </c>
      <c r="R20">
        <f t="shared" si="14"/>
        <v>1.1828705112229128E-4</v>
      </c>
      <c r="S20">
        <f t="shared" si="14"/>
        <v>1.7572854045687079E-4</v>
      </c>
      <c r="T20" s="3">
        <f t="shared" si="14"/>
        <v>2.5210095606543326E-4</v>
      </c>
      <c r="U20">
        <f t="shared" si="14"/>
        <v>3.5103117322588678E-4</v>
      </c>
      <c r="V20">
        <f t="shared" si="14"/>
        <v>4.7634895620473049E-4</v>
      </c>
      <c r="W20">
        <f t="shared" si="14"/>
        <v>6.320465585055795E-4</v>
      </c>
      <c r="X20">
        <f t="shared" si="14"/>
        <v>8.2223818794664022E-4</v>
      </c>
      <c r="Y20">
        <f t="shared" si="14"/>
        <v>1.0511200294107785E-3</v>
      </c>
      <c r="Z20">
        <f t="shared" si="14"/>
        <v>1.3229314054692635E-3</v>
      </c>
      <c r="AA20">
        <f t="shared" si="14"/>
        <v>1.6419175535759951E-3</v>
      </c>
      <c r="AB20">
        <f t="shared" si="14"/>
        <v>2.0122944049719795E-3</v>
      </c>
      <c r="AC20">
        <f t="shared" si="14"/>
        <v>2.4382156639306293E-3</v>
      </c>
      <c r="AD20">
        <f t="shared" si="14"/>
        <v>2.9237424066624689E-3</v>
      </c>
      <c r="AE20" s="3">
        <f t="shared" si="14"/>
        <v>3.4728153475547625E-3</v>
      </c>
      <c r="AF20">
        <f t="shared" si="14"/>
        <v>4.089229856865371E-3</v>
      </c>
      <c r="AG20">
        <f t="shared" si="14"/>
        <v>4.7766137587241806E-3</v>
      </c>
      <c r="AH20">
        <f t="shared" si="14"/>
        <v>5.5384078912689323E-3</v>
      </c>
      <c r="AI20">
        <f t="shared" si="14"/>
        <v>6.3778493716713878E-3</v>
      </c>
      <c r="AJ20">
        <f t="shared" si="14"/>
        <v>7.2979574772244057E-3</v>
      </c>
      <c r="AK20">
        <f t="shared" si="14"/>
        <v>8.3015220289567489E-3</v>
      </c>
      <c r="AL20">
        <f t="shared" si="14"/>
        <v>9.3910941457320558E-3</v>
      </c>
      <c r="AM20">
        <f t="shared" si="14"/>
        <v>1.0568979223740798E-2</v>
      </c>
      <c r="AN20">
        <f t="shared" si="14"/>
        <v>1.1837231987970253E-2</v>
      </c>
      <c r="AO20">
        <f t="shared" si="14"/>
        <v>1.3197653457916552E-2</v>
      </c>
      <c r="AP20" s="3">
        <f t="shared" si="14"/>
        <v>1.4651789668801209E-2</v>
      </c>
      <c r="AQ20">
        <f t="shared" si="14"/>
        <v>1.6200931991239838E-2</v>
      </c>
      <c r="AR20">
        <f t="shared" si="14"/>
        <v>1.7846118896111155E-2</v>
      </c>
      <c r="AS20">
        <f t="shared" si="14"/>
        <v>1.9588139016782868E-2</v>
      </c>
      <c r="AT20">
        <f t="shared" si="14"/>
        <v>2.1427535367428394E-2</v>
      </c>
      <c r="AU20">
        <f t="shared" si="14"/>
        <v>2.336461058354063E-2</v>
      </c>
      <c r="AV20">
        <f t="shared" si="14"/>
        <v>2.5399433058606345E-2</v>
      </c>
      <c r="AW20">
        <f t="shared" si="14"/>
        <v>2.7531843858995472E-2</v>
      </c>
      <c r="AX20">
        <f t="shared" si="14"/>
        <v>2.9761464307245244E-2</v>
      </c>
      <c r="AY20">
        <f t="shared" si="14"/>
        <v>3.2087704131928081E-2</v>
      </c>
      <c r="AZ20">
        <f t="shared" si="14"/>
        <v>3.4509770090073132E-2</v>
      </c>
      <c r="BA20" s="3">
        <f t="shared" si="14"/>
        <v>3.7026674975586593E-2</v>
      </c>
      <c r="BB20">
        <f t="shared" si="14"/>
        <v>3.9637246934235447E-2</v>
      </c>
      <c r="BC20">
        <f t="shared" si="14"/>
        <v>4.2340139012494768E-2</v>
      </c>
      <c r="BD20">
        <f t="shared" si="14"/>
        <v>4.5133838873898838E-2</v>
      </c>
      <c r="BE20">
        <f t="shared" si="14"/>
        <v>4.8016678622481927E-2</v>
      </c>
      <c r="BF20">
        <f t="shared" si="14"/>
        <v>5.0986844678455309E-2</v>
      </c>
      <c r="BG20">
        <f t="shared" si="14"/>
        <v>5.4042387656458669E-2</v>
      </c>
      <c r="BH20">
        <f t="shared" si="14"/>
        <v>5.7181232201565048E-2</v>
      </c>
      <c r="BI20">
        <f t="shared" si="14"/>
        <v>6.0401186742729603E-2</v>
      </c>
      <c r="BJ20">
        <f t="shared" si="14"/>
        <v>6.3699953127574829E-2</v>
      </c>
      <c r="BK20">
        <f t="shared" si="14"/>
        <v>6.7075136106318489E-2</v>
      </c>
      <c r="BL20" s="3">
        <f t="shared" si="14"/>
        <v>7.0524252636295304E-2</v>
      </c>
      <c r="BM20">
        <f t="shared" si="14"/>
        <v>7.4044740981916851E-2</v>
      </c>
      <c r="BN20">
        <f t="shared" si="14"/>
        <v>7.7633969588072893E-2</v>
      </c>
      <c r="BO20">
        <f t="shared" si="14"/>
        <v>8.1289245707916583E-2</v>
      </c>
      <c r="BP20">
        <f t="shared" si="14"/>
        <v>8.5007823768708454E-2</v>
      </c>
      <c r="BQ20">
        <f t="shared" si="14"/>
        <v>8.8786913461933015E-2</v>
      </c>
      <c r="BR20">
        <f t="shared" ref="BR20:CI20" si="15">BQ20+($F$6*BQ19)</f>
        <v>9.2623687546256703E-2</v>
      </c>
      <c r="BS20">
        <f t="shared" si="15"/>
        <v>9.651528935407834E-2</v>
      </c>
      <c r="BT20">
        <f t="shared" si="15"/>
        <v>0.10045883999444097</v>
      </c>
      <c r="BU20">
        <f t="shared" si="15"/>
        <v>0.104451445246936</v>
      </c>
      <c r="BV20">
        <f t="shared" si="15"/>
        <v>0.10849020214294489</v>
      </c>
      <c r="BW20" s="3">
        <f t="shared" si="15"/>
        <v>0.11257220523213668</v>
      </c>
      <c r="BX20">
        <f t="shared" si="15"/>
        <v>0.11669455253357991</v>
      </c>
      <c r="BY20">
        <f t="shared" si="15"/>
        <v>0.12085435117213979</v>
      </c>
      <c r="BZ20">
        <f t="shared" si="15"/>
        <v>0.12504872270202386</v>
      </c>
      <c r="CA20">
        <f t="shared" si="15"/>
        <v>0.12927480812041722</v>
      </c>
      <c r="CB20">
        <f t="shared" si="15"/>
        <v>0.1335297725751175</v>
      </c>
      <c r="CC20">
        <f t="shared" si="15"/>
        <v>0.13781080977094709</v>
      </c>
      <c r="CD20">
        <f t="shared" si="15"/>
        <v>0.1421151460804902</v>
      </c>
      <c r="CE20">
        <f t="shared" si="15"/>
        <v>0.14644004436538152</v>
      </c>
      <c r="CF20">
        <f t="shared" si="15"/>
        <v>0.15078280751496689</v>
      </c>
      <c r="CG20">
        <f t="shared" si="15"/>
        <v>0.15514078170966955</v>
      </c>
      <c r="CH20">
        <f t="shared" si="15"/>
        <v>0.15951135941683392</v>
      </c>
      <c r="CI20" s="3">
        <f t="shared" si="15"/>
        <v>0.16389198212718706</v>
      </c>
    </row>
    <row r="21" spans="2:87" x14ac:dyDescent="0.25">
      <c r="B21" s="2" t="s">
        <v>13</v>
      </c>
      <c r="C21">
        <v>86</v>
      </c>
      <c r="D21">
        <f>C21-($F$4*C13*C21)</f>
        <v>85.826254462662618</v>
      </c>
      <c r="E21">
        <f>D21-($F$4*D13*D21)</f>
        <v>85.656363027090507</v>
      </c>
      <c r="F21">
        <f t="shared" ref="F21:BP21" si="16">E21-($F$4*E13*E21)</f>
        <v>85.490226485105097</v>
      </c>
      <c r="G21">
        <f t="shared" si="16"/>
        <v>85.327748732415586</v>
      </c>
      <c r="H21">
        <f t="shared" si="16"/>
        <v>85.168836649417543</v>
      </c>
      <c r="I21">
        <f t="shared" si="16"/>
        <v>85.013399987479872</v>
      </c>
      <c r="J21">
        <f t="shared" si="16"/>
        <v>84.861351260426389</v>
      </c>
      <c r="K21">
        <f t="shared" si="16"/>
        <v>84.712605640936175</v>
      </c>
      <c r="L21">
        <f t="shared" si="16"/>
        <v>84.567080861603358</v>
      </c>
      <c r="M21">
        <f t="shared" si="16"/>
        <v>84.424697120412759</v>
      </c>
      <c r="N21">
        <f t="shared" si="16"/>
        <v>84.285376990401971</v>
      </c>
      <c r="O21">
        <f t="shared" si="16"/>
        <v>84.149045333294268</v>
      </c>
      <c r="P21">
        <f t="shared" si="16"/>
        <v>84.015629216899129</v>
      </c>
      <c r="Q21">
        <f t="shared" si="16"/>
        <v>83.885057836089175</v>
      </c>
      <c r="R21">
        <f t="shared" si="16"/>
        <v>83.757262437173154</v>
      </c>
      <c r="S21">
        <f t="shared" si="16"/>
        <v>83.632176245495074</v>
      </c>
      <c r="T21">
        <f t="shared" si="16"/>
        <v>83.509734396099191</v>
      </c>
      <c r="U21">
        <f t="shared" si="16"/>
        <v>83.389873867309603</v>
      </c>
      <c r="V21">
        <f t="shared" si="16"/>
        <v>83.272533417081675</v>
      </c>
      <c r="W21">
        <f t="shared" si="16"/>
        <v>83.157653521990582</v>
      </c>
      <c r="X21">
        <f t="shared" si="16"/>
        <v>83.045176318729418</v>
      </c>
      <c r="Y21">
        <f t="shared" si="16"/>
        <v>82.935045547996737</v>
      </c>
      <c r="Z21">
        <f t="shared" si="16"/>
        <v>82.827206500659543</v>
      </c>
      <c r="AA21">
        <f t="shared" si="16"/>
        <v>82.721605966084155</v>
      </c>
      <c r="AB21">
        <f t="shared" si="16"/>
        <v>82.618192182533178</v>
      </c>
      <c r="AC21">
        <f t="shared" si="16"/>
        <v>82.516914789531981</v>
      </c>
      <c r="AD21">
        <f t="shared" si="16"/>
        <v>82.417724782113595</v>
      </c>
      <c r="AE21">
        <f t="shared" si="16"/>
        <v>82.320574466855433</v>
      </c>
      <c r="AF21">
        <f t="shared" si="16"/>
        <v>82.225417419625941</v>
      </c>
      <c r="AG21">
        <f t="shared" si="16"/>
        <v>82.132208444963453</v>
      </c>
      <c r="AH21">
        <f t="shared" si="16"/>
        <v>82.040903537013634</v>
      </c>
      <c r="AI21">
        <f t="shared" si="16"/>
        <v>81.951459841955611</v>
      </c>
      <c r="AJ21">
        <f t="shared" si="16"/>
        <v>81.863835621850455</v>
      </c>
      <c r="AK21">
        <f t="shared" si="16"/>
        <v>81.77799021984913</v>
      </c>
      <c r="AL21">
        <f t="shared" si="16"/>
        <v>81.693884026700019</v>
      </c>
      <c r="AM21">
        <f t="shared" si="16"/>
        <v>81.611478448499398</v>
      </c>
      <c r="AN21">
        <f t="shared" si="16"/>
        <v>81.530735875630782</v>
      </c>
      <c r="AO21">
        <f t="shared" si="16"/>
        <v>81.451619652841856</v>
      </c>
      <c r="AP21">
        <f t="shared" si="16"/>
        <v>81.374094050410321</v>
      </c>
      <c r="AQ21">
        <f t="shared" si="16"/>
        <v>81.29812423635218</v>
      </c>
      <c r="AR21">
        <f t="shared" si="16"/>
        <v>81.223676249628383</v>
      </c>
      <c r="AS21">
        <f t="shared" si="16"/>
        <v>81.15071697430777</v>
      </c>
      <c r="AT21">
        <f t="shared" si="16"/>
        <v>81.079214114646433</v>
      </c>
      <c r="AU21">
        <f t="shared" si="16"/>
        <v>81.009136171045299</v>
      </c>
      <c r="AV21">
        <f t="shared" si="16"/>
        <v>80.94045241684978</v>
      </c>
      <c r="AW21">
        <f t="shared" si="16"/>
        <v>80.873132875956756</v>
      </c>
      <c r="AX21">
        <f t="shared" si="16"/>
        <v>80.807148301196207</v>
      </c>
      <c r="AY21">
        <f t="shared" si="16"/>
        <v>80.742470153455784</v>
      </c>
      <c r="AZ21">
        <f t="shared" si="16"/>
        <v>80.679070581518616</v>
      </c>
      <c r="BA21">
        <f t="shared" si="16"/>
        <v>80.616922402585615</v>
      </c>
      <c r="BB21">
        <f t="shared" si="16"/>
        <v>80.555999083455106</v>
      </c>
      <c r="BC21">
        <f t="shared" si="16"/>
        <v>80.496274722333723</v>
      </c>
      <c r="BD21">
        <f t="shared" si="16"/>
        <v>80.437724031253666</v>
      </c>
      <c r="BE21">
        <f t="shared" si="16"/>
        <v>80.380322319072732</v>
      </c>
      <c r="BF21">
        <f t="shared" si="16"/>
        <v>80.324045475034282</v>
      </c>
      <c r="BG21">
        <f t="shared" si="16"/>
        <v>80.2688699528656</v>
      </c>
      <c r="BH21">
        <f t="shared" si="16"/>
        <v>80.214772755393909</v>
      </c>
      <c r="BI21">
        <f t="shared" si="16"/>
        <v>80.161731419660271</v>
      </c>
      <c r="BJ21">
        <f t="shared" si="16"/>
        <v>80.10972400251238</v>
      </c>
      <c r="BK21">
        <f t="shared" si="16"/>
        <v>80.058729066658245</v>
      </c>
      <c r="BL21">
        <f t="shared" si="16"/>
        <v>80.008725667163361</v>
      </c>
      <c r="BM21">
        <f t="shared" si="16"/>
        <v>79.959693338374862</v>
      </c>
      <c r="BN21">
        <f t="shared" si="16"/>
        <v>79.911612081256749</v>
      </c>
      <c r="BO21">
        <f t="shared" si="16"/>
        <v>79.86446235112102</v>
      </c>
      <c r="BP21">
        <f t="shared" si="16"/>
        <v>79.818225045740192</v>
      </c>
      <c r="BQ21">
        <f t="shared" ref="BQ21:CI21" si="17">BP21-($F$4*BP13*BP21)</f>
        <v>79.7728814938272</v>
      </c>
      <c r="BR21">
        <f t="shared" si="17"/>
        <v>79.728413443869428</v>
      </c>
      <c r="BS21">
        <f t="shared" si="17"/>
        <v>79.684803053304009</v>
      </c>
      <c r="BT21">
        <f t="shared" si="17"/>
        <v>79.642032878022164</v>
      </c>
      <c r="BU21">
        <f t="shared" si="17"/>
        <v>79.600085862190824</v>
      </c>
      <c r="BV21">
        <f t="shared" si="17"/>
        <v>79.558945328380233</v>
      </c>
      <c r="BW21">
        <f t="shared" si="17"/>
        <v>79.518594967986814</v>
      </c>
      <c r="BX21">
        <f t="shared" si="17"/>
        <v>79.479018831940763</v>
      </c>
      <c r="BY21">
        <f t="shared" si="17"/>
        <v>79.440201321688576</v>
      </c>
      <c r="BZ21">
        <f t="shared" si="17"/>
        <v>79.4021271804409</v>
      </c>
      <c r="CA21">
        <f t="shared" si="17"/>
        <v>79.364781484676428</v>
      </c>
      <c r="CB21">
        <f t="shared" si="17"/>
        <v>79.328149635893254</v>
      </c>
      <c r="CC21">
        <f t="shared" si="17"/>
        <v>79.292217352599039</v>
      </c>
      <c r="CD21">
        <f t="shared" si="17"/>
        <v>79.256970662531913</v>
      </c>
      <c r="CE21">
        <f t="shared" si="17"/>
        <v>79.222395895104341</v>
      </c>
      <c r="CF21">
        <f t="shared" si="17"/>
        <v>79.188479674062449</v>
      </c>
      <c r="CG21">
        <f t="shared" si="17"/>
        <v>79.155208910353537</v>
      </c>
      <c r="CH21">
        <f t="shared" si="17"/>
        <v>79.122570795194889</v>
      </c>
      <c r="CI21">
        <f t="shared" si="17"/>
        <v>79.090552793337238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21"/>
  <sheetViews>
    <sheetView zoomScale="80" zoomScaleNormal="80" workbookViewId="0">
      <selection activeCell="CB30" sqref="CB30"/>
    </sheetView>
  </sheetViews>
  <sheetFormatPr defaultRowHeight="15" x14ac:dyDescent="0.25"/>
  <cols>
    <col min="2" max="2" width="10.28515625" customWidth="1"/>
    <col min="6" max="6" width="11" bestFit="1" customWidth="1"/>
    <col min="14" max="14" width="12" bestFit="1" customWidth="1"/>
    <col min="91" max="91" width="12" bestFit="1" customWidth="1"/>
  </cols>
  <sheetData>
    <row r="1" spans="1:91" x14ac:dyDescent="0.25">
      <c r="A1" t="s">
        <v>41</v>
      </c>
    </row>
    <row r="2" spans="1:91" x14ac:dyDescent="0.25">
      <c r="A2" t="s">
        <v>42</v>
      </c>
    </row>
    <row r="3" spans="1:91" x14ac:dyDescent="0.25">
      <c r="D3" t="s">
        <v>39</v>
      </c>
    </row>
    <row r="4" spans="1:91" ht="15.75" x14ac:dyDescent="0.25">
      <c r="B4" t="s">
        <v>14</v>
      </c>
      <c r="C4">
        <v>86</v>
      </c>
      <c r="D4" s="5" t="s">
        <v>24</v>
      </c>
      <c r="E4" s="1" t="s">
        <v>22</v>
      </c>
      <c r="F4" s="4">
        <v>2.3491824950970565E-4</v>
      </c>
      <c r="G4" s="8" t="s">
        <v>32</v>
      </c>
      <c r="I4" s="4"/>
      <c r="K4" s="4"/>
    </row>
    <row r="5" spans="1:91" ht="15.75" x14ac:dyDescent="0.25">
      <c r="B5" t="s">
        <v>15</v>
      </c>
      <c r="C5">
        <v>8.6</v>
      </c>
      <c r="D5" s="5" t="s">
        <v>24</v>
      </c>
      <c r="E5" s="1" t="s">
        <v>23</v>
      </c>
      <c r="F5" s="4">
        <v>4.5849912564758528E-3</v>
      </c>
      <c r="G5" s="8" t="s">
        <v>32</v>
      </c>
      <c r="I5" s="4"/>
      <c r="K5" s="4"/>
    </row>
    <row r="6" spans="1:91" ht="15.75" x14ac:dyDescent="0.25">
      <c r="E6" s="1" t="s">
        <v>25</v>
      </c>
      <c r="F6" s="4">
        <v>0.22423570190266068</v>
      </c>
      <c r="G6" s="8" t="s">
        <v>33</v>
      </c>
      <c r="I6" s="4"/>
      <c r="K6" s="4"/>
    </row>
    <row r="8" spans="1:91" x14ac:dyDescent="0.25">
      <c r="B8" t="s">
        <v>38</v>
      </c>
    </row>
    <row r="11" spans="1:91" x14ac:dyDescent="0.25">
      <c r="C11" t="s">
        <v>2</v>
      </c>
    </row>
    <row r="12" spans="1:91" x14ac:dyDescent="0.25">
      <c r="B12" t="s">
        <v>1</v>
      </c>
      <c r="C12">
        <v>0</v>
      </c>
      <c r="D12">
        <v>1</v>
      </c>
      <c r="E12">
        <v>2</v>
      </c>
      <c r="F12">
        <v>3</v>
      </c>
      <c r="G12">
        <v>4</v>
      </c>
      <c r="H12">
        <v>5</v>
      </c>
      <c r="I12">
        <v>6</v>
      </c>
      <c r="J12">
        <v>7</v>
      </c>
      <c r="K12">
        <v>8</v>
      </c>
      <c r="L12">
        <v>9</v>
      </c>
      <c r="M12">
        <v>10</v>
      </c>
      <c r="N12">
        <v>11</v>
      </c>
      <c r="O12">
        <v>12</v>
      </c>
      <c r="P12">
        <v>13</v>
      </c>
      <c r="Q12">
        <v>14</v>
      </c>
      <c r="R12">
        <v>15</v>
      </c>
      <c r="S12">
        <v>16</v>
      </c>
      <c r="T12">
        <v>17</v>
      </c>
      <c r="U12">
        <v>18</v>
      </c>
      <c r="V12">
        <v>19</v>
      </c>
      <c r="W12">
        <v>20</v>
      </c>
      <c r="X12">
        <v>21</v>
      </c>
      <c r="Y12">
        <v>22</v>
      </c>
      <c r="Z12">
        <v>23</v>
      </c>
      <c r="AA12">
        <v>24</v>
      </c>
      <c r="AB12">
        <v>25</v>
      </c>
      <c r="AC12">
        <v>26</v>
      </c>
      <c r="AD12">
        <v>27</v>
      </c>
      <c r="AE12">
        <v>28</v>
      </c>
      <c r="AF12">
        <v>29</v>
      </c>
      <c r="AG12">
        <v>30</v>
      </c>
      <c r="AH12">
        <v>31</v>
      </c>
      <c r="AI12">
        <v>32</v>
      </c>
      <c r="AJ12">
        <v>33</v>
      </c>
      <c r="AK12">
        <v>34</v>
      </c>
      <c r="AL12">
        <v>35</v>
      </c>
      <c r="AM12">
        <v>36</v>
      </c>
      <c r="AN12">
        <v>37</v>
      </c>
      <c r="AO12">
        <v>38</v>
      </c>
      <c r="AP12">
        <v>39</v>
      </c>
      <c r="AQ12">
        <v>40</v>
      </c>
      <c r="AR12">
        <v>41</v>
      </c>
      <c r="AS12">
        <v>42</v>
      </c>
      <c r="AT12">
        <v>43</v>
      </c>
      <c r="AU12">
        <v>44</v>
      </c>
      <c r="AV12">
        <v>45</v>
      </c>
      <c r="AW12">
        <v>46</v>
      </c>
      <c r="AX12">
        <v>47</v>
      </c>
      <c r="AY12">
        <v>48</v>
      </c>
      <c r="AZ12">
        <v>49</v>
      </c>
      <c r="BA12">
        <v>50</v>
      </c>
      <c r="BB12">
        <v>51</v>
      </c>
      <c r="BC12">
        <v>52</v>
      </c>
      <c r="BD12">
        <v>53</v>
      </c>
      <c r="BE12">
        <v>54</v>
      </c>
      <c r="BF12">
        <v>55</v>
      </c>
      <c r="BG12">
        <v>56</v>
      </c>
      <c r="BH12">
        <v>57</v>
      </c>
      <c r="BI12">
        <v>58</v>
      </c>
      <c r="BJ12">
        <v>59</v>
      </c>
      <c r="BK12">
        <v>60</v>
      </c>
      <c r="BL12">
        <v>61</v>
      </c>
      <c r="BM12">
        <v>62</v>
      </c>
      <c r="BN12">
        <v>63</v>
      </c>
      <c r="BO12">
        <v>64</v>
      </c>
      <c r="BP12">
        <v>65</v>
      </c>
      <c r="BQ12">
        <v>66</v>
      </c>
      <c r="BR12">
        <v>67</v>
      </c>
      <c r="BS12">
        <v>68</v>
      </c>
      <c r="BT12">
        <v>69</v>
      </c>
      <c r="BU12">
        <v>70</v>
      </c>
      <c r="BV12">
        <v>71</v>
      </c>
      <c r="BW12">
        <v>72</v>
      </c>
      <c r="BX12">
        <v>73</v>
      </c>
      <c r="BY12">
        <v>74</v>
      </c>
      <c r="BZ12">
        <v>75</v>
      </c>
      <c r="CA12">
        <v>76</v>
      </c>
      <c r="CB12">
        <v>77</v>
      </c>
      <c r="CC12">
        <v>78</v>
      </c>
      <c r="CD12">
        <v>79</v>
      </c>
      <c r="CE12">
        <v>80</v>
      </c>
      <c r="CF12">
        <v>81</v>
      </c>
      <c r="CG12">
        <v>82</v>
      </c>
      <c r="CH12">
        <v>83</v>
      </c>
      <c r="CI12">
        <v>84</v>
      </c>
      <c r="CK12" t="s">
        <v>16</v>
      </c>
    </row>
    <row r="13" spans="1:91" x14ac:dyDescent="0.25">
      <c r="B13" s="2" t="s">
        <v>3</v>
      </c>
      <c r="C13" s="3">
        <f>Obs!C13-Calc!C13</f>
        <v>0</v>
      </c>
      <c r="I13" s="3">
        <f>Obs!I13-Calc!I13</f>
        <v>-0.99547952748945701</v>
      </c>
      <c r="P13" s="3">
        <f>Obs!P13-Calc!P13</f>
        <v>-0.96471083325435103</v>
      </c>
      <c r="T13" s="3">
        <f>Obs!T13-Calc!T13</f>
        <v>-0.61723586018904619</v>
      </c>
      <c r="AE13" s="3">
        <f>Obs!AE13-Calc!AE13</f>
        <v>-1.0786642288742545</v>
      </c>
      <c r="AP13" s="3">
        <f>Obs!AP13-Calc!AP13</f>
        <v>-0.56898304577844838</v>
      </c>
      <c r="BA13" s="3">
        <f>Obs!BA13-Calc!BA13</f>
        <v>-0.52699001691768732</v>
      </c>
      <c r="BL13" s="3">
        <f>Obs!BL13-Calc!BL13</f>
        <v>-0.2603574618712865</v>
      </c>
      <c r="BW13" s="3">
        <f>Obs!BW13-Calc!BW13</f>
        <v>-9.6223674796114267E-2</v>
      </c>
      <c r="CI13" s="3">
        <f>Obs!CI13-Calc!CI13</f>
        <v>-4.6832407882262617E-2</v>
      </c>
      <c r="CK13">
        <f>(C13^2)+(I13^2)+(P13^2)+(T13^2)+(AE13^2)+(AP13^2)+(BA13^2)+(BL13^2)+(BW13^2)+(CI13^2)</f>
        <v>4.1468415694907401</v>
      </c>
    </row>
    <row r="14" spans="1:91" x14ac:dyDescent="0.25">
      <c r="B14" s="2" t="s">
        <v>4</v>
      </c>
    </row>
    <row r="15" spans="1:91" x14ac:dyDescent="0.25">
      <c r="B15" s="2" t="s">
        <v>5</v>
      </c>
    </row>
    <row r="16" spans="1:91" x14ac:dyDescent="0.25">
      <c r="B16" s="2" t="s">
        <v>6</v>
      </c>
      <c r="C16" s="3">
        <f>Calc!C16-Calc!C16</f>
        <v>0</v>
      </c>
      <c r="I16" s="3">
        <f>Obs!I16-Calc!I16</f>
        <v>1.7930626372789717</v>
      </c>
      <c r="P16" s="3">
        <f>Obs!P16-Calc!P16</f>
        <v>1.4755768683851211</v>
      </c>
      <c r="T16" s="3">
        <f>Obs!T16-Calc!T16</f>
        <v>1.2597325698954482</v>
      </c>
      <c r="AE16" s="3">
        <f>Obs!AE16-Calc!AE16</f>
        <v>0.5949408186058891</v>
      </c>
      <c r="AP16" s="3">
        <f>Obs!AP16-Calc!AP16</f>
        <v>-0.20486837792756862</v>
      </c>
      <c r="BA16" s="3">
        <f>Obs!BA16-Calc!BA16</f>
        <v>-0.81888959018717156</v>
      </c>
      <c r="BL16" s="3">
        <f>Obs!BL16-Calc!BL16</f>
        <v>-1.5055897865696162</v>
      </c>
      <c r="BW16" s="3">
        <f>Obs!BW16-Calc!BW16</f>
        <v>-2.0670457868656955</v>
      </c>
      <c r="CI16" s="3">
        <f>Obs!CI16-Calc!CI16</f>
        <v>-2.3303681883269576</v>
      </c>
      <c r="CK16">
        <f>(C16^2)+(I16^2)+(P16^2)+(T16^2)+(AE16^2)+(AP16^2)+(BA16^2)+(BL16^2)+(BW16^2)+(CI16^2)</f>
        <v>20.015927437797718</v>
      </c>
      <c r="CM16">
        <f>CK13+CK16+CK18+CK20</f>
        <v>29.320816390596761</v>
      </c>
    </row>
    <row r="17" spans="2:89" x14ac:dyDescent="0.25">
      <c r="B17" s="2" t="s">
        <v>7</v>
      </c>
    </row>
    <row r="18" spans="2:89" x14ac:dyDescent="0.25">
      <c r="B18" s="2" t="s">
        <v>8</v>
      </c>
      <c r="C18" s="3">
        <f>Obs!C18-Calc!C18</f>
        <v>0</v>
      </c>
      <c r="I18" s="3">
        <f>Obs!I18-Calc!I18</f>
        <v>0.39200759517653438</v>
      </c>
      <c r="P18" s="3">
        <f>Obs!P18-Calc!P18</f>
        <v>0.8517700188388746</v>
      </c>
      <c r="T18" s="3">
        <f>Obs!T18-Calc!T18</f>
        <v>0.8125886151953593</v>
      </c>
      <c r="AE18" s="3">
        <f>Obs!AE18-Calc!AE18</f>
        <v>1.1294905285117589</v>
      </c>
      <c r="AP18" s="3">
        <f>Obs!AP18-Calc!AP18</f>
        <v>0.9552381097447652</v>
      </c>
      <c r="BA18" s="3">
        <f>Obs!BA18-Calc!BA18</f>
        <v>0.68830791507767053</v>
      </c>
      <c r="BL18" s="3">
        <f>Obs!BL18-Calc!BL18</f>
        <v>0.28788935654134673</v>
      </c>
      <c r="BW18" s="3">
        <f>Obs!BW18-Calc!BW18</f>
        <v>-0.26631958020248203</v>
      </c>
      <c r="CI18" s="3">
        <f>Obs!CI18-Calc!CI18</f>
        <v>-0.88794448818833227</v>
      </c>
      <c r="CK18">
        <f>(C18^2)+(I18^2)+(P18^2)+(T18^2)+(AE18^2)+(AP18^2)+(BA18^2)+(BL18^2)+(BW18^2)+(CI18^2)</f>
        <v>5.1437306779921297</v>
      </c>
    </row>
    <row r="19" spans="2:89" x14ac:dyDescent="0.25">
      <c r="B19" s="2" t="s">
        <v>9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</row>
    <row r="20" spans="2:89" x14ac:dyDescent="0.25">
      <c r="B20" s="2" t="s">
        <v>10</v>
      </c>
      <c r="C20" s="3">
        <f>Obs!C20-Calc!C20</f>
        <v>0</v>
      </c>
      <c r="I20" s="3">
        <f>Obs!I20-Calc!I20</f>
        <v>-5.1768791828297645E-8</v>
      </c>
      <c r="P20" s="3">
        <f>Obs!P20-Calc!P20</f>
        <v>2.3475661732174032E-2</v>
      </c>
      <c r="T20" s="3">
        <f>Obs!T20-Calc!T20</f>
        <v>2.4747100449460841E-2</v>
      </c>
      <c r="AE20" s="3">
        <f>Obs!AE20-Calc!AE20</f>
        <v>4.8791998579932862E-2</v>
      </c>
      <c r="AP20" s="3">
        <f>Obs!AP20-Calc!AP20</f>
        <v>5.4920163693281537E-2</v>
      </c>
      <c r="BA20" s="3">
        <f>Obs!BA20-Calc!BA20</f>
        <v>4.4804502152667694E-2</v>
      </c>
      <c r="BL20" s="3">
        <f>Obs!BL20-Calc!BL20</f>
        <v>2.2724828980059925E-2</v>
      </c>
      <c r="BW20" s="3">
        <f>Obs!BW20-Calc!BW20</f>
        <v>-2.2945947445840553E-2</v>
      </c>
      <c r="CI20" s="3">
        <f>Obs!CI20-Calc!CI20</f>
        <v>-6.8599696549803246E-2</v>
      </c>
      <c r="CK20">
        <f>(C20^2)+(I20^2)+(P20^2)+(T20^2)+(AE20^2)+(AP20^2)+(BA20^2)+(BL20^2)+(BW20^2)+(CI20^2)</f>
        <v>1.4316705316176594E-2</v>
      </c>
    </row>
    <row r="21" spans="2:89" x14ac:dyDescent="0.25">
      <c r="B21" s="2" t="s">
        <v>13</v>
      </c>
      <c r="C21">
        <v>86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0"/>
  <sheetViews>
    <sheetView topLeftCell="A40" zoomScale="80" zoomScaleNormal="80" workbookViewId="0">
      <selection activeCell="W49" sqref="W49"/>
    </sheetView>
  </sheetViews>
  <sheetFormatPr defaultRowHeight="15" x14ac:dyDescent="0.25"/>
  <cols>
    <col min="3" max="3" width="11.28515625" customWidth="1"/>
    <col min="4" max="4" width="10.5703125" customWidth="1"/>
    <col min="5" max="5" width="12.5703125" customWidth="1"/>
  </cols>
  <sheetData>
    <row r="1" spans="1:11" x14ac:dyDescent="0.25">
      <c r="A1" t="s">
        <v>55</v>
      </c>
    </row>
    <row r="2" spans="1:11" x14ac:dyDescent="0.25">
      <c r="A2" t="s">
        <v>54</v>
      </c>
    </row>
    <row r="4" spans="1:11" x14ac:dyDescent="0.25">
      <c r="F4" s="14" t="s">
        <v>43</v>
      </c>
      <c r="G4" s="15">
        <v>8.6</v>
      </c>
      <c r="H4" t="s">
        <v>44</v>
      </c>
      <c r="K4" s="4"/>
    </row>
    <row r="5" spans="1:11" x14ac:dyDescent="0.25">
      <c r="F5" s="10" t="s">
        <v>51</v>
      </c>
      <c r="G5" s="11">
        <v>4.673548666001697E-3</v>
      </c>
      <c r="H5" t="s">
        <v>45</v>
      </c>
    </row>
    <row r="6" spans="1:11" x14ac:dyDescent="0.25">
      <c r="A6" s="1" t="s">
        <v>61</v>
      </c>
      <c r="D6" s="4"/>
      <c r="E6" s="4"/>
      <c r="F6" s="10" t="s">
        <v>52</v>
      </c>
      <c r="G6" s="11">
        <v>1.9531529539837059E-3</v>
      </c>
      <c r="H6" t="s">
        <v>46</v>
      </c>
    </row>
    <row r="7" spans="1:11" x14ac:dyDescent="0.25">
      <c r="A7" t="s">
        <v>47</v>
      </c>
      <c r="B7" t="s">
        <v>17</v>
      </c>
      <c r="C7" t="s">
        <v>48</v>
      </c>
      <c r="D7" t="s">
        <v>49</v>
      </c>
      <c r="E7" t="s">
        <v>50</v>
      </c>
    </row>
    <row r="8" spans="1:11" x14ac:dyDescent="0.25">
      <c r="A8">
        <v>1</v>
      </c>
      <c r="B8" s="12">
        <v>0</v>
      </c>
      <c r="C8" s="13">
        <v>8.6</v>
      </c>
      <c r="D8" s="4">
        <f>($G$5*$G$4*EXP(-$G$5*B8))/($G$5+(2*$G$6*$G$4*(1-EXP(-$G$5*B8))))</f>
        <v>8.6</v>
      </c>
      <c r="E8" s="4">
        <f>(C8-D8)^2</f>
        <v>0</v>
      </c>
    </row>
    <row r="9" spans="1:11" x14ac:dyDescent="0.25">
      <c r="A9">
        <v>2</v>
      </c>
      <c r="B9" s="12">
        <f>5+(31/60)+(1.54/2)</f>
        <v>6.2866666666666671</v>
      </c>
      <c r="C9" s="13">
        <v>6.617920459990418</v>
      </c>
      <c r="D9" s="4">
        <f t="shared" ref="D9:D17" si="0">($G$5*$G$4*EXP(-$G$5*B9))/($G$5+(2*$G$6*$G$4*(1-EXP(-$G$5*B9))))</f>
        <v>6.9123729073734186</v>
      </c>
      <c r="E9" s="4">
        <f t="shared" ref="E9:E17" si="1">(C9-D9)^2</f>
        <v>8.6702243769838733E-2</v>
      </c>
    </row>
    <row r="10" spans="1:11" x14ac:dyDescent="0.25">
      <c r="A10">
        <v>3</v>
      </c>
      <c r="B10" s="12">
        <f>11+(57/60)+(1.54/2)</f>
        <v>12.719999999999999</v>
      </c>
      <c r="C10" s="13">
        <v>5.6509183836447852</v>
      </c>
      <c r="D10" s="4">
        <f t="shared" si="0"/>
        <v>5.7275077014324927</v>
      </c>
      <c r="E10" s="4">
        <f t="shared" si="1"/>
        <v>5.8659235991864482E-3</v>
      </c>
    </row>
    <row r="11" spans="1:11" x14ac:dyDescent="0.25">
      <c r="A11">
        <v>4</v>
      </c>
      <c r="B11" s="12">
        <f>(11+5)+(5/60)+(1.54/2)</f>
        <v>16.853333333333332</v>
      </c>
      <c r="C11" s="13">
        <v>5.4924985359101308</v>
      </c>
      <c r="D11" s="4">
        <f t="shared" si="0"/>
        <v>5.1465598524691751</v>
      </c>
      <c r="E11" s="4">
        <f t="shared" si="1"/>
        <v>0.11967357270086175</v>
      </c>
    </row>
    <row r="12" spans="1:11" x14ac:dyDescent="0.25">
      <c r="A12">
        <v>5</v>
      </c>
      <c r="B12" s="12">
        <f>(22+5)+(12/60)+(1.54/2)</f>
        <v>27.97</v>
      </c>
      <c r="C12" s="13">
        <v>3.8419102379811534</v>
      </c>
      <c r="D12" s="4">
        <f t="shared" si="0"/>
        <v>4.0122084070435058</v>
      </c>
      <c r="E12" s="4">
        <f t="shared" si="1"/>
        <v>2.900146638598956E-2</v>
      </c>
    </row>
    <row r="13" spans="1:11" x14ac:dyDescent="0.25">
      <c r="A13">
        <v>6</v>
      </c>
      <c r="B13" s="12">
        <f>(33+5)+(20/60)+(1.54/2)</f>
        <v>39.103333333333339</v>
      </c>
      <c r="C13" s="13">
        <v>3.405111004631848</v>
      </c>
      <c r="D13" s="4">
        <f t="shared" si="0"/>
        <v>3.2552866544954795</v>
      </c>
      <c r="E13" s="4">
        <f t="shared" si="1"/>
        <v>2.2447335893785149E-2</v>
      </c>
    </row>
    <row r="14" spans="1:11" x14ac:dyDescent="0.25">
      <c r="A14">
        <v>7</v>
      </c>
      <c r="B14" s="12">
        <f>(44+5)+(26/60)+(1.54/2)</f>
        <v>50.203333333333333</v>
      </c>
      <c r="C14" s="13">
        <v>2.6899323856678912</v>
      </c>
      <c r="D14" s="4">
        <f t="shared" si="0"/>
        <v>2.7169953856472238</v>
      </c>
      <c r="E14" s="4">
        <f t="shared" si="1"/>
        <v>7.3240596788135589E-4</v>
      </c>
    </row>
    <row r="15" spans="1:11" x14ac:dyDescent="0.25">
      <c r="A15">
        <v>8</v>
      </c>
      <c r="B15" s="12">
        <f>(55+5)+(33/60)+(1.54/2)</f>
        <v>61.32</v>
      </c>
      <c r="C15" s="13">
        <v>2.3483682052920196</v>
      </c>
      <c r="D15" s="4">
        <f t="shared" si="0"/>
        <v>2.313454648234424</v>
      </c>
      <c r="E15" s="4">
        <f t="shared" si="1"/>
        <v>1.2189564664139821E-3</v>
      </c>
    </row>
    <row r="16" spans="1:11" x14ac:dyDescent="0.25">
      <c r="A16">
        <v>9</v>
      </c>
      <c r="B16" s="12">
        <f>(60+5+6)+(40/60)+(1.52/2)</f>
        <v>72.426666666666677</v>
      </c>
      <c r="C16" s="13">
        <v>2.022371293190651</v>
      </c>
      <c r="D16" s="4">
        <f t="shared" si="0"/>
        <v>2.0007379520166007</v>
      </c>
      <c r="E16" s="4">
        <f t="shared" si="1"/>
        <v>4.6800145035286254E-4</v>
      </c>
      <c r="G16" s="1" t="s">
        <v>53</v>
      </c>
      <c r="H16" s="1"/>
      <c r="I16" s="1"/>
    </row>
    <row r="17" spans="1:10" x14ac:dyDescent="0.25">
      <c r="A17">
        <v>10</v>
      </c>
      <c r="B17" s="12">
        <f>(60+5+17)+(47/60)+(1.54/2)</f>
        <v>83.553333333333327</v>
      </c>
      <c r="C17" s="13">
        <v>1.6437203854549327</v>
      </c>
      <c r="D17" s="4">
        <f t="shared" si="0"/>
        <v>1.7509815533941233</v>
      </c>
      <c r="E17" s="4">
        <f t="shared" si="1"/>
        <v>1.150495814767925E-2</v>
      </c>
      <c r="G17" s="3">
        <v>4.673548666001697E-3</v>
      </c>
      <c r="H17" s="3">
        <v>1.9531529539837059E-3</v>
      </c>
    </row>
    <row r="18" spans="1:10" x14ac:dyDescent="0.25">
      <c r="D18" s="4"/>
      <c r="E18" s="4"/>
      <c r="G18" s="3">
        <v>2.8070901104430149E-3</v>
      </c>
      <c r="H18" s="3">
        <v>2.9635124690607689E-4</v>
      </c>
    </row>
    <row r="19" spans="1:10" x14ac:dyDescent="0.25">
      <c r="D19" s="4"/>
      <c r="E19" s="4">
        <f>SUM(E8:E17)</f>
        <v>0.27761486438198912</v>
      </c>
      <c r="G19" s="3">
        <v>0.99418326093354148</v>
      </c>
      <c r="H19" s="3">
        <v>0.18628434729667612</v>
      </c>
    </row>
    <row r="22" spans="1:10" x14ac:dyDescent="0.25">
      <c r="A22" t="s">
        <v>62</v>
      </c>
    </row>
    <row r="24" spans="1:10" x14ac:dyDescent="0.25">
      <c r="A24" t="s">
        <v>56</v>
      </c>
    </row>
    <row r="25" spans="1:10" x14ac:dyDescent="0.25">
      <c r="A25" t="s">
        <v>54</v>
      </c>
    </row>
    <row r="26" spans="1:10" x14ac:dyDescent="0.25">
      <c r="A26" t="s">
        <v>57</v>
      </c>
    </row>
    <row r="28" spans="1:10" x14ac:dyDescent="0.25">
      <c r="F28" s="14" t="s">
        <v>58</v>
      </c>
      <c r="G28" s="15">
        <v>3.8969447982518419</v>
      </c>
      <c r="H28" t="s">
        <v>44</v>
      </c>
    </row>
    <row r="29" spans="1:10" x14ac:dyDescent="0.25">
      <c r="A29" s="1" t="s">
        <v>60</v>
      </c>
      <c r="F29" s="10" t="s">
        <v>59</v>
      </c>
      <c r="G29" s="11">
        <v>0.13602714912031449</v>
      </c>
      <c r="H29" t="s">
        <v>45</v>
      </c>
    </row>
    <row r="30" spans="1:10" x14ac:dyDescent="0.25">
      <c r="A30" t="s">
        <v>47</v>
      </c>
      <c r="B30" t="s">
        <v>17</v>
      </c>
      <c r="C30" t="s">
        <v>48</v>
      </c>
      <c r="D30" t="s">
        <v>49</v>
      </c>
      <c r="E30" t="s">
        <v>50</v>
      </c>
      <c r="J30" s="13"/>
    </row>
    <row r="31" spans="1:10" x14ac:dyDescent="0.25">
      <c r="A31">
        <v>1</v>
      </c>
      <c r="B31" s="12">
        <v>0</v>
      </c>
      <c r="C31" s="12">
        <v>0</v>
      </c>
      <c r="D31" s="4">
        <f>$G$28*(1-EXP(-$G$29*B31))</f>
        <v>0</v>
      </c>
      <c r="E31" s="4">
        <f>(C31-D31)^2</f>
        <v>0</v>
      </c>
      <c r="J31" s="13"/>
    </row>
    <row r="32" spans="1:10" x14ac:dyDescent="0.25">
      <c r="A32">
        <v>2</v>
      </c>
      <c r="B32" s="12">
        <f>5+(31/60)+(1.54/2)</f>
        <v>6.2866666666666671</v>
      </c>
      <c r="C32" s="12">
        <v>2.3886599584730877</v>
      </c>
      <c r="D32" s="4">
        <f t="shared" ref="D32:D35" si="2">$G$28*(1-EXP(-$G$29*B32))</f>
        <v>2.2399004257085129</v>
      </c>
      <c r="E32" s="4">
        <f t="shared" ref="E32:E35" si="3">(C32-D32)^2</f>
        <v>2.2129398588334594E-2</v>
      </c>
      <c r="J32" s="13"/>
    </row>
    <row r="33" spans="1:11" x14ac:dyDescent="0.25">
      <c r="A33">
        <v>3</v>
      </c>
      <c r="B33" s="12">
        <f>11+(57/60)+(1.54/2)</f>
        <v>12.719999999999999</v>
      </c>
      <c r="C33" s="12">
        <v>3.0836927008465103</v>
      </c>
      <c r="D33" s="4">
        <f t="shared" si="2"/>
        <v>3.2062605272855191</v>
      </c>
      <c r="E33" s="4">
        <f t="shared" si="3"/>
        <v>1.5022872077983003E-2</v>
      </c>
      <c r="J33" s="13"/>
    </row>
    <row r="34" spans="1:11" x14ac:dyDescent="0.25">
      <c r="A34">
        <v>4</v>
      </c>
      <c r="B34" s="12">
        <f>(11+5)+(5/60)+(1.54/2)</f>
        <v>16.853333333333332</v>
      </c>
      <c r="C34" s="12">
        <v>3.3872544321993292</v>
      </c>
      <c r="D34" s="4">
        <f t="shared" si="2"/>
        <v>3.5033046142214785</v>
      </c>
      <c r="E34" s="4">
        <f t="shared" si="3"/>
        <v>1.3467644747373993E-2</v>
      </c>
      <c r="G34" s="1" t="s">
        <v>53</v>
      </c>
      <c r="J34" s="13"/>
    </row>
    <row r="35" spans="1:11" x14ac:dyDescent="0.25">
      <c r="A35">
        <v>5</v>
      </c>
      <c r="B35" s="12">
        <f>(22+5)+(12/60)+(1.54/2)</f>
        <v>27.97</v>
      </c>
      <c r="C35" s="12">
        <v>3.9325666826385564</v>
      </c>
      <c r="D35" s="4">
        <f t="shared" si="2"/>
        <v>3.8101741180290292</v>
      </c>
      <c r="E35" s="4">
        <f t="shared" si="3"/>
        <v>1.4979939871697287E-2</v>
      </c>
      <c r="G35" s="3"/>
      <c r="H35" s="3">
        <v>0.13602714912031449</v>
      </c>
    </row>
    <row r="36" spans="1:11" x14ac:dyDescent="0.25">
      <c r="B36" s="12"/>
      <c r="C36" s="13"/>
      <c r="G36" s="3"/>
      <c r="H36" s="3">
        <v>1.7933154520096591E-2</v>
      </c>
    </row>
    <row r="37" spans="1:11" x14ac:dyDescent="0.25">
      <c r="B37" s="12"/>
      <c r="C37" s="13"/>
      <c r="G37" s="3">
        <v>0.99316095481361832</v>
      </c>
      <c r="H37" s="3">
        <v>0.14787365697940577</v>
      </c>
    </row>
    <row r="38" spans="1:11" x14ac:dyDescent="0.25">
      <c r="B38" s="12"/>
      <c r="C38" s="13"/>
    </row>
    <row r="39" spans="1:11" x14ac:dyDescent="0.25">
      <c r="B39" s="12"/>
      <c r="C39" s="13"/>
    </row>
    <row r="40" spans="1:11" x14ac:dyDescent="0.25">
      <c r="B40" s="12"/>
      <c r="C40" s="13"/>
      <c r="E40" s="4">
        <f>SUM(E31:E35)</f>
        <v>6.5599855285388878E-2</v>
      </c>
    </row>
    <row r="45" spans="1:11" x14ac:dyDescent="0.25">
      <c r="A45" t="s">
        <v>131</v>
      </c>
    </row>
    <row r="47" spans="1:11" x14ac:dyDescent="0.25">
      <c r="B47" s="14"/>
      <c r="C47" s="14"/>
      <c r="F47" s="10" t="s">
        <v>136</v>
      </c>
      <c r="G47" s="10">
        <v>9.8895953532224841</v>
      </c>
      <c r="H47" t="s">
        <v>44</v>
      </c>
    </row>
    <row r="48" spans="1:11" x14ac:dyDescent="0.25">
      <c r="B48" s="14"/>
      <c r="C48" s="14"/>
      <c r="F48" s="10" t="s">
        <v>132</v>
      </c>
      <c r="G48" s="10">
        <v>1.6840120984561349E-2</v>
      </c>
      <c r="H48" t="s">
        <v>45</v>
      </c>
      <c r="K48" s="4"/>
    </row>
    <row r="49" spans="2:18" x14ac:dyDescent="0.25">
      <c r="K49" s="4"/>
      <c r="L49" s="4"/>
    </row>
    <row r="50" spans="2:18" x14ac:dyDescent="0.25">
      <c r="B50" t="s">
        <v>17</v>
      </c>
      <c r="C50" t="s">
        <v>134</v>
      </c>
      <c r="D50" t="s">
        <v>135</v>
      </c>
      <c r="E50" t="s">
        <v>133</v>
      </c>
      <c r="R50" s="1" t="s">
        <v>137</v>
      </c>
    </row>
    <row r="51" spans="2:18" x14ac:dyDescent="0.25">
      <c r="B51">
        <v>3.2533333333333339</v>
      </c>
      <c r="C51" s="33">
        <v>9.6999999999999993</v>
      </c>
      <c r="D51">
        <f>$G$47*EXP(-$G$48*B51)</f>
        <v>9.3623535180729576</v>
      </c>
      <c r="E51">
        <f>(C51-D51)^2</f>
        <v>0.11400514675770811</v>
      </c>
      <c r="H51" s="33"/>
    </row>
    <row r="52" spans="2:18" x14ac:dyDescent="0.25">
      <c r="B52">
        <v>9.370000000000001</v>
      </c>
      <c r="C52" s="33">
        <v>8.3760095140277837</v>
      </c>
      <c r="D52">
        <f t="shared" ref="D52:D58" si="4">$G$47*EXP(-$G$48*B52)</f>
        <v>8.445985978981092</v>
      </c>
      <c r="E52">
        <f t="shared" ref="E52:E58" si="5">(C52-D52)^2</f>
        <v>4.89670564736159E-3</v>
      </c>
      <c r="H52" s="33"/>
    </row>
    <row r="53" spans="2:18" x14ac:dyDescent="0.25">
      <c r="B53">
        <v>15.486666666666668</v>
      </c>
      <c r="C53" s="33">
        <v>7.3923239094005071</v>
      </c>
      <c r="D53">
        <f t="shared" si="4"/>
        <v>7.6193105739322631</v>
      </c>
      <c r="E53">
        <f t="shared" si="5"/>
        <v>5.1522945875251927E-2</v>
      </c>
      <c r="G53" s="1" t="s">
        <v>53</v>
      </c>
    </row>
    <row r="54" spans="2:18" x14ac:dyDescent="0.25">
      <c r="B54">
        <v>21.603333333333332</v>
      </c>
      <c r="C54" s="33">
        <v>6.5958322071463318</v>
      </c>
      <c r="D54">
        <f t="shared" si="4"/>
        <v>6.8735484248387895</v>
      </c>
      <c r="E54">
        <f t="shared" si="5"/>
        <v>7.7126297569404548E-2</v>
      </c>
      <c r="G54" s="3">
        <v>9.8895953532224841</v>
      </c>
      <c r="H54" s="3">
        <v>1.6840120984561349E-2</v>
      </c>
    </row>
    <row r="55" spans="2:18" x14ac:dyDescent="0.25">
      <c r="B55">
        <v>27.72</v>
      </c>
      <c r="C55" s="33">
        <v>6.0415914373749926</v>
      </c>
      <c r="D55">
        <f>$G$47*EXP(-$G$48*B55)</f>
        <v>6.2007799117999083</v>
      </c>
      <c r="E55">
        <f t="shared" si="5"/>
        <v>2.5340970389732036E-2</v>
      </c>
      <c r="G55" s="3">
        <v>0.22071780776292371</v>
      </c>
      <c r="H55" s="3">
        <v>9.9015843400133735E-4</v>
      </c>
    </row>
    <row r="56" spans="2:18" x14ac:dyDescent="0.25">
      <c r="B56">
        <v>33.836666666666666</v>
      </c>
      <c r="C56">
        <v>5.5990377858262601</v>
      </c>
      <c r="D56">
        <f t="shared" si="4"/>
        <v>5.593860570711418</v>
      </c>
      <c r="E56">
        <f t="shared" si="5"/>
        <v>2.6803556345350001E-5</v>
      </c>
      <c r="G56" s="3">
        <v>0.98097026267545984</v>
      </c>
      <c r="H56" s="3">
        <v>0.25320853480785988</v>
      </c>
    </row>
    <row r="57" spans="2:18" x14ac:dyDescent="0.25">
      <c r="B57">
        <v>39.953333333333333</v>
      </c>
      <c r="C57">
        <v>5.1664468349640513</v>
      </c>
      <c r="D57">
        <f t="shared" si="4"/>
        <v>5.046345222641019</v>
      </c>
      <c r="E57">
        <f t="shared" si="5"/>
        <v>1.4424397282591941E-2</v>
      </c>
    </row>
    <row r="58" spans="2:18" x14ac:dyDescent="0.25">
      <c r="B58">
        <v>46.07</v>
      </c>
      <c r="C58">
        <v>4.8644196983620729</v>
      </c>
      <c r="D58">
        <f t="shared" si="4"/>
        <v>4.5524195292613756</v>
      </c>
      <c r="E58">
        <f t="shared" si="5"/>
        <v>9.7344105518863702E-2</v>
      </c>
      <c r="R58" t="s">
        <v>138</v>
      </c>
    </row>
    <row r="59" spans="2:18" x14ac:dyDescent="0.25">
      <c r="R59" t="s">
        <v>139</v>
      </c>
    </row>
    <row r="60" spans="2:18" x14ac:dyDescent="0.25">
      <c r="E60">
        <f>SUM(E51:E58)</f>
        <v>0.38468737259725916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hemDraw.Document.6.0" shapeId="4110" r:id="rId3">
          <objectPr defaultSize="0" r:id="rId4">
            <anchor moveWithCells="1">
              <from>
                <xdr:col>17</xdr:col>
                <xdr:colOff>57150</xdr:colOff>
                <xdr:row>50</xdr:row>
                <xdr:rowOff>47625</xdr:rowOff>
              </from>
              <to>
                <xdr:col>21</xdr:col>
                <xdr:colOff>66675</xdr:colOff>
                <xdr:row>56</xdr:row>
                <xdr:rowOff>57150</xdr:rowOff>
              </to>
            </anchor>
          </objectPr>
        </oleObject>
      </mc:Choice>
      <mc:Fallback>
        <oleObject progId="ChemDraw.Document.6.0" shapeId="4110" r:id="rId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zoomScale="80" zoomScaleNormal="80" workbookViewId="0">
      <selection activeCell="H24" sqref="H24"/>
    </sheetView>
  </sheetViews>
  <sheetFormatPr defaultRowHeight="15" x14ac:dyDescent="0.25"/>
  <cols>
    <col min="2" max="2" width="22.5703125" customWidth="1"/>
    <col min="3" max="4" width="14.85546875" customWidth="1"/>
    <col min="7" max="7" width="12.7109375" customWidth="1"/>
    <col min="12" max="12" width="10.85546875" customWidth="1"/>
    <col min="17" max="17" width="10" customWidth="1"/>
    <col min="22" max="22" width="16.140625" customWidth="1"/>
    <col min="23" max="23" width="17.85546875" customWidth="1"/>
  </cols>
  <sheetData>
    <row r="1" spans="1:32" x14ac:dyDescent="0.25">
      <c r="A1" t="s">
        <v>63</v>
      </c>
      <c r="E1" t="s">
        <v>64</v>
      </c>
      <c r="H1">
        <f>(6*8600)/18783</f>
        <v>2.7471649896182719</v>
      </c>
      <c r="I1" t="s">
        <v>65</v>
      </c>
    </row>
    <row r="3" spans="1:32" x14ac:dyDescent="0.25">
      <c r="E3" s="16" t="s">
        <v>115</v>
      </c>
      <c r="F3" s="16"/>
      <c r="G3" s="16"/>
      <c r="H3" t="s">
        <v>66</v>
      </c>
      <c r="J3" s="16" t="s">
        <v>116</v>
      </c>
      <c r="K3" s="16"/>
      <c r="L3" s="16"/>
      <c r="M3" s="14" t="s">
        <v>119</v>
      </c>
      <c r="N3" s="14"/>
      <c r="O3" s="16" t="s">
        <v>118</v>
      </c>
      <c r="P3" s="16"/>
      <c r="Q3" s="16"/>
      <c r="R3" s="14" t="s">
        <v>120</v>
      </c>
      <c r="S3" s="14"/>
      <c r="T3" s="16" t="s">
        <v>121</v>
      </c>
      <c r="U3" s="16"/>
      <c r="V3" s="17" t="s">
        <v>99</v>
      </c>
      <c r="W3" s="17"/>
      <c r="X3" s="14" t="s">
        <v>123</v>
      </c>
      <c r="Y3" s="14"/>
      <c r="Z3" s="14"/>
      <c r="AA3" s="16" t="s">
        <v>67</v>
      </c>
      <c r="AB3" s="16"/>
      <c r="AC3" s="16"/>
      <c r="AD3" s="14" t="s">
        <v>124</v>
      </c>
      <c r="AE3" s="14"/>
    </row>
    <row r="4" spans="1:32" x14ac:dyDescent="0.25">
      <c r="E4" s="16" t="s">
        <v>114</v>
      </c>
      <c r="F4" s="16"/>
      <c r="G4" s="16"/>
      <c r="H4" s="14" t="s">
        <v>68</v>
      </c>
      <c r="I4" s="14"/>
      <c r="J4" s="18"/>
      <c r="K4" s="16" t="s">
        <v>69</v>
      </c>
      <c r="L4" s="16"/>
      <c r="M4" s="19" t="s">
        <v>98</v>
      </c>
      <c r="N4" s="14"/>
      <c r="O4" s="18" t="s">
        <v>117</v>
      </c>
      <c r="P4" s="16"/>
      <c r="Q4" s="16"/>
      <c r="R4" s="14" t="s">
        <v>70</v>
      </c>
      <c r="S4" s="14"/>
      <c r="T4" s="16" t="s">
        <v>71</v>
      </c>
      <c r="U4" s="16"/>
      <c r="V4" s="17" t="s">
        <v>129</v>
      </c>
      <c r="W4" s="17"/>
      <c r="X4" s="19" t="s">
        <v>122</v>
      </c>
      <c r="Y4" s="14"/>
      <c r="Z4" s="14"/>
      <c r="AA4" s="18" t="s">
        <v>72</v>
      </c>
      <c r="AB4" s="16"/>
      <c r="AC4" s="16"/>
      <c r="AD4" s="19" t="s">
        <v>122</v>
      </c>
      <c r="AE4" s="14"/>
    </row>
    <row r="5" spans="1:32" x14ac:dyDescent="0.25">
      <c r="A5" t="s">
        <v>47</v>
      </c>
      <c r="B5" t="s">
        <v>104</v>
      </c>
      <c r="C5" t="s">
        <v>73</v>
      </c>
      <c r="D5" t="s">
        <v>74</v>
      </c>
      <c r="E5" s="16" t="s">
        <v>96</v>
      </c>
      <c r="F5" s="16"/>
      <c r="G5" s="16"/>
      <c r="H5" t="s">
        <v>75</v>
      </c>
      <c r="J5" s="18" t="s">
        <v>97</v>
      </c>
      <c r="K5" s="16"/>
      <c r="L5" s="16"/>
      <c r="M5" s="19" t="s">
        <v>76</v>
      </c>
      <c r="N5" s="14"/>
      <c r="O5" s="18" t="s">
        <v>103</v>
      </c>
      <c r="P5" s="16"/>
      <c r="Q5" s="16"/>
      <c r="R5" s="19" t="s">
        <v>77</v>
      </c>
      <c r="S5" s="14"/>
      <c r="T5" s="18" t="s">
        <v>78</v>
      </c>
      <c r="U5" s="16"/>
      <c r="V5" s="17" t="s">
        <v>100</v>
      </c>
      <c r="W5" s="17"/>
      <c r="X5" s="19" t="s">
        <v>102</v>
      </c>
      <c r="Y5" s="14"/>
      <c r="Z5" s="14"/>
      <c r="AA5" s="18" t="s">
        <v>79</v>
      </c>
      <c r="AB5" s="16"/>
      <c r="AC5" s="16"/>
      <c r="AD5" s="19" t="s">
        <v>103</v>
      </c>
      <c r="AE5" s="14"/>
    </row>
    <row r="6" spans="1:32" x14ac:dyDescent="0.25">
      <c r="E6" s="20" t="s">
        <v>80</v>
      </c>
      <c r="F6" s="20" t="s">
        <v>106</v>
      </c>
      <c r="G6" s="20" t="s">
        <v>82</v>
      </c>
      <c r="H6" s="21" t="s">
        <v>80</v>
      </c>
      <c r="I6" s="21" t="s">
        <v>83</v>
      </c>
      <c r="J6" s="20" t="s">
        <v>80</v>
      </c>
      <c r="K6" s="20" t="s">
        <v>106</v>
      </c>
      <c r="L6" s="20" t="s">
        <v>84</v>
      </c>
      <c r="M6" s="22" t="s">
        <v>80</v>
      </c>
      <c r="N6" s="22" t="s">
        <v>83</v>
      </c>
      <c r="O6" s="20" t="s">
        <v>80</v>
      </c>
      <c r="P6" s="20" t="s">
        <v>106</v>
      </c>
      <c r="Q6" s="20" t="s">
        <v>85</v>
      </c>
      <c r="R6" s="22" t="s">
        <v>80</v>
      </c>
      <c r="S6" s="22" t="s">
        <v>83</v>
      </c>
      <c r="T6" s="20" t="s">
        <v>80</v>
      </c>
      <c r="U6" s="20" t="s">
        <v>83</v>
      </c>
      <c r="V6" s="23" t="s">
        <v>106</v>
      </c>
      <c r="W6" s="23" t="s">
        <v>101</v>
      </c>
      <c r="X6" s="22" t="s">
        <v>80</v>
      </c>
      <c r="Y6" s="22" t="s">
        <v>83</v>
      </c>
      <c r="Z6" s="22" t="s">
        <v>81</v>
      </c>
      <c r="AA6" s="20" t="s">
        <v>80</v>
      </c>
      <c r="AB6" s="20" t="s">
        <v>106</v>
      </c>
      <c r="AC6" s="20" t="s">
        <v>105</v>
      </c>
      <c r="AD6" s="22" t="s">
        <v>80</v>
      </c>
      <c r="AE6" s="22" t="s">
        <v>83</v>
      </c>
      <c r="AF6" s="22" t="s">
        <v>81</v>
      </c>
    </row>
    <row r="7" spans="1:32" ht="23.25" x14ac:dyDescent="0.25">
      <c r="A7">
        <v>1</v>
      </c>
      <c r="B7" s="24" t="s">
        <v>86</v>
      </c>
      <c r="C7" s="12">
        <v>0</v>
      </c>
      <c r="D7">
        <v>0</v>
      </c>
      <c r="E7" s="16">
        <v>0</v>
      </c>
      <c r="F7" s="25">
        <f>E7*$H$1</f>
        <v>0</v>
      </c>
      <c r="G7" s="25">
        <f>F7</f>
        <v>0</v>
      </c>
      <c r="H7">
        <v>0</v>
      </c>
      <c r="I7">
        <v>0</v>
      </c>
      <c r="J7" s="16">
        <v>18783</v>
      </c>
      <c r="K7" s="25">
        <f>J7*$H$1</f>
        <v>51600</v>
      </c>
      <c r="L7" s="25">
        <f>K7/6</f>
        <v>8600</v>
      </c>
      <c r="M7" s="14">
        <v>0</v>
      </c>
      <c r="N7" s="14">
        <v>0</v>
      </c>
      <c r="O7" s="16">
        <v>0</v>
      </c>
      <c r="P7" s="25">
        <f>O7*$H$1</f>
        <v>0</v>
      </c>
      <c r="Q7" s="25">
        <f>P7/4</f>
        <v>0</v>
      </c>
      <c r="R7" s="14">
        <v>0</v>
      </c>
      <c r="S7" s="14">
        <v>0</v>
      </c>
      <c r="T7" s="16">
        <v>0</v>
      </c>
      <c r="U7" s="16">
        <v>0</v>
      </c>
      <c r="V7" s="26">
        <f t="shared" ref="V7:V16" si="0">(R7+T7)*$H$1</f>
        <v>0</v>
      </c>
      <c r="W7" s="26">
        <f>V7/8</f>
        <v>0</v>
      </c>
      <c r="X7" s="14">
        <v>0</v>
      </c>
      <c r="Y7" s="14">
        <v>0</v>
      </c>
      <c r="Z7" s="27">
        <f>X7*$H$1</f>
        <v>0</v>
      </c>
      <c r="AA7" s="16">
        <v>0</v>
      </c>
      <c r="AB7" s="25">
        <f>AA7*$H$1</f>
        <v>0</v>
      </c>
      <c r="AC7" s="25">
        <f>AB7/16</f>
        <v>0</v>
      </c>
      <c r="AD7" s="14">
        <v>0</v>
      </c>
      <c r="AE7" s="28">
        <v>0</v>
      </c>
      <c r="AF7" s="28">
        <f>AD7*$H$1</f>
        <v>0</v>
      </c>
    </row>
    <row r="8" spans="1:32" x14ac:dyDescent="0.25">
      <c r="A8">
        <v>2</v>
      </c>
      <c r="B8" s="29" t="s">
        <v>87</v>
      </c>
      <c r="C8" s="12">
        <f>5+(31/60)+(1.54/2)</f>
        <v>6.2866666666666671</v>
      </c>
      <c r="D8">
        <f>C8*60</f>
        <v>377.20000000000005</v>
      </c>
      <c r="E8" s="16">
        <v>7899</v>
      </c>
      <c r="F8" s="25">
        <f t="shared" ref="F8:F16" si="1">E8*$H$1</f>
        <v>21699.85625299473</v>
      </c>
      <c r="G8" s="25">
        <f t="shared" ref="G8:G16" si="2">F8</f>
        <v>21699.85625299473</v>
      </c>
      <c r="H8">
        <v>0</v>
      </c>
      <c r="I8">
        <v>0</v>
      </c>
      <c r="J8" s="16">
        <v>14454</v>
      </c>
      <c r="K8" s="25">
        <f t="shared" ref="K8:K16" si="3">J8*$H$1</f>
        <v>39707.522759942505</v>
      </c>
      <c r="L8" s="25">
        <f t="shared" ref="L8:L16" si="4">K8/6</f>
        <v>6617.9204599904178</v>
      </c>
      <c r="M8" s="14">
        <v>0</v>
      </c>
      <c r="N8" s="14">
        <v>0</v>
      </c>
      <c r="O8" s="16">
        <v>3478</v>
      </c>
      <c r="P8" s="25">
        <f t="shared" ref="P8:P16" si="5">O8*$H$1</f>
        <v>9554.63983389235</v>
      </c>
      <c r="Q8" s="25">
        <f t="shared" ref="Q8:Q16" si="6">P8/4</f>
        <v>2388.6599584730875</v>
      </c>
      <c r="R8" s="14">
        <v>634</v>
      </c>
      <c r="S8" s="14">
        <v>2.8</v>
      </c>
      <c r="T8" s="16">
        <v>511</v>
      </c>
      <c r="U8" s="16">
        <v>2.4</v>
      </c>
      <c r="V8" s="26">
        <f>(R8+T8)*$H$1</f>
        <v>3145.5039131129215</v>
      </c>
      <c r="W8" s="26">
        <f t="shared" ref="W8:W16" si="7">V8/8</f>
        <v>393.18798913911519</v>
      </c>
      <c r="X8" s="14">
        <v>0</v>
      </c>
      <c r="Y8" s="14">
        <v>0</v>
      </c>
      <c r="Z8" s="27">
        <f t="shared" ref="Z8:Z16" si="8">X8*$H$1</f>
        <v>0</v>
      </c>
      <c r="AA8" s="16">
        <v>0</v>
      </c>
      <c r="AB8" s="25">
        <f t="shared" ref="AB8:AB16" si="9">AA8*$H$1</f>
        <v>0</v>
      </c>
      <c r="AC8" s="25">
        <f t="shared" ref="AC8:AC16" si="10">AB8/16</f>
        <v>0</v>
      </c>
      <c r="AD8" s="14">
        <v>0</v>
      </c>
      <c r="AE8" s="28">
        <v>0</v>
      </c>
      <c r="AF8" s="28">
        <f t="shared" ref="AF8:AF16" si="11">AD8*$H$1</f>
        <v>0</v>
      </c>
    </row>
    <row r="9" spans="1:32" x14ac:dyDescent="0.25">
      <c r="A9">
        <v>3</v>
      </c>
      <c r="B9" s="29" t="s">
        <v>88</v>
      </c>
      <c r="C9" s="12">
        <f>11+(57/60)+(1.54/2)</f>
        <v>12.719999999999999</v>
      </c>
      <c r="D9">
        <f t="shared" ref="D9:D16" si="12">C9*60</f>
        <v>763.19999999999993</v>
      </c>
      <c r="E9" s="16">
        <v>7374</v>
      </c>
      <c r="F9" s="25">
        <f t="shared" si="1"/>
        <v>20257.594633445136</v>
      </c>
      <c r="G9" s="25">
        <f t="shared" si="2"/>
        <v>20257.594633445136</v>
      </c>
      <c r="H9">
        <v>0</v>
      </c>
      <c r="I9">
        <v>0</v>
      </c>
      <c r="J9" s="16">
        <v>12342</v>
      </c>
      <c r="K9" s="25">
        <f t="shared" si="3"/>
        <v>33905.510301868715</v>
      </c>
      <c r="L9" s="25">
        <f t="shared" si="4"/>
        <v>5650.9183836447855</v>
      </c>
      <c r="M9" s="14">
        <v>0</v>
      </c>
      <c r="N9" s="14">
        <v>0</v>
      </c>
      <c r="O9" s="16">
        <v>4490</v>
      </c>
      <c r="P9" s="25">
        <f t="shared" si="5"/>
        <v>12334.770803386042</v>
      </c>
      <c r="Q9" s="25">
        <f t="shared" si="6"/>
        <v>3083.6927008465104</v>
      </c>
      <c r="R9" s="14">
        <v>1341</v>
      </c>
      <c r="S9" s="14">
        <v>5.3</v>
      </c>
      <c r="T9" s="16">
        <v>1214</v>
      </c>
      <c r="U9" s="16">
        <v>5.0999999999999996</v>
      </c>
      <c r="V9" s="26">
        <f t="shared" si="0"/>
        <v>7019.0065484746847</v>
      </c>
      <c r="W9" s="26">
        <f t="shared" si="7"/>
        <v>877.37581855933558</v>
      </c>
      <c r="X9" s="14">
        <v>58</v>
      </c>
      <c r="Y9" s="14">
        <v>2.6</v>
      </c>
      <c r="Z9" s="27">
        <f t="shared" si="8"/>
        <v>159.33556939785979</v>
      </c>
      <c r="AA9" s="16">
        <v>137</v>
      </c>
      <c r="AB9" s="25">
        <f t="shared" si="9"/>
        <v>376.36160357770325</v>
      </c>
      <c r="AC9" s="25">
        <f t="shared" si="10"/>
        <v>23.522600223606453</v>
      </c>
      <c r="AD9" s="14">
        <v>60.5</v>
      </c>
      <c r="AE9" s="28">
        <v>3.1</v>
      </c>
      <c r="AF9" s="28">
        <f t="shared" si="11"/>
        <v>166.20348187190544</v>
      </c>
    </row>
    <row r="10" spans="1:32" x14ac:dyDescent="0.25">
      <c r="A10">
        <v>4</v>
      </c>
      <c r="B10" s="29" t="s">
        <v>89</v>
      </c>
      <c r="C10" s="12">
        <f>(11+5)+(5/60)+(1.54/2)</f>
        <v>16.853333333333332</v>
      </c>
      <c r="D10">
        <f t="shared" si="12"/>
        <v>1011.1999999999999</v>
      </c>
      <c r="E10" s="16">
        <v>8215</v>
      </c>
      <c r="F10" s="25">
        <f t="shared" si="1"/>
        <v>22567.960389714102</v>
      </c>
      <c r="G10" s="25">
        <f t="shared" si="2"/>
        <v>22567.960389714102</v>
      </c>
      <c r="H10">
        <v>0</v>
      </c>
      <c r="I10">
        <v>0</v>
      </c>
      <c r="J10" s="16">
        <v>11996</v>
      </c>
      <c r="K10" s="25">
        <f t="shared" si="3"/>
        <v>32954.991215460788</v>
      </c>
      <c r="L10" s="25">
        <f t="shared" si="4"/>
        <v>5492.4985359101311</v>
      </c>
      <c r="M10" s="14">
        <v>0</v>
      </c>
      <c r="N10" s="14">
        <v>0</v>
      </c>
      <c r="O10" s="16">
        <v>4932</v>
      </c>
      <c r="P10" s="25">
        <f t="shared" si="5"/>
        <v>13549.017728797317</v>
      </c>
      <c r="Q10" s="25">
        <f t="shared" si="6"/>
        <v>3387.2544321993291</v>
      </c>
      <c r="R10" s="14">
        <v>1375</v>
      </c>
      <c r="S10" s="14">
        <v>5.8</v>
      </c>
      <c r="T10" s="16">
        <v>1167</v>
      </c>
      <c r="U10" s="16">
        <v>5.5</v>
      </c>
      <c r="V10" s="26">
        <f t="shared" si="0"/>
        <v>6983.2934036096476</v>
      </c>
      <c r="W10" s="26">
        <f t="shared" si="7"/>
        <v>872.91167545120595</v>
      </c>
      <c r="X10" s="14">
        <v>0</v>
      </c>
      <c r="Y10" s="14">
        <v>0</v>
      </c>
      <c r="Z10" s="27">
        <f t="shared" si="8"/>
        <v>0</v>
      </c>
      <c r="AA10" s="16">
        <v>145.6</v>
      </c>
      <c r="AB10" s="25">
        <f t="shared" si="9"/>
        <v>399.9872224884204</v>
      </c>
      <c r="AC10" s="25">
        <f t="shared" si="10"/>
        <v>24.999201405526275</v>
      </c>
      <c r="AD10" s="14">
        <v>45.8</v>
      </c>
      <c r="AE10" s="28">
        <v>3</v>
      </c>
      <c r="AF10" s="28">
        <f t="shared" si="11"/>
        <v>125.82015652451685</v>
      </c>
    </row>
    <row r="11" spans="1:32" x14ac:dyDescent="0.25">
      <c r="A11">
        <v>5</v>
      </c>
      <c r="B11" s="29" t="s">
        <v>90</v>
      </c>
      <c r="C11" s="12">
        <f>(22+5)+(12/60)+(1.54/2)</f>
        <v>27.97</v>
      </c>
      <c r="D11">
        <f t="shared" si="12"/>
        <v>1678.1999999999998</v>
      </c>
      <c r="E11" s="16">
        <v>8622</v>
      </c>
      <c r="F11" s="25">
        <f t="shared" si="1"/>
        <v>23686.056540488742</v>
      </c>
      <c r="G11" s="25">
        <f t="shared" si="2"/>
        <v>23686.056540488742</v>
      </c>
      <c r="H11">
        <v>0</v>
      </c>
      <c r="I11">
        <v>0</v>
      </c>
      <c r="J11" s="16">
        <v>8391</v>
      </c>
      <c r="K11" s="25">
        <f t="shared" si="3"/>
        <v>23051.461427886919</v>
      </c>
      <c r="L11" s="25">
        <f t="shared" si="4"/>
        <v>3841.9102379811534</v>
      </c>
      <c r="M11" s="14">
        <v>0</v>
      </c>
      <c r="N11" s="14">
        <v>0</v>
      </c>
      <c r="O11" s="16">
        <v>5726</v>
      </c>
      <c r="P11" s="25">
        <f t="shared" si="5"/>
        <v>15730.266730554225</v>
      </c>
      <c r="Q11" s="25">
        <f t="shared" si="6"/>
        <v>3932.5666826385564</v>
      </c>
      <c r="R11" s="14">
        <v>2056</v>
      </c>
      <c r="S11" s="14">
        <v>8.5</v>
      </c>
      <c r="T11" s="16">
        <v>1955</v>
      </c>
      <c r="U11" s="16">
        <v>8.4</v>
      </c>
      <c r="V11" s="26">
        <f t="shared" si="0"/>
        <v>11018.878773358889</v>
      </c>
      <c r="W11" s="26">
        <f t="shared" si="7"/>
        <v>1377.3598466698611</v>
      </c>
      <c r="X11" s="14">
        <v>121.7</v>
      </c>
      <c r="Y11" s="14">
        <v>4</v>
      </c>
      <c r="Z11" s="27">
        <f t="shared" si="8"/>
        <v>334.32997923654369</v>
      </c>
      <c r="AA11" s="16">
        <v>304.39999999999998</v>
      </c>
      <c r="AB11" s="25">
        <f t="shared" si="9"/>
        <v>836.23702283980197</v>
      </c>
      <c r="AC11" s="25">
        <f t="shared" si="10"/>
        <v>52.264813927487623</v>
      </c>
      <c r="AD11" s="14">
        <v>144.1</v>
      </c>
      <c r="AE11" s="28">
        <v>6.4</v>
      </c>
      <c r="AF11" s="28">
        <f t="shared" si="11"/>
        <v>395.86647500399295</v>
      </c>
    </row>
    <row r="12" spans="1:32" x14ac:dyDescent="0.25">
      <c r="A12">
        <v>6</v>
      </c>
      <c r="B12" s="29" t="s">
        <v>91</v>
      </c>
      <c r="C12" s="12">
        <f>(33+5)+(20/60)+(1.54/2)</f>
        <v>39.103333333333339</v>
      </c>
      <c r="D12">
        <f t="shared" si="12"/>
        <v>2346.2000000000003</v>
      </c>
      <c r="E12" s="16">
        <v>9979</v>
      </c>
      <c r="F12" s="25">
        <f t="shared" si="1"/>
        <v>27413.959431400737</v>
      </c>
      <c r="G12" s="25">
        <f t="shared" si="2"/>
        <v>27413.959431400737</v>
      </c>
      <c r="H12">
        <v>0</v>
      </c>
      <c r="I12">
        <v>0</v>
      </c>
      <c r="J12" s="16">
        <v>7437</v>
      </c>
      <c r="K12" s="25">
        <f t="shared" si="3"/>
        <v>20430.666027791089</v>
      </c>
      <c r="L12" s="25">
        <f t="shared" si="4"/>
        <v>3405.1110046318481</v>
      </c>
      <c r="M12" s="14">
        <v>0</v>
      </c>
      <c r="N12" s="14">
        <v>0</v>
      </c>
      <c r="O12" s="16">
        <v>5946</v>
      </c>
      <c r="P12" s="25">
        <f t="shared" si="5"/>
        <v>16334.643028270244</v>
      </c>
      <c r="Q12" s="25">
        <f t="shared" si="6"/>
        <v>4083.660757067561</v>
      </c>
      <c r="R12" s="14">
        <v>2264</v>
      </c>
      <c r="S12" s="14">
        <v>9.5</v>
      </c>
      <c r="T12" s="16">
        <v>2164</v>
      </c>
      <c r="U12" s="16">
        <v>9.9</v>
      </c>
      <c r="V12" s="26">
        <f t="shared" si="0"/>
        <v>12164.446574029707</v>
      </c>
      <c r="W12" s="26">
        <f t="shared" si="7"/>
        <v>1520.5558217537134</v>
      </c>
      <c r="X12" s="14">
        <v>99.5</v>
      </c>
      <c r="Y12" s="14">
        <v>4.4000000000000004</v>
      </c>
      <c r="Z12" s="27">
        <f t="shared" si="8"/>
        <v>273.34291646701809</v>
      </c>
      <c r="AA12" s="16">
        <v>405.2</v>
      </c>
      <c r="AB12" s="25">
        <f t="shared" si="9"/>
        <v>1113.1512537933238</v>
      </c>
      <c r="AC12" s="25">
        <f t="shared" si="10"/>
        <v>69.571953362082738</v>
      </c>
      <c r="AD12" s="14">
        <v>192.9</v>
      </c>
      <c r="AE12" s="28">
        <v>8.5</v>
      </c>
      <c r="AF12" s="28">
        <f t="shared" si="11"/>
        <v>529.9281264973647</v>
      </c>
    </row>
    <row r="13" spans="1:32" x14ac:dyDescent="0.25">
      <c r="A13">
        <v>7</v>
      </c>
      <c r="B13" s="29" t="s">
        <v>92</v>
      </c>
      <c r="C13" s="12">
        <f>(44+5)+(26/60)+(1.54/2)</f>
        <v>50.203333333333333</v>
      </c>
      <c r="D13">
        <f t="shared" si="12"/>
        <v>3012.2</v>
      </c>
      <c r="E13" s="16">
        <v>10500</v>
      </c>
      <c r="F13" s="25">
        <f t="shared" si="1"/>
        <v>28845.232390991856</v>
      </c>
      <c r="G13" s="25">
        <f t="shared" si="2"/>
        <v>28845.232390991856</v>
      </c>
      <c r="H13">
        <v>0</v>
      </c>
      <c r="I13">
        <v>0</v>
      </c>
      <c r="J13" s="16">
        <v>5875</v>
      </c>
      <c r="K13" s="25">
        <f t="shared" si="3"/>
        <v>16139.594314007347</v>
      </c>
      <c r="L13" s="25">
        <f t="shared" si="4"/>
        <v>2689.9323856678911</v>
      </c>
      <c r="M13" s="14">
        <v>0</v>
      </c>
      <c r="N13" s="14">
        <v>0</v>
      </c>
      <c r="O13" s="16">
        <v>6148</v>
      </c>
      <c r="P13" s="25">
        <f t="shared" si="5"/>
        <v>16889.570356173135</v>
      </c>
      <c r="Q13" s="25">
        <f t="shared" si="6"/>
        <v>4222.3925890432838</v>
      </c>
      <c r="R13" s="14">
        <v>2511</v>
      </c>
      <c r="S13" s="14">
        <v>10.4</v>
      </c>
      <c r="T13" s="16">
        <v>2370</v>
      </c>
      <c r="U13" s="16">
        <v>11</v>
      </c>
      <c r="V13" s="26">
        <f t="shared" si="0"/>
        <v>13408.912314326786</v>
      </c>
      <c r="W13" s="26">
        <f t="shared" si="7"/>
        <v>1676.1140392908483</v>
      </c>
      <c r="X13" s="14">
        <v>135.19999999999999</v>
      </c>
      <c r="Y13" s="14">
        <v>5.2</v>
      </c>
      <c r="Z13" s="27">
        <f t="shared" si="8"/>
        <v>371.41670659639033</v>
      </c>
      <c r="AA13" s="16">
        <v>476.6</v>
      </c>
      <c r="AB13" s="25">
        <f t="shared" si="9"/>
        <v>1309.2988340520685</v>
      </c>
      <c r="AC13" s="25">
        <f t="shared" si="10"/>
        <v>81.831177128254282</v>
      </c>
      <c r="AD13" s="14">
        <v>216.6</v>
      </c>
      <c r="AE13" s="28">
        <v>9.9</v>
      </c>
      <c r="AF13" s="28">
        <f t="shared" si="11"/>
        <v>595.03593675131765</v>
      </c>
    </row>
    <row r="14" spans="1:32" x14ac:dyDescent="0.25">
      <c r="A14">
        <v>8</v>
      </c>
      <c r="B14" s="29" t="s">
        <v>93</v>
      </c>
      <c r="C14" s="12">
        <f>(55+5)+(33/60)+(1.54/2)</f>
        <v>61.32</v>
      </c>
      <c r="D14">
        <f t="shared" si="12"/>
        <v>3679.2</v>
      </c>
      <c r="E14" s="16">
        <v>11136</v>
      </c>
      <c r="F14" s="25">
        <f t="shared" si="1"/>
        <v>30592.429324389075</v>
      </c>
      <c r="G14" s="25">
        <f t="shared" si="2"/>
        <v>30592.429324389075</v>
      </c>
      <c r="H14">
        <v>0</v>
      </c>
      <c r="I14">
        <v>0</v>
      </c>
      <c r="J14" s="16">
        <v>5129</v>
      </c>
      <c r="K14" s="25">
        <f t="shared" si="3"/>
        <v>14090.209231752116</v>
      </c>
      <c r="L14" s="25">
        <f t="shared" si="4"/>
        <v>2348.3682052920194</v>
      </c>
      <c r="M14" s="14">
        <v>0</v>
      </c>
      <c r="N14" s="14">
        <v>0</v>
      </c>
      <c r="O14" s="16">
        <v>6021</v>
      </c>
      <c r="P14" s="25">
        <f t="shared" si="5"/>
        <v>16540.680402491616</v>
      </c>
      <c r="Q14" s="25">
        <f t="shared" si="6"/>
        <v>4135.1701006229041</v>
      </c>
      <c r="R14" s="14">
        <v>2638</v>
      </c>
      <c r="S14" s="14">
        <v>11</v>
      </c>
      <c r="T14" s="16">
        <v>2521</v>
      </c>
      <c r="U14" s="16">
        <v>11.7</v>
      </c>
      <c r="V14" s="26">
        <f t="shared" si="0"/>
        <v>14172.624181440666</v>
      </c>
      <c r="W14" s="26">
        <f t="shared" si="7"/>
        <v>1771.5780226800832</v>
      </c>
      <c r="X14" s="14">
        <v>159.30000000000001</v>
      </c>
      <c r="Y14" s="14">
        <v>6.1</v>
      </c>
      <c r="Z14" s="27">
        <f t="shared" si="8"/>
        <v>437.62338284619074</v>
      </c>
      <c r="AA14" s="16">
        <v>543.1</v>
      </c>
      <c r="AB14" s="25">
        <f t="shared" si="9"/>
        <v>1491.9853058616836</v>
      </c>
      <c r="AC14" s="25">
        <f t="shared" si="10"/>
        <v>93.249081616355227</v>
      </c>
      <c r="AD14" s="14">
        <v>234.4</v>
      </c>
      <c r="AE14" s="28">
        <v>11.2</v>
      </c>
      <c r="AF14" s="28">
        <f t="shared" si="11"/>
        <v>643.935473566523</v>
      </c>
    </row>
    <row r="15" spans="1:32" x14ac:dyDescent="0.25">
      <c r="A15">
        <v>9</v>
      </c>
      <c r="B15" s="29" t="s">
        <v>94</v>
      </c>
      <c r="C15" s="12">
        <f>(60+5+6)+(40/60)+(1.52/2)</f>
        <v>72.426666666666677</v>
      </c>
      <c r="D15">
        <f t="shared" si="12"/>
        <v>4345.6000000000004</v>
      </c>
      <c r="E15" s="16">
        <v>12199</v>
      </c>
      <c r="F15" s="25">
        <f t="shared" si="1"/>
        <v>33512.665708353299</v>
      </c>
      <c r="G15" s="25">
        <f t="shared" si="2"/>
        <v>33512.665708353299</v>
      </c>
      <c r="H15">
        <v>0</v>
      </c>
      <c r="I15">
        <v>0</v>
      </c>
      <c r="J15" s="16">
        <v>4417</v>
      </c>
      <c r="K15" s="25">
        <f t="shared" si="3"/>
        <v>12134.227759143907</v>
      </c>
      <c r="L15" s="25">
        <f t="shared" si="4"/>
        <v>2022.3712931906512</v>
      </c>
      <c r="M15" s="14">
        <v>0</v>
      </c>
      <c r="N15" s="14">
        <v>0</v>
      </c>
      <c r="O15" s="16">
        <v>5902</v>
      </c>
      <c r="P15" s="25">
        <f t="shared" si="5"/>
        <v>16213.767768727041</v>
      </c>
      <c r="Q15" s="25">
        <f t="shared" si="6"/>
        <v>4053.4419421817602</v>
      </c>
      <c r="R15" s="14">
        <v>2753</v>
      </c>
      <c r="S15" s="14">
        <v>11.1</v>
      </c>
      <c r="T15" s="16">
        <v>2362</v>
      </c>
      <c r="U15" s="16">
        <v>11.5</v>
      </c>
      <c r="V15" s="26">
        <f t="shared" si="0"/>
        <v>14051.748921897461</v>
      </c>
      <c r="W15" s="26">
        <f t="shared" si="7"/>
        <v>1756.4686152371826</v>
      </c>
      <c r="X15" s="14">
        <v>137</v>
      </c>
      <c r="Y15" s="14">
        <v>6</v>
      </c>
      <c r="Z15" s="27">
        <f t="shared" si="8"/>
        <v>376.36160357770325</v>
      </c>
      <c r="AA15" s="16">
        <v>522</v>
      </c>
      <c r="AB15" s="25">
        <f t="shared" si="9"/>
        <v>1434.020124580738</v>
      </c>
      <c r="AC15" s="25">
        <f t="shared" si="10"/>
        <v>89.626257786296122</v>
      </c>
      <c r="AD15" s="14">
        <v>270.8</v>
      </c>
      <c r="AE15" s="28">
        <v>10.4</v>
      </c>
      <c r="AF15" s="28">
        <f t="shared" si="11"/>
        <v>743.93227918862806</v>
      </c>
    </row>
    <row r="16" spans="1:32" x14ac:dyDescent="0.25">
      <c r="A16">
        <v>10</v>
      </c>
      <c r="B16" s="29" t="s">
        <v>95</v>
      </c>
      <c r="C16" s="12">
        <f>(60+5+17)+(47/60)+(1.54/2)</f>
        <v>83.553333333333327</v>
      </c>
      <c r="D16">
        <f t="shared" si="12"/>
        <v>5013.2</v>
      </c>
      <c r="E16" s="16">
        <v>11988</v>
      </c>
      <c r="F16" s="25">
        <f t="shared" si="1"/>
        <v>32933.013895543845</v>
      </c>
      <c r="G16" s="25">
        <f t="shared" si="2"/>
        <v>32933.013895543845</v>
      </c>
      <c r="H16">
        <v>0</v>
      </c>
      <c r="I16">
        <v>0</v>
      </c>
      <c r="J16" s="16">
        <v>3590</v>
      </c>
      <c r="K16" s="25">
        <f t="shared" si="3"/>
        <v>9862.3223127295969</v>
      </c>
      <c r="L16" s="25">
        <f t="shared" si="4"/>
        <v>1643.7203854549327</v>
      </c>
      <c r="M16" s="14">
        <v>0</v>
      </c>
      <c r="N16" s="14">
        <v>0</v>
      </c>
      <c r="O16" s="16">
        <v>6125</v>
      </c>
      <c r="P16" s="25">
        <f t="shared" si="5"/>
        <v>16826.385561411917</v>
      </c>
      <c r="Q16" s="25">
        <f t="shared" si="6"/>
        <v>4206.5963903529791</v>
      </c>
      <c r="R16" s="14">
        <v>2736</v>
      </c>
      <c r="S16" s="14">
        <v>10.7</v>
      </c>
      <c r="T16" s="16">
        <v>2338</v>
      </c>
      <c r="U16" s="16">
        <v>11.3</v>
      </c>
      <c r="V16" s="26">
        <f t="shared" si="0"/>
        <v>13939.115157323111</v>
      </c>
      <c r="W16" s="26">
        <f t="shared" si="7"/>
        <v>1742.3893946653889</v>
      </c>
      <c r="X16" s="14">
        <v>151.69999999999999</v>
      </c>
      <c r="Y16" s="14">
        <v>5.8</v>
      </c>
      <c r="Z16" s="27">
        <f t="shared" si="8"/>
        <v>416.74492892509181</v>
      </c>
      <c r="AA16" s="16">
        <v>555</v>
      </c>
      <c r="AB16" s="25">
        <f t="shared" si="9"/>
        <v>1524.6765692381409</v>
      </c>
      <c r="AC16" s="25">
        <f t="shared" si="10"/>
        <v>95.292285577383808</v>
      </c>
      <c r="AD16" s="14">
        <v>218.7</v>
      </c>
      <c r="AE16" s="28">
        <v>9.1</v>
      </c>
      <c r="AF16" s="28">
        <f t="shared" si="11"/>
        <v>600.8049832295161</v>
      </c>
    </row>
    <row r="17" spans="5:9" x14ac:dyDescent="0.25">
      <c r="F17" s="4"/>
      <c r="G17" s="4"/>
      <c r="H17" s="4"/>
    </row>
    <row r="18" spans="5:9" x14ac:dyDescent="0.25">
      <c r="F18" s="4"/>
      <c r="G18" s="4"/>
      <c r="H18" s="4"/>
    </row>
    <row r="19" spans="5:9" x14ac:dyDescent="0.25">
      <c r="E19" t="s">
        <v>130</v>
      </c>
      <c r="F19" s="4"/>
      <c r="G19" s="4"/>
      <c r="H19" s="4"/>
    </row>
    <row r="20" spans="5:9" x14ac:dyDescent="0.25">
      <c r="F20" s="4"/>
      <c r="G20" s="4"/>
      <c r="H20" s="4"/>
    </row>
    <row r="21" spans="5:9" x14ac:dyDescent="0.25">
      <c r="E21" t="s">
        <v>113</v>
      </c>
      <c r="H21">
        <f>(0.000002)^2</f>
        <v>3.9999999999999999E-12</v>
      </c>
      <c r="I21" t="s">
        <v>112</v>
      </c>
    </row>
    <row r="22" spans="5:9" x14ac:dyDescent="0.25">
      <c r="H2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="80" zoomScaleNormal="80" workbookViewId="0">
      <selection activeCell="F5" sqref="F5"/>
    </sheetView>
  </sheetViews>
  <sheetFormatPr defaultRowHeight="15" x14ac:dyDescent="0.25"/>
  <sheetData>
    <row r="1" spans="1:10" x14ac:dyDescent="0.25">
      <c r="A1" t="s">
        <v>145</v>
      </c>
    </row>
    <row r="3" spans="1:10" x14ac:dyDescent="0.25">
      <c r="A3" t="s">
        <v>111</v>
      </c>
    </row>
    <row r="5" spans="1:10" x14ac:dyDescent="0.25">
      <c r="B5" s="1" t="s">
        <v>140</v>
      </c>
    </row>
    <row r="7" spans="1:10" ht="15.75" x14ac:dyDescent="0.25">
      <c r="B7" s="31" t="s">
        <v>110</v>
      </c>
    </row>
    <row r="8" spans="1:10" ht="15.75" x14ac:dyDescent="0.25">
      <c r="B8" s="31"/>
    </row>
    <row r="9" spans="1:10" ht="15.75" x14ac:dyDescent="0.25">
      <c r="B9" s="31" t="s">
        <v>107</v>
      </c>
      <c r="I9">
        <f>0.0086*1000000</f>
        <v>8600</v>
      </c>
      <c r="J9" t="s">
        <v>65</v>
      </c>
    </row>
    <row r="10" spans="1:10" ht="15.75" x14ac:dyDescent="0.25">
      <c r="B10" s="31" t="s">
        <v>108</v>
      </c>
      <c r="I10">
        <f>0.086*1000000</f>
        <v>86000</v>
      </c>
      <c r="J10" t="s">
        <v>65</v>
      </c>
    </row>
    <row r="11" spans="1:10" ht="15.75" x14ac:dyDescent="0.25">
      <c r="B11" s="31" t="s">
        <v>109</v>
      </c>
      <c r="I11">
        <f>0.12*1000000</f>
        <v>120000</v>
      </c>
      <c r="J11" t="s">
        <v>65</v>
      </c>
    </row>
    <row r="12" spans="1:10" ht="15.75" x14ac:dyDescent="0.25">
      <c r="B12" s="31" t="s">
        <v>128</v>
      </c>
    </row>
    <row r="13" spans="1:10" ht="15.75" x14ac:dyDescent="0.25">
      <c r="B13" s="31"/>
    </row>
    <row r="14" spans="1:10" x14ac:dyDescent="0.25">
      <c r="B14" s="32"/>
    </row>
    <row r="15" spans="1:10" ht="15.75" x14ac:dyDescent="0.25">
      <c r="B15" s="30" t="s">
        <v>141</v>
      </c>
    </row>
    <row r="19" spans="2:12" x14ac:dyDescent="0.25">
      <c r="B19" s="1" t="s">
        <v>142</v>
      </c>
    </row>
    <row r="20" spans="2:12" x14ac:dyDescent="0.25">
      <c r="L20" s="34"/>
    </row>
    <row r="21" spans="2:12" ht="15.75" x14ac:dyDescent="0.25">
      <c r="B21" s="31" t="s">
        <v>110</v>
      </c>
    </row>
    <row r="23" spans="2:12" x14ac:dyDescent="0.25">
      <c r="B23" t="s">
        <v>143</v>
      </c>
    </row>
    <row r="24" spans="2:12" x14ac:dyDescent="0.25">
      <c r="B24" t="s">
        <v>144</v>
      </c>
    </row>
    <row r="25" spans="2:12" ht="15.75" x14ac:dyDescent="0.25">
      <c r="B25" s="3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Model</vt:lpstr>
      <vt:lpstr>Obs</vt:lpstr>
      <vt:lpstr>Calc</vt:lpstr>
      <vt:lpstr>Diff</vt:lpstr>
      <vt:lpstr>ExactLaws</vt:lpstr>
      <vt:lpstr>nmol-vs-time</vt:lpstr>
      <vt:lpstr>Experimental</vt:lpstr>
    </vt:vector>
  </TitlesOfParts>
  <Company>University of Nottingham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Woodward</dc:creator>
  <cp:lastModifiedBy>Simon Woodward</cp:lastModifiedBy>
  <dcterms:created xsi:type="dcterms:W3CDTF">2021-04-06T11:38:27Z</dcterms:created>
  <dcterms:modified xsi:type="dcterms:W3CDTF">2022-09-25T07:02:09Z</dcterms:modified>
</cp:coreProperties>
</file>