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niklas/Documents/GU/Experimental/Technoeconomic/"/>
    </mc:Choice>
  </mc:AlternateContent>
  <xr:revisionPtr revIDLastSave="0" documentId="13_ncr:1_{86E99353-8301-C344-8F90-2D511B5F14C1}" xr6:coauthVersionLast="36" xr6:coauthVersionMax="36" xr10:uidLastSave="{00000000-0000-0000-0000-000000000000}"/>
  <bookViews>
    <workbookView xWindow="9420" yWindow="460" windowWidth="25760" windowHeight="16520" xr2:uid="{00000000-000D-0000-FFFF-FFFF00000000}"/>
  </bookViews>
  <sheets>
    <sheet name="Energy Contents Cell" sheetId="1" r:id="rId1"/>
    <sheet name="Mass and Cost Cell" sheetId="4" r:id="rId2"/>
    <sheet name="Mass and Cost System" sheetId="7" r:id="rId3"/>
    <sheet name="Env. Impacts Cell" sheetId="15" r:id="rId4"/>
    <sheet name="Env. Impacts System" sheetId="14" r:id="rId5"/>
    <sheet name="Material Costs and GWP" sheetId="12" r:id="rId6"/>
    <sheet name="Cell Properties" sheetId="20" r:id="rId7"/>
    <sheet name="References" sheetId="25" r:id="rId8"/>
    <sheet name="BatPac Summary" sheetId="9" r:id="rId9"/>
    <sheet name="BatPac Manufacturing Costs" sheetId="10" r:id="rId10"/>
    <sheet name="BatPac Recycling" sheetId="11" r:id="rId11"/>
    <sheet name="Mass Contents" sheetId="13" r:id="rId12"/>
    <sheet name="Sensitivity Energy Density" sheetId="16" r:id="rId13"/>
    <sheet name="Utility System Costs" sheetId="8" r:id="rId14"/>
  </sheets>
  <externalReferences>
    <externalReference r:id="rId15"/>
    <externalReference r:id="rId16"/>
  </externalReferences>
  <definedNames>
    <definedName name="_p_days">320/'[1]Cost Input'!$F$80</definedName>
  </definedNames>
  <calcPr calcId="181029" calcMode="manual"/>
</workbook>
</file>

<file path=xl/calcChain.xml><?xml version="1.0" encoding="utf-8"?>
<calcChain xmlns="http://schemas.openxmlformats.org/spreadsheetml/2006/main">
  <c r="M138" i="15" l="1"/>
  <c r="M139" i="15"/>
  <c r="M140" i="15"/>
  <c r="M141" i="15"/>
  <c r="M142" i="15"/>
  <c r="M143" i="15"/>
  <c r="M135" i="15"/>
  <c r="L138" i="15"/>
  <c r="L139" i="15"/>
  <c r="L140" i="15"/>
  <c r="L141" i="15"/>
  <c r="L142" i="15"/>
  <c r="L143" i="15"/>
  <c r="L135" i="15"/>
  <c r="V39" i="4"/>
  <c r="V40" i="4"/>
  <c r="V41" i="4"/>
  <c r="V42" i="4"/>
  <c r="V43" i="4"/>
  <c r="V44" i="4"/>
  <c r="V45" i="4"/>
  <c r="V46" i="4"/>
  <c r="V38" i="4"/>
  <c r="W11" i="12"/>
  <c r="W25" i="12"/>
  <c r="B42" i="4"/>
  <c r="B41" i="4"/>
  <c r="C80" i="1"/>
  <c r="C79" i="1"/>
  <c r="H60" i="1"/>
  <c r="H59" i="1"/>
  <c r="N40" i="1"/>
  <c r="N39" i="1"/>
  <c r="M8" i="4"/>
  <c r="G556" i="10" l="1"/>
  <c r="H556" i="10"/>
  <c r="I556" i="10"/>
  <c r="J556" i="10"/>
  <c r="K556" i="10"/>
  <c r="L556" i="10"/>
  <c r="M556" i="10"/>
  <c r="N556" i="10"/>
  <c r="F556" i="10"/>
  <c r="Q27" i="7"/>
  <c r="Q26" i="7"/>
  <c r="Q25" i="7"/>
  <c r="Q24" i="7"/>
  <c r="Q23" i="7"/>
  <c r="Q22" i="7"/>
  <c r="Q21" i="7"/>
  <c r="Q20" i="7"/>
  <c r="Q19" i="7"/>
  <c r="R14" i="14"/>
  <c r="B34" i="15"/>
  <c r="AI48" i="12"/>
  <c r="AI49" i="12"/>
  <c r="G97" i="11"/>
  <c r="H97" i="11"/>
  <c r="I97" i="11"/>
  <c r="J97" i="11"/>
  <c r="K97" i="11"/>
  <c r="L97" i="11"/>
  <c r="M97" i="11"/>
  <c r="N97" i="11"/>
  <c r="C8" i="12"/>
  <c r="C9" i="12"/>
  <c r="C10" i="12"/>
  <c r="C11" i="12"/>
  <c r="C12" i="12"/>
  <c r="C7" i="12"/>
  <c r="AI51" i="12" l="1"/>
  <c r="G9" i="15" s="1"/>
  <c r="G10" i="15" s="1"/>
  <c r="C532" i="10"/>
  <c r="G532" i="10" l="1"/>
  <c r="F532" i="10"/>
  <c r="H532" i="10"/>
  <c r="J532" i="10"/>
  <c r="I532" i="10"/>
  <c r="K532" i="10"/>
  <c r="L532" i="10"/>
  <c r="M532" i="10"/>
  <c r="N532" i="10"/>
  <c r="G551" i="10"/>
  <c r="H551" i="10"/>
  <c r="I551" i="10"/>
  <c r="J551" i="10"/>
  <c r="K551" i="10"/>
  <c r="G552" i="10"/>
  <c r="G560" i="10" s="1"/>
  <c r="H552" i="10"/>
  <c r="H558" i="10" s="1"/>
  <c r="I552" i="10"/>
  <c r="I561" i="10" s="1"/>
  <c r="J552" i="10"/>
  <c r="K552" i="10"/>
  <c r="J557" i="10"/>
  <c r="K559" i="10"/>
  <c r="K561" i="10"/>
  <c r="K564" i="10"/>
  <c r="K567" i="10"/>
  <c r="D27" i="14"/>
  <c r="L24" i="14"/>
  <c r="L25" i="14"/>
  <c r="L26" i="14"/>
  <c r="L27" i="14"/>
  <c r="L28" i="14"/>
  <c r="L29" i="14"/>
  <c r="L30" i="14"/>
  <c r="L31" i="14"/>
  <c r="L23" i="14"/>
  <c r="B31" i="14"/>
  <c r="B30" i="14"/>
  <c r="B29" i="14"/>
  <c r="B28" i="14"/>
  <c r="B27" i="14"/>
  <c r="B26" i="14"/>
  <c r="B25" i="14"/>
  <c r="B24" i="14"/>
  <c r="L84" i="13"/>
  <c r="K31" i="14" s="1"/>
  <c r="K84" i="13"/>
  <c r="J31" i="14" s="1"/>
  <c r="J84" i="13"/>
  <c r="I31" i="14" s="1"/>
  <c r="I84" i="13"/>
  <c r="H31" i="14" s="1"/>
  <c r="H84" i="13"/>
  <c r="G31" i="14" s="1"/>
  <c r="F84" i="13"/>
  <c r="F31" i="14" s="1"/>
  <c r="E84" i="13"/>
  <c r="E31" i="14" s="1"/>
  <c r="D84" i="13"/>
  <c r="D31" i="14" s="1"/>
  <c r="B84" i="13"/>
  <c r="L83" i="13"/>
  <c r="K30" i="14" s="1"/>
  <c r="K83" i="13"/>
  <c r="J30" i="14" s="1"/>
  <c r="J83" i="13"/>
  <c r="I30" i="14" s="1"/>
  <c r="I83" i="13"/>
  <c r="H30" i="14" s="1"/>
  <c r="H83" i="13"/>
  <c r="G30" i="14" s="1"/>
  <c r="F83" i="13"/>
  <c r="F30" i="14" s="1"/>
  <c r="E83" i="13"/>
  <c r="E30" i="14" s="1"/>
  <c r="D83" i="13"/>
  <c r="D30" i="14" s="1"/>
  <c r="B83" i="13"/>
  <c r="L82" i="13"/>
  <c r="K29" i="14" s="1"/>
  <c r="K82" i="13"/>
  <c r="J29" i="14" s="1"/>
  <c r="J82" i="13"/>
  <c r="I29" i="14" s="1"/>
  <c r="I82" i="13"/>
  <c r="H29" i="14" s="1"/>
  <c r="H82" i="13"/>
  <c r="G29" i="14" s="1"/>
  <c r="F82" i="13"/>
  <c r="F29" i="14" s="1"/>
  <c r="E82" i="13"/>
  <c r="E29" i="14" s="1"/>
  <c r="D82" i="13"/>
  <c r="D29" i="14" s="1"/>
  <c r="B82" i="13"/>
  <c r="L81" i="13"/>
  <c r="K28" i="14" s="1"/>
  <c r="K81" i="13"/>
  <c r="J28" i="14" s="1"/>
  <c r="J81" i="13"/>
  <c r="I28" i="14" s="1"/>
  <c r="I81" i="13"/>
  <c r="H28" i="14" s="1"/>
  <c r="H81" i="13"/>
  <c r="G28" i="14" s="1"/>
  <c r="F81" i="13"/>
  <c r="F28" i="14" s="1"/>
  <c r="E81" i="13"/>
  <c r="E28" i="14" s="1"/>
  <c r="D81" i="13"/>
  <c r="D28" i="14" s="1"/>
  <c r="B81" i="13"/>
  <c r="L80" i="13"/>
  <c r="K27" i="14" s="1"/>
  <c r="K80" i="13"/>
  <c r="J27" i="14" s="1"/>
  <c r="J80" i="13"/>
  <c r="I27" i="14" s="1"/>
  <c r="I80" i="13"/>
  <c r="H27" i="14" s="1"/>
  <c r="H80" i="13"/>
  <c r="G27" i="14" s="1"/>
  <c r="F80" i="13"/>
  <c r="F27" i="14" s="1"/>
  <c r="E80" i="13"/>
  <c r="E27" i="14" s="1"/>
  <c r="D80" i="13"/>
  <c r="B80" i="13"/>
  <c r="J567" i="10" l="1"/>
  <c r="J560" i="10"/>
  <c r="G566" i="10"/>
  <c r="J564" i="10"/>
  <c r="H561" i="10"/>
  <c r="G563" i="10"/>
  <c r="J562" i="10"/>
  <c r="K562" i="10"/>
  <c r="K558" i="10"/>
  <c r="H566" i="10"/>
  <c r="K565" i="10"/>
  <c r="J561" i="10"/>
  <c r="K553" i="10"/>
  <c r="J565" i="10"/>
  <c r="J553" i="10"/>
  <c r="J559" i="10"/>
  <c r="J558" i="10"/>
  <c r="K566" i="10"/>
  <c r="K563" i="10"/>
  <c r="G558" i="10"/>
  <c r="I558" i="10"/>
  <c r="J566" i="10"/>
  <c r="J563" i="10"/>
  <c r="K560" i="10"/>
  <c r="K557" i="10"/>
  <c r="H563" i="10"/>
  <c r="G564" i="10"/>
  <c r="I562" i="10"/>
  <c r="H559" i="10"/>
  <c r="I553" i="10"/>
  <c r="H567" i="10"/>
  <c r="G567" i="10"/>
  <c r="I565" i="10"/>
  <c r="H562" i="10"/>
  <c r="G559" i="10"/>
  <c r="I557" i="10"/>
  <c r="H553" i="10"/>
  <c r="I567" i="10"/>
  <c r="I559" i="10"/>
  <c r="H565" i="10"/>
  <c r="G562" i="10"/>
  <c r="I560" i="10"/>
  <c r="H557" i="10"/>
  <c r="G553" i="10"/>
  <c r="I564" i="10"/>
  <c r="H564" i="10"/>
  <c r="G561" i="10"/>
  <c r="G565" i="10"/>
  <c r="I563" i="10"/>
  <c r="H560" i="10"/>
  <c r="G557" i="10"/>
  <c r="I566" i="10"/>
  <c r="L79" i="13"/>
  <c r="K26" i="14" s="1"/>
  <c r="K79" i="13"/>
  <c r="J26" i="14" s="1"/>
  <c r="J79" i="13"/>
  <c r="I26" i="14" s="1"/>
  <c r="I79" i="13"/>
  <c r="H26" i="14" s="1"/>
  <c r="H79" i="13"/>
  <c r="G26" i="14" s="1"/>
  <c r="F79" i="13"/>
  <c r="F26" i="14" s="1"/>
  <c r="E79" i="13"/>
  <c r="E26" i="14" s="1"/>
  <c r="D79" i="13"/>
  <c r="B79" i="13"/>
  <c r="L78" i="13"/>
  <c r="K25" i="14" s="1"/>
  <c r="K78" i="13"/>
  <c r="J25" i="14" s="1"/>
  <c r="J78" i="13"/>
  <c r="I25" i="14" s="1"/>
  <c r="I78" i="13"/>
  <c r="H25" i="14" s="1"/>
  <c r="H78" i="13"/>
  <c r="G25" i="14" s="1"/>
  <c r="F78" i="13"/>
  <c r="F25" i="14" s="1"/>
  <c r="E78" i="13"/>
  <c r="E25" i="14" s="1"/>
  <c r="D78" i="13"/>
  <c r="B78" i="13"/>
  <c r="L77" i="13"/>
  <c r="K24" i="14" s="1"/>
  <c r="K77" i="13"/>
  <c r="J24" i="14" s="1"/>
  <c r="J77" i="13"/>
  <c r="I24" i="14" s="1"/>
  <c r="I77" i="13"/>
  <c r="H24" i="14" s="1"/>
  <c r="H77" i="13"/>
  <c r="G24" i="14" s="1"/>
  <c r="F77" i="13"/>
  <c r="F24" i="14" s="1"/>
  <c r="E77" i="13"/>
  <c r="E24" i="14" s="1"/>
  <c r="D77" i="13"/>
  <c r="D24" i="14" s="1"/>
  <c r="B77" i="13"/>
  <c r="G77" i="13"/>
  <c r="G80" i="13"/>
  <c r="G81" i="13"/>
  <c r="L76" i="13"/>
  <c r="K23" i="14" s="1"/>
  <c r="K76" i="13"/>
  <c r="J23" i="14" s="1"/>
  <c r="J76" i="13"/>
  <c r="I23" i="14" s="1"/>
  <c r="I76" i="13"/>
  <c r="H23" i="14" s="1"/>
  <c r="H76" i="13"/>
  <c r="G23" i="14" s="1"/>
  <c r="F76" i="13"/>
  <c r="F23" i="14" s="1"/>
  <c r="E76" i="13"/>
  <c r="E23" i="14" s="1"/>
  <c r="G33" i="14"/>
  <c r="F97" i="11"/>
  <c r="F551" i="10"/>
  <c r="F552" i="10"/>
  <c r="G78" i="13" l="1"/>
  <c r="D25" i="14"/>
  <c r="D26" i="14"/>
  <c r="G79" i="13"/>
  <c r="F560" i="10"/>
  <c r="F563" i="10"/>
  <c r="F561" i="10"/>
  <c r="F567" i="10"/>
  <c r="F566" i="10"/>
  <c r="F557" i="10"/>
  <c r="F559" i="10"/>
  <c r="F558" i="10"/>
  <c r="F565" i="10"/>
  <c r="F564" i="10"/>
  <c r="F562" i="10"/>
  <c r="F553" i="10"/>
  <c r="D76" i="13" l="1"/>
  <c r="D23" i="14" s="1"/>
  <c r="B76" i="13"/>
  <c r="B23" i="14"/>
  <c r="N76" i="13" l="1"/>
  <c r="W76" i="13"/>
  <c r="T76" i="13"/>
  <c r="M76" i="13"/>
  <c r="G76" i="13"/>
  <c r="A52" i="11"/>
  <c r="A51" i="11"/>
  <c r="A50" i="11"/>
  <c r="A49" i="11"/>
  <c r="A48" i="11"/>
  <c r="A47" i="11"/>
  <c r="A45" i="11"/>
  <c r="A44" i="11"/>
  <c r="A43" i="11"/>
  <c r="A42" i="11"/>
  <c r="A41" i="11"/>
  <c r="A40" i="11"/>
  <c r="A38" i="11"/>
  <c r="A37" i="11"/>
  <c r="A36" i="11"/>
  <c r="A35" i="11"/>
  <c r="A34" i="11"/>
  <c r="A33" i="11"/>
  <c r="A31" i="11"/>
  <c r="A30" i="11"/>
  <c r="A29" i="11"/>
  <c r="A28" i="11"/>
  <c r="A27" i="11"/>
  <c r="A26" i="11"/>
  <c r="P27" i="7" l="1"/>
  <c r="P26" i="7"/>
  <c r="P25" i="7"/>
  <c r="P24" i="7"/>
  <c r="P23" i="7"/>
  <c r="P22" i="7"/>
  <c r="P21" i="7"/>
  <c r="P20" i="7"/>
  <c r="I27" i="7"/>
  <c r="I26" i="7"/>
  <c r="I25" i="7"/>
  <c r="I24" i="7"/>
  <c r="I23" i="7"/>
  <c r="I22" i="7"/>
  <c r="I21" i="7"/>
  <c r="I20" i="7"/>
  <c r="I19" i="7"/>
  <c r="H27" i="7"/>
  <c r="H26" i="7"/>
  <c r="H25" i="7"/>
  <c r="H24" i="7"/>
  <c r="H23" i="7"/>
  <c r="H22" i="7"/>
  <c r="H21" i="7"/>
  <c r="H20" i="7"/>
  <c r="G27" i="7"/>
  <c r="G26" i="7"/>
  <c r="G25" i="7"/>
  <c r="G24" i="7"/>
  <c r="G23" i="7"/>
  <c r="G22" i="7"/>
  <c r="G21" i="7"/>
  <c r="G20" i="7"/>
  <c r="G19" i="7"/>
  <c r="F27" i="7"/>
  <c r="F26" i="7"/>
  <c r="F25" i="7"/>
  <c r="F24" i="7"/>
  <c r="F23" i="7"/>
  <c r="F22" i="7"/>
  <c r="F21" i="7"/>
  <c r="F20" i="7"/>
  <c r="E27" i="7"/>
  <c r="E26" i="7"/>
  <c r="E25" i="7"/>
  <c r="E24" i="7"/>
  <c r="E23" i="7"/>
  <c r="E22" i="7"/>
  <c r="E21" i="7"/>
  <c r="E20" i="7"/>
  <c r="P19" i="7"/>
  <c r="H19" i="7"/>
  <c r="F19" i="7"/>
  <c r="E19" i="7"/>
  <c r="D19" i="7"/>
  <c r="X19" i="7" l="1"/>
  <c r="L552" i="10" l="1"/>
  <c r="M552" i="10"/>
  <c r="N552" i="10"/>
  <c r="L551" i="10"/>
  <c r="M551" i="10"/>
  <c r="N551" i="10"/>
  <c r="L553" i="10" l="1"/>
  <c r="L557" i="10"/>
  <c r="L558" i="10"/>
  <c r="L559" i="10"/>
  <c r="L560" i="10"/>
  <c r="L561" i="10"/>
  <c r="L562" i="10"/>
  <c r="L563" i="10"/>
  <c r="L564" i="10"/>
  <c r="L565" i="10"/>
  <c r="L566" i="10"/>
  <c r="L567" i="10"/>
  <c r="N553" i="10"/>
  <c r="N557" i="10"/>
  <c r="N561" i="10"/>
  <c r="N565" i="10"/>
  <c r="N562" i="10"/>
  <c r="N559" i="10"/>
  <c r="N563" i="10"/>
  <c r="N560" i="10"/>
  <c r="N564" i="10"/>
  <c r="N567" i="10"/>
  <c r="N558" i="10"/>
  <c r="N566" i="10"/>
  <c r="M553" i="10"/>
  <c r="M557" i="10"/>
  <c r="M561" i="10"/>
  <c r="M565" i="10"/>
  <c r="M566" i="10"/>
  <c r="M558" i="10"/>
  <c r="M562" i="10"/>
  <c r="M560" i="10"/>
  <c r="M564" i="10"/>
  <c r="M567" i="10"/>
  <c r="M559" i="10"/>
  <c r="M563" i="10"/>
  <c r="A484" i="10"/>
  <c r="A478" i="10"/>
  <c r="A477" i="10"/>
  <c r="A454" i="10"/>
  <c r="A448" i="10"/>
  <c r="A447" i="10"/>
  <c r="A424" i="10"/>
  <c r="A418" i="10"/>
  <c r="A417" i="10"/>
  <c r="A403" i="10" a="1"/>
  <c r="A403" i="10" s="1"/>
  <c r="A401" i="10" a="1"/>
  <c r="A401" i="10" s="1"/>
  <c r="A150" i="10"/>
  <c r="A149" i="10"/>
  <c r="A148" i="10"/>
  <c r="A143" i="10"/>
  <c r="A140" i="10"/>
  <c r="A138" i="10"/>
  <c r="A137" i="10"/>
  <c r="A136" i="10"/>
  <c r="A135" i="10"/>
  <c r="A134" i="10"/>
  <c r="A133" i="10"/>
  <c r="A132" i="10"/>
  <c r="B129" i="10"/>
  <c r="B128" i="10"/>
  <c r="B127" i="10"/>
  <c r="B124" i="10"/>
  <c r="A123" i="10"/>
  <c r="A122" i="10"/>
  <c r="A121" i="10"/>
  <c r="B118" i="10"/>
  <c r="A118" i="10" s="1"/>
  <c r="A117" i="10"/>
  <c r="A116" i="10"/>
  <c r="A115" i="10"/>
  <c r="A111" i="10"/>
  <c r="A110" i="10"/>
  <c r="A109" i="10"/>
  <c r="A106" i="10"/>
  <c r="A105" i="10"/>
  <c r="A104" i="10"/>
  <c r="A103" i="10"/>
  <c r="A99" i="10"/>
  <c r="A98" i="10"/>
  <c r="A97" i="10"/>
  <c r="A94" i="10"/>
  <c r="A93" i="10"/>
  <c r="A92" i="10"/>
  <c r="A91" i="10"/>
  <c r="A87" i="10"/>
  <c r="A86" i="10"/>
  <c r="A85" i="10"/>
  <c r="A84" i="10"/>
  <c r="A83" i="10"/>
  <c r="A82" i="10"/>
  <c r="A81" i="10"/>
  <c r="A80" i="10"/>
  <c r="A79" i="10"/>
  <c r="A78" i="10"/>
  <c r="A77" i="10"/>
  <c r="B74" i="10"/>
  <c r="B73" i="10"/>
  <c r="B72" i="10"/>
  <c r="A69" i="10"/>
  <c r="A68" i="10"/>
  <c r="A67" i="10"/>
  <c r="A66" i="10"/>
  <c r="A63" i="10"/>
  <c r="A62" i="10"/>
  <c r="A61" i="10"/>
  <c r="A60" i="10"/>
  <c r="A56" i="10"/>
  <c r="A55" i="10"/>
  <c r="A54" i="10"/>
  <c r="A53" i="10"/>
  <c r="B50" i="10"/>
  <c r="B49" i="10"/>
  <c r="B48" i="10"/>
  <c r="A45" i="10"/>
  <c r="B44" i="10"/>
  <c r="A44" i="10" s="1"/>
  <c r="A43" i="10"/>
  <c r="A42" i="10"/>
  <c r="A41" i="10"/>
  <c r="A38" i="10"/>
  <c r="B37" i="10"/>
  <c r="A37" i="10" s="1"/>
  <c r="A36" i="10"/>
  <c r="A35" i="10"/>
  <c r="A34" i="10"/>
  <c r="A20" i="10"/>
  <c r="A18" i="10"/>
  <c r="A17" i="10"/>
  <c r="A16" i="10"/>
  <c r="A15" i="10"/>
  <c r="A14" i="10"/>
  <c r="A13" i="10"/>
  <c r="A11" i="10"/>
  <c r="A9" i="10"/>
  <c r="D44" i="16" l="1"/>
  <c r="G79" i="1"/>
  <c r="N6" i="4"/>
  <c r="AB29" i="1"/>
  <c r="C59" i="1" s="1"/>
  <c r="B25" i="20" l="1"/>
  <c r="I25" i="20" s="1"/>
  <c r="B26" i="20"/>
  <c r="I26" i="20" s="1"/>
  <c r="B24" i="20"/>
  <c r="K26" i="20"/>
  <c r="K27" i="20"/>
  <c r="K28" i="20"/>
  <c r="I22" i="20"/>
  <c r="I23" i="20"/>
  <c r="I24" i="20"/>
  <c r="I27" i="20"/>
  <c r="I29" i="20"/>
  <c r="I21" i="20"/>
  <c r="D24" i="20"/>
  <c r="K24" i="20" s="1"/>
  <c r="D25" i="20"/>
  <c r="K25" i="20" s="1"/>
  <c r="D26" i="20"/>
  <c r="B28" i="20"/>
  <c r="I28" i="20" s="1"/>
  <c r="D13" i="8" l="1"/>
  <c r="E13" i="8"/>
  <c r="F13" i="8"/>
  <c r="C13" i="8"/>
  <c r="C30" i="8"/>
  <c r="E12" i="20"/>
  <c r="C12" i="20" l="1"/>
  <c r="D29" i="20" s="1"/>
  <c r="K29" i="20" s="1"/>
  <c r="E29" i="20"/>
  <c r="Q43" i="1"/>
  <c r="Q42" i="1"/>
  <c r="Q41" i="1"/>
  <c r="C5" i="20" l="1"/>
  <c r="D22" i="20" s="1"/>
  <c r="K22" i="20" s="1"/>
  <c r="AC29" i="12" l="1"/>
  <c r="AB29" i="12"/>
  <c r="D7" i="15"/>
  <c r="C7" i="15"/>
  <c r="AD25" i="12"/>
  <c r="C9" i="4" s="1"/>
  <c r="AK80" i="13" l="1"/>
  <c r="AJ80" i="13"/>
  <c r="AI80" i="13"/>
  <c r="AG80" i="13"/>
  <c r="AH80" i="13"/>
  <c r="AF80" i="13"/>
  <c r="AF79" i="13"/>
  <c r="AH79" i="13"/>
  <c r="AG79" i="13"/>
  <c r="AI79" i="13"/>
  <c r="AJ79" i="13"/>
  <c r="AK79" i="13"/>
  <c r="A22" i="13"/>
  <c r="A41" i="13" s="1"/>
  <c r="A60" i="13" s="1"/>
  <c r="A79" i="13" s="1"/>
  <c r="K22" i="13"/>
  <c r="O22" i="13"/>
  <c r="E12" i="13"/>
  <c r="C119" i="15"/>
  <c r="C81" i="15"/>
  <c r="F81" i="15"/>
  <c r="O81" i="15"/>
  <c r="P81" i="15"/>
  <c r="S81" i="15"/>
  <c r="D15" i="15"/>
  <c r="A24" i="15"/>
  <c r="A43" i="15" s="1"/>
  <c r="A62" i="15" s="1"/>
  <c r="K24" i="15"/>
  <c r="O24" i="15"/>
  <c r="C94" i="7"/>
  <c r="G94" i="7"/>
  <c r="K94" i="7" s="1"/>
  <c r="L94" i="7"/>
  <c r="D75" i="7"/>
  <c r="D56" i="7"/>
  <c r="H94" i="7" s="1"/>
  <c r="D23" i="7"/>
  <c r="D22" i="7"/>
  <c r="A22" i="7"/>
  <c r="T7" i="7" l="1"/>
  <c r="AK7" i="7"/>
  <c r="A37" i="7"/>
  <c r="A56" i="7" s="1"/>
  <c r="A75" i="7" s="1"/>
  <c r="A94" i="7" s="1"/>
  <c r="H7" i="7"/>
  <c r="A26" i="14"/>
  <c r="A42" i="14" s="1"/>
  <c r="A58" i="14" s="1"/>
  <c r="A74" i="14" s="1"/>
  <c r="A90" i="14" s="1"/>
  <c r="A106" i="14" s="1"/>
  <c r="A122" i="14" s="1"/>
  <c r="M79" i="13"/>
  <c r="P79" i="13"/>
  <c r="T79" i="13"/>
  <c r="A81" i="15"/>
  <c r="A100" i="15" s="1"/>
  <c r="I94" i="7"/>
  <c r="J94" i="7" s="1"/>
  <c r="M94" i="7" s="1"/>
  <c r="O94" i="7" s="1"/>
  <c r="X22" i="7"/>
  <c r="A119" i="15" l="1"/>
  <c r="A138" i="15" s="1"/>
  <c r="I39" i="20"/>
  <c r="R94" i="7"/>
  <c r="S94" i="7" s="1"/>
  <c r="B79" i="4" l="1"/>
  <c r="E79" i="4"/>
  <c r="H79" i="4"/>
  <c r="I79" i="4"/>
  <c r="G60" i="4"/>
  <c r="A22" i="4"/>
  <c r="A99" i="4" s="1"/>
  <c r="K22" i="4"/>
  <c r="O22" i="4"/>
  <c r="E7" i="20"/>
  <c r="I7" i="20"/>
  <c r="L7" i="20"/>
  <c r="M7" i="20" s="1"/>
  <c r="S7" i="1"/>
  <c r="I7" i="1"/>
  <c r="G61" i="1"/>
  <c r="A61" i="1"/>
  <c r="C61" i="1"/>
  <c r="E61" i="1" s="1"/>
  <c r="D61" i="1"/>
  <c r="K61" i="1"/>
  <c r="L61" i="1"/>
  <c r="B41" i="1"/>
  <c r="D41" i="1" s="1"/>
  <c r="A41" i="1"/>
  <c r="E22" i="1"/>
  <c r="C41" i="1" s="1"/>
  <c r="E41" i="1" l="1"/>
  <c r="F41" i="1"/>
  <c r="C21" i="20"/>
  <c r="E24" i="20"/>
  <c r="L24" i="20" s="1"/>
  <c r="N7" i="20"/>
  <c r="O7" i="20" s="1"/>
  <c r="G24" i="20"/>
  <c r="A41" i="4"/>
  <c r="A60" i="4" s="1"/>
  <c r="A79" i="4" s="1"/>
  <c r="B61" i="1"/>
  <c r="F61" i="1"/>
  <c r="L22" i="13"/>
  <c r="L24" i="15"/>
  <c r="L22" i="4"/>
  <c r="G41" i="1"/>
  <c r="D16" i="15"/>
  <c r="AI14" i="12"/>
  <c r="AJ8" i="12" s="1"/>
  <c r="AH20" i="12" s="1"/>
  <c r="AH31" i="12" s="1"/>
  <c r="AI12" i="12"/>
  <c r="AI11" i="12"/>
  <c r="AI7" i="12"/>
  <c r="E11" i="13"/>
  <c r="E14" i="13"/>
  <c r="A23" i="13"/>
  <c r="A42" i="13" s="1"/>
  <c r="A61" i="13" s="1"/>
  <c r="A80" i="13" s="1"/>
  <c r="K23" i="13"/>
  <c r="O23" i="13"/>
  <c r="C95" i="7"/>
  <c r="G95" i="7"/>
  <c r="L95" i="7"/>
  <c r="D76" i="7"/>
  <c r="D57" i="7"/>
  <c r="H95" i="7" s="1"/>
  <c r="A23" i="7"/>
  <c r="A38" i="7" l="1"/>
  <c r="A57" i="7" s="1"/>
  <c r="A76" i="7" s="1"/>
  <c r="A95" i="7" s="1"/>
  <c r="AK8" i="7"/>
  <c r="C22" i="20"/>
  <c r="AJ12" i="12"/>
  <c r="B22" i="13"/>
  <c r="B24" i="15"/>
  <c r="I41" i="1"/>
  <c r="B22" i="4"/>
  <c r="L7" i="1"/>
  <c r="K7" i="7" s="1"/>
  <c r="H41" i="1"/>
  <c r="E60" i="4"/>
  <c r="H41" i="13"/>
  <c r="AJ7" i="12"/>
  <c r="AH19" i="12" s="1"/>
  <c r="AJ11" i="12"/>
  <c r="I95" i="7"/>
  <c r="J95" i="7" s="1"/>
  <c r="R95" i="7" s="1"/>
  <c r="S95" i="7" s="1"/>
  <c r="J41" i="1"/>
  <c r="L41" i="1" s="1"/>
  <c r="N41" i="1" s="1"/>
  <c r="AJ9" i="12"/>
  <c r="AH21" i="12" s="1"/>
  <c r="AH32" i="12" s="1"/>
  <c r="K95" i="7"/>
  <c r="A27" i="14"/>
  <c r="A43" i="14" s="1"/>
  <c r="A59" i="14" s="1"/>
  <c r="A75" i="14" s="1"/>
  <c r="A91" i="14" s="1"/>
  <c r="A107" i="14" s="1"/>
  <c r="A123" i="14" s="1"/>
  <c r="M80" i="13"/>
  <c r="T80" i="13"/>
  <c r="X23" i="7"/>
  <c r="C120" i="15"/>
  <c r="C82" i="15"/>
  <c r="F82" i="15"/>
  <c r="O82" i="15"/>
  <c r="P82" i="15"/>
  <c r="A25" i="15"/>
  <c r="A44" i="15" s="1"/>
  <c r="K25" i="15"/>
  <c r="O25" i="15"/>
  <c r="AC38" i="12"/>
  <c r="AC39" i="12" s="1"/>
  <c r="G15" i="15" s="1"/>
  <c r="E8" i="20"/>
  <c r="E25" i="20" s="1"/>
  <c r="I8" i="20"/>
  <c r="G25" i="20" s="1"/>
  <c r="L8" i="20"/>
  <c r="M8" i="20" s="1"/>
  <c r="T8" i="7"/>
  <c r="H8" i="7"/>
  <c r="E80" i="4"/>
  <c r="H80" i="4"/>
  <c r="I80" i="4"/>
  <c r="G61" i="4"/>
  <c r="A23" i="4"/>
  <c r="A100" i="4" s="1"/>
  <c r="K23" i="4"/>
  <c r="O23" i="4"/>
  <c r="S8" i="1"/>
  <c r="I8" i="1"/>
  <c r="A62" i="1"/>
  <c r="C62" i="1"/>
  <c r="D62" i="1"/>
  <c r="L23" i="13" s="1"/>
  <c r="H42" i="13" s="1"/>
  <c r="O80" i="13" s="1"/>
  <c r="E62" i="1"/>
  <c r="G62" i="1"/>
  <c r="K62" i="1"/>
  <c r="L62" i="1"/>
  <c r="A42" i="1"/>
  <c r="B42" i="1"/>
  <c r="D42" i="1" s="1"/>
  <c r="B62" i="1" s="1"/>
  <c r="B80" i="4"/>
  <c r="E23" i="1"/>
  <c r="C42" i="1" s="1"/>
  <c r="V7" i="1" l="1"/>
  <c r="W7" i="7" s="1"/>
  <c r="L25" i="20"/>
  <c r="C23" i="20"/>
  <c r="F62" i="1"/>
  <c r="N22" i="13"/>
  <c r="P22" i="13" s="1"/>
  <c r="N24" i="15"/>
  <c r="P24" i="15" s="1"/>
  <c r="N22" i="4"/>
  <c r="P22" i="4" s="1"/>
  <c r="H41" i="4" s="1"/>
  <c r="C22" i="13"/>
  <c r="D22" i="13"/>
  <c r="D22" i="4"/>
  <c r="C22" i="4"/>
  <c r="B60" i="4"/>
  <c r="D24" i="15"/>
  <c r="C24" i="15"/>
  <c r="O79" i="13"/>
  <c r="AI24" i="12"/>
  <c r="C12" i="4" s="1"/>
  <c r="AH30" i="12"/>
  <c r="K41" i="1"/>
  <c r="M41" i="1" s="1"/>
  <c r="M7" i="1" s="1"/>
  <c r="L7" i="7" s="1"/>
  <c r="L23" i="4"/>
  <c r="L25" i="15"/>
  <c r="A82" i="15"/>
  <c r="A101" i="15" s="1"/>
  <c r="A120" i="15" s="1"/>
  <c r="A139" i="15" s="1"/>
  <c r="A63" i="15"/>
  <c r="M95" i="7"/>
  <c r="O95" i="7" s="1"/>
  <c r="I40" i="20" s="1"/>
  <c r="N8" i="20"/>
  <c r="O8" i="20" s="1"/>
  <c r="A42" i="4"/>
  <c r="A61" i="4" s="1"/>
  <c r="A80" i="4" s="1"/>
  <c r="E42" i="1"/>
  <c r="F42" i="1"/>
  <c r="G42" i="1"/>
  <c r="G48" i="20"/>
  <c r="G34" i="20"/>
  <c r="G47" i="20" s="1"/>
  <c r="C48" i="20"/>
  <c r="D48" i="20"/>
  <c r="H48" i="20"/>
  <c r="I48" i="20"/>
  <c r="I52" i="20" s="1"/>
  <c r="B48" i="20"/>
  <c r="A48" i="20"/>
  <c r="K34" i="20"/>
  <c r="K47" i="20" s="1"/>
  <c r="J34" i="20"/>
  <c r="J47" i="20" s="1"/>
  <c r="I34" i="20"/>
  <c r="I47" i="20" s="1"/>
  <c r="B34" i="20"/>
  <c r="B47" i="20" s="1"/>
  <c r="C34" i="20"/>
  <c r="C47" i="20" s="1"/>
  <c r="D34" i="20"/>
  <c r="D47" i="20" s="1"/>
  <c r="E34" i="20"/>
  <c r="E47" i="20" s="1"/>
  <c r="F34" i="20"/>
  <c r="F47" i="20" s="1"/>
  <c r="H34" i="20"/>
  <c r="H47" i="20" s="1"/>
  <c r="C24" i="20" l="1"/>
  <c r="I41" i="4"/>
  <c r="E22" i="13"/>
  <c r="E24" i="15"/>
  <c r="E22" i="4"/>
  <c r="O41" i="1"/>
  <c r="W7" i="1"/>
  <c r="X7" i="7" s="1"/>
  <c r="I53" i="20"/>
  <c r="E61" i="4"/>
  <c r="B23" i="13"/>
  <c r="B25" i="15"/>
  <c r="B23" i="4"/>
  <c r="I42" i="1"/>
  <c r="H42" i="1"/>
  <c r="J42" i="1" s="1"/>
  <c r="L42" i="1" s="1"/>
  <c r="N42" i="1" s="1"/>
  <c r="J24" i="20" l="1"/>
  <c r="C25" i="20"/>
  <c r="F22" i="4"/>
  <c r="C60" i="4"/>
  <c r="G22" i="4"/>
  <c r="I60" i="4" s="1"/>
  <c r="F24" i="15"/>
  <c r="G24" i="15"/>
  <c r="H61" i="1"/>
  <c r="I61" i="1" s="1"/>
  <c r="P41" i="1"/>
  <c r="C79" i="4" s="1"/>
  <c r="K79" i="4" s="1"/>
  <c r="F79" i="4"/>
  <c r="F22" i="13"/>
  <c r="G22" i="13"/>
  <c r="V8" i="1"/>
  <c r="W8" i="7" s="1"/>
  <c r="C25" i="15"/>
  <c r="D25" i="15"/>
  <c r="C23" i="13"/>
  <c r="D23" i="13"/>
  <c r="N23" i="13"/>
  <c r="P23" i="13" s="1"/>
  <c r="N25" i="15"/>
  <c r="P25" i="15" s="1"/>
  <c r="C23" i="4"/>
  <c r="B61" i="4"/>
  <c r="D23" i="4"/>
  <c r="L8" i="1"/>
  <c r="K8" i="7" s="1"/>
  <c r="N23" i="4"/>
  <c r="P23" i="4" s="1"/>
  <c r="H42" i="4" s="1"/>
  <c r="K42" i="1"/>
  <c r="M42" i="1" s="1"/>
  <c r="G92" i="7"/>
  <c r="G93" i="7"/>
  <c r="G96" i="7"/>
  <c r="G97" i="7"/>
  <c r="G98" i="7"/>
  <c r="G99" i="7"/>
  <c r="G91" i="7"/>
  <c r="C26" i="20" l="1"/>
  <c r="J25" i="20"/>
  <c r="P61" i="1"/>
  <c r="J61" i="1"/>
  <c r="O61" i="1"/>
  <c r="H60" i="4"/>
  <c r="M8" i="1"/>
  <c r="L8" i="7" s="1"/>
  <c r="W8" i="1"/>
  <c r="X8" i="7" s="1"/>
  <c r="I42" i="4"/>
  <c r="E23" i="13"/>
  <c r="E25" i="15"/>
  <c r="E23" i="4"/>
  <c r="O42" i="1"/>
  <c r="BE3" i="12"/>
  <c r="BB6" i="12" s="1"/>
  <c r="BF6" i="12" s="1"/>
  <c r="AV25" i="12"/>
  <c r="AV28" i="12"/>
  <c r="AV30" i="12"/>
  <c r="AV31" i="12" s="1"/>
  <c r="AU29" i="12"/>
  <c r="AT29" i="12" s="1"/>
  <c r="AU25" i="12"/>
  <c r="AU27" i="12" s="1"/>
  <c r="AT27" i="12" s="1"/>
  <c r="AT32" i="12"/>
  <c r="AT31" i="12"/>
  <c r="AT30" i="12"/>
  <c r="AT28" i="12"/>
  <c r="BK16" i="12"/>
  <c r="BK17" i="12" s="1"/>
  <c r="BK13" i="12"/>
  <c r="BK14" i="12" s="1"/>
  <c r="BK5" i="12"/>
  <c r="BK9" i="12" s="1"/>
  <c r="BF12" i="12"/>
  <c r="D11" i="7" s="1"/>
  <c r="BE9" i="12"/>
  <c r="BF8" i="12"/>
  <c r="D6" i="7" s="1"/>
  <c r="BE7" i="12"/>
  <c r="AT9" i="12"/>
  <c r="AW9" i="12" s="1"/>
  <c r="AT11" i="12"/>
  <c r="AT12" i="12"/>
  <c r="AT13" i="12"/>
  <c r="AW13" i="12" s="1"/>
  <c r="AU6" i="12"/>
  <c r="AU7" i="12" s="1"/>
  <c r="AC19" i="12"/>
  <c r="AC20" i="12" s="1"/>
  <c r="K92" i="7"/>
  <c r="K93" i="7"/>
  <c r="K96" i="7"/>
  <c r="K97" i="7"/>
  <c r="K98" i="7"/>
  <c r="K99" i="7"/>
  <c r="K91" i="7"/>
  <c r="L92" i="7"/>
  <c r="L93" i="7"/>
  <c r="L96" i="7"/>
  <c r="L97" i="7"/>
  <c r="L98" i="7"/>
  <c r="L99" i="7"/>
  <c r="L91" i="7"/>
  <c r="M9" i="12"/>
  <c r="M45" i="12"/>
  <c r="M14" i="12"/>
  <c r="M59" i="12"/>
  <c r="M29" i="12"/>
  <c r="M30" i="12"/>
  <c r="M31" i="12"/>
  <c r="M32" i="12"/>
  <c r="C92" i="7"/>
  <c r="C93" i="7"/>
  <c r="C96" i="7"/>
  <c r="C97" i="7"/>
  <c r="C98" i="7"/>
  <c r="C99" i="7"/>
  <c r="C91" i="7"/>
  <c r="AC26" i="12"/>
  <c r="AD26" i="12" s="1"/>
  <c r="S19" i="12"/>
  <c r="S17" i="12" s="1"/>
  <c r="W6" i="12"/>
  <c r="D12" i="1"/>
  <c r="S12" i="12"/>
  <c r="W12" i="12" s="1"/>
  <c r="W8" i="12"/>
  <c r="G8" i="15" s="1"/>
  <c r="S21" i="12"/>
  <c r="S22" i="12" s="1"/>
  <c r="AB10" i="12"/>
  <c r="AC10" i="12" s="1"/>
  <c r="AB11" i="12"/>
  <c r="AC11" i="12" s="1"/>
  <c r="J23" i="12"/>
  <c r="J25" i="12" s="1"/>
  <c r="W23" i="12"/>
  <c r="G11" i="15" s="1"/>
  <c r="G12" i="15" s="1"/>
  <c r="R14" i="15"/>
  <c r="AN12" i="12"/>
  <c r="AN9" i="12"/>
  <c r="AP9" i="12" s="1"/>
  <c r="AM7" i="12"/>
  <c r="AM10" i="12" s="1"/>
  <c r="AN10" i="12" s="1"/>
  <c r="AP10" i="12" s="1"/>
  <c r="AN11" i="12"/>
  <c r="AP11" i="12" s="1"/>
  <c r="AN13" i="12"/>
  <c r="AP13" i="12" s="1"/>
  <c r="AN14" i="12"/>
  <c r="AP14" i="12" s="1"/>
  <c r="AM8" i="12"/>
  <c r="AM15" i="12" s="1"/>
  <c r="AN15" i="12" s="1"/>
  <c r="AP15" i="12" s="1"/>
  <c r="D6" i="15"/>
  <c r="AO21" i="12"/>
  <c r="AO23" i="12" s="1"/>
  <c r="B43" i="1"/>
  <c r="D43" i="1" s="1"/>
  <c r="R12" i="15"/>
  <c r="R6" i="14"/>
  <c r="C15" i="14" s="1"/>
  <c r="R12" i="14"/>
  <c r="D10" i="14"/>
  <c r="D11" i="14" s="1"/>
  <c r="B11" i="14"/>
  <c r="D7" i="14"/>
  <c r="D8" i="14" s="1"/>
  <c r="D9" i="14" s="1"/>
  <c r="R7" i="14"/>
  <c r="C5" i="14"/>
  <c r="R4" i="14"/>
  <c r="C4" i="14"/>
  <c r="R7" i="15"/>
  <c r="B122" i="15"/>
  <c r="B123" i="15"/>
  <c r="B124" i="15"/>
  <c r="C117" i="15"/>
  <c r="C118" i="15"/>
  <c r="C121" i="15"/>
  <c r="D122" i="15"/>
  <c r="D123" i="15"/>
  <c r="D124" i="15"/>
  <c r="C116" i="15"/>
  <c r="Z24" i="15"/>
  <c r="AA24" i="15"/>
  <c r="D13" i="15"/>
  <c r="E13" i="15"/>
  <c r="D11" i="15"/>
  <c r="F11" i="15"/>
  <c r="E11" i="15"/>
  <c r="B12" i="15"/>
  <c r="D12" i="15" s="1"/>
  <c r="R6" i="15"/>
  <c r="N86" i="15" s="1"/>
  <c r="C4" i="15"/>
  <c r="E4" i="15"/>
  <c r="C5" i="15"/>
  <c r="E5" i="15"/>
  <c r="A29" i="15"/>
  <c r="A48" i="15" s="1"/>
  <c r="A67" i="15" s="1"/>
  <c r="A28" i="15"/>
  <c r="A47" i="15" s="1"/>
  <c r="A66" i="15" s="1"/>
  <c r="A27" i="15"/>
  <c r="A46" i="15" s="1"/>
  <c r="A26" i="15"/>
  <c r="A45" i="15" s="1"/>
  <c r="A64" i="15" s="1"/>
  <c r="A23" i="15"/>
  <c r="A42" i="15" s="1"/>
  <c r="A61" i="15" s="1"/>
  <c r="A22" i="15"/>
  <c r="A41" i="15" s="1"/>
  <c r="A60" i="15" s="1"/>
  <c r="A21" i="15"/>
  <c r="A40" i="15" s="1"/>
  <c r="O22" i="15"/>
  <c r="O23" i="15"/>
  <c r="O26" i="15"/>
  <c r="D4" i="15"/>
  <c r="F4" i="15"/>
  <c r="O27" i="15"/>
  <c r="O28" i="15"/>
  <c r="F5" i="15"/>
  <c r="O29" i="15"/>
  <c r="O21" i="15"/>
  <c r="P85" i="15"/>
  <c r="P84" i="15"/>
  <c r="P83" i="15"/>
  <c r="P80" i="15"/>
  <c r="P79" i="15"/>
  <c r="S78" i="15"/>
  <c r="M84" i="15"/>
  <c r="M85" i="15"/>
  <c r="M86" i="15"/>
  <c r="L9" i="13"/>
  <c r="K9" i="13" s="1"/>
  <c r="L9" i="4"/>
  <c r="M6" i="4"/>
  <c r="M20" i="12"/>
  <c r="U56" i="12"/>
  <c r="V56" i="12"/>
  <c r="T56" i="12"/>
  <c r="S15" i="12"/>
  <c r="U15" i="12" s="1"/>
  <c r="S14" i="12"/>
  <c r="W24" i="12"/>
  <c r="W16" i="12"/>
  <c r="W7" i="12"/>
  <c r="W9" i="12"/>
  <c r="W10" i="12"/>
  <c r="AA21" i="1"/>
  <c r="C15" i="4"/>
  <c r="C41" i="4" s="1"/>
  <c r="J41" i="4" s="1"/>
  <c r="K6" i="4"/>
  <c r="I25" i="4" s="1"/>
  <c r="E44" i="4" s="1"/>
  <c r="K95" i="4"/>
  <c r="K90" i="4"/>
  <c r="B90" i="4"/>
  <c r="D14" i="16"/>
  <c r="D13" i="16"/>
  <c r="E12" i="16"/>
  <c r="E11" i="16"/>
  <c r="K10" i="4"/>
  <c r="R4" i="15"/>
  <c r="AO12" i="12" s="1"/>
  <c r="C79" i="15"/>
  <c r="E79" i="15"/>
  <c r="O79" i="15"/>
  <c r="C80" i="15"/>
  <c r="E80" i="15"/>
  <c r="O80" i="15"/>
  <c r="C83" i="15"/>
  <c r="O83" i="15"/>
  <c r="S83" i="15"/>
  <c r="B84" i="15"/>
  <c r="D84" i="15"/>
  <c r="S84" i="15"/>
  <c r="N84" i="15"/>
  <c r="B85" i="15"/>
  <c r="D85" i="15"/>
  <c r="E85" i="15"/>
  <c r="S85" i="15"/>
  <c r="B86" i="15"/>
  <c r="D86" i="15"/>
  <c r="E86" i="15"/>
  <c r="S86" i="15"/>
  <c r="C78" i="15"/>
  <c r="E78" i="15"/>
  <c r="O78" i="15"/>
  <c r="T81" i="13"/>
  <c r="C4" i="20"/>
  <c r="I9" i="20"/>
  <c r="G26" i="20" s="1"/>
  <c r="I10" i="20"/>
  <c r="G27" i="20" s="1"/>
  <c r="L9" i="20"/>
  <c r="M9" i="20" s="1"/>
  <c r="L10" i="20"/>
  <c r="M10" i="20" s="1"/>
  <c r="L5" i="20"/>
  <c r="M5" i="20" s="1"/>
  <c r="I4" i="20"/>
  <c r="G21" i="20" s="1"/>
  <c r="J21" i="20" s="1"/>
  <c r="I5" i="20"/>
  <c r="G22" i="20" s="1"/>
  <c r="J22" i="20" s="1"/>
  <c r="I6" i="20"/>
  <c r="G23" i="20" s="1"/>
  <c r="J23" i="20" s="1"/>
  <c r="I11" i="20"/>
  <c r="G28" i="20" s="1"/>
  <c r="I12" i="20"/>
  <c r="G29" i="20" s="1"/>
  <c r="L29" i="20" s="1"/>
  <c r="L11" i="20"/>
  <c r="M11" i="20" s="1"/>
  <c r="D11" i="20"/>
  <c r="E11" i="20" s="1"/>
  <c r="B11" i="20"/>
  <c r="C6" i="20"/>
  <c r="D6" i="20"/>
  <c r="B6" i="20"/>
  <c r="B16" i="20"/>
  <c r="D16" i="20" s="1"/>
  <c r="E5" i="20"/>
  <c r="E10" i="20"/>
  <c r="E9" i="20"/>
  <c r="E26" i="20" s="1"/>
  <c r="L26" i="20" s="1"/>
  <c r="D39" i="16"/>
  <c r="G39" i="16" s="1"/>
  <c r="F75" i="16"/>
  <c r="G57" i="16"/>
  <c r="D40" i="16"/>
  <c r="G40" i="16" s="1"/>
  <c r="F76" i="16"/>
  <c r="G58" i="16"/>
  <c r="G44" i="16"/>
  <c r="G62" i="16"/>
  <c r="B41" i="16"/>
  <c r="D41" i="16"/>
  <c r="G41" i="16" s="1"/>
  <c r="F77" i="16"/>
  <c r="G59" i="16"/>
  <c r="B42" i="16"/>
  <c r="D42" i="16"/>
  <c r="G42" i="16" s="1"/>
  <c r="F78" i="16"/>
  <c r="G60" i="16"/>
  <c r="C62" i="16"/>
  <c r="E62" i="16"/>
  <c r="F62" i="16" s="1"/>
  <c r="D62" i="16"/>
  <c r="B27" i="16"/>
  <c r="B44" i="16"/>
  <c r="AA21" i="16"/>
  <c r="C44" i="16"/>
  <c r="L62" i="16"/>
  <c r="B92" i="16"/>
  <c r="A62" i="16"/>
  <c r="A80" i="16"/>
  <c r="A92" i="16"/>
  <c r="C61" i="16"/>
  <c r="B26" i="16"/>
  <c r="B43" i="16"/>
  <c r="D43" i="16"/>
  <c r="G43" i="16" s="1"/>
  <c r="Z77" i="16"/>
  <c r="C43" i="16"/>
  <c r="Z74" i="16"/>
  <c r="F79" i="16"/>
  <c r="G79" i="16"/>
  <c r="G61" i="16"/>
  <c r="L61" i="16"/>
  <c r="A61" i="16"/>
  <c r="A79" i="16"/>
  <c r="A91" i="16"/>
  <c r="C60" i="16"/>
  <c r="B25" i="16"/>
  <c r="C42" i="16"/>
  <c r="G78" i="16"/>
  <c r="L60" i="16"/>
  <c r="A60" i="16"/>
  <c r="A78" i="16"/>
  <c r="A90" i="16"/>
  <c r="C59" i="16"/>
  <c r="B24" i="16"/>
  <c r="C41" i="16"/>
  <c r="G77" i="16"/>
  <c r="L59" i="16"/>
  <c r="A59" i="16"/>
  <c r="A77" i="16"/>
  <c r="A89" i="16"/>
  <c r="C58" i="16"/>
  <c r="B23" i="16"/>
  <c r="B40" i="16"/>
  <c r="C40" i="16"/>
  <c r="G76" i="16"/>
  <c r="L58" i="16"/>
  <c r="A58" i="16"/>
  <c r="A76" i="16"/>
  <c r="A88" i="16"/>
  <c r="C57" i="16"/>
  <c r="B22" i="16"/>
  <c r="B39" i="16"/>
  <c r="C39" i="16"/>
  <c r="G75" i="16"/>
  <c r="L57" i="16"/>
  <c r="A57" i="16"/>
  <c r="A75" i="16"/>
  <c r="A87" i="16"/>
  <c r="C56" i="16"/>
  <c r="B21" i="16"/>
  <c r="B38" i="16"/>
  <c r="D38" i="16"/>
  <c r="G38" i="16" s="1"/>
  <c r="C38" i="16"/>
  <c r="F74" i="16"/>
  <c r="G74" i="16"/>
  <c r="G56" i="16"/>
  <c r="L56" i="16"/>
  <c r="A56" i="16"/>
  <c r="A74" i="16"/>
  <c r="A86" i="16"/>
  <c r="C55" i="16"/>
  <c r="B20" i="16"/>
  <c r="B37" i="16"/>
  <c r="D37" i="16"/>
  <c r="G37" i="16" s="1"/>
  <c r="C37" i="16"/>
  <c r="F73" i="16"/>
  <c r="G73" i="16"/>
  <c r="G55" i="16"/>
  <c r="L55" i="16"/>
  <c r="A55" i="16"/>
  <c r="A73" i="16"/>
  <c r="A85" i="16"/>
  <c r="C54" i="16"/>
  <c r="B19" i="16"/>
  <c r="B36" i="16"/>
  <c r="D36" i="16"/>
  <c r="G36" i="16" s="1"/>
  <c r="C36" i="16"/>
  <c r="F72" i="16"/>
  <c r="G72" i="16"/>
  <c r="G54" i="16"/>
  <c r="L54" i="16"/>
  <c r="A54" i="16"/>
  <c r="A72" i="16"/>
  <c r="A84" i="16"/>
  <c r="Z76" i="16"/>
  <c r="B71" i="16"/>
  <c r="B65" i="16"/>
  <c r="K62" i="16"/>
  <c r="B62" i="16"/>
  <c r="K61" i="16"/>
  <c r="B61" i="16"/>
  <c r="K60" i="16"/>
  <c r="B60" i="16"/>
  <c r="K59" i="16"/>
  <c r="B59" i="16"/>
  <c r="K58" i="16"/>
  <c r="B58" i="16"/>
  <c r="Z57" i="16"/>
  <c r="K57" i="16"/>
  <c r="K56" i="16"/>
  <c r="B56" i="16"/>
  <c r="K55" i="16"/>
  <c r="B55" i="16"/>
  <c r="K54" i="16"/>
  <c r="B54" i="16"/>
  <c r="Q44" i="16"/>
  <c r="AA24" i="16"/>
  <c r="F44" i="16"/>
  <c r="E44" i="16"/>
  <c r="A44" i="16"/>
  <c r="Q43" i="16"/>
  <c r="F43" i="16"/>
  <c r="E43" i="16"/>
  <c r="A43" i="16"/>
  <c r="Z39" i="16"/>
  <c r="AA39" i="16"/>
  <c r="AB39" i="16"/>
  <c r="AB42" i="16"/>
  <c r="AA37" i="16"/>
  <c r="AA41" i="16"/>
  <c r="AA42" i="16"/>
  <c r="Z37" i="16"/>
  <c r="Z41" i="16"/>
  <c r="Z42" i="16"/>
  <c r="Q42" i="16"/>
  <c r="F42" i="16"/>
  <c r="E42" i="16"/>
  <c r="A42" i="16"/>
  <c r="Q41" i="16"/>
  <c r="F41" i="16"/>
  <c r="E41" i="16"/>
  <c r="A41" i="16"/>
  <c r="Q40" i="16"/>
  <c r="F40" i="16"/>
  <c r="E40" i="16"/>
  <c r="A40" i="16"/>
  <c r="Q39" i="16"/>
  <c r="F39" i="16"/>
  <c r="A39" i="16"/>
  <c r="Q38" i="16"/>
  <c r="F38" i="16"/>
  <c r="E38" i="16"/>
  <c r="A38" i="16"/>
  <c r="Q37" i="16"/>
  <c r="F37" i="16"/>
  <c r="E37" i="16"/>
  <c r="A37" i="16"/>
  <c r="Q36" i="16"/>
  <c r="F36" i="16"/>
  <c r="E36" i="16"/>
  <c r="A36" i="16"/>
  <c r="S27" i="16"/>
  <c r="U27" i="16"/>
  <c r="T27" i="16"/>
  <c r="S26" i="16"/>
  <c r="U26" i="16"/>
  <c r="T26" i="16"/>
  <c r="S25" i="16"/>
  <c r="U25" i="16"/>
  <c r="T25" i="16"/>
  <c r="S24" i="16"/>
  <c r="U24" i="16"/>
  <c r="T24" i="16"/>
  <c r="S23" i="16"/>
  <c r="U23" i="16"/>
  <c r="T23" i="16"/>
  <c r="AA22" i="16"/>
  <c r="S22" i="16"/>
  <c r="U22" i="16"/>
  <c r="T22" i="16"/>
  <c r="S21" i="16"/>
  <c r="U21" i="16"/>
  <c r="T21" i="16"/>
  <c r="S20" i="16"/>
  <c r="U20" i="16"/>
  <c r="T20" i="16"/>
  <c r="S19" i="16"/>
  <c r="U19" i="16"/>
  <c r="T19" i="16"/>
  <c r="S12" i="16"/>
  <c r="I12" i="16"/>
  <c r="S11" i="16"/>
  <c r="I11" i="16"/>
  <c r="S10" i="16"/>
  <c r="I10" i="16"/>
  <c r="S9" i="16"/>
  <c r="I9" i="16"/>
  <c r="S8" i="16"/>
  <c r="I8" i="16"/>
  <c r="C8" i="16"/>
  <c r="S7" i="16"/>
  <c r="I7" i="16"/>
  <c r="C4" i="16"/>
  <c r="S6" i="16"/>
  <c r="I6" i="16"/>
  <c r="S5" i="16"/>
  <c r="I5" i="16"/>
  <c r="S4" i="16"/>
  <c r="I4" i="16"/>
  <c r="C60" i="1"/>
  <c r="C63" i="1"/>
  <c r="E63" i="1" s="1"/>
  <c r="B44" i="1"/>
  <c r="D44" i="1" s="1"/>
  <c r="Q44" i="1"/>
  <c r="Z29" i="15"/>
  <c r="AA28" i="15"/>
  <c r="Z28" i="15"/>
  <c r="AA26" i="15"/>
  <c r="Z26" i="15"/>
  <c r="R28" i="15"/>
  <c r="K28" i="15"/>
  <c r="R27" i="15"/>
  <c r="K27" i="15"/>
  <c r="K26" i="15"/>
  <c r="O20" i="15"/>
  <c r="N20" i="15"/>
  <c r="L20" i="15"/>
  <c r="K20" i="15"/>
  <c r="H20" i="15"/>
  <c r="E20" i="15"/>
  <c r="B20" i="15"/>
  <c r="C17" i="15"/>
  <c r="O25" i="13"/>
  <c r="F5" i="13"/>
  <c r="O8" i="13"/>
  <c r="N8" i="13"/>
  <c r="N12" i="13"/>
  <c r="A20" i="7"/>
  <c r="A21" i="7"/>
  <c r="A24" i="7"/>
  <c r="A25" i="7"/>
  <c r="A26" i="7"/>
  <c r="A27" i="7"/>
  <c r="A42" i="7" s="1"/>
  <c r="A61" i="7" s="1"/>
  <c r="A80" i="7" s="1"/>
  <c r="A99" i="7" s="1"/>
  <c r="A19" i="7"/>
  <c r="O25" i="4"/>
  <c r="J9" i="12"/>
  <c r="J51" i="12" s="1"/>
  <c r="J58" i="12" s="1"/>
  <c r="J45" i="12"/>
  <c r="J52" i="12"/>
  <c r="J59" i="12"/>
  <c r="J33" i="12"/>
  <c r="J62" i="12" s="1"/>
  <c r="M19" i="12"/>
  <c r="J19" i="12"/>
  <c r="A20" i="13"/>
  <c r="A24" i="14" s="1"/>
  <c r="A40" i="14" s="1"/>
  <c r="A56" i="14" s="1"/>
  <c r="A72" i="14" s="1"/>
  <c r="A88" i="14" s="1"/>
  <c r="A104" i="14" s="1"/>
  <c r="A120" i="14" s="1"/>
  <c r="D79" i="7"/>
  <c r="D60" i="7"/>
  <c r="H98" i="7" s="1"/>
  <c r="I98" i="7" s="1"/>
  <c r="D61" i="7"/>
  <c r="D80" i="7"/>
  <c r="D26" i="7"/>
  <c r="X26" i="7"/>
  <c r="AK84" i="13"/>
  <c r="AK83" i="13"/>
  <c r="AK82" i="13"/>
  <c r="AK81" i="13"/>
  <c r="AK77" i="13"/>
  <c r="AJ84" i="13"/>
  <c r="AJ83" i="13"/>
  <c r="AJ82" i="13"/>
  <c r="AJ81" i="13"/>
  <c r="AJ78" i="13"/>
  <c r="AJ77" i="13"/>
  <c r="AI84" i="13"/>
  <c r="AI83" i="13"/>
  <c r="AI82" i="13"/>
  <c r="AI81" i="13"/>
  <c r="AI77" i="13"/>
  <c r="P78" i="13"/>
  <c r="W78" i="13"/>
  <c r="AG84" i="13"/>
  <c r="AG83" i="13"/>
  <c r="AG82" i="13"/>
  <c r="AG81" i="13"/>
  <c r="AG77" i="13"/>
  <c r="AH84" i="13"/>
  <c r="AH83" i="13"/>
  <c r="AH82" i="13"/>
  <c r="AH81" i="13"/>
  <c r="AH77" i="13"/>
  <c r="N78" i="13"/>
  <c r="N84" i="13"/>
  <c r="M78" i="13"/>
  <c r="AF84" i="13"/>
  <c r="AF83" i="13"/>
  <c r="AF82" i="13"/>
  <c r="AF81" i="13"/>
  <c r="AF77" i="13"/>
  <c r="T82" i="13"/>
  <c r="O19" i="13"/>
  <c r="O20" i="13"/>
  <c r="O21" i="13"/>
  <c r="O24" i="13"/>
  <c r="O26" i="13"/>
  <c r="O27" i="13"/>
  <c r="F4" i="13"/>
  <c r="E5" i="13"/>
  <c r="E4" i="13"/>
  <c r="C5" i="13"/>
  <c r="D4" i="13"/>
  <c r="C4" i="13"/>
  <c r="M12" i="13"/>
  <c r="Z22" i="13"/>
  <c r="AA22" i="13"/>
  <c r="M8" i="13"/>
  <c r="J11" i="13"/>
  <c r="M11" i="13" s="1"/>
  <c r="B32" i="13"/>
  <c r="Z25" i="13"/>
  <c r="AA25" i="13"/>
  <c r="K6" i="13"/>
  <c r="I27" i="13" s="1"/>
  <c r="K7" i="13"/>
  <c r="J27" i="13"/>
  <c r="Z24" i="13"/>
  <c r="AA24" i="13"/>
  <c r="Z26" i="13"/>
  <c r="AA26" i="13"/>
  <c r="Z27" i="13"/>
  <c r="AA27" i="13"/>
  <c r="Z37" i="4"/>
  <c r="AA37" i="4"/>
  <c r="AA38" i="4"/>
  <c r="Z39" i="4"/>
  <c r="AA39" i="4"/>
  <c r="AA35" i="4"/>
  <c r="Z35" i="4"/>
  <c r="A27" i="13"/>
  <c r="A31" i="14" s="1"/>
  <c r="A47" i="14" s="1"/>
  <c r="A63" i="14" s="1"/>
  <c r="A79" i="14" s="1"/>
  <c r="A95" i="14" s="1"/>
  <c r="A111" i="14" s="1"/>
  <c r="A127" i="14" s="1"/>
  <c r="A26" i="13"/>
  <c r="A45" i="13" s="1"/>
  <c r="A64" i="13" s="1"/>
  <c r="A83" i="13" s="1"/>
  <c r="A25" i="13"/>
  <c r="A29" i="14" s="1"/>
  <c r="A45" i="14" s="1"/>
  <c r="A61" i="14" s="1"/>
  <c r="A77" i="14" s="1"/>
  <c r="A93" i="14" s="1"/>
  <c r="A109" i="14" s="1"/>
  <c r="A125" i="14" s="1"/>
  <c r="A24" i="13"/>
  <c r="A28" i="14" s="1"/>
  <c r="A44" i="14" s="1"/>
  <c r="A60" i="14" s="1"/>
  <c r="A76" i="14" s="1"/>
  <c r="A92" i="14" s="1"/>
  <c r="A108" i="14" s="1"/>
  <c r="A124" i="14" s="1"/>
  <c r="A21" i="13"/>
  <c r="A25" i="14" s="1"/>
  <c r="A41" i="14" s="1"/>
  <c r="A57" i="14" s="1"/>
  <c r="A73" i="14" s="1"/>
  <c r="A89" i="14" s="1"/>
  <c r="A105" i="14" s="1"/>
  <c r="A121" i="14" s="1"/>
  <c r="A19" i="13"/>
  <c r="A23" i="14" s="1"/>
  <c r="A39" i="14" s="1"/>
  <c r="A55" i="14" s="1"/>
  <c r="A71" i="14" s="1"/>
  <c r="A87" i="14" s="1"/>
  <c r="A103" i="14" s="1"/>
  <c r="A119" i="14" s="1"/>
  <c r="N6" i="13"/>
  <c r="C15" i="13"/>
  <c r="N7" i="13"/>
  <c r="R26" i="13"/>
  <c r="K26" i="13"/>
  <c r="R25" i="13"/>
  <c r="K25" i="13"/>
  <c r="K24" i="13"/>
  <c r="O18" i="13"/>
  <c r="N18" i="13"/>
  <c r="L18" i="13"/>
  <c r="K18" i="13"/>
  <c r="H18" i="13"/>
  <c r="E18" i="13"/>
  <c r="B18" i="13"/>
  <c r="E13" i="12"/>
  <c r="A26" i="4"/>
  <c r="A103" i="4" s="1"/>
  <c r="B83" i="4"/>
  <c r="E83" i="4"/>
  <c r="H83" i="4"/>
  <c r="I83" i="4"/>
  <c r="J83" i="4"/>
  <c r="R26" i="4"/>
  <c r="K26" i="4"/>
  <c r="O26" i="4"/>
  <c r="S11" i="1"/>
  <c r="I11" i="1"/>
  <c r="R26" i="1"/>
  <c r="A65" i="1"/>
  <c r="C65" i="1"/>
  <c r="E65" i="1" s="1"/>
  <c r="D65" i="1"/>
  <c r="L28" i="15" s="1"/>
  <c r="G65" i="1"/>
  <c r="K65" i="1"/>
  <c r="L65" i="1"/>
  <c r="A64" i="1"/>
  <c r="A45" i="1"/>
  <c r="B45" i="1"/>
  <c r="D45" i="1" s="1"/>
  <c r="Q45" i="1"/>
  <c r="E26" i="1"/>
  <c r="C45" i="1" s="1"/>
  <c r="U26" i="1"/>
  <c r="P19" i="1"/>
  <c r="Z43" i="1"/>
  <c r="U21" i="1" s="1"/>
  <c r="AA43" i="1"/>
  <c r="AA40" i="4" s="1"/>
  <c r="Z39" i="1"/>
  <c r="AA39" i="1"/>
  <c r="B27" i="1"/>
  <c r="B46" i="1" s="1"/>
  <c r="E27" i="1"/>
  <c r="C46" i="1" s="1"/>
  <c r="F81" i="1"/>
  <c r="G81" i="1"/>
  <c r="Z80" i="1"/>
  <c r="F79" i="1" s="1"/>
  <c r="B20" i="1"/>
  <c r="D39" i="1" s="1"/>
  <c r="B39" i="1"/>
  <c r="C39" i="1"/>
  <c r="G59" i="1"/>
  <c r="L59" i="1"/>
  <c r="Z83" i="1"/>
  <c r="U27" i="1"/>
  <c r="C66" i="1"/>
  <c r="G66" i="1"/>
  <c r="L66" i="1"/>
  <c r="O27" i="4"/>
  <c r="C12" i="1"/>
  <c r="D63" i="1"/>
  <c r="L26" i="15" s="1"/>
  <c r="Z41" i="1"/>
  <c r="Z27" i="15" s="1"/>
  <c r="AA41" i="1"/>
  <c r="AA27" i="15" s="1"/>
  <c r="B21" i="1"/>
  <c r="B40" i="1" s="1"/>
  <c r="D40" i="1" s="1"/>
  <c r="G60" i="1"/>
  <c r="C40" i="1"/>
  <c r="F80" i="1"/>
  <c r="G80" i="1"/>
  <c r="L60" i="1"/>
  <c r="Q40" i="1"/>
  <c r="B78" i="4" s="1"/>
  <c r="AA22" i="1"/>
  <c r="I6" i="1"/>
  <c r="O21" i="4"/>
  <c r="O20" i="4"/>
  <c r="B19" i="1"/>
  <c r="D38" i="1" s="1"/>
  <c r="B38" i="1"/>
  <c r="O19" i="4"/>
  <c r="C58" i="1"/>
  <c r="Z82" i="1"/>
  <c r="C38" i="1"/>
  <c r="G78" i="1"/>
  <c r="L58" i="1"/>
  <c r="D55" i="7"/>
  <c r="D74" i="7"/>
  <c r="C14" i="7"/>
  <c r="B4" i="7"/>
  <c r="B5" i="7"/>
  <c r="D7" i="7"/>
  <c r="I36" i="7" s="1"/>
  <c r="D21" i="7"/>
  <c r="D20" i="7"/>
  <c r="X21" i="7"/>
  <c r="A21" i="4"/>
  <c r="A98" i="4" s="1"/>
  <c r="E78" i="4"/>
  <c r="I78" i="4"/>
  <c r="G59" i="4"/>
  <c r="G63" i="1"/>
  <c r="E24" i="1"/>
  <c r="C43" i="1" s="1"/>
  <c r="L63" i="1"/>
  <c r="N7" i="4"/>
  <c r="M7" i="4" s="1"/>
  <c r="S6" i="1"/>
  <c r="A60" i="1"/>
  <c r="A80" i="1" s="1"/>
  <c r="A92" i="1" s="1"/>
  <c r="K60" i="1"/>
  <c r="A40" i="1"/>
  <c r="A44" i="1"/>
  <c r="U19" i="1"/>
  <c r="X20" i="7"/>
  <c r="U24" i="1"/>
  <c r="S24" i="1"/>
  <c r="X24" i="7"/>
  <c r="O24" i="4"/>
  <c r="E25" i="1"/>
  <c r="C44" i="1" s="1"/>
  <c r="R25" i="1"/>
  <c r="G64" i="1" s="1"/>
  <c r="C64" i="1"/>
  <c r="E64" i="1" s="1"/>
  <c r="D64" i="1"/>
  <c r="L64" i="1"/>
  <c r="U25" i="1"/>
  <c r="X25" i="7"/>
  <c r="K7" i="4"/>
  <c r="J27" i="15" s="1"/>
  <c r="X27" i="7"/>
  <c r="J27" i="4"/>
  <c r="F46" i="4" s="1"/>
  <c r="D53" i="7"/>
  <c r="H91" i="7" s="1"/>
  <c r="I91" i="7" s="1"/>
  <c r="J91" i="7" s="1"/>
  <c r="R91" i="7" s="1"/>
  <c r="S91" i="7" s="1"/>
  <c r="D54" i="7"/>
  <c r="H92" i="7" s="1"/>
  <c r="I92" i="7" s="1"/>
  <c r="D58" i="7"/>
  <c r="H96" i="7" s="1"/>
  <c r="I96" i="7" s="1"/>
  <c r="J96" i="7" s="1"/>
  <c r="D59" i="7"/>
  <c r="H97" i="7" s="1"/>
  <c r="I97" i="7" s="1"/>
  <c r="J97" i="7" s="1"/>
  <c r="R97" i="7" s="1"/>
  <c r="S97" i="7" s="1"/>
  <c r="D78" i="7"/>
  <c r="D77" i="7"/>
  <c r="D73" i="7"/>
  <c r="D72" i="7"/>
  <c r="C4" i="7"/>
  <c r="K63" i="1"/>
  <c r="K64" i="1"/>
  <c r="C4" i="1"/>
  <c r="C13" i="1"/>
  <c r="T4" i="7"/>
  <c r="B12" i="7"/>
  <c r="I12" i="1"/>
  <c r="I4" i="1"/>
  <c r="I5" i="1"/>
  <c r="I9" i="1"/>
  <c r="I10" i="1"/>
  <c r="A19" i="4"/>
  <c r="A96" i="4" s="1"/>
  <c r="A20" i="4"/>
  <c r="A97" i="4" s="1"/>
  <c r="A24" i="4"/>
  <c r="A101" i="4" s="1"/>
  <c r="A25" i="4"/>
  <c r="A102" i="4" s="1"/>
  <c r="A27" i="4"/>
  <c r="A104" i="4" s="1"/>
  <c r="D24" i="7"/>
  <c r="D27" i="7"/>
  <c r="D25" i="7"/>
  <c r="D33" i="7"/>
  <c r="C5" i="7"/>
  <c r="A10" i="7"/>
  <c r="A7" i="7"/>
  <c r="A8" i="7"/>
  <c r="A9" i="7"/>
  <c r="A6" i="7"/>
  <c r="J38" i="8"/>
  <c r="I38" i="8"/>
  <c r="C32" i="8"/>
  <c r="F32" i="8"/>
  <c r="E32" i="8"/>
  <c r="C31" i="8"/>
  <c r="C33" i="8"/>
  <c r="F33" i="8"/>
  <c r="E33" i="8"/>
  <c r="C34" i="8"/>
  <c r="F34" i="8"/>
  <c r="E34" i="8"/>
  <c r="G34" i="8" s="1"/>
  <c r="I34" i="8" s="1"/>
  <c r="E9" i="7" s="1"/>
  <c r="C35" i="8"/>
  <c r="F35" i="8"/>
  <c r="E35" i="8"/>
  <c r="C36" i="8"/>
  <c r="F36" i="8"/>
  <c r="E36" i="8"/>
  <c r="C37" i="8"/>
  <c r="F37" i="8"/>
  <c r="G37" i="8" s="1"/>
  <c r="I37" i="8" s="1"/>
  <c r="E37" i="8"/>
  <c r="C39" i="8"/>
  <c r="F39" i="8"/>
  <c r="E39" i="8"/>
  <c r="C40" i="8"/>
  <c r="F40" i="8"/>
  <c r="E40" i="8"/>
  <c r="C41" i="8"/>
  <c r="F41" i="8"/>
  <c r="E41" i="8"/>
  <c r="C42" i="8"/>
  <c r="F42" i="8"/>
  <c r="E42" i="8"/>
  <c r="C43" i="8"/>
  <c r="F43" i="8"/>
  <c r="E43" i="8"/>
  <c r="C44" i="8"/>
  <c r="F44" i="8"/>
  <c r="E44" i="8"/>
  <c r="C45" i="8"/>
  <c r="F45" i="8"/>
  <c r="E45" i="8"/>
  <c r="F31" i="8"/>
  <c r="G31" i="8" s="1"/>
  <c r="I31" i="8" s="1"/>
  <c r="E6" i="7" s="1"/>
  <c r="E31" i="8"/>
  <c r="F38" i="8"/>
  <c r="E38" i="8"/>
  <c r="D31" i="8"/>
  <c r="D32" i="8"/>
  <c r="D33" i="8"/>
  <c r="D34" i="8"/>
  <c r="D35" i="8"/>
  <c r="D36" i="8"/>
  <c r="D37" i="8"/>
  <c r="D38" i="8"/>
  <c r="D39" i="8"/>
  <c r="D40" i="8"/>
  <c r="D41" i="8"/>
  <c r="D47" i="8" s="1"/>
  <c r="D42" i="8"/>
  <c r="D43" i="8"/>
  <c r="D44" i="8"/>
  <c r="D45" i="8"/>
  <c r="D30" i="8"/>
  <c r="E30" i="8"/>
  <c r="F30" i="8"/>
  <c r="C38" i="8"/>
  <c r="D26" i="8"/>
  <c r="E26" i="8"/>
  <c r="F26" i="8"/>
  <c r="C26" i="8"/>
  <c r="K38" i="8" s="1"/>
  <c r="C18" i="7"/>
  <c r="B18" i="7"/>
  <c r="S5" i="1"/>
  <c r="S4" i="1"/>
  <c r="A46" i="1"/>
  <c r="A38" i="1"/>
  <c r="E84" i="4"/>
  <c r="I84" i="4"/>
  <c r="J84" i="4"/>
  <c r="B81" i="4"/>
  <c r="E81" i="4"/>
  <c r="H81" i="4"/>
  <c r="I81" i="4"/>
  <c r="J82" i="4"/>
  <c r="I77" i="4"/>
  <c r="I76" i="4"/>
  <c r="I82" i="4"/>
  <c r="G75" i="4"/>
  <c r="H82" i="4"/>
  <c r="H75" i="4"/>
  <c r="C75" i="4"/>
  <c r="B75" i="4"/>
  <c r="E82" i="4"/>
  <c r="E76" i="4"/>
  <c r="E77" i="4"/>
  <c r="F75" i="4"/>
  <c r="E75" i="4"/>
  <c r="D75" i="4"/>
  <c r="K56" i="4"/>
  <c r="G57" i="4"/>
  <c r="G58" i="4"/>
  <c r="G62" i="4"/>
  <c r="Z44" i="1"/>
  <c r="H37" i="4"/>
  <c r="O18" i="4"/>
  <c r="N18" i="4"/>
  <c r="L18" i="4"/>
  <c r="K25" i="4"/>
  <c r="K24" i="4"/>
  <c r="K18" i="4"/>
  <c r="H18" i="4"/>
  <c r="E18" i="4"/>
  <c r="B18" i="4"/>
  <c r="R25" i="4"/>
  <c r="S9" i="1"/>
  <c r="A63" i="1"/>
  <c r="A43" i="1"/>
  <c r="S12" i="1"/>
  <c r="S10" i="1"/>
  <c r="B77" i="1"/>
  <c r="B71" i="1"/>
  <c r="K66" i="1"/>
  <c r="K58" i="1"/>
  <c r="K59" i="1"/>
  <c r="Z61" i="1"/>
  <c r="A59" i="1"/>
  <c r="A79" i="1" s="1"/>
  <c r="A91" i="1" s="1"/>
  <c r="A39" i="1"/>
  <c r="A66" i="1"/>
  <c r="A81" i="1" s="1"/>
  <c r="A89" i="1" s="1"/>
  <c r="A58" i="1"/>
  <c r="A78" i="1" s="1"/>
  <c r="A90" i="1" s="1"/>
  <c r="J27" i="1"/>
  <c r="K27" i="1"/>
  <c r="B82" i="4"/>
  <c r="A44" i="13"/>
  <c r="A63" i="13" s="1"/>
  <c r="A82" i="13" s="1"/>
  <c r="J26" i="13"/>
  <c r="W77" i="13"/>
  <c r="P77" i="13"/>
  <c r="J25" i="13"/>
  <c r="N77" i="13"/>
  <c r="M77" i="13"/>
  <c r="AF78" i="13"/>
  <c r="AH78" i="13"/>
  <c r="AG78" i="13"/>
  <c r="AI78" i="13"/>
  <c r="AK78" i="13"/>
  <c r="T11" i="7" l="1"/>
  <c r="AK11" i="7"/>
  <c r="T12" i="7"/>
  <c r="AK12" i="7"/>
  <c r="I42" i="7"/>
  <c r="H10" i="7"/>
  <c r="AK10" i="7"/>
  <c r="I40" i="7"/>
  <c r="H9" i="7"/>
  <c r="AK9" i="7"/>
  <c r="H4" i="7"/>
  <c r="AK4" i="7"/>
  <c r="I39" i="7"/>
  <c r="J98" i="7"/>
  <c r="M98" i="7" s="1"/>
  <c r="O98" i="7" s="1"/>
  <c r="I43" i="20" s="1"/>
  <c r="I56" i="20" s="1"/>
  <c r="H6" i="7"/>
  <c r="AK6" i="7"/>
  <c r="I35" i="7"/>
  <c r="T5" i="7"/>
  <c r="AK5" i="7"/>
  <c r="I34" i="7"/>
  <c r="G38" i="1"/>
  <c r="B19" i="4" s="1"/>
  <c r="E38" i="1"/>
  <c r="F38" i="1"/>
  <c r="G40" i="1"/>
  <c r="F40" i="1"/>
  <c r="E40" i="1"/>
  <c r="B60" i="1"/>
  <c r="G39" i="1"/>
  <c r="H39" i="1" s="1"/>
  <c r="J39" i="1" s="1"/>
  <c r="L39" i="1" s="1"/>
  <c r="F39" i="1"/>
  <c r="E39" i="1"/>
  <c r="B59" i="1"/>
  <c r="S21" i="1"/>
  <c r="S22" i="1"/>
  <c r="S23" i="1"/>
  <c r="Z38" i="4"/>
  <c r="Z41" i="4" s="1"/>
  <c r="Q39" i="1"/>
  <c r="Q46" i="1"/>
  <c r="F65" i="1"/>
  <c r="AA29" i="15"/>
  <c r="AA25" i="15"/>
  <c r="AA30" i="15" s="1"/>
  <c r="L24" i="4"/>
  <c r="E62" i="4" s="1"/>
  <c r="S20" i="1"/>
  <c r="U22" i="1"/>
  <c r="U23" i="1"/>
  <c r="Z25" i="15"/>
  <c r="S25" i="1"/>
  <c r="U20" i="1"/>
  <c r="AB41" i="1"/>
  <c r="AA36" i="4"/>
  <c r="AA23" i="13"/>
  <c r="AA28" i="13" s="1"/>
  <c r="F64" i="1"/>
  <c r="AA44" i="1"/>
  <c r="S19" i="1"/>
  <c r="Q38" i="1"/>
  <c r="Z40" i="4"/>
  <c r="Z36" i="4"/>
  <c r="Z23" i="13"/>
  <c r="L25" i="4"/>
  <c r="E63" i="4" s="1"/>
  <c r="S26" i="1"/>
  <c r="S27" i="1"/>
  <c r="L4" i="20"/>
  <c r="M4" i="20" s="1"/>
  <c r="D21" i="20"/>
  <c r="K21" i="20" s="1"/>
  <c r="G65" i="4"/>
  <c r="L6" i="20"/>
  <c r="M6" i="20" s="1"/>
  <c r="D23" i="20"/>
  <c r="K23" i="20" s="1"/>
  <c r="E6" i="20"/>
  <c r="E23" i="20" s="1"/>
  <c r="L23" i="20" s="1"/>
  <c r="E22" i="20"/>
  <c r="L22" i="20" s="1"/>
  <c r="J26" i="4"/>
  <c r="G64" i="4" s="1"/>
  <c r="E28" i="20"/>
  <c r="L28" i="20" s="1"/>
  <c r="E27" i="20"/>
  <c r="L27" i="20" s="1"/>
  <c r="J28" i="15"/>
  <c r="J26" i="20"/>
  <c r="F41" i="4"/>
  <c r="N41" i="4" s="1"/>
  <c r="F42" i="4"/>
  <c r="N42" i="4" s="1"/>
  <c r="F40" i="4"/>
  <c r="F39" i="4"/>
  <c r="F43" i="4"/>
  <c r="F38" i="4"/>
  <c r="I37" i="7"/>
  <c r="I38" i="7"/>
  <c r="N9" i="13"/>
  <c r="I28" i="15"/>
  <c r="I41" i="7"/>
  <c r="A34" i="7"/>
  <c r="A53" i="7" s="1"/>
  <c r="A72" i="7" s="1"/>
  <c r="A91" i="7" s="1"/>
  <c r="J25" i="4"/>
  <c r="F44" i="4" s="1"/>
  <c r="I27" i="4"/>
  <c r="E46" i="4" s="1"/>
  <c r="AA24" i="1"/>
  <c r="J29" i="15"/>
  <c r="I26" i="4"/>
  <c r="K9" i="4"/>
  <c r="I29" i="15"/>
  <c r="I27" i="15"/>
  <c r="N85" i="15"/>
  <c r="S18" i="12"/>
  <c r="AP12" i="12"/>
  <c r="AP17" i="12" s="1"/>
  <c r="R9" i="14" s="1"/>
  <c r="W19" i="12"/>
  <c r="W22" i="12"/>
  <c r="S26" i="12"/>
  <c r="J26" i="12"/>
  <c r="J72" i="12"/>
  <c r="J5" i="15" s="1"/>
  <c r="M33" i="12"/>
  <c r="M62" i="12" s="1"/>
  <c r="J6" i="15"/>
  <c r="AV12" i="12"/>
  <c r="AW12" i="12" s="1"/>
  <c r="AV11" i="12"/>
  <c r="AW11" i="12" s="1"/>
  <c r="I25" i="13"/>
  <c r="I22" i="13"/>
  <c r="I26" i="13"/>
  <c r="H42" i="16"/>
  <c r="J42" i="16" s="1"/>
  <c r="L42" i="16" s="1"/>
  <c r="I42" i="16"/>
  <c r="I36" i="16"/>
  <c r="B72" i="16" s="1"/>
  <c r="C72" i="16" s="1"/>
  <c r="H36" i="16"/>
  <c r="J36" i="16" s="1"/>
  <c r="L36" i="16" s="1"/>
  <c r="N36" i="16" s="1"/>
  <c r="I41" i="16"/>
  <c r="K41" i="16" s="1"/>
  <c r="H41" i="16"/>
  <c r="J41" i="16" s="1"/>
  <c r="L41" i="16" s="1"/>
  <c r="L10" i="16" s="1"/>
  <c r="B57" i="16"/>
  <c r="E39" i="16"/>
  <c r="I39" i="16"/>
  <c r="H39" i="16"/>
  <c r="J39" i="16" s="1"/>
  <c r="L39" i="16" s="1"/>
  <c r="N39" i="16" s="1"/>
  <c r="V7" i="16"/>
  <c r="V10" i="16"/>
  <c r="K36" i="16"/>
  <c r="H38" i="16"/>
  <c r="J38" i="16" s="1"/>
  <c r="L38" i="16" s="1"/>
  <c r="I38" i="16"/>
  <c r="I43" i="16"/>
  <c r="H43" i="16"/>
  <c r="J43" i="16" s="1"/>
  <c r="L43" i="16" s="1"/>
  <c r="N43" i="16" s="1"/>
  <c r="H44" i="16"/>
  <c r="J44" i="16" s="1"/>
  <c r="L44" i="16" s="1"/>
  <c r="N44" i="16" s="1"/>
  <c r="I44" i="16"/>
  <c r="R4" i="16"/>
  <c r="H40" i="16"/>
  <c r="J40" i="16" s="1"/>
  <c r="L40" i="16" s="1"/>
  <c r="N40" i="16" s="1"/>
  <c r="I40" i="16"/>
  <c r="V11" i="16"/>
  <c r="L11" i="16"/>
  <c r="N42" i="16"/>
  <c r="H37" i="16"/>
  <c r="J37" i="16" s="1"/>
  <c r="L37" i="16" s="1"/>
  <c r="N37" i="16" s="1"/>
  <c r="I37" i="16"/>
  <c r="B77" i="16"/>
  <c r="C77" i="16" s="1"/>
  <c r="R10" i="16"/>
  <c r="V4" i="16"/>
  <c r="V6" i="16"/>
  <c r="K42" i="16"/>
  <c r="B20" i="4"/>
  <c r="B58" i="4" s="1"/>
  <c r="B21" i="4"/>
  <c r="D21" i="4" s="1"/>
  <c r="I40" i="1"/>
  <c r="B80" i="1" s="1"/>
  <c r="D80" i="1" s="1"/>
  <c r="B92" i="1" s="1"/>
  <c r="B21" i="13"/>
  <c r="C21" i="13" s="1"/>
  <c r="H40" i="1"/>
  <c r="J40" i="1" s="1"/>
  <c r="L40" i="1" s="1"/>
  <c r="M10" i="4"/>
  <c r="N10" i="4" s="1"/>
  <c r="S61" i="1"/>
  <c r="U61" i="1" s="1"/>
  <c r="Q61" i="1"/>
  <c r="N7" i="1" s="1"/>
  <c r="Q7" i="7" s="1"/>
  <c r="X7" i="1"/>
  <c r="AC7" i="7" s="1"/>
  <c r="M61" i="1"/>
  <c r="N61" i="1"/>
  <c r="Y7" i="1"/>
  <c r="Y7" i="7" s="1"/>
  <c r="AF7" i="7" s="1"/>
  <c r="T61" i="1"/>
  <c r="V61" i="1" s="1"/>
  <c r="R61" i="1"/>
  <c r="S41" i="1" s="1"/>
  <c r="K60" i="4" s="1"/>
  <c r="F63" i="1"/>
  <c r="G6" i="15"/>
  <c r="AC31" i="12"/>
  <c r="G7" i="15" s="1"/>
  <c r="J63" i="12"/>
  <c r="U17" i="12"/>
  <c r="W17" i="12" s="1"/>
  <c r="BF3" i="12"/>
  <c r="BF9" i="12" s="1"/>
  <c r="AU8" i="12"/>
  <c r="AT8" i="12" s="1"/>
  <c r="AW8" i="12" s="1"/>
  <c r="M48" i="12"/>
  <c r="J54" i="12"/>
  <c r="C27" i="20"/>
  <c r="J37" i="8"/>
  <c r="K37" i="8"/>
  <c r="G43" i="8"/>
  <c r="I43" i="8" s="1"/>
  <c r="G40" i="8"/>
  <c r="I40" i="8" s="1"/>
  <c r="G45" i="8"/>
  <c r="I45" i="8" s="1"/>
  <c r="G42" i="8"/>
  <c r="I42" i="8" s="1"/>
  <c r="G39" i="8"/>
  <c r="I39" i="8" s="1"/>
  <c r="G44" i="8"/>
  <c r="I44" i="8" s="1"/>
  <c r="G41" i="8"/>
  <c r="I41" i="8" s="1"/>
  <c r="F47" i="8"/>
  <c r="G36" i="8"/>
  <c r="I36" i="8" s="1"/>
  <c r="G33" i="8"/>
  <c r="I33" i="8" s="1"/>
  <c r="E8" i="7" s="1"/>
  <c r="G53" i="7" s="1"/>
  <c r="O53" i="7" s="1"/>
  <c r="G35" i="8"/>
  <c r="I35" i="8" s="1"/>
  <c r="G32" i="8"/>
  <c r="I32" i="8" s="1"/>
  <c r="E7" i="7" s="1"/>
  <c r="K42" i="8"/>
  <c r="K40" i="8"/>
  <c r="J45" i="8"/>
  <c r="K43" i="8"/>
  <c r="K56" i="7"/>
  <c r="S56" i="7" s="1"/>
  <c r="K57" i="7"/>
  <c r="S57" i="7" s="1"/>
  <c r="K54" i="7"/>
  <c r="S54" i="7" s="1"/>
  <c r="K58" i="7"/>
  <c r="S58" i="7" s="1"/>
  <c r="K60" i="7"/>
  <c r="S60" i="7" s="1"/>
  <c r="K53" i="7"/>
  <c r="S53" i="7" s="1"/>
  <c r="K59" i="7"/>
  <c r="S59" i="7" s="1"/>
  <c r="K61" i="7"/>
  <c r="S61" i="7" s="1"/>
  <c r="K55" i="7"/>
  <c r="S55" i="7" s="1"/>
  <c r="G47" i="8"/>
  <c r="E47" i="8"/>
  <c r="K35" i="8"/>
  <c r="J33" i="8"/>
  <c r="K31" i="8"/>
  <c r="F6" i="7" s="1"/>
  <c r="J36" i="8"/>
  <c r="K34" i="8"/>
  <c r="F9" i="7" s="1"/>
  <c r="J32" i="8"/>
  <c r="J44" i="8"/>
  <c r="J43" i="8"/>
  <c r="K45" i="8"/>
  <c r="J42" i="8"/>
  <c r="J39" i="8"/>
  <c r="K33" i="8"/>
  <c r="F8" i="7" s="1"/>
  <c r="F12" i="7" s="1"/>
  <c r="J35" i="8"/>
  <c r="J34" i="8"/>
  <c r="C47" i="8"/>
  <c r="K36" i="8"/>
  <c r="L81" i="15"/>
  <c r="T83" i="13"/>
  <c r="AI32" i="12"/>
  <c r="I20" i="13"/>
  <c r="I19" i="13"/>
  <c r="I23" i="13"/>
  <c r="L12" i="20"/>
  <c r="M12" i="20" s="1"/>
  <c r="N10" i="20"/>
  <c r="O10" i="20" s="1"/>
  <c r="E4" i="20"/>
  <c r="A30" i="14"/>
  <c r="A46" i="14" s="1"/>
  <c r="A62" i="14" s="1"/>
  <c r="A78" i="14" s="1"/>
  <c r="A94" i="14" s="1"/>
  <c r="A110" i="14" s="1"/>
  <c r="A126" i="14" s="1"/>
  <c r="F63" i="4"/>
  <c r="L26" i="4"/>
  <c r="E64" i="4" s="1"/>
  <c r="D46" i="1"/>
  <c r="E46" i="1" s="1"/>
  <c r="L26" i="13"/>
  <c r="A79" i="15"/>
  <c r="A98" i="15" s="1"/>
  <c r="A117" i="15" s="1"/>
  <c r="A136" i="15" s="1"/>
  <c r="J4" i="15"/>
  <c r="H4" i="14"/>
  <c r="AT7" i="12"/>
  <c r="AU10" i="12"/>
  <c r="AT10" i="12" s="1"/>
  <c r="AW10" i="12" s="1"/>
  <c r="U14" i="12"/>
  <c r="W14" i="12" s="1"/>
  <c r="W15" i="12"/>
  <c r="AC13" i="12"/>
  <c r="G13" i="15" s="1"/>
  <c r="BK19" i="12"/>
  <c r="BK22" i="12" s="1"/>
  <c r="B14" i="7" s="1"/>
  <c r="B37" i="7" s="1"/>
  <c r="J48" i="12"/>
  <c r="M51" i="12"/>
  <c r="M58" i="12" s="1"/>
  <c r="AT6" i="12"/>
  <c r="AT25" i="12"/>
  <c r="AW25" i="12" s="1"/>
  <c r="AU26" i="12"/>
  <c r="AT26" i="12" s="1"/>
  <c r="J46" i="12"/>
  <c r="BK6" i="12"/>
  <c r="BB7" i="12"/>
  <c r="BF7" i="12" s="1"/>
  <c r="AW31" i="12"/>
  <c r="AW28" i="12"/>
  <c r="M46" i="12"/>
  <c r="M23" i="12"/>
  <c r="M25" i="12" s="1"/>
  <c r="M26" i="12" s="1"/>
  <c r="F25" i="15"/>
  <c r="G25" i="15"/>
  <c r="F23" i="13"/>
  <c r="G23" i="13"/>
  <c r="T84" i="13"/>
  <c r="W84" i="13"/>
  <c r="P81" i="13"/>
  <c r="M81" i="13"/>
  <c r="L82" i="15"/>
  <c r="AW30" i="12"/>
  <c r="L78" i="15"/>
  <c r="AV29" i="12"/>
  <c r="L79" i="15"/>
  <c r="L83" i="15"/>
  <c r="L80" i="15"/>
  <c r="J92" i="7"/>
  <c r="R92" i="7" s="1"/>
  <c r="S92" i="7" s="1"/>
  <c r="R96" i="7"/>
  <c r="S96" i="7" s="1"/>
  <c r="H99" i="7"/>
  <c r="I99" i="7" s="1"/>
  <c r="J99" i="7" s="1"/>
  <c r="M99" i="7" s="1"/>
  <c r="M96" i="7"/>
  <c r="O96" i="7" s="1"/>
  <c r="I41" i="20" s="1"/>
  <c r="I54" i="20" s="1"/>
  <c r="M97" i="7"/>
  <c r="O97" i="7" s="1"/>
  <c r="I42" i="20" s="1"/>
  <c r="I55" i="20" s="1"/>
  <c r="M91" i="7"/>
  <c r="H93" i="7"/>
  <c r="I93" i="7" s="1"/>
  <c r="J93" i="7" s="1"/>
  <c r="N9" i="20"/>
  <c r="O9" i="20" s="1"/>
  <c r="N12" i="20"/>
  <c r="O12" i="20" s="1"/>
  <c r="N11" i="20"/>
  <c r="O11" i="20" s="1"/>
  <c r="F80" i="4"/>
  <c r="P42" i="1"/>
  <c r="C80" i="4" s="1"/>
  <c r="K80" i="4" s="1"/>
  <c r="H62" i="1"/>
  <c r="I62" i="1" s="1"/>
  <c r="F23" i="4"/>
  <c r="H61" i="4" s="1"/>
  <c r="C61" i="4"/>
  <c r="G23" i="4"/>
  <c r="I61" i="4" s="1"/>
  <c r="I21" i="13"/>
  <c r="I24" i="13"/>
  <c r="A38" i="13"/>
  <c r="A57" i="13" s="1"/>
  <c r="A76" i="13" s="1"/>
  <c r="F65" i="4"/>
  <c r="A35" i="7"/>
  <c r="A54" i="7" s="1"/>
  <c r="A73" i="7" s="1"/>
  <c r="A92" i="7" s="1"/>
  <c r="O11" i="13"/>
  <c r="A46" i="13"/>
  <c r="A65" i="13" s="1"/>
  <c r="A84" i="13" s="1"/>
  <c r="A39" i="7"/>
  <c r="A58" i="7" s="1"/>
  <c r="A77" i="7" s="1"/>
  <c r="A96" i="7" s="1"/>
  <c r="A43" i="13"/>
  <c r="A62" i="13" s="1"/>
  <c r="A81" i="13" s="1"/>
  <c r="H5" i="7"/>
  <c r="G63" i="4"/>
  <c r="A83" i="15"/>
  <c r="A102" i="15" s="1"/>
  <c r="A121" i="15" s="1"/>
  <c r="A140" i="15" s="1"/>
  <c r="Z28" i="13"/>
  <c r="A85" i="15"/>
  <c r="A104" i="15" s="1"/>
  <c r="A123" i="15" s="1"/>
  <c r="A142" i="15" s="1"/>
  <c r="A41" i="7"/>
  <c r="A60" i="7" s="1"/>
  <c r="A79" i="7" s="1"/>
  <c r="A98" i="7" s="1"/>
  <c r="B63" i="1"/>
  <c r="E43" i="1"/>
  <c r="F43" i="1"/>
  <c r="G43" i="1"/>
  <c r="B26" i="15" s="1"/>
  <c r="N11" i="13"/>
  <c r="A40" i="13"/>
  <c r="A59" i="13" s="1"/>
  <c r="A78" i="13" s="1"/>
  <c r="A40" i="7"/>
  <c r="A59" i="7" s="1"/>
  <c r="A78" i="7" s="1"/>
  <c r="A97" i="7" s="1"/>
  <c r="AB27" i="15"/>
  <c r="B23" i="15"/>
  <c r="C23" i="15" s="1"/>
  <c r="AA41" i="4"/>
  <c r="L24" i="13"/>
  <c r="H43" i="13" s="1"/>
  <c r="O81" i="13" s="1"/>
  <c r="G45" i="1"/>
  <c r="E45" i="1"/>
  <c r="B65" i="1"/>
  <c r="F45" i="1"/>
  <c r="B76" i="4"/>
  <c r="D19" i="4"/>
  <c r="C19" i="4"/>
  <c r="B57" i="4"/>
  <c r="G44" i="1"/>
  <c r="B64" i="1"/>
  <c r="F44" i="1"/>
  <c r="E44" i="1"/>
  <c r="B19" i="13"/>
  <c r="G58" i="1"/>
  <c r="A39" i="13"/>
  <c r="A58" i="13" s="1"/>
  <c r="A77" i="13" s="1"/>
  <c r="A86" i="15"/>
  <c r="A105" i="15" s="1"/>
  <c r="A124" i="15" s="1"/>
  <c r="A143" i="15" s="1"/>
  <c r="N21" i="4"/>
  <c r="P21" i="4" s="1"/>
  <c r="H40" i="4" s="1"/>
  <c r="H38" i="1"/>
  <c r="J38" i="1" s="1"/>
  <c r="L38" i="1" s="1"/>
  <c r="L4" i="1" s="1"/>
  <c r="E12" i="15"/>
  <c r="N21" i="13"/>
  <c r="P21" i="13" s="1"/>
  <c r="B58" i="1"/>
  <c r="F78" i="1"/>
  <c r="F12" i="15"/>
  <c r="L27" i="15"/>
  <c r="A36" i="7"/>
  <c r="A55" i="7" s="1"/>
  <c r="A74" i="7" s="1"/>
  <c r="A93" i="7" s="1"/>
  <c r="I38" i="1"/>
  <c r="L25" i="13"/>
  <c r="B21" i="15"/>
  <c r="A80" i="15"/>
  <c r="A99" i="15" s="1"/>
  <c r="A118" i="15" s="1"/>
  <c r="A137" i="15" s="1"/>
  <c r="D21" i="13"/>
  <c r="A59" i="15"/>
  <c r="A78" i="15"/>
  <c r="A97" i="15" s="1"/>
  <c r="A116" i="15" s="1"/>
  <c r="A65" i="15"/>
  <c r="A141" i="15" s="1"/>
  <c r="A84" i="15"/>
  <c r="A103" i="15" s="1"/>
  <c r="A122" i="15" s="1"/>
  <c r="H12" i="7"/>
  <c r="AB25" i="13"/>
  <c r="H11" i="7"/>
  <c r="Z30" i="15"/>
  <c r="T6" i="7"/>
  <c r="A40" i="4"/>
  <c r="A59" i="4" s="1"/>
  <c r="A78" i="4" s="1"/>
  <c r="B59" i="4"/>
  <c r="A45" i="4"/>
  <c r="A64" i="4" s="1"/>
  <c r="A83" i="4" s="1"/>
  <c r="T10" i="7"/>
  <c r="A44" i="4"/>
  <c r="A63" i="4" s="1"/>
  <c r="A82" i="4" s="1"/>
  <c r="A39" i="4"/>
  <c r="A58" i="4" s="1"/>
  <c r="A77" i="4" s="1"/>
  <c r="A38" i="4"/>
  <c r="A57" i="4" s="1"/>
  <c r="A76" i="4" s="1"/>
  <c r="T9" i="7"/>
  <c r="A46" i="4"/>
  <c r="A65" i="4" s="1"/>
  <c r="A84" i="4" s="1"/>
  <c r="A43" i="4"/>
  <c r="A62" i="4" s="1"/>
  <c r="A81" i="4" s="1"/>
  <c r="N6" i="20"/>
  <c r="O6" i="20" s="1"/>
  <c r="N5" i="20"/>
  <c r="O5" i="20" s="1"/>
  <c r="O91" i="7"/>
  <c r="I36" i="20" s="1"/>
  <c r="I49" i="20" s="1"/>
  <c r="R98" i="7" l="1"/>
  <c r="S98" i="7" s="1"/>
  <c r="C26" i="15"/>
  <c r="B20" i="13"/>
  <c r="D20" i="13" s="1"/>
  <c r="I39" i="1"/>
  <c r="B84" i="4"/>
  <c r="B77" i="4"/>
  <c r="AB38" i="4"/>
  <c r="I99" i="4" s="1"/>
  <c r="B22" i="15"/>
  <c r="T22" i="1"/>
  <c r="T23" i="1"/>
  <c r="T24" i="1"/>
  <c r="T27" i="1"/>
  <c r="T19" i="1"/>
  <c r="AB44" i="1"/>
  <c r="T21" i="1"/>
  <c r="T20" i="1"/>
  <c r="T25" i="1"/>
  <c r="T26" i="1"/>
  <c r="C20" i="4"/>
  <c r="C28" i="20"/>
  <c r="J27" i="20"/>
  <c r="D20" i="4"/>
  <c r="N4" i="20"/>
  <c r="O4" i="20" s="1"/>
  <c r="E21" i="20"/>
  <c r="L21" i="20" s="1"/>
  <c r="F45" i="4"/>
  <c r="I24" i="15"/>
  <c r="I22" i="4"/>
  <c r="F60" i="4" s="1"/>
  <c r="I23" i="4"/>
  <c r="F61" i="4" s="1"/>
  <c r="I25" i="15"/>
  <c r="I26" i="15"/>
  <c r="I19" i="4"/>
  <c r="F57" i="4" s="1"/>
  <c r="I21" i="15"/>
  <c r="I20" i="4"/>
  <c r="F58" i="4" s="1"/>
  <c r="I21" i="4"/>
  <c r="F59" i="4" s="1"/>
  <c r="I22" i="15"/>
  <c r="I24" i="4"/>
  <c r="F62" i="4" s="1"/>
  <c r="I23" i="15"/>
  <c r="E45" i="4"/>
  <c r="F64" i="4"/>
  <c r="A135" i="15"/>
  <c r="H14" i="14"/>
  <c r="W26" i="12"/>
  <c r="AW15" i="12"/>
  <c r="AW17" i="12" s="1"/>
  <c r="R10" i="14" s="1"/>
  <c r="M63" i="12"/>
  <c r="V41" i="13"/>
  <c r="X79" i="13" s="1"/>
  <c r="T22" i="13"/>
  <c r="T25" i="13"/>
  <c r="N41" i="16"/>
  <c r="B78" i="16"/>
  <c r="C78" i="16" s="1"/>
  <c r="D78" i="16" s="1"/>
  <c r="R11" i="16"/>
  <c r="L4" i="16"/>
  <c r="O25" i="16"/>
  <c r="M42" i="16"/>
  <c r="L8" i="16"/>
  <c r="K43" i="16"/>
  <c r="B79" i="16"/>
  <c r="C79" i="16" s="1"/>
  <c r="R12" i="16"/>
  <c r="B74" i="16"/>
  <c r="C74" i="16" s="1"/>
  <c r="K38" i="16"/>
  <c r="R6" i="16"/>
  <c r="D72" i="16"/>
  <c r="K44" i="16"/>
  <c r="K37" i="16"/>
  <c r="B73" i="16"/>
  <c r="C73" i="16" s="1"/>
  <c r="R5" i="16"/>
  <c r="V8" i="16"/>
  <c r="L7" i="16"/>
  <c r="L12" i="16"/>
  <c r="L5" i="16"/>
  <c r="V12" i="16"/>
  <c r="N38" i="16"/>
  <c r="L6" i="16"/>
  <c r="K39" i="16"/>
  <c r="B75" i="16"/>
  <c r="C75" i="16" s="1"/>
  <c r="R7" i="16"/>
  <c r="V5" i="16"/>
  <c r="D77" i="16"/>
  <c r="B90" i="16"/>
  <c r="B76" i="16"/>
  <c r="C76" i="16" s="1"/>
  <c r="K40" i="16"/>
  <c r="R8" i="16"/>
  <c r="M41" i="16"/>
  <c r="O24" i="16"/>
  <c r="M36" i="16"/>
  <c r="O19" i="16"/>
  <c r="V5" i="1"/>
  <c r="W5" i="7" s="1"/>
  <c r="L5" i="1"/>
  <c r="C20" i="13"/>
  <c r="K40" i="1"/>
  <c r="L6" i="1"/>
  <c r="K6" i="7" s="1"/>
  <c r="V6" i="1"/>
  <c r="W6" i="7" s="1"/>
  <c r="N23" i="15"/>
  <c r="P23" i="15" s="1"/>
  <c r="C21" i="4"/>
  <c r="B40" i="4" s="1"/>
  <c r="I40" i="4" s="1"/>
  <c r="G79" i="4"/>
  <c r="R41" i="1"/>
  <c r="P7" i="1"/>
  <c r="R7" i="7" s="1"/>
  <c r="H22" i="4"/>
  <c r="H22" i="13"/>
  <c r="M22" i="13" s="1"/>
  <c r="Q22" i="13" s="1"/>
  <c r="U22" i="13" s="1"/>
  <c r="H24" i="15"/>
  <c r="O7" i="1"/>
  <c r="M7" i="7" s="1"/>
  <c r="AL7" i="7" s="1"/>
  <c r="U41" i="1"/>
  <c r="BF10" i="12"/>
  <c r="D10" i="7" s="1"/>
  <c r="U18" i="12"/>
  <c r="W18" i="12" s="1"/>
  <c r="J57" i="12"/>
  <c r="J65" i="12" s="1"/>
  <c r="J67" i="12" s="1"/>
  <c r="G58" i="7"/>
  <c r="O58" i="7" s="1"/>
  <c r="G55" i="7"/>
  <c r="O55" i="7" s="1"/>
  <c r="K44" i="8"/>
  <c r="J41" i="8"/>
  <c r="K39" i="8"/>
  <c r="I47" i="8"/>
  <c r="E10" i="7" s="1"/>
  <c r="K41" i="8"/>
  <c r="K47" i="8" s="1"/>
  <c r="F10" i="7" s="1"/>
  <c r="G60" i="7"/>
  <c r="O60" i="7" s="1"/>
  <c r="K32" i="8"/>
  <c r="F7" i="7" s="1"/>
  <c r="J47" i="8"/>
  <c r="G54" i="7"/>
  <c r="O54" i="7" s="1"/>
  <c r="G59" i="7"/>
  <c r="O59" i="7" s="1"/>
  <c r="G56" i="7"/>
  <c r="O56" i="7" s="1"/>
  <c r="G57" i="7"/>
  <c r="O57" i="7" s="1"/>
  <c r="G61" i="7"/>
  <c r="O61" i="7" s="1"/>
  <c r="AI35" i="12"/>
  <c r="G16" i="15" s="1"/>
  <c r="T24" i="15"/>
  <c r="X43" i="15"/>
  <c r="P119" i="15" s="1"/>
  <c r="M92" i="7"/>
  <c r="O92" i="7" s="1"/>
  <c r="I37" i="20" s="1"/>
  <c r="I50" i="20" s="1"/>
  <c r="B38" i="4"/>
  <c r="G46" i="1"/>
  <c r="F46" i="1"/>
  <c r="B66" i="1"/>
  <c r="T23" i="15"/>
  <c r="T25" i="15"/>
  <c r="X44" i="15"/>
  <c r="AB41" i="4"/>
  <c r="I101" i="4"/>
  <c r="I96" i="4"/>
  <c r="I102" i="4"/>
  <c r="I103" i="4"/>
  <c r="I104" i="4"/>
  <c r="I98" i="4"/>
  <c r="I100" i="4"/>
  <c r="V39" i="13"/>
  <c r="X77" i="13" s="1"/>
  <c r="T23" i="13"/>
  <c r="V42" i="13"/>
  <c r="X80" i="13" s="1"/>
  <c r="B35" i="7"/>
  <c r="B34" i="7"/>
  <c r="B42" i="7"/>
  <c r="B36" i="7"/>
  <c r="B41" i="7"/>
  <c r="B39" i="7"/>
  <c r="B38" i="7"/>
  <c r="B40" i="7"/>
  <c r="Y40" i="12"/>
  <c r="Y37" i="12" s="1"/>
  <c r="W40" i="12"/>
  <c r="W37" i="12" s="1"/>
  <c r="X40" i="12"/>
  <c r="X37" i="12" s="1"/>
  <c r="M57" i="12"/>
  <c r="Y34" i="12"/>
  <c r="Y31" i="12" s="1"/>
  <c r="Y62" i="12" s="1"/>
  <c r="Y64" i="12" s="1"/>
  <c r="W34" i="12"/>
  <c r="W31" i="12" s="1"/>
  <c r="W62" i="12" s="1"/>
  <c r="W64" i="12" s="1"/>
  <c r="W68" i="12" s="1"/>
  <c r="X34" i="12"/>
  <c r="X31" i="12" s="1"/>
  <c r="X62" i="12" s="1"/>
  <c r="AV32" i="12"/>
  <c r="AW32" i="12" s="1"/>
  <c r="AW29" i="12"/>
  <c r="R93" i="7"/>
  <c r="S93" i="7" s="1"/>
  <c r="O99" i="7"/>
  <c r="I44" i="20" s="1"/>
  <c r="I57" i="20" s="1"/>
  <c r="R99" i="7"/>
  <c r="S99" i="7" s="1"/>
  <c r="M93" i="7"/>
  <c r="O93" i="7" s="1"/>
  <c r="I38" i="20" s="1"/>
  <c r="I51" i="20" s="1"/>
  <c r="C42" i="4"/>
  <c r="J42" i="4" s="1"/>
  <c r="J62" i="1"/>
  <c r="P62" i="1"/>
  <c r="O62" i="1"/>
  <c r="V44" i="13"/>
  <c r="X82" i="13" s="1"/>
  <c r="D26" i="15"/>
  <c r="V38" i="13"/>
  <c r="X76" i="13" s="1"/>
  <c r="N40" i="4"/>
  <c r="V40" i="13"/>
  <c r="X78" i="13" s="1"/>
  <c r="T21" i="13"/>
  <c r="V45" i="13"/>
  <c r="X83" i="13" s="1"/>
  <c r="D23" i="15"/>
  <c r="T27" i="13"/>
  <c r="L9" i="16"/>
  <c r="AB28" i="13"/>
  <c r="X40" i="15"/>
  <c r="P116" i="15" s="1"/>
  <c r="X42" i="15"/>
  <c r="U80" i="15" s="1"/>
  <c r="T21" i="15"/>
  <c r="M40" i="1"/>
  <c r="M6" i="1" s="1"/>
  <c r="L6" i="7" s="1"/>
  <c r="O21" i="1"/>
  <c r="X41" i="15"/>
  <c r="U79" i="15" s="1"/>
  <c r="T22" i="15"/>
  <c r="AB30" i="15"/>
  <c r="X47" i="15"/>
  <c r="P123" i="15" s="1"/>
  <c r="T27" i="15"/>
  <c r="I43" i="1"/>
  <c r="B24" i="13"/>
  <c r="B24" i="4"/>
  <c r="H43" i="1"/>
  <c r="J43" i="1" s="1"/>
  <c r="L43" i="1" s="1"/>
  <c r="X45" i="15"/>
  <c r="U83" i="15" s="1"/>
  <c r="X48" i="15"/>
  <c r="P124" i="15" s="1"/>
  <c r="T28" i="15"/>
  <c r="T29" i="15"/>
  <c r="V43" i="13"/>
  <c r="X81" i="13" s="1"/>
  <c r="T26" i="15"/>
  <c r="T26" i="13"/>
  <c r="X46" i="15"/>
  <c r="U84" i="15" s="1"/>
  <c r="T24" i="13"/>
  <c r="K4" i="7"/>
  <c r="C21" i="15"/>
  <c r="D21" i="15"/>
  <c r="C19" i="13"/>
  <c r="D19" i="13"/>
  <c r="V4" i="1"/>
  <c r="N38" i="1"/>
  <c r="I44" i="1"/>
  <c r="B27" i="15"/>
  <c r="B25" i="4"/>
  <c r="B25" i="13"/>
  <c r="H44" i="1"/>
  <c r="J44" i="1" s="1"/>
  <c r="B28" i="15"/>
  <c r="H45" i="1"/>
  <c r="J45" i="1" s="1"/>
  <c r="L45" i="1" s="1"/>
  <c r="B26" i="13"/>
  <c r="I45" i="1"/>
  <c r="B26" i="4"/>
  <c r="C22" i="15"/>
  <c r="D22" i="15"/>
  <c r="K38" i="1"/>
  <c r="C22" i="12"/>
  <c r="C24" i="12" s="1"/>
  <c r="B78" i="1"/>
  <c r="C78" i="1" s="1"/>
  <c r="D78" i="1" s="1"/>
  <c r="B90" i="1" s="1"/>
  <c r="N19" i="4"/>
  <c r="P19" i="4" s="1"/>
  <c r="N21" i="15"/>
  <c r="P21" i="15" s="1"/>
  <c r="N19" i="13"/>
  <c r="P19" i="13" s="1"/>
  <c r="R9" i="16"/>
  <c r="T19" i="13"/>
  <c r="V46" i="13"/>
  <c r="X84" i="13" s="1"/>
  <c r="T20" i="13"/>
  <c r="N20" i="13" l="1"/>
  <c r="P20" i="13" s="1"/>
  <c r="N22" i="15"/>
  <c r="P22" i="15" s="1"/>
  <c r="K39" i="1"/>
  <c r="B79" i="1"/>
  <c r="D79" i="1" s="1"/>
  <c r="B91" i="1" s="1"/>
  <c r="N20" i="4"/>
  <c r="P20" i="4" s="1"/>
  <c r="H39" i="4" s="1"/>
  <c r="N39" i="4" s="1"/>
  <c r="I97" i="4"/>
  <c r="M24" i="15"/>
  <c r="Q24" i="15" s="1"/>
  <c r="U24" i="15" s="1"/>
  <c r="J28" i="20"/>
  <c r="C29" i="20"/>
  <c r="J29" i="20" s="1"/>
  <c r="B39" i="4"/>
  <c r="I39" i="4" s="1"/>
  <c r="X64" i="12"/>
  <c r="X68" i="12" s="1"/>
  <c r="D6" i="14" s="1"/>
  <c r="M65" i="12"/>
  <c r="M67" i="12" s="1"/>
  <c r="H15" i="14"/>
  <c r="J7" i="15"/>
  <c r="O22" i="16"/>
  <c r="M39" i="16"/>
  <c r="D74" i="16"/>
  <c r="O36" i="16"/>
  <c r="W4" i="16"/>
  <c r="M4" i="16"/>
  <c r="O23" i="16"/>
  <c r="M40" i="16"/>
  <c r="D75" i="16"/>
  <c r="D79" i="16"/>
  <c r="D76" i="16"/>
  <c r="M43" i="16"/>
  <c r="O26" i="16"/>
  <c r="B89" i="16"/>
  <c r="M44" i="16"/>
  <c r="O27" i="16"/>
  <c r="D73" i="16"/>
  <c r="O42" i="16"/>
  <c r="W11" i="16"/>
  <c r="M11" i="16"/>
  <c r="O41" i="16"/>
  <c r="W10" i="16"/>
  <c r="M10" i="16"/>
  <c r="O20" i="16"/>
  <c r="M37" i="16"/>
  <c r="B84" i="16"/>
  <c r="O21" i="16"/>
  <c r="M38" i="16"/>
  <c r="B27" i="4"/>
  <c r="C27" i="4" s="1"/>
  <c r="B27" i="13"/>
  <c r="H46" i="1"/>
  <c r="J46" i="1" s="1"/>
  <c r="L46" i="1" s="1"/>
  <c r="B29" i="15"/>
  <c r="I46" i="1"/>
  <c r="H38" i="4"/>
  <c r="I38" i="4" s="1"/>
  <c r="K5" i="7"/>
  <c r="Z7" i="1"/>
  <c r="AD7" i="7" s="1"/>
  <c r="V41" i="1"/>
  <c r="T41" i="1"/>
  <c r="AA7" i="1" s="1"/>
  <c r="C22" i="7" s="1"/>
  <c r="L22" i="7" s="1"/>
  <c r="D60" i="4"/>
  <c r="M22" i="4"/>
  <c r="Q22" i="4" s="1"/>
  <c r="L79" i="4"/>
  <c r="O79" i="4" s="1"/>
  <c r="U81" i="15"/>
  <c r="P120" i="15"/>
  <c r="U82" i="15"/>
  <c r="N9" i="4"/>
  <c r="M9" i="4" s="1"/>
  <c r="E41" i="4" s="1"/>
  <c r="M41" i="4" s="1"/>
  <c r="AW34" i="12"/>
  <c r="AW36" i="12" s="1"/>
  <c r="H9" i="14" s="1"/>
  <c r="Q62" i="1"/>
  <c r="N8" i="1" s="1"/>
  <c r="Q8" i="7" s="1"/>
  <c r="S62" i="1"/>
  <c r="U62" i="1" s="1"/>
  <c r="X8" i="1"/>
  <c r="AC8" i="7" s="1"/>
  <c r="R62" i="1"/>
  <c r="T62" i="1"/>
  <c r="V62" i="1" s="1"/>
  <c r="Y8" i="1"/>
  <c r="Y8" i="7" s="1"/>
  <c r="AF8" i="7" s="1"/>
  <c r="M62" i="1"/>
  <c r="N62" i="1"/>
  <c r="U85" i="15"/>
  <c r="P117" i="15"/>
  <c r="U78" i="15"/>
  <c r="P122" i="15"/>
  <c r="P121" i="15"/>
  <c r="P118" i="15"/>
  <c r="U86" i="15"/>
  <c r="W6" i="1"/>
  <c r="X6" i="7" s="1"/>
  <c r="V9" i="1"/>
  <c r="W9" i="7" s="1"/>
  <c r="N43" i="1"/>
  <c r="L9" i="1"/>
  <c r="B62" i="4"/>
  <c r="C24" i="4"/>
  <c r="D24" i="4"/>
  <c r="D24" i="13"/>
  <c r="C24" i="13"/>
  <c r="E23" i="15"/>
  <c r="E21" i="4"/>
  <c r="O40" i="1"/>
  <c r="E21" i="13"/>
  <c r="F21" i="13" s="1"/>
  <c r="K43" i="1"/>
  <c r="M43" i="1" s="1"/>
  <c r="N24" i="4"/>
  <c r="P24" i="4" s="1"/>
  <c r="H43" i="4" s="1"/>
  <c r="N24" i="13"/>
  <c r="P24" i="13" s="1"/>
  <c r="N26" i="15"/>
  <c r="P26" i="15" s="1"/>
  <c r="C25" i="4"/>
  <c r="B63" i="4"/>
  <c r="D25" i="4"/>
  <c r="D25" i="13"/>
  <c r="C25" i="13"/>
  <c r="N38" i="4"/>
  <c r="C25" i="12"/>
  <c r="E25" i="12" s="1"/>
  <c r="N26" i="4"/>
  <c r="P26" i="4" s="1"/>
  <c r="H45" i="4" s="1"/>
  <c r="N26" i="13"/>
  <c r="P26" i="13" s="1"/>
  <c r="K45" i="1"/>
  <c r="M45" i="1" s="1"/>
  <c r="M11" i="1" s="1"/>
  <c r="L11" i="7" s="1"/>
  <c r="N28" i="15"/>
  <c r="P28" i="15" s="1"/>
  <c r="D27" i="15"/>
  <c r="C27" i="15"/>
  <c r="V9" i="16"/>
  <c r="W4" i="7"/>
  <c r="C26" i="4"/>
  <c r="B64" i="4"/>
  <c r="D26" i="4"/>
  <c r="D27" i="13"/>
  <c r="C27" i="13"/>
  <c r="C26" i="13"/>
  <c r="D26" i="13"/>
  <c r="K44" i="1"/>
  <c r="M44" i="1" s="1"/>
  <c r="M10" i="1" s="1"/>
  <c r="N25" i="4"/>
  <c r="P25" i="4" s="1"/>
  <c r="N27" i="15"/>
  <c r="P27" i="15" s="1"/>
  <c r="N25" i="13"/>
  <c r="P25" i="13" s="1"/>
  <c r="C28" i="15"/>
  <c r="D28" i="15"/>
  <c r="B65" i="4"/>
  <c r="L11" i="1"/>
  <c r="K11" i="7" s="1"/>
  <c r="V11" i="1"/>
  <c r="W11" i="7" s="1"/>
  <c r="N45" i="1"/>
  <c r="L44" i="1"/>
  <c r="M38" i="1"/>
  <c r="O19" i="1"/>
  <c r="U22" i="7" l="1"/>
  <c r="T22" i="7"/>
  <c r="D27" i="4"/>
  <c r="M39" i="1"/>
  <c r="O20" i="1"/>
  <c r="C29" i="15"/>
  <c r="B91" i="16"/>
  <c r="O37" i="16"/>
  <c r="W5" i="16"/>
  <c r="M5" i="16"/>
  <c r="B85" i="16"/>
  <c r="B87" i="16"/>
  <c r="E77" i="16"/>
  <c r="P41" i="16"/>
  <c r="H59" i="16"/>
  <c r="O40" i="16"/>
  <c r="W8" i="16"/>
  <c r="M8" i="16"/>
  <c r="O39" i="16"/>
  <c r="W7" i="16"/>
  <c r="M7" i="16"/>
  <c r="O38" i="16"/>
  <c r="W6" i="16"/>
  <c r="M6" i="16"/>
  <c r="P36" i="16"/>
  <c r="E72" i="16"/>
  <c r="H54" i="16"/>
  <c r="O44" i="16"/>
  <c r="O43" i="16"/>
  <c r="W12" i="16"/>
  <c r="M12" i="16"/>
  <c r="E78" i="16"/>
  <c r="P42" i="16"/>
  <c r="H60" i="16"/>
  <c r="B88" i="16"/>
  <c r="B86" i="16"/>
  <c r="N27" i="4"/>
  <c r="P27" i="4" s="1"/>
  <c r="H46" i="4" s="1"/>
  <c r="N46" i="4" s="1"/>
  <c r="N29" i="15"/>
  <c r="P29" i="15" s="1"/>
  <c r="B81" i="1"/>
  <c r="C81" i="1" s="1"/>
  <c r="D81" i="1" s="1"/>
  <c r="B89" i="1" s="1"/>
  <c r="D29" i="15"/>
  <c r="K46" i="1"/>
  <c r="N27" i="13"/>
  <c r="P27" i="13" s="1"/>
  <c r="Z7" i="7"/>
  <c r="C39" i="20"/>
  <c r="C52" i="20" s="1"/>
  <c r="S22" i="13"/>
  <c r="B41" i="13"/>
  <c r="D41" i="13" s="1"/>
  <c r="S24" i="15"/>
  <c r="B43" i="15"/>
  <c r="Q41" i="4"/>
  <c r="B99" i="4"/>
  <c r="J60" i="4"/>
  <c r="N60" i="4" s="1"/>
  <c r="P79" i="4"/>
  <c r="Q79" i="4"/>
  <c r="R79" i="4"/>
  <c r="M79" i="4"/>
  <c r="S79" i="4"/>
  <c r="N79" i="4"/>
  <c r="V22" i="1"/>
  <c r="H44" i="4"/>
  <c r="N44" i="4" s="1"/>
  <c r="D5" i="14"/>
  <c r="G5" i="15"/>
  <c r="E42" i="4"/>
  <c r="M42" i="4" s="1"/>
  <c r="E39" i="4"/>
  <c r="M39" i="4" s="1"/>
  <c r="E40" i="4"/>
  <c r="M40" i="4" s="1"/>
  <c r="E43" i="4"/>
  <c r="M43" i="4" s="1"/>
  <c r="E38" i="4"/>
  <c r="M38" i="4" s="1"/>
  <c r="H23" i="13"/>
  <c r="M23" i="13" s="1"/>
  <c r="Q23" i="13" s="1"/>
  <c r="U23" i="13" s="1"/>
  <c r="H25" i="15"/>
  <c r="H23" i="4"/>
  <c r="O8" i="1"/>
  <c r="M8" i="7" s="1"/>
  <c r="AL8" i="7" s="1"/>
  <c r="S42" i="1"/>
  <c r="G80" i="4"/>
  <c r="R42" i="1"/>
  <c r="N43" i="4"/>
  <c r="G21" i="13"/>
  <c r="B44" i="4"/>
  <c r="B43" i="4"/>
  <c r="I43" i="4" s="1"/>
  <c r="B45" i="4"/>
  <c r="I45" i="4" s="1"/>
  <c r="K9" i="7"/>
  <c r="B46" i="4"/>
  <c r="M9" i="1"/>
  <c r="E26" i="15"/>
  <c r="W9" i="1"/>
  <c r="X9" i="7" s="1"/>
  <c r="E24" i="4"/>
  <c r="E24" i="13"/>
  <c r="O43" i="1"/>
  <c r="E80" i="1"/>
  <c r="P40" i="1"/>
  <c r="F78" i="4"/>
  <c r="F21" i="4"/>
  <c r="C59" i="4"/>
  <c r="G21" i="4"/>
  <c r="I59" i="4" s="1"/>
  <c r="F23" i="15"/>
  <c r="G23" i="15"/>
  <c r="L10" i="7"/>
  <c r="M4" i="1"/>
  <c r="E19" i="13"/>
  <c r="O38" i="1"/>
  <c r="E19" i="4"/>
  <c r="E21" i="15"/>
  <c r="W4" i="1"/>
  <c r="V10" i="1"/>
  <c r="W10" i="7" s="1"/>
  <c r="N44" i="1"/>
  <c r="L10" i="1"/>
  <c r="M45" i="4"/>
  <c r="N45" i="4"/>
  <c r="N46" i="1"/>
  <c r="V12" i="1"/>
  <c r="W12" i="7" s="1"/>
  <c r="L12" i="1"/>
  <c r="M46" i="4"/>
  <c r="E25" i="13"/>
  <c r="O44" i="1"/>
  <c r="W10" i="1"/>
  <c r="X10" i="7" s="1"/>
  <c r="E27" i="15"/>
  <c r="E25" i="4"/>
  <c r="O45" i="1"/>
  <c r="E26" i="13"/>
  <c r="E28" i="15"/>
  <c r="W11" i="1"/>
  <c r="X11" i="7" s="1"/>
  <c r="E26" i="4"/>
  <c r="AH7" i="7" l="1"/>
  <c r="AG7" i="7"/>
  <c r="E20" i="4"/>
  <c r="M5" i="1"/>
  <c r="W5" i="1"/>
  <c r="O39" i="1"/>
  <c r="E20" i="13"/>
  <c r="E22" i="15"/>
  <c r="I44" i="4"/>
  <c r="I46" i="4"/>
  <c r="P44" i="16"/>
  <c r="H62" i="16"/>
  <c r="I62" i="16" s="1"/>
  <c r="P40" i="16"/>
  <c r="E76" i="16"/>
  <c r="H58" i="16"/>
  <c r="H61" i="16"/>
  <c r="E79" i="16"/>
  <c r="P43" i="16"/>
  <c r="H55" i="16"/>
  <c r="P37" i="16"/>
  <c r="E73" i="16"/>
  <c r="H56" i="16"/>
  <c r="P38" i="16"/>
  <c r="E74" i="16"/>
  <c r="P39" i="16"/>
  <c r="E75" i="16"/>
  <c r="H57" i="16"/>
  <c r="H78" i="16"/>
  <c r="J78" i="16" s="1"/>
  <c r="I78" i="16"/>
  <c r="K78" i="16" s="1"/>
  <c r="H72" i="16"/>
  <c r="J72" i="16" s="1"/>
  <c r="I72" i="16"/>
  <c r="K72" i="16" s="1"/>
  <c r="H77" i="16"/>
  <c r="J77" i="16" s="1"/>
  <c r="I77" i="16"/>
  <c r="K77" i="16" s="1"/>
  <c r="M46" i="1"/>
  <c r="C89" i="1"/>
  <c r="M44" i="4"/>
  <c r="P41" i="13"/>
  <c r="E41" i="13"/>
  <c r="G41" i="13"/>
  <c r="Q41" i="13"/>
  <c r="B60" i="13"/>
  <c r="C41" i="13"/>
  <c r="C79" i="13" s="1"/>
  <c r="S41" i="13"/>
  <c r="L41" i="13"/>
  <c r="Q79" i="13" s="1"/>
  <c r="N41" i="13"/>
  <c r="X41" i="13"/>
  <c r="Q7" i="1"/>
  <c r="Z43" i="15"/>
  <c r="S60" i="4"/>
  <c r="M60" i="4"/>
  <c r="P60" i="4"/>
  <c r="L60" i="4"/>
  <c r="Q60" i="4"/>
  <c r="O60" i="4"/>
  <c r="R60" i="4"/>
  <c r="N22" i="7"/>
  <c r="AA7" i="7" s="1"/>
  <c r="AI7" i="7" s="1"/>
  <c r="B42" i="14"/>
  <c r="H42" i="14" s="1"/>
  <c r="F99" i="4"/>
  <c r="C99" i="4"/>
  <c r="H99" i="4"/>
  <c r="G99" i="4"/>
  <c r="E99" i="4"/>
  <c r="D99" i="4"/>
  <c r="O41" i="4"/>
  <c r="S41" i="4"/>
  <c r="K99" i="4"/>
  <c r="L99" i="4" s="1"/>
  <c r="B62" i="15"/>
  <c r="O43" i="15"/>
  <c r="N43" i="15" s="1"/>
  <c r="E119" i="15"/>
  <c r="E43" i="15"/>
  <c r="F43" i="15"/>
  <c r="W43" i="15" s="1"/>
  <c r="R43" i="15"/>
  <c r="S43" i="15"/>
  <c r="U43" i="15"/>
  <c r="C43" i="15"/>
  <c r="L43" i="15"/>
  <c r="H119" i="15"/>
  <c r="M25" i="15"/>
  <c r="Q25" i="15" s="1"/>
  <c r="U25" i="15" s="1"/>
  <c r="Z8" i="1"/>
  <c r="AD8" i="7" s="1"/>
  <c r="V42" i="1"/>
  <c r="T42" i="1"/>
  <c r="L80" i="4"/>
  <c r="K61" i="4"/>
  <c r="U42" i="1"/>
  <c r="P8" i="1"/>
  <c r="R8" i="7" s="1"/>
  <c r="D61" i="4"/>
  <c r="M23" i="4"/>
  <c r="Q23" i="4" s="1"/>
  <c r="H63" i="1"/>
  <c r="I63" i="1" s="1"/>
  <c r="P43" i="1"/>
  <c r="F81" i="4"/>
  <c r="H59" i="4"/>
  <c r="C40" i="4"/>
  <c r="J40" i="4" s="1"/>
  <c r="F24" i="13"/>
  <c r="G24" i="13"/>
  <c r="F24" i="4"/>
  <c r="H62" i="4" s="1"/>
  <c r="G24" i="4"/>
  <c r="I62" i="4" s="1"/>
  <c r="C62" i="4"/>
  <c r="C78" i="4"/>
  <c r="G26" i="15"/>
  <c r="F26" i="15"/>
  <c r="H80" i="1"/>
  <c r="J80" i="1" s="1"/>
  <c r="I80" i="1"/>
  <c r="K80" i="1" s="1"/>
  <c r="L9" i="7"/>
  <c r="C57" i="4"/>
  <c r="G19" i="4"/>
  <c r="I57" i="4" s="1"/>
  <c r="F19" i="4"/>
  <c r="H57" i="4" s="1"/>
  <c r="G28" i="15"/>
  <c r="F28" i="15"/>
  <c r="P38" i="1"/>
  <c r="E78" i="1"/>
  <c r="H58" i="1"/>
  <c r="F76" i="4"/>
  <c r="F26" i="13"/>
  <c r="G26" i="13"/>
  <c r="P45" i="1"/>
  <c r="H65" i="1"/>
  <c r="I65" i="1" s="1"/>
  <c r="F83" i="4"/>
  <c r="C63" i="4"/>
  <c r="G25" i="4"/>
  <c r="I63" i="4" s="1"/>
  <c r="F25" i="4"/>
  <c r="H63" i="4" s="1"/>
  <c r="E29" i="15"/>
  <c r="E27" i="4"/>
  <c r="O46" i="1"/>
  <c r="E27" i="13"/>
  <c r="W12" i="1"/>
  <c r="X12" i="7" s="1"/>
  <c r="M12" i="1"/>
  <c r="K10" i="7"/>
  <c r="F19" i="13"/>
  <c r="G19" i="13"/>
  <c r="G27" i="15"/>
  <c r="F27" i="15"/>
  <c r="M9" i="16"/>
  <c r="L4" i="7"/>
  <c r="H64" i="1"/>
  <c r="I64" i="1" s="1"/>
  <c r="P44" i="1"/>
  <c r="F82" i="4"/>
  <c r="X4" i="7"/>
  <c r="W9" i="16"/>
  <c r="G26" i="4"/>
  <c r="I64" i="4" s="1"/>
  <c r="C64" i="4"/>
  <c r="F26" i="4"/>
  <c r="H64" i="4" s="1"/>
  <c r="F25" i="13"/>
  <c r="G25" i="13"/>
  <c r="K12" i="7"/>
  <c r="F21" i="15"/>
  <c r="G21" i="15"/>
  <c r="P39" i="1" l="1"/>
  <c r="F77" i="4"/>
  <c r="E79" i="1"/>
  <c r="F20" i="13"/>
  <c r="G20" i="13"/>
  <c r="X5" i="7"/>
  <c r="L5" i="7"/>
  <c r="F20" i="4"/>
  <c r="C58" i="4"/>
  <c r="G20" i="4"/>
  <c r="I58" i="4" s="1"/>
  <c r="G22" i="15"/>
  <c r="F22" i="15"/>
  <c r="E42" i="14"/>
  <c r="E90" i="14" s="1"/>
  <c r="D42" i="14"/>
  <c r="D90" i="14" s="1"/>
  <c r="G42" i="14"/>
  <c r="G90" i="14" s="1"/>
  <c r="F42" i="14"/>
  <c r="F90" i="14" s="1"/>
  <c r="H75" i="16"/>
  <c r="J75" i="16" s="1"/>
  <c r="I75" i="16"/>
  <c r="K75" i="16" s="1"/>
  <c r="L72" i="16"/>
  <c r="N72" i="16"/>
  <c r="P72" i="16" s="1"/>
  <c r="R72" i="16" s="1"/>
  <c r="L78" i="16"/>
  <c r="N78" i="16"/>
  <c r="P78" i="16" s="1"/>
  <c r="H76" i="16"/>
  <c r="J76" i="16" s="1"/>
  <c r="I76" i="16"/>
  <c r="K76" i="16" s="1"/>
  <c r="O62" i="16"/>
  <c r="P62" i="16"/>
  <c r="J62" i="16"/>
  <c r="M78" i="16"/>
  <c r="Q25" i="16" s="1"/>
  <c r="O78" i="16"/>
  <c r="Q78" i="16" s="1"/>
  <c r="M77" i="16"/>
  <c r="Q24" i="16" s="1"/>
  <c r="O77" i="16"/>
  <c r="Q77" i="16" s="1"/>
  <c r="L77" i="16"/>
  <c r="N77" i="16"/>
  <c r="P77" i="16" s="1"/>
  <c r="H79" i="16"/>
  <c r="J79" i="16" s="1"/>
  <c r="I79" i="16"/>
  <c r="K79" i="16" s="1"/>
  <c r="M72" i="16"/>
  <c r="Q19" i="16" s="1"/>
  <c r="O72" i="16"/>
  <c r="Q72" i="16" s="1"/>
  <c r="H74" i="16"/>
  <c r="J74" i="16" s="1"/>
  <c r="I74" i="16"/>
  <c r="K74" i="16" s="1"/>
  <c r="H73" i="16"/>
  <c r="J73" i="16" s="1"/>
  <c r="I73" i="16"/>
  <c r="K73" i="16" s="1"/>
  <c r="N62" i="15"/>
  <c r="M81" i="15"/>
  <c r="Q81" i="15"/>
  <c r="R62" i="15"/>
  <c r="L60" i="13"/>
  <c r="L62" i="15"/>
  <c r="K81" i="15"/>
  <c r="E81" i="15"/>
  <c r="F62" i="15"/>
  <c r="S60" i="13"/>
  <c r="U79" i="13"/>
  <c r="E62" i="15"/>
  <c r="D81" i="15"/>
  <c r="D119" i="15"/>
  <c r="Z62" i="15"/>
  <c r="C60" i="13"/>
  <c r="N7" i="7"/>
  <c r="B39" i="20"/>
  <c r="B52" i="20" s="1"/>
  <c r="B22" i="7"/>
  <c r="J22" i="7" s="1"/>
  <c r="W62" i="15"/>
  <c r="N81" i="15"/>
  <c r="O62" i="15"/>
  <c r="X60" i="13"/>
  <c r="S79" i="13"/>
  <c r="Q60" i="13"/>
  <c r="J99" i="4"/>
  <c r="S99" i="4" s="1"/>
  <c r="G60" i="13"/>
  <c r="N79" i="13"/>
  <c r="E60" i="13"/>
  <c r="B119" i="15"/>
  <c r="B81" i="15"/>
  <c r="C62" i="15"/>
  <c r="J60" i="13"/>
  <c r="O60" i="13"/>
  <c r="R60" i="13"/>
  <c r="H60" i="13"/>
  <c r="D60" i="13"/>
  <c r="K60" i="13"/>
  <c r="V60" i="13"/>
  <c r="F60" i="13"/>
  <c r="M60" i="13"/>
  <c r="I60" i="13"/>
  <c r="K119" i="15"/>
  <c r="B100" i="15"/>
  <c r="T62" i="15"/>
  <c r="I62" i="15"/>
  <c r="G62" i="15"/>
  <c r="D62" i="15"/>
  <c r="K62" i="15"/>
  <c r="Q62" i="15"/>
  <c r="M62" i="15"/>
  <c r="H62" i="15"/>
  <c r="P62" i="15"/>
  <c r="J62" i="15"/>
  <c r="X62" i="15"/>
  <c r="T41" i="13"/>
  <c r="U62" i="15"/>
  <c r="N119" i="15"/>
  <c r="T81" i="15"/>
  <c r="U41" i="13"/>
  <c r="V43" i="15"/>
  <c r="V62" i="15" s="1"/>
  <c r="S62" i="15"/>
  <c r="R81" i="15"/>
  <c r="B90" i="14"/>
  <c r="N60" i="13"/>
  <c r="P60" i="13"/>
  <c r="R79" i="13"/>
  <c r="B42" i="13"/>
  <c r="D42" i="13" s="1"/>
  <c r="B44" i="15"/>
  <c r="S25" i="15"/>
  <c r="S23" i="13"/>
  <c r="Q80" i="4"/>
  <c r="P80" i="4"/>
  <c r="R80" i="4"/>
  <c r="M80" i="4"/>
  <c r="S80" i="4"/>
  <c r="N80" i="4"/>
  <c r="O80" i="4"/>
  <c r="AA8" i="1"/>
  <c r="C23" i="7" s="1"/>
  <c r="L23" i="7" s="1"/>
  <c r="V23" i="1"/>
  <c r="J61" i="4"/>
  <c r="B100" i="4"/>
  <c r="Q42" i="4"/>
  <c r="C44" i="4"/>
  <c r="J44" i="4" s="1"/>
  <c r="C45" i="4"/>
  <c r="J45" i="4" s="1"/>
  <c r="M80" i="1"/>
  <c r="Q21" i="1" s="1"/>
  <c r="O80" i="1"/>
  <c r="Q80" i="1" s="1"/>
  <c r="L80" i="1"/>
  <c r="N80" i="1"/>
  <c r="P80" i="1" s="1"/>
  <c r="C81" i="4"/>
  <c r="K81" i="4" s="1"/>
  <c r="C38" i="4"/>
  <c r="J38" i="4" s="1"/>
  <c r="J63" i="1"/>
  <c r="O63" i="1"/>
  <c r="P63" i="1"/>
  <c r="C43" i="4"/>
  <c r="J43" i="4" s="1"/>
  <c r="C82" i="4"/>
  <c r="K82" i="4" s="1"/>
  <c r="F27" i="4"/>
  <c r="H65" i="4" s="1"/>
  <c r="C65" i="4"/>
  <c r="G27" i="4"/>
  <c r="I65" i="4" s="1"/>
  <c r="C76" i="4"/>
  <c r="P46" i="1"/>
  <c r="H66" i="1"/>
  <c r="F84" i="4"/>
  <c r="E81" i="1"/>
  <c r="F29" i="15"/>
  <c r="G29" i="15"/>
  <c r="H78" i="1"/>
  <c r="J78" i="1" s="1"/>
  <c r="I78" i="1"/>
  <c r="K78" i="1" s="1"/>
  <c r="P64" i="1"/>
  <c r="O64" i="1"/>
  <c r="J64" i="1"/>
  <c r="P65" i="1"/>
  <c r="J65" i="1"/>
  <c r="O65" i="1"/>
  <c r="G27" i="13"/>
  <c r="F27" i="13"/>
  <c r="L12" i="7"/>
  <c r="C83" i="4"/>
  <c r="K83" i="4" s="1"/>
  <c r="AM7" i="7" l="1"/>
  <c r="AN7" i="7"/>
  <c r="H79" i="1"/>
  <c r="J79" i="1" s="1"/>
  <c r="I79" i="1"/>
  <c r="K79" i="1" s="1"/>
  <c r="U23" i="7"/>
  <c r="T23" i="7"/>
  <c r="W41" i="13"/>
  <c r="W60" i="13" s="1"/>
  <c r="H58" i="4"/>
  <c r="C39" i="4"/>
  <c r="J39" i="4" s="1"/>
  <c r="C77" i="4"/>
  <c r="E100" i="15"/>
  <c r="L73" i="16"/>
  <c r="N73" i="16"/>
  <c r="P73" i="16" s="1"/>
  <c r="R73" i="16" s="1"/>
  <c r="T62" i="16"/>
  <c r="V62" i="16" s="1"/>
  <c r="R44" i="16" s="1"/>
  <c r="R62" i="16"/>
  <c r="S62" i="16"/>
  <c r="U62" i="16" s="1"/>
  <c r="Q62" i="16"/>
  <c r="O74" i="16"/>
  <c r="Q74" i="16" s="1"/>
  <c r="M74" i="16"/>
  <c r="Q21" i="16" s="1"/>
  <c r="L74" i="16"/>
  <c r="N74" i="16"/>
  <c r="P74" i="16" s="1"/>
  <c r="R74" i="16" s="1"/>
  <c r="O75" i="16"/>
  <c r="Q75" i="16" s="1"/>
  <c r="M75" i="16"/>
  <c r="Q22" i="16" s="1"/>
  <c r="L76" i="16"/>
  <c r="N76" i="16"/>
  <c r="P76" i="16" s="1"/>
  <c r="L75" i="16"/>
  <c r="N75" i="16"/>
  <c r="P75" i="16" s="1"/>
  <c r="M76" i="16"/>
  <c r="Q23" i="16" s="1"/>
  <c r="O76" i="16"/>
  <c r="Q76" i="16" s="1"/>
  <c r="L79" i="16"/>
  <c r="N79" i="16"/>
  <c r="P79" i="16" s="1"/>
  <c r="E60" i="16"/>
  <c r="D60" i="16"/>
  <c r="R78" i="16"/>
  <c r="X11" i="16" s="1"/>
  <c r="N11" i="16"/>
  <c r="E54" i="16"/>
  <c r="D54" i="16"/>
  <c r="E59" i="16"/>
  <c r="F59" i="16" s="1"/>
  <c r="I59" i="16" s="1"/>
  <c r="D59" i="16"/>
  <c r="O79" i="16"/>
  <c r="Q79" i="16" s="1"/>
  <c r="M79" i="16"/>
  <c r="Q26" i="16" s="1"/>
  <c r="M73" i="16"/>
  <c r="Q20" i="16" s="1"/>
  <c r="O73" i="16"/>
  <c r="Q73" i="16" s="1"/>
  <c r="R77" i="16"/>
  <c r="X10" i="16" s="1"/>
  <c r="N10" i="16"/>
  <c r="N62" i="16"/>
  <c r="M62" i="16"/>
  <c r="Q99" i="4"/>
  <c r="M99" i="4"/>
  <c r="P99" i="4"/>
  <c r="O99" i="4"/>
  <c r="N99" i="4"/>
  <c r="Y43" i="15"/>
  <c r="T60" i="13"/>
  <c r="V79" i="13"/>
  <c r="U60" i="13"/>
  <c r="W79" i="13"/>
  <c r="K22" i="7"/>
  <c r="N26" i="14" s="1"/>
  <c r="C26" i="14"/>
  <c r="M26" i="14" s="1"/>
  <c r="B138" i="15"/>
  <c r="E138" i="15" s="1"/>
  <c r="H100" i="15"/>
  <c r="I100" i="15"/>
  <c r="D100" i="15"/>
  <c r="V81" i="15"/>
  <c r="C100" i="15"/>
  <c r="G100" i="15"/>
  <c r="R99" i="4"/>
  <c r="F100" i="15"/>
  <c r="E120" i="15"/>
  <c r="B63" i="15"/>
  <c r="G42" i="13"/>
  <c r="O42" i="13" s="1"/>
  <c r="P80" i="13" s="1"/>
  <c r="F44" i="15"/>
  <c r="E82" i="15" s="1"/>
  <c r="C40" i="20"/>
  <c r="C53" i="20" s="1"/>
  <c r="Z8" i="7"/>
  <c r="D100" i="4"/>
  <c r="C100" i="4"/>
  <c r="C44" i="15"/>
  <c r="R44" i="15"/>
  <c r="L44" i="15"/>
  <c r="O44" i="15"/>
  <c r="K120" i="15" s="1"/>
  <c r="S44" i="15"/>
  <c r="E44" i="15"/>
  <c r="U44" i="15"/>
  <c r="H120" i="15"/>
  <c r="Q8" i="1"/>
  <c r="X42" i="13"/>
  <c r="Z44" i="15"/>
  <c r="P42" i="13"/>
  <c r="B61" i="13"/>
  <c r="N42" i="13"/>
  <c r="Q42" i="13"/>
  <c r="C42" i="13"/>
  <c r="E42" i="13"/>
  <c r="L42" i="13"/>
  <c r="Q80" i="13" s="1"/>
  <c r="S42" i="13"/>
  <c r="O42" i="4"/>
  <c r="K100" i="4"/>
  <c r="L100" i="4" s="1"/>
  <c r="S42" i="4"/>
  <c r="L61" i="4"/>
  <c r="O61" i="4"/>
  <c r="Q61" i="4"/>
  <c r="P61" i="4"/>
  <c r="S61" i="4"/>
  <c r="R61" i="4"/>
  <c r="M61" i="4"/>
  <c r="F100" i="4"/>
  <c r="E100" i="4"/>
  <c r="G100" i="4"/>
  <c r="H100" i="4"/>
  <c r="N61" i="4"/>
  <c r="N6" i="1"/>
  <c r="Q6" i="7" s="1"/>
  <c r="R80" i="1"/>
  <c r="X6" i="1" s="1"/>
  <c r="AC6" i="7" s="1"/>
  <c r="Y9" i="1"/>
  <c r="Y9" i="7" s="1"/>
  <c r="AF9" i="7" s="1"/>
  <c r="T63" i="1"/>
  <c r="V63" i="1" s="1"/>
  <c r="R63" i="1"/>
  <c r="S63" i="1"/>
  <c r="U63" i="1" s="1"/>
  <c r="Q63" i="1"/>
  <c r="N9" i="1" s="1"/>
  <c r="X9" i="1"/>
  <c r="AC9" i="7" s="1"/>
  <c r="M63" i="1"/>
  <c r="N63" i="1"/>
  <c r="H78" i="4"/>
  <c r="D60" i="1"/>
  <c r="K23" i="15"/>
  <c r="E60" i="1"/>
  <c r="K21" i="13"/>
  <c r="K21" i="4"/>
  <c r="T64" i="1"/>
  <c r="V64" i="1" s="1"/>
  <c r="R64" i="1"/>
  <c r="Y10" i="1"/>
  <c r="Y10" i="7" s="1"/>
  <c r="AF10" i="7" s="1"/>
  <c r="M78" i="1"/>
  <c r="Q19" i="1" s="1"/>
  <c r="O78" i="1"/>
  <c r="Q78" i="1" s="1"/>
  <c r="N78" i="1"/>
  <c r="P78" i="1" s="1"/>
  <c r="L78" i="1"/>
  <c r="N64" i="1"/>
  <c r="M64" i="1"/>
  <c r="S65" i="1"/>
  <c r="U65" i="1" s="1"/>
  <c r="X11" i="1"/>
  <c r="AC11" i="7" s="1"/>
  <c r="Q65" i="1"/>
  <c r="N11" i="1" s="1"/>
  <c r="Q11" i="7" s="1"/>
  <c r="H81" i="1"/>
  <c r="J81" i="1" s="1"/>
  <c r="I81" i="1"/>
  <c r="K81" i="1" s="1"/>
  <c r="Q64" i="1"/>
  <c r="N10" i="1" s="1"/>
  <c r="S64" i="1"/>
  <c r="U64" i="1" s="1"/>
  <c r="X10" i="1"/>
  <c r="AC10" i="7" s="1"/>
  <c r="M65" i="1"/>
  <c r="N65" i="1"/>
  <c r="C46" i="4"/>
  <c r="J46" i="4" s="1"/>
  <c r="C84" i="4"/>
  <c r="R65" i="1"/>
  <c r="T65" i="1"/>
  <c r="V65" i="1" s="1"/>
  <c r="Y11" i="1"/>
  <c r="Y11" i="7" s="1"/>
  <c r="AF11" i="7" s="1"/>
  <c r="AG8" i="7" l="1"/>
  <c r="AH8" i="7"/>
  <c r="C80" i="13"/>
  <c r="Y79" i="13"/>
  <c r="M79" i="1"/>
  <c r="Q20" i="1" s="1"/>
  <c r="O79" i="1"/>
  <c r="Q79" i="1" s="1"/>
  <c r="N79" i="1"/>
  <c r="P79" i="1" s="1"/>
  <c r="L79" i="1"/>
  <c r="P59" i="16"/>
  <c r="J59" i="16"/>
  <c r="O59" i="16"/>
  <c r="R76" i="16"/>
  <c r="X8" i="16" s="1"/>
  <c r="N8" i="16"/>
  <c r="F60" i="16"/>
  <c r="I60" i="16" s="1"/>
  <c r="E61" i="16"/>
  <c r="D61" i="16"/>
  <c r="E55" i="16"/>
  <c r="D55" i="16"/>
  <c r="S44" i="16"/>
  <c r="R79" i="16"/>
  <c r="X12" i="16" s="1"/>
  <c r="N12" i="16"/>
  <c r="E57" i="16"/>
  <c r="D57" i="16"/>
  <c r="F54" i="16"/>
  <c r="I54" i="16" s="1"/>
  <c r="C92" i="16"/>
  <c r="D92" i="16" s="1"/>
  <c r="E92" i="16" s="1"/>
  <c r="F92" i="16" s="1"/>
  <c r="G92" i="16" s="1"/>
  <c r="V44" i="16"/>
  <c r="T44" i="16"/>
  <c r="E58" i="16"/>
  <c r="D58" i="16"/>
  <c r="R75" i="16"/>
  <c r="X7" i="16" s="1"/>
  <c r="N7" i="16"/>
  <c r="E56" i="16"/>
  <c r="D56" i="16"/>
  <c r="D138" i="15"/>
  <c r="J100" i="15"/>
  <c r="K100" i="15" s="1"/>
  <c r="W81" i="15"/>
  <c r="Z79" i="13"/>
  <c r="C37" i="7"/>
  <c r="D37" i="7" s="1"/>
  <c r="M22" i="7"/>
  <c r="O7" i="7" s="1"/>
  <c r="AO7" i="7" s="1"/>
  <c r="C42" i="14"/>
  <c r="I42" i="14"/>
  <c r="H138" i="15"/>
  <c r="I138" i="15"/>
  <c r="C138" i="15"/>
  <c r="F138" i="15"/>
  <c r="G138" i="15"/>
  <c r="W22" i="7"/>
  <c r="S119" i="15"/>
  <c r="Q119" i="15" s="1"/>
  <c r="Y62" i="15"/>
  <c r="T44" i="15"/>
  <c r="F60" i="1"/>
  <c r="I60" i="1" s="1"/>
  <c r="J60" i="1" s="1"/>
  <c r="M60" i="1" s="1"/>
  <c r="L61" i="13"/>
  <c r="X61" i="13"/>
  <c r="V44" i="15"/>
  <c r="V63" i="15" s="1"/>
  <c r="W63" i="15"/>
  <c r="Q61" i="13"/>
  <c r="S80" i="13"/>
  <c r="I63" i="15"/>
  <c r="J63" i="15"/>
  <c r="H63" i="15"/>
  <c r="B101" i="15"/>
  <c r="P63" i="15"/>
  <c r="G63" i="15"/>
  <c r="X63" i="15"/>
  <c r="K63" i="15"/>
  <c r="Q63" i="15"/>
  <c r="D63" i="15"/>
  <c r="M63" i="15"/>
  <c r="Z63" i="15"/>
  <c r="B120" i="15"/>
  <c r="B82" i="15"/>
  <c r="C63" i="15"/>
  <c r="U61" i="13"/>
  <c r="W80" i="13"/>
  <c r="C61" i="13"/>
  <c r="B40" i="20"/>
  <c r="B53" i="20" s="1"/>
  <c r="B23" i="7"/>
  <c r="J23" i="7" s="1"/>
  <c r="N8" i="7"/>
  <c r="G61" i="13"/>
  <c r="N80" i="13"/>
  <c r="N44" i="15"/>
  <c r="O63" i="15"/>
  <c r="N82" i="15"/>
  <c r="T42" i="13"/>
  <c r="W42" i="13" s="1"/>
  <c r="W61" i="13" s="1"/>
  <c r="E61" i="13"/>
  <c r="R82" i="15"/>
  <c r="S63" i="15"/>
  <c r="F63" i="15"/>
  <c r="N61" i="13"/>
  <c r="N120" i="15"/>
  <c r="T82" i="15"/>
  <c r="U63" i="15"/>
  <c r="K82" i="15"/>
  <c r="L63" i="15"/>
  <c r="P61" i="13"/>
  <c r="R80" i="13"/>
  <c r="S61" i="13"/>
  <c r="U80" i="13"/>
  <c r="J61" i="13"/>
  <c r="R61" i="13"/>
  <c r="K61" i="13"/>
  <c r="D61" i="13"/>
  <c r="M61" i="13"/>
  <c r="V61" i="13"/>
  <c r="O61" i="13"/>
  <c r="H61" i="13"/>
  <c r="I61" i="13"/>
  <c r="F61" i="13"/>
  <c r="D82" i="15"/>
  <c r="D120" i="15"/>
  <c r="E63" i="15"/>
  <c r="Q82" i="15"/>
  <c r="R63" i="15"/>
  <c r="J100" i="4"/>
  <c r="S100" i="4" s="1"/>
  <c r="Q9" i="7"/>
  <c r="S43" i="1"/>
  <c r="O9" i="1"/>
  <c r="H26" i="15"/>
  <c r="M26" i="15" s="1"/>
  <c r="Q26" i="15" s="1"/>
  <c r="U26" i="15" s="1"/>
  <c r="H24" i="13"/>
  <c r="M24" i="13" s="1"/>
  <c r="Q24" i="13" s="1"/>
  <c r="U24" i="13" s="1"/>
  <c r="H24" i="4"/>
  <c r="L23" i="15"/>
  <c r="L21" i="4"/>
  <c r="E59" i="4" s="1"/>
  <c r="L21" i="13"/>
  <c r="H40" i="13" s="1"/>
  <c r="O78" i="13" s="1"/>
  <c r="G81" i="4"/>
  <c r="L81" i="4" s="1"/>
  <c r="P81" i="4" s="1"/>
  <c r="R43" i="1"/>
  <c r="H28" i="15"/>
  <c r="M28" i="15" s="1"/>
  <c r="Q28" i="15" s="1"/>
  <c r="U28" i="15" s="1"/>
  <c r="H26" i="13"/>
  <c r="M26" i="13" s="1"/>
  <c r="Q26" i="13" s="1"/>
  <c r="U26" i="13" s="1"/>
  <c r="H26" i="4"/>
  <c r="S45" i="1"/>
  <c r="O11" i="1"/>
  <c r="M11" i="7" s="1"/>
  <c r="AL11" i="7" s="1"/>
  <c r="O81" i="1"/>
  <c r="Q81" i="1" s="1"/>
  <c r="M81" i="1"/>
  <c r="R45" i="1"/>
  <c r="G83" i="4"/>
  <c r="N81" i="1"/>
  <c r="P81" i="1" s="1"/>
  <c r="L81" i="1"/>
  <c r="Q27" i="1" s="1"/>
  <c r="R78" i="1"/>
  <c r="X4" i="1" s="1"/>
  <c r="N4" i="1"/>
  <c r="Q10" i="7"/>
  <c r="S44" i="1"/>
  <c r="H25" i="4"/>
  <c r="H25" i="13"/>
  <c r="M25" i="13" s="1"/>
  <c r="Q25" i="13" s="1"/>
  <c r="U25" i="13" s="1"/>
  <c r="H27" i="15"/>
  <c r="M27" i="15" s="1"/>
  <c r="Q27" i="15" s="1"/>
  <c r="U27" i="15" s="1"/>
  <c r="O10" i="1"/>
  <c r="K21" i="15"/>
  <c r="D58" i="1"/>
  <c r="K19" i="13"/>
  <c r="K19" i="4"/>
  <c r="E58" i="1"/>
  <c r="H76" i="4"/>
  <c r="G82" i="4"/>
  <c r="R44" i="1"/>
  <c r="AN8" i="7" l="1"/>
  <c r="AM8" i="7"/>
  <c r="N5" i="1"/>
  <c r="R79" i="1"/>
  <c r="X5" i="1" s="1"/>
  <c r="D59" i="1"/>
  <c r="K20" i="13"/>
  <c r="H77" i="4"/>
  <c r="K22" i="15"/>
  <c r="E59" i="1"/>
  <c r="K20" i="4"/>
  <c r="B106" i="14"/>
  <c r="C90" i="14"/>
  <c r="F39" i="20"/>
  <c r="F56" i="16"/>
  <c r="I56" i="16" s="1"/>
  <c r="F61" i="16"/>
  <c r="I61" i="16" s="1"/>
  <c r="F58" i="16"/>
  <c r="I58" i="16" s="1"/>
  <c r="O58" i="16" s="1"/>
  <c r="F55" i="16"/>
  <c r="I55" i="16" s="1"/>
  <c r="O55" i="16" s="1"/>
  <c r="AA12" i="16"/>
  <c r="J61" i="16"/>
  <c r="O61" i="16"/>
  <c r="P61" i="16"/>
  <c r="P60" i="16"/>
  <c r="J60" i="16"/>
  <c r="O60" i="16"/>
  <c r="P58" i="16"/>
  <c r="J58" i="16"/>
  <c r="P54" i="16"/>
  <c r="O54" i="16"/>
  <c r="J54" i="16"/>
  <c r="Q59" i="16"/>
  <c r="S59" i="16"/>
  <c r="U59" i="16" s="1"/>
  <c r="P55" i="16"/>
  <c r="J55" i="16"/>
  <c r="N59" i="16"/>
  <c r="M59" i="16"/>
  <c r="J56" i="16"/>
  <c r="O56" i="16"/>
  <c r="P56" i="16"/>
  <c r="F57" i="16"/>
  <c r="I57" i="16" s="1"/>
  <c r="U44" i="16"/>
  <c r="T59" i="16"/>
  <c r="V59" i="16" s="1"/>
  <c r="R59" i="16"/>
  <c r="Y10" i="16"/>
  <c r="AA79" i="13"/>
  <c r="T63" i="15"/>
  <c r="E37" i="7"/>
  <c r="F37" i="7" s="1"/>
  <c r="N37" i="7"/>
  <c r="B58" i="14"/>
  <c r="M37" i="7"/>
  <c r="J138" i="15"/>
  <c r="K138" i="15" s="1"/>
  <c r="R119" i="15"/>
  <c r="T119" i="15" s="1"/>
  <c r="O26" i="14"/>
  <c r="S82" i="15"/>
  <c r="O60" i="1"/>
  <c r="P60" i="1"/>
  <c r="F101" i="15"/>
  <c r="R100" i="4"/>
  <c r="C27" i="14"/>
  <c r="M27" i="14" s="1"/>
  <c r="K23" i="7"/>
  <c r="M23" i="7" s="1"/>
  <c r="O8" i="7" s="1"/>
  <c r="AO8" i="7" s="1"/>
  <c r="M82" i="15"/>
  <c r="G101" i="15" s="1"/>
  <c r="N63" i="15"/>
  <c r="I101" i="15"/>
  <c r="B139" i="15"/>
  <c r="E139" i="15" s="1"/>
  <c r="H101" i="15"/>
  <c r="T61" i="13"/>
  <c r="V80" i="13"/>
  <c r="Y80" i="13" s="1"/>
  <c r="E101" i="15"/>
  <c r="C101" i="15"/>
  <c r="B43" i="14"/>
  <c r="H43" i="14" s="1"/>
  <c r="N23" i="7"/>
  <c r="AA8" i="7" s="1"/>
  <c r="AI8" i="7" s="1"/>
  <c r="D101" i="15"/>
  <c r="Y44" i="15"/>
  <c r="O100" i="4"/>
  <c r="Q100" i="4"/>
  <c r="P100" i="4"/>
  <c r="M100" i="4"/>
  <c r="N100" i="4"/>
  <c r="N60" i="1"/>
  <c r="M24" i="4"/>
  <c r="Q24" i="4" s="1"/>
  <c r="D62" i="4"/>
  <c r="J62" i="4" s="1"/>
  <c r="P62" i="4" s="1"/>
  <c r="M81" i="4"/>
  <c r="M9" i="7"/>
  <c r="AL9" i="7" s="1"/>
  <c r="S81" i="4"/>
  <c r="N81" i="4"/>
  <c r="U43" i="1"/>
  <c r="K62" i="4"/>
  <c r="P9" i="1"/>
  <c r="Z9" i="1"/>
  <c r="AD9" i="7" s="1"/>
  <c r="T43" i="1"/>
  <c r="V43" i="1"/>
  <c r="Q81" i="4"/>
  <c r="R81" i="4"/>
  <c r="O81" i="4"/>
  <c r="L21" i="15"/>
  <c r="L19" i="13"/>
  <c r="H38" i="13" s="1"/>
  <c r="O76" i="13" s="1"/>
  <c r="L19" i="4"/>
  <c r="D64" i="4"/>
  <c r="M26" i="4"/>
  <c r="Q26" i="4" s="1"/>
  <c r="D45" i="4"/>
  <c r="K45" i="4" s="1"/>
  <c r="Z11" i="1"/>
  <c r="AD11" i="7" s="1"/>
  <c r="V45" i="1"/>
  <c r="T45" i="1"/>
  <c r="M10" i="7"/>
  <c r="AL10" i="7" s="1"/>
  <c r="AC4" i="7"/>
  <c r="X9" i="16"/>
  <c r="P11" i="1"/>
  <c r="R11" i="7" s="1"/>
  <c r="K64" i="4"/>
  <c r="U45" i="1"/>
  <c r="L82" i="4"/>
  <c r="O82" i="4" s="1"/>
  <c r="L83" i="4"/>
  <c r="O83" i="4" s="1"/>
  <c r="P10" i="1"/>
  <c r="K63" i="4"/>
  <c r="U44" i="1"/>
  <c r="F58" i="1"/>
  <c r="I58" i="1" s="1"/>
  <c r="K27" i="13"/>
  <c r="J14" i="13" s="1"/>
  <c r="K27" i="4"/>
  <c r="J14" i="4" s="1"/>
  <c r="M14" i="4" s="1"/>
  <c r="G41" i="4" s="1"/>
  <c r="L41" i="4" s="1"/>
  <c r="K29" i="15"/>
  <c r="H84" i="4"/>
  <c r="E66" i="1"/>
  <c r="D66" i="1"/>
  <c r="V44" i="1"/>
  <c r="Z10" i="1"/>
  <c r="AD10" i="7" s="1"/>
  <c r="T44" i="1"/>
  <c r="D44" i="4"/>
  <c r="K44" i="4" s="1"/>
  <c r="D63" i="4"/>
  <c r="M25" i="4"/>
  <c r="Q25" i="4" s="1"/>
  <c r="N9" i="16"/>
  <c r="Q4" i="7"/>
  <c r="N12" i="1"/>
  <c r="R81" i="1"/>
  <c r="X12" i="1" s="1"/>
  <c r="AC12" i="7" s="1"/>
  <c r="L20" i="13" l="1"/>
  <c r="H39" i="13" s="1"/>
  <c r="O77" i="13" s="1"/>
  <c r="L22" i="15"/>
  <c r="L20" i="4"/>
  <c r="E58" i="4" s="1"/>
  <c r="F59" i="1"/>
  <c r="I59" i="1" s="1"/>
  <c r="AC5" i="7"/>
  <c r="Q5" i="7"/>
  <c r="I58" i="14"/>
  <c r="H58" i="14"/>
  <c r="G58" i="14"/>
  <c r="F58" i="14"/>
  <c r="E58" i="14"/>
  <c r="D58" i="14"/>
  <c r="F43" i="14"/>
  <c r="F91" i="14" s="1"/>
  <c r="E43" i="14"/>
  <c r="E91" i="14" s="1"/>
  <c r="G43" i="14"/>
  <c r="G91" i="14" s="1"/>
  <c r="D43" i="14"/>
  <c r="D91" i="14" s="1"/>
  <c r="O57" i="16"/>
  <c r="J57" i="16"/>
  <c r="P57" i="16"/>
  <c r="R54" i="16"/>
  <c r="T54" i="16"/>
  <c r="V54" i="16" s="1"/>
  <c r="Y4" i="16"/>
  <c r="Q55" i="16"/>
  <c r="N5" i="16" s="1"/>
  <c r="S55" i="16"/>
  <c r="U55" i="16" s="1"/>
  <c r="X5" i="16"/>
  <c r="Q58" i="16"/>
  <c r="S58" i="16"/>
  <c r="U58" i="16" s="1"/>
  <c r="N58" i="16"/>
  <c r="M58" i="16"/>
  <c r="T56" i="16"/>
  <c r="V56" i="16" s="1"/>
  <c r="R56" i="16"/>
  <c r="Y6" i="16"/>
  <c r="T55" i="16"/>
  <c r="V55" i="16" s="1"/>
  <c r="R55" i="16"/>
  <c r="Y5" i="16"/>
  <c r="T58" i="16"/>
  <c r="V58" i="16" s="1"/>
  <c r="R58" i="16"/>
  <c r="Y8" i="16"/>
  <c r="T61" i="16"/>
  <c r="V61" i="16" s="1"/>
  <c r="R61" i="16"/>
  <c r="Y12" i="16"/>
  <c r="C89" i="16"/>
  <c r="D89" i="16" s="1"/>
  <c r="E89" i="16" s="1"/>
  <c r="F89" i="16" s="1"/>
  <c r="G89" i="16" s="1"/>
  <c r="R41" i="16" s="1"/>
  <c r="O10" i="16"/>
  <c r="S41" i="16"/>
  <c r="S61" i="16"/>
  <c r="U61" i="16" s="1"/>
  <c r="Q61" i="16"/>
  <c r="S56" i="16"/>
  <c r="U56" i="16" s="1"/>
  <c r="Q56" i="16"/>
  <c r="N6" i="16" s="1"/>
  <c r="X6" i="16"/>
  <c r="S60" i="16"/>
  <c r="U60" i="16" s="1"/>
  <c r="Q60" i="16"/>
  <c r="N56" i="16"/>
  <c r="M56" i="16"/>
  <c r="N60" i="16"/>
  <c r="M60" i="16"/>
  <c r="N61" i="16"/>
  <c r="M61" i="16"/>
  <c r="N55" i="16"/>
  <c r="M55" i="16"/>
  <c r="M54" i="16"/>
  <c r="N54" i="16"/>
  <c r="T60" i="16"/>
  <c r="V60" i="16" s="1"/>
  <c r="R60" i="16"/>
  <c r="Y11" i="16"/>
  <c r="S54" i="16"/>
  <c r="U54" i="16" s="1"/>
  <c r="Q54" i="16"/>
  <c r="N4" i="16" s="1"/>
  <c r="X4" i="16"/>
  <c r="V27" i="16"/>
  <c r="Q12" i="16" s="1"/>
  <c r="B122" i="14"/>
  <c r="E39" i="20"/>
  <c r="C58" i="14"/>
  <c r="B74" i="14"/>
  <c r="O58" i="14"/>
  <c r="E56" i="7"/>
  <c r="H37" i="7"/>
  <c r="R37" i="7"/>
  <c r="AB7" i="7" s="1"/>
  <c r="AJ7" i="7" s="1"/>
  <c r="T37" i="7"/>
  <c r="V82" i="15"/>
  <c r="W82" i="15" s="1"/>
  <c r="Y6" i="1"/>
  <c r="Y6" i="7" s="1"/>
  <c r="AF6" i="7" s="1"/>
  <c r="R60" i="1"/>
  <c r="T60" i="1"/>
  <c r="V60" i="1" s="1"/>
  <c r="S60" i="1"/>
  <c r="U60" i="1" s="1"/>
  <c r="Q60" i="1"/>
  <c r="G39" i="4"/>
  <c r="L39" i="4" s="1"/>
  <c r="G42" i="4"/>
  <c r="L42" i="4" s="1"/>
  <c r="J101" i="15"/>
  <c r="K101" i="15" s="1"/>
  <c r="W23" i="7"/>
  <c r="N27" i="14"/>
  <c r="Z80" i="13"/>
  <c r="AA80" i="13" s="1"/>
  <c r="C38" i="7"/>
  <c r="D38" i="7" s="1"/>
  <c r="B91" i="14"/>
  <c r="S120" i="15"/>
  <c r="Q120" i="15" s="1"/>
  <c r="Y63" i="15"/>
  <c r="D139" i="15"/>
  <c r="H139" i="15"/>
  <c r="I139" i="15"/>
  <c r="C139" i="15"/>
  <c r="F139" i="15"/>
  <c r="G139" i="15"/>
  <c r="C43" i="14"/>
  <c r="I43" i="14"/>
  <c r="Q62" i="4"/>
  <c r="O62" i="4"/>
  <c r="Q43" i="4"/>
  <c r="S24" i="13"/>
  <c r="B45" i="15"/>
  <c r="E121" i="15" s="1"/>
  <c r="B101" i="4"/>
  <c r="S26" i="15"/>
  <c r="B43" i="13"/>
  <c r="V24" i="1"/>
  <c r="AA9" i="1"/>
  <c r="C24" i="7" s="1"/>
  <c r="L24" i="7" s="1"/>
  <c r="M62" i="4"/>
  <c r="L62" i="4"/>
  <c r="R9" i="7"/>
  <c r="R62" i="4"/>
  <c r="N62" i="4"/>
  <c r="S62" i="4"/>
  <c r="Q45" i="4"/>
  <c r="B103" i="4"/>
  <c r="B45" i="13"/>
  <c r="S28" i="15"/>
  <c r="S26" i="13"/>
  <c r="B47" i="15"/>
  <c r="B66" i="15" s="1"/>
  <c r="L27" i="13"/>
  <c r="H46" i="13" s="1"/>
  <c r="O84" i="13" s="1"/>
  <c r="L29" i="15"/>
  <c r="L27" i="4"/>
  <c r="R10" i="7"/>
  <c r="F66" i="1"/>
  <c r="I66" i="1" s="1"/>
  <c r="P58" i="1"/>
  <c r="O58" i="1"/>
  <c r="J58" i="1"/>
  <c r="V25" i="1"/>
  <c r="AA10" i="1"/>
  <c r="C25" i="7" s="1"/>
  <c r="L25" i="7" s="1"/>
  <c r="J64" i="4"/>
  <c r="N64" i="4" s="1"/>
  <c r="E57" i="4"/>
  <c r="G38" i="4"/>
  <c r="L38" i="4" s="1"/>
  <c r="Q12" i="7"/>
  <c r="B102" i="4"/>
  <c r="S27" i="15"/>
  <c r="B44" i="13"/>
  <c r="S25" i="13"/>
  <c r="B46" i="15"/>
  <c r="Q44" i="4"/>
  <c r="M83" i="4"/>
  <c r="S83" i="4"/>
  <c r="P83" i="4"/>
  <c r="Q83" i="4"/>
  <c r="R83" i="4"/>
  <c r="N83" i="4"/>
  <c r="J63" i="4"/>
  <c r="N63" i="4" s="1"/>
  <c r="G43" i="4"/>
  <c r="L43" i="4" s="1"/>
  <c r="G45" i="4"/>
  <c r="L45" i="4" s="1"/>
  <c r="G44" i="4"/>
  <c r="L44" i="4" s="1"/>
  <c r="G40" i="4"/>
  <c r="L40" i="4" s="1"/>
  <c r="M82" i="4"/>
  <c r="R82" i="4"/>
  <c r="P82" i="4"/>
  <c r="Q82" i="4"/>
  <c r="N82" i="4"/>
  <c r="S82" i="4"/>
  <c r="AA11" i="1"/>
  <c r="C26" i="7" s="1"/>
  <c r="L26" i="7" s="1"/>
  <c r="V26" i="1"/>
  <c r="U24" i="7" l="1"/>
  <c r="T24" i="7"/>
  <c r="F74" i="14"/>
  <c r="G106" i="14" s="1"/>
  <c r="B65" i="15"/>
  <c r="F122" i="15"/>
  <c r="G74" i="14"/>
  <c r="U25" i="7"/>
  <c r="T25" i="7"/>
  <c r="O59" i="1"/>
  <c r="P59" i="1"/>
  <c r="J59" i="1"/>
  <c r="T26" i="7"/>
  <c r="U26" i="7"/>
  <c r="D74" i="14"/>
  <c r="E74" i="14"/>
  <c r="G122" i="14"/>
  <c r="H74" i="14"/>
  <c r="I74" i="14"/>
  <c r="G43" i="13"/>
  <c r="D43" i="13"/>
  <c r="C81" i="13" s="1"/>
  <c r="V41" i="16"/>
  <c r="T41" i="16"/>
  <c r="Z10" i="16"/>
  <c r="C91" i="16"/>
  <c r="D91" i="16" s="1"/>
  <c r="E91" i="16" s="1"/>
  <c r="F91" i="16" s="1"/>
  <c r="G91" i="16" s="1"/>
  <c r="R43" i="16" s="1"/>
  <c r="O12" i="16"/>
  <c r="S43" i="16"/>
  <c r="C86" i="16"/>
  <c r="D86" i="16" s="1"/>
  <c r="E86" i="16" s="1"/>
  <c r="F86" i="16" s="1"/>
  <c r="G86" i="16" s="1"/>
  <c r="R38" i="16" s="1"/>
  <c r="O6" i="16"/>
  <c r="S38" i="16"/>
  <c r="U41" i="16"/>
  <c r="P10" i="16"/>
  <c r="C88" i="16"/>
  <c r="D88" i="16" s="1"/>
  <c r="E88" i="16" s="1"/>
  <c r="F88" i="16" s="1"/>
  <c r="G88" i="16" s="1"/>
  <c r="R40" i="16" s="1"/>
  <c r="O8" i="16"/>
  <c r="S40" i="16"/>
  <c r="C84" i="16"/>
  <c r="D84" i="16" s="1"/>
  <c r="E84" i="16" s="1"/>
  <c r="F84" i="16" s="1"/>
  <c r="G84" i="16" s="1"/>
  <c r="R36" i="16" s="1"/>
  <c r="O4" i="16"/>
  <c r="S36" i="16"/>
  <c r="R57" i="16"/>
  <c r="T57" i="16"/>
  <c r="V57" i="16" s="1"/>
  <c r="Y7" i="16"/>
  <c r="C90" i="16"/>
  <c r="D90" i="16" s="1"/>
  <c r="E90" i="16" s="1"/>
  <c r="F90" i="16" s="1"/>
  <c r="G90" i="16" s="1"/>
  <c r="R42" i="16" s="1"/>
  <c r="O11" i="16"/>
  <c r="S42" i="16"/>
  <c r="C85" i="16"/>
  <c r="D85" i="16" s="1"/>
  <c r="E85" i="16" s="1"/>
  <c r="F85" i="16" s="1"/>
  <c r="G85" i="16" s="1"/>
  <c r="R37" i="16" s="1"/>
  <c r="O5" i="16"/>
  <c r="S37" i="16"/>
  <c r="N57" i="16"/>
  <c r="M57" i="16"/>
  <c r="S57" i="16"/>
  <c r="U57" i="16" s="1"/>
  <c r="Q57" i="16"/>
  <c r="L37" i="7"/>
  <c r="K58" i="14" s="1"/>
  <c r="K74" i="14" s="1"/>
  <c r="O37" i="7"/>
  <c r="K37" i="7"/>
  <c r="J37" i="7"/>
  <c r="J56" i="7"/>
  <c r="F56" i="7"/>
  <c r="N56" i="7" s="1"/>
  <c r="H56" i="7"/>
  <c r="P56" i="7" s="1"/>
  <c r="C74" i="14"/>
  <c r="B64" i="15"/>
  <c r="B107" i="14"/>
  <c r="C91" i="14"/>
  <c r="G78" i="4"/>
  <c r="H21" i="13"/>
  <c r="M21" i="13" s="1"/>
  <c r="Q21" i="13" s="1"/>
  <c r="U21" i="13" s="1"/>
  <c r="H23" i="15"/>
  <c r="M23" i="15" s="1"/>
  <c r="Q23" i="15" s="1"/>
  <c r="U23" i="15" s="1"/>
  <c r="H21" i="4"/>
  <c r="O6" i="1"/>
  <c r="M6" i="7" s="1"/>
  <c r="AL6" i="7" s="1"/>
  <c r="E92" i="1"/>
  <c r="F92" i="1" s="1"/>
  <c r="G92" i="1" s="1"/>
  <c r="H92" i="1" s="1"/>
  <c r="I92" i="1" s="1"/>
  <c r="S40" i="1"/>
  <c r="D103" i="4"/>
  <c r="C103" i="4"/>
  <c r="D101" i="4"/>
  <c r="C101" i="4"/>
  <c r="C102" i="4"/>
  <c r="D102" i="4"/>
  <c r="J139" i="15"/>
  <c r="K139" i="15" s="1"/>
  <c r="B123" i="14" s="1"/>
  <c r="R120" i="15"/>
  <c r="T120" i="15" s="1"/>
  <c r="O27" i="14"/>
  <c r="B59" i="14"/>
  <c r="E38" i="7"/>
  <c r="F38" i="7" s="1"/>
  <c r="M38" i="7"/>
  <c r="N38" i="7"/>
  <c r="F40" i="20"/>
  <c r="Q43" i="13"/>
  <c r="E43" i="13"/>
  <c r="P43" i="13"/>
  <c r="N43" i="13"/>
  <c r="C43" i="13"/>
  <c r="L43" i="13"/>
  <c r="Q81" i="13" s="1"/>
  <c r="B62" i="13"/>
  <c r="S43" i="13"/>
  <c r="H101" i="4"/>
  <c r="F101" i="4"/>
  <c r="G101" i="4"/>
  <c r="E101" i="4"/>
  <c r="L45" i="15"/>
  <c r="G45" i="15"/>
  <c r="O45" i="15"/>
  <c r="U45" i="15"/>
  <c r="E45" i="15"/>
  <c r="F45" i="15"/>
  <c r="C45" i="15"/>
  <c r="S45" i="15"/>
  <c r="R45" i="15"/>
  <c r="H121" i="15"/>
  <c r="C41" i="20"/>
  <c r="C54" i="20" s="1"/>
  <c r="Z9" i="7"/>
  <c r="S43" i="4"/>
  <c r="O43" i="4"/>
  <c r="K101" i="4"/>
  <c r="L101" i="4" s="1"/>
  <c r="Z45" i="15"/>
  <c r="X43" i="13"/>
  <c r="Q9" i="1"/>
  <c r="Z46" i="15"/>
  <c r="X44" i="13"/>
  <c r="Z47" i="15"/>
  <c r="X45" i="13"/>
  <c r="Q10" i="1"/>
  <c r="H44" i="13"/>
  <c r="J44" i="13"/>
  <c r="S44" i="13"/>
  <c r="Q44" i="13"/>
  <c r="P44" i="13"/>
  <c r="I44" i="13"/>
  <c r="K44" i="13"/>
  <c r="D44" i="13"/>
  <c r="M44" i="13"/>
  <c r="G82" i="13" s="1"/>
  <c r="B63" i="13"/>
  <c r="L44" i="13"/>
  <c r="Q82" i="13" s="1"/>
  <c r="F44" i="13"/>
  <c r="O44" i="13"/>
  <c r="G44" i="13"/>
  <c r="M45" i="13"/>
  <c r="G83" i="13" s="1"/>
  <c r="B64" i="13"/>
  <c r="K45" i="13"/>
  <c r="L45" i="13"/>
  <c r="Q83" i="13" s="1"/>
  <c r="S45" i="13"/>
  <c r="D45" i="13"/>
  <c r="C83" i="13" s="1"/>
  <c r="J45" i="13"/>
  <c r="I45" i="13"/>
  <c r="P45" i="13"/>
  <c r="G45" i="13"/>
  <c r="O45" i="13"/>
  <c r="Q45" i="13"/>
  <c r="H45" i="13"/>
  <c r="L122" i="15"/>
  <c r="K122" i="15"/>
  <c r="I46" i="15"/>
  <c r="F46" i="15"/>
  <c r="M46" i="15"/>
  <c r="U46" i="15"/>
  <c r="R46" i="15"/>
  <c r="K46" i="15"/>
  <c r="H46" i="15"/>
  <c r="S46" i="15"/>
  <c r="J46" i="15"/>
  <c r="L46" i="15"/>
  <c r="P46" i="15"/>
  <c r="D46" i="15"/>
  <c r="G46" i="15"/>
  <c r="I122" i="15"/>
  <c r="Z11" i="7"/>
  <c r="C43" i="20"/>
  <c r="C56" i="20" s="1"/>
  <c r="Q63" i="4"/>
  <c r="L63" i="4"/>
  <c r="O63" i="4"/>
  <c r="M63" i="4"/>
  <c r="P63" i="4"/>
  <c r="S63" i="4"/>
  <c r="R63" i="4"/>
  <c r="R64" i="4"/>
  <c r="M64" i="4"/>
  <c r="Q64" i="4"/>
  <c r="L64" i="4"/>
  <c r="O64" i="4"/>
  <c r="P64" i="4"/>
  <c r="S64" i="4"/>
  <c r="E103" i="4"/>
  <c r="H103" i="4"/>
  <c r="F103" i="4"/>
  <c r="G103" i="4"/>
  <c r="H102" i="4"/>
  <c r="F102" i="4"/>
  <c r="G102" i="4"/>
  <c r="E102" i="4"/>
  <c r="P66" i="1"/>
  <c r="J66" i="1"/>
  <c r="O66" i="1"/>
  <c r="S45" i="4"/>
  <c r="O45" i="4"/>
  <c r="P45" i="4" s="1"/>
  <c r="R45" i="4" s="1"/>
  <c r="K103" i="4"/>
  <c r="L103" i="4" s="1"/>
  <c r="M58" i="1"/>
  <c r="N58" i="1"/>
  <c r="C42" i="20"/>
  <c r="C55" i="20" s="1"/>
  <c r="Z10" i="7"/>
  <c r="Q11" i="1"/>
  <c r="S58" i="1"/>
  <c r="U58" i="1" s="1"/>
  <c r="Q58" i="1"/>
  <c r="O44" i="4"/>
  <c r="P44" i="4" s="1"/>
  <c r="R44" i="4" s="1"/>
  <c r="K102" i="4"/>
  <c r="L102" i="4" s="1"/>
  <c r="S44" i="4"/>
  <c r="R58" i="1"/>
  <c r="T58" i="1"/>
  <c r="V58" i="1" s="1"/>
  <c r="Y4" i="1"/>
  <c r="E65" i="4"/>
  <c r="G46" i="4"/>
  <c r="L46" i="4" s="1"/>
  <c r="M47" i="15"/>
  <c r="D47" i="15"/>
  <c r="U47" i="15"/>
  <c r="K123" i="15"/>
  <c r="P47" i="15"/>
  <c r="K47" i="15"/>
  <c r="R47" i="15"/>
  <c r="L47" i="15"/>
  <c r="J47" i="15"/>
  <c r="L123" i="15"/>
  <c r="G47" i="15"/>
  <c r="H47" i="15"/>
  <c r="I47" i="15"/>
  <c r="G123" i="15"/>
  <c r="S47" i="15"/>
  <c r="I123" i="15"/>
  <c r="AG10" i="7" l="1"/>
  <c r="AH10" i="7"/>
  <c r="AH9" i="7"/>
  <c r="AG9" i="7"/>
  <c r="AG11" i="7"/>
  <c r="AH11" i="7"/>
  <c r="C82" i="13"/>
  <c r="M59" i="1"/>
  <c r="N59" i="1"/>
  <c r="R59" i="1"/>
  <c r="T59" i="1"/>
  <c r="V59" i="1" s="1"/>
  <c r="Y5" i="1"/>
  <c r="Q59" i="1"/>
  <c r="S59" i="1"/>
  <c r="U59" i="1" s="1"/>
  <c r="F122" i="14"/>
  <c r="J58" i="14"/>
  <c r="L58" i="14" s="1"/>
  <c r="L555" i="10"/>
  <c r="L569" i="10" s="1"/>
  <c r="U44" i="4"/>
  <c r="S25" i="7"/>
  <c r="M555" i="10"/>
  <c r="M569" i="10" s="1"/>
  <c r="U45" i="4"/>
  <c r="S26" i="7"/>
  <c r="F106" i="14"/>
  <c r="D106" i="14"/>
  <c r="D122" i="14"/>
  <c r="I59" i="14"/>
  <c r="H59" i="14"/>
  <c r="G59" i="14"/>
  <c r="F59" i="14"/>
  <c r="E59" i="14"/>
  <c r="D59" i="14"/>
  <c r="H90" i="14"/>
  <c r="C106" i="14"/>
  <c r="C122" i="14"/>
  <c r="T42" i="16"/>
  <c r="V42" i="16"/>
  <c r="Z11" i="16"/>
  <c r="V37" i="16"/>
  <c r="Z5" i="16"/>
  <c r="T37" i="16"/>
  <c r="V43" i="16"/>
  <c r="T43" i="16"/>
  <c r="Z12" i="16"/>
  <c r="V36" i="16"/>
  <c r="T36" i="16"/>
  <c r="Z4" i="16"/>
  <c r="P4" i="16"/>
  <c r="U36" i="16"/>
  <c r="U43" i="16"/>
  <c r="P12" i="16"/>
  <c r="V40" i="16"/>
  <c r="Z8" i="16"/>
  <c r="T40" i="16"/>
  <c r="P6" i="16"/>
  <c r="U38" i="16"/>
  <c r="U42" i="16"/>
  <c r="P11" i="16"/>
  <c r="P5" i="16"/>
  <c r="U37" i="16"/>
  <c r="U40" i="16"/>
  <c r="P8" i="16"/>
  <c r="V38" i="16"/>
  <c r="Z6" i="16"/>
  <c r="T38" i="16"/>
  <c r="R39" i="16"/>
  <c r="V24" i="16"/>
  <c r="Q9" i="16" s="1"/>
  <c r="AA9" i="16"/>
  <c r="C87" i="16"/>
  <c r="D87" i="16" s="1"/>
  <c r="E87" i="16" s="1"/>
  <c r="F87" i="16" s="1"/>
  <c r="G87" i="16" s="1"/>
  <c r="O7" i="16"/>
  <c r="S39" i="16"/>
  <c r="R56" i="7"/>
  <c r="C75" i="7"/>
  <c r="P37" i="7"/>
  <c r="B44" i="14"/>
  <c r="H44" i="14" s="1"/>
  <c r="D78" i="4"/>
  <c r="K78" i="4" s="1"/>
  <c r="L78" i="4" s="1"/>
  <c r="S78" i="4" s="1"/>
  <c r="R40" i="1"/>
  <c r="M21" i="4"/>
  <c r="Q21" i="4" s="1"/>
  <c r="D59" i="4"/>
  <c r="J59" i="4" s="1"/>
  <c r="N59" i="4" s="1"/>
  <c r="Z64" i="15"/>
  <c r="K59" i="4"/>
  <c r="P6" i="1"/>
  <c r="R6" i="7" s="1"/>
  <c r="U40" i="1"/>
  <c r="L64" i="13"/>
  <c r="O59" i="14"/>
  <c r="E40" i="20"/>
  <c r="E57" i="7"/>
  <c r="H38" i="7"/>
  <c r="T38" i="7"/>
  <c r="R38" i="7"/>
  <c r="AB8" i="7" s="1"/>
  <c r="AJ8" i="7" s="1"/>
  <c r="C59" i="14"/>
  <c r="B75" i="14"/>
  <c r="L63" i="13"/>
  <c r="K64" i="13"/>
  <c r="N24" i="7"/>
  <c r="AA9" i="7" s="1"/>
  <c r="AI9" i="7" s="1"/>
  <c r="V46" i="15"/>
  <c r="V65" i="15" s="1"/>
  <c r="J64" i="13"/>
  <c r="X62" i="13"/>
  <c r="L62" i="13"/>
  <c r="V47" i="15"/>
  <c r="V66" i="15" s="1"/>
  <c r="E83" i="15"/>
  <c r="F64" i="15"/>
  <c r="W45" i="15"/>
  <c r="U43" i="13"/>
  <c r="N81" i="13"/>
  <c r="G62" i="13"/>
  <c r="D83" i="15"/>
  <c r="D121" i="15"/>
  <c r="E64" i="15"/>
  <c r="V45" i="15"/>
  <c r="V64" i="15" s="1"/>
  <c r="C62" i="13"/>
  <c r="U44" i="13"/>
  <c r="U63" i="13" s="1"/>
  <c r="T83" i="15"/>
  <c r="N121" i="15"/>
  <c r="U64" i="15"/>
  <c r="N62" i="13"/>
  <c r="Q83" i="15"/>
  <c r="R64" i="15"/>
  <c r="N45" i="15"/>
  <c r="N83" i="15"/>
  <c r="O64" i="15"/>
  <c r="K121" i="15"/>
  <c r="J101" i="4"/>
  <c r="P62" i="13"/>
  <c r="R81" i="13"/>
  <c r="R83" i="15"/>
  <c r="S64" i="15"/>
  <c r="G64" i="15"/>
  <c r="F83" i="15"/>
  <c r="E62" i="13"/>
  <c r="T43" i="13"/>
  <c r="Z66" i="15"/>
  <c r="D64" i="15"/>
  <c r="H64" i="15"/>
  <c r="J64" i="15"/>
  <c r="M64" i="15"/>
  <c r="X64" i="15"/>
  <c r="K64" i="15"/>
  <c r="T64" i="15"/>
  <c r="Q64" i="15"/>
  <c r="B102" i="15"/>
  <c r="I64" i="15"/>
  <c r="P64" i="15"/>
  <c r="K83" i="15"/>
  <c r="L64" i="15"/>
  <c r="S62" i="13"/>
  <c r="U81" i="13"/>
  <c r="S81" i="13"/>
  <c r="Q62" i="13"/>
  <c r="B41" i="20"/>
  <c r="B54" i="20" s="1"/>
  <c r="B24" i="7"/>
  <c r="J24" i="7" s="1"/>
  <c r="N9" i="7"/>
  <c r="C64" i="15"/>
  <c r="B121" i="15"/>
  <c r="B83" i="15"/>
  <c r="M62" i="13"/>
  <c r="H62" i="13"/>
  <c r="D62" i="13"/>
  <c r="V62" i="13"/>
  <c r="K62" i="13"/>
  <c r="R62" i="13"/>
  <c r="I62" i="13"/>
  <c r="F62" i="13"/>
  <c r="J62" i="13"/>
  <c r="O62" i="13"/>
  <c r="I85" i="15"/>
  <c r="J66" i="15"/>
  <c r="U66" i="15"/>
  <c r="N123" i="15"/>
  <c r="T85" i="15"/>
  <c r="N11" i="7"/>
  <c r="B26" i="7"/>
  <c r="J26" i="7" s="1"/>
  <c r="B43" i="20"/>
  <c r="B56" i="20" s="1"/>
  <c r="J102" i="4"/>
  <c r="O102" i="4" s="1"/>
  <c r="G65" i="15"/>
  <c r="F84" i="15"/>
  <c r="J84" i="15"/>
  <c r="K65" i="15"/>
  <c r="W46" i="15"/>
  <c r="R83" i="13"/>
  <c r="P64" i="13"/>
  <c r="M64" i="13"/>
  <c r="S63" i="13"/>
  <c r="U82" i="13"/>
  <c r="D66" i="15"/>
  <c r="C85" i="15"/>
  <c r="C123" i="15"/>
  <c r="Q84" i="15"/>
  <c r="R65" i="15"/>
  <c r="B103" i="15"/>
  <c r="X65" i="15"/>
  <c r="E65" i="15"/>
  <c r="C65" i="15"/>
  <c r="T65" i="15"/>
  <c r="Q65" i="15"/>
  <c r="N65" i="15"/>
  <c r="O65" i="15"/>
  <c r="M83" i="13"/>
  <c r="I64" i="13"/>
  <c r="N63" i="13"/>
  <c r="E63" i="13"/>
  <c r="V63" i="13"/>
  <c r="C63" i="13"/>
  <c r="R63" i="13"/>
  <c r="J63" i="13"/>
  <c r="X63" i="13"/>
  <c r="L66" i="15"/>
  <c r="K85" i="15"/>
  <c r="M66" i="15"/>
  <c r="J123" i="15"/>
  <c r="L85" i="15"/>
  <c r="T44" i="4"/>
  <c r="D42" i="20"/>
  <c r="D55" i="20" s="1"/>
  <c r="S66" i="1"/>
  <c r="U66" i="1" s="1"/>
  <c r="Q66" i="1"/>
  <c r="D65" i="15"/>
  <c r="C84" i="15"/>
  <c r="C122" i="15"/>
  <c r="T84" i="15"/>
  <c r="U65" i="15"/>
  <c r="N122" i="15"/>
  <c r="M63" i="13"/>
  <c r="H63" i="13"/>
  <c r="O82" i="13"/>
  <c r="Z65" i="15"/>
  <c r="I66" i="15"/>
  <c r="H85" i="15"/>
  <c r="R66" i="15"/>
  <c r="Q85" i="15"/>
  <c r="M66" i="1"/>
  <c r="N66" i="1"/>
  <c r="O84" i="15"/>
  <c r="P65" i="15"/>
  <c r="M65" i="15"/>
  <c r="L84" i="15"/>
  <c r="J122" i="15"/>
  <c r="T45" i="13"/>
  <c r="D64" i="13"/>
  <c r="D63" i="13"/>
  <c r="B42" i="20"/>
  <c r="B55" i="20" s="1"/>
  <c r="B25" i="7"/>
  <c r="J25" i="7" s="1"/>
  <c r="N10" i="7"/>
  <c r="G85" i="15"/>
  <c r="H66" i="15"/>
  <c r="W47" i="15"/>
  <c r="T45" i="4"/>
  <c r="D43" i="20"/>
  <c r="D56" i="20" s="1"/>
  <c r="R66" i="1"/>
  <c r="T66" i="1"/>
  <c r="V66" i="1" s="1"/>
  <c r="Y12" i="1"/>
  <c r="Y12" i="7" s="1"/>
  <c r="AF12" i="7" s="1"/>
  <c r="L65" i="15"/>
  <c r="K84" i="15"/>
  <c r="E84" i="15"/>
  <c r="F65" i="15"/>
  <c r="U45" i="13"/>
  <c r="O83" i="13"/>
  <c r="H64" i="13"/>
  <c r="U83" i="13"/>
  <c r="S64" i="13"/>
  <c r="T44" i="13"/>
  <c r="K63" i="13"/>
  <c r="G66" i="15"/>
  <c r="F85" i="15" s="1"/>
  <c r="K66" i="15"/>
  <c r="J85" i="15"/>
  <c r="Y4" i="7"/>
  <c r="AF4" i="7" s="1"/>
  <c r="Y9" i="16"/>
  <c r="J103" i="4"/>
  <c r="P103" i="4" s="1"/>
  <c r="I84" i="15"/>
  <c r="J65" i="15"/>
  <c r="I65" i="15"/>
  <c r="H84" i="15"/>
  <c r="Q64" i="13"/>
  <c r="S83" i="13"/>
  <c r="N82" i="13"/>
  <c r="G63" i="13"/>
  <c r="M82" i="13"/>
  <c r="I63" i="13"/>
  <c r="P66" i="15"/>
  <c r="O85" i="15"/>
  <c r="G76" i="4"/>
  <c r="S65" i="15"/>
  <c r="R84" i="15"/>
  <c r="P83" i="13"/>
  <c r="O64" i="13"/>
  <c r="P82" i="13"/>
  <c r="O63" i="13"/>
  <c r="R82" i="13"/>
  <c r="P63" i="13"/>
  <c r="R85" i="15"/>
  <c r="S66" i="15"/>
  <c r="O66" i="15"/>
  <c r="T66" i="15"/>
  <c r="X66" i="15"/>
  <c r="F66" i="15"/>
  <c r="B104" i="15"/>
  <c r="E66" i="15"/>
  <c r="C66" i="15"/>
  <c r="N66" i="15"/>
  <c r="Q66" i="15"/>
  <c r="E90" i="1"/>
  <c r="O4" i="1"/>
  <c r="H21" i="15"/>
  <c r="M21" i="15" s="1"/>
  <c r="Q21" i="15" s="1"/>
  <c r="U21" i="15" s="1"/>
  <c r="H19" i="13"/>
  <c r="M19" i="13" s="1"/>
  <c r="Q19" i="13" s="1"/>
  <c r="U19" i="13" s="1"/>
  <c r="H19" i="4"/>
  <c r="S38" i="1"/>
  <c r="G84" i="15"/>
  <c r="H65" i="15"/>
  <c r="N83" i="13"/>
  <c r="G64" i="13"/>
  <c r="F64" i="13"/>
  <c r="V64" i="13"/>
  <c r="N64" i="13"/>
  <c r="E64" i="13"/>
  <c r="C64" i="13"/>
  <c r="R64" i="13"/>
  <c r="F63" i="13"/>
  <c r="Q63" i="13"/>
  <c r="S82" i="13"/>
  <c r="X64" i="13"/>
  <c r="AN9" i="7" l="1"/>
  <c r="AM9" i="7"/>
  <c r="AM11" i="7"/>
  <c r="AN11" i="7"/>
  <c r="AM10" i="7"/>
  <c r="AN10" i="7"/>
  <c r="Y5" i="7"/>
  <c r="AF5" i="7" s="1"/>
  <c r="G77" i="4"/>
  <c r="O5" i="1"/>
  <c r="H20" i="13"/>
  <c r="M20" i="13" s="1"/>
  <c r="Q20" i="13" s="1"/>
  <c r="U20" i="13" s="1"/>
  <c r="H22" i="15"/>
  <c r="M22" i="15" s="1"/>
  <c r="Q22" i="15" s="1"/>
  <c r="U22" i="15" s="1"/>
  <c r="E91" i="1"/>
  <c r="F91" i="1" s="1"/>
  <c r="G91" i="1" s="1"/>
  <c r="H91" i="1" s="1"/>
  <c r="I91" i="1" s="1"/>
  <c r="R39" i="1" s="1"/>
  <c r="H20" i="4"/>
  <c r="S39" i="1"/>
  <c r="F90" i="1"/>
  <c r="G90" i="1" s="1"/>
  <c r="H90" i="1" s="1"/>
  <c r="I90" i="1" s="1"/>
  <c r="C27" i="12"/>
  <c r="C28" i="12" s="1"/>
  <c r="C29" i="12" s="1"/>
  <c r="M12" i="4" s="1"/>
  <c r="G75" i="14"/>
  <c r="H75" i="14"/>
  <c r="I75" i="14"/>
  <c r="H91" i="14" s="1"/>
  <c r="D75" i="14"/>
  <c r="E75" i="14"/>
  <c r="B92" i="14"/>
  <c r="E44" i="14"/>
  <c r="E92" i="14" s="1"/>
  <c r="G44" i="14"/>
  <c r="G92" i="14" s="1"/>
  <c r="F44" i="14"/>
  <c r="F92" i="14" s="1"/>
  <c r="D44" i="14"/>
  <c r="D92" i="14" s="1"/>
  <c r="F75" i="14"/>
  <c r="V23" i="16"/>
  <c r="AA8" i="16"/>
  <c r="V39" i="16"/>
  <c r="T39" i="16"/>
  <c r="Z7" i="16"/>
  <c r="V20" i="16"/>
  <c r="Q5" i="16" s="1"/>
  <c r="AA5" i="16"/>
  <c r="U39" i="16"/>
  <c r="P7" i="16"/>
  <c r="V21" i="16"/>
  <c r="Q6" i="16" s="1"/>
  <c r="AA6" i="16"/>
  <c r="V19" i="16"/>
  <c r="Q4" i="16" s="1"/>
  <c r="AA4" i="16"/>
  <c r="Q8" i="16"/>
  <c r="V26" i="16"/>
  <c r="Q11" i="16" s="1"/>
  <c r="AA11" i="16"/>
  <c r="V25" i="16"/>
  <c r="Q10" i="16" s="1"/>
  <c r="AA10" i="16"/>
  <c r="P78" i="4"/>
  <c r="O59" i="4"/>
  <c r="P59" i="4"/>
  <c r="S59" i="4"/>
  <c r="M59" i="4"/>
  <c r="R78" i="4"/>
  <c r="M78" i="4"/>
  <c r="O78" i="4"/>
  <c r="M58" i="14"/>
  <c r="S37" i="7"/>
  <c r="Q37" i="7"/>
  <c r="P7" i="7" s="1"/>
  <c r="AP7" i="7" s="1"/>
  <c r="J74" i="14"/>
  <c r="L74" i="14"/>
  <c r="L104" i="15"/>
  <c r="N78" i="4"/>
  <c r="Q59" i="4"/>
  <c r="Q78" i="4"/>
  <c r="R59" i="4"/>
  <c r="L59" i="4"/>
  <c r="C103" i="15"/>
  <c r="L103" i="15"/>
  <c r="V40" i="1"/>
  <c r="T40" i="1"/>
  <c r="Z6" i="1"/>
  <c r="AD6" i="7" s="1"/>
  <c r="O38" i="7"/>
  <c r="L38" i="7"/>
  <c r="K59" i="14" s="1"/>
  <c r="K75" i="14" s="1"/>
  <c r="K38" i="7"/>
  <c r="J38" i="7"/>
  <c r="J57" i="7"/>
  <c r="F57" i="7"/>
  <c r="H57" i="7"/>
  <c r="P57" i="7" s="1"/>
  <c r="C75" i="14"/>
  <c r="Y46" i="15"/>
  <c r="Y65" i="15" s="1"/>
  <c r="Y47" i="15"/>
  <c r="Y66" i="15" s="1"/>
  <c r="N103" i="4"/>
  <c r="D102" i="15"/>
  <c r="W45" i="13"/>
  <c r="W64" i="13" s="1"/>
  <c r="F103" i="15"/>
  <c r="H103" i="15"/>
  <c r="R102" i="4"/>
  <c r="P102" i="4"/>
  <c r="Q102" i="4"/>
  <c r="N102" i="4"/>
  <c r="C104" i="15"/>
  <c r="W82" i="13"/>
  <c r="U62" i="13"/>
  <c r="W81" i="13"/>
  <c r="T62" i="13"/>
  <c r="V81" i="13"/>
  <c r="Y81" i="13" s="1"/>
  <c r="C28" i="14"/>
  <c r="M28" i="14" s="1"/>
  <c r="K24" i="7"/>
  <c r="W24" i="7" s="1"/>
  <c r="P101" i="4"/>
  <c r="N101" i="4"/>
  <c r="S101" i="4"/>
  <c r="R101" i="4"/>
  <c r="Q101" i="4"/>
  <c r="M101" i="4"/>
  <c r="W64" i="15"/>
  <c r="C102" i="15"/>
  <c r="E103" i="15"/>
  <c r="B140" i="15"/>
  <c r="H102" i="15"/>
  <c r="I102" i="15"/>
  <c r="Y45" i="15"/>
  <c r="M83" i="15"/>
  <c r="N64" i="15"/>
  <c r="F102" i="15"/>
  <c r="D103" i="15"/>
  <c r="W43" i="13"/>
  <c r="W62" i="13" s="1"/>
  <c r="E102" i="15"/>
  <c r="O101" i="4"/>
  <c r="M4" i="7"/>
  <c r="AL4" i="7" s="1"/>
  <c r="O9" i="16"/>
  <c r="B142" i="15"/>
  <c r="I104" i="15"/>
  <c r="B46" i="14"/>
  <c r="H46" i="14" s="1"/>
  <c r="N26" i="7"/>
  <c r="AA11" i="7" s="1"/>
  <c r="AI11" i="7" s="1"/>
  <c r="W83" i="13"/>
  <c r="U64" i="13"/>
  <c r="O103" i="4"/>
  <c r="E104" i="15"/>
  <c r="D76" i="4"/>
  <c r="K76" i="4" s="1"/>
  <c r="K26" i="7"/>
  <c r="M26" i="7" s="1"/>
  <c r="O11" i="7" s="1"/>
  <c r="AO11" i="7" s="1"/>
  <c r="C30" i="14"/>
  <c r="M30" i="14" s="1"/>
  <c r="C29" i="14"/>
  <c r="M29" i="14" s="1"/>
  <c r="K25" i="7"/>
  <c r="R103" i="4"/>
  <c r="R38" i="1"/>
  <c r="T63" i="13"/>
  <c r="V82" i="13"/>
  <c r="Y82" i="13" s="1"/>
  <c r="G84" i="4"/>
  <c r="N25" i="7"/>
  <c r="AA10" i="7" s="1"/>
  <c r="AI10" i="7" s="1"/>
  <c r="B45" i="14"/>
  <c r="H45" i="14" s="1"/>
  <c r="O25" i="7"/>
  <c r="U38" i="1"/>
  <c r="P4" i="1"/>
  <c r="K57" i="4"/>
  <c r="M103" i="4"/>
  <c r="H27" i="4"/>
  <c r="E89" i="1"/>
  <c r="F89" i="1" s="1"/>
  <c r="G89" i="1" s="1"/>
  <c r="H89" i="1" s="1"/>
  <c r="I89" i="1" s="1"/>
  <c r="O12" i="1"/>
  <c r="H29" i="15"/>
  <c r="H27" i="13"/>
  <c r="M27" i="13" s="1"/>
  <c r="Q27" i="13" s="1"/>
  <c r="U27" i="13" s="1"/>
  <c r="S46" i="1"/>
  <c r="G104" i="15"/>
  <c r="V85" i="15"/>
  <c r="D57" i="4"/>
  <c r="J57" i="4" s="1"/>
  <c r="M19" i="4"/>
  <c r="Q19" i="4" s="1"/>
  <c r="D38" i="4"/>
  <c r="K38" i="4" s="1"/>
  <c r="V83" i="13"/>
  <c r="T64" i="13"/>
  <c r="Q103" i="4"/>
  <c r="G103" i="15"/>
  <c r="V84" i="15"/>
  <c r="W65" i="15"/>
  <c r="F104" i="15"/>
  <c r="D104" i="15"/>
  <c r="O26" i="7"/>
  <c r="H104" i="15"/>
  <c r="S102" i="4"/>
  <c r="S103" i="4"/>
  <c r="W66" i="15"/>
  <c r="W44" i="13"/>
  <c r="W63" i="13" s="1"/>
  <c r="B141" i="15"/>
  <c r="I103" i="15"/>
  <c r="M102" i="4"/>
  <c r="F123" i="14" l="1"/>
  <c r="F107" i="14"/>
  <c r="Z5" i="1"/>
  <c r="T39" i="1"/>
  <c r="V39" i="1"/>
  <c r="D41" i="4"/>
  <c r="K41" i="4" s="1"/>
  <c r="P41" i="4" s="1"/>
  <c r="R41" i="4" s="1"/>
  <c r="D42" i="4"/>
  <c r="K42" i="4" s="1"/>
  <c r="P42" i="4" s="1"/>
  <c r="R42" i="4" s="1"/>
  <c r="D43" i="4"/>
  <c r="K43" i="4" s="1"/>
  <c r="P43" i="4" s="1"/>
  <c r="R43" i="4" s="1"/>
  <c r="D40" i="4"/>
  <c r="K40" i="4" s="1"/>
  <c r="M5" i="7"/>
  <c r="AL5" i="7" s="1"/>
  <c r="K58" i="4"/>
  <c r="U39" i="1"/>
  <c r="P5" i="1"/>
  <c r="D39" i="4"/>
  <c r="K39" i="4" s="1"/>
  <c r="D58" i="4"/>
  <c r="M20" i="4"/>
  <c r="Q20" i="4" s="1"/>
  <c r="D77" i="4"/>
  <c r="K77" i="4" s="1"/>
  <c r="L77" i="4" s="1"/>
  <c r="G46" i="14"/>
  <c r="G94" i="14" s="1"/>
  <c r="D46" i="14"/>
  <c r="D94" i="14" s="1"/>
  <c r="F46" i="14"/>
  <c r="F94" i="14" s="1"/>
  <c r="E46" i="14"/>
  <c r="E94" i="14" s="1"/>
  <c r="Y83" i="13"/>
  <c r="E122" i="14"/>
  <c r="H122" i="14" s="1"/>
  <c r="E106" i="14"/>
  <c r="D123" i="14"/>
  <c r="D107" i="14"/>
  <c r="D45" i="14"/>
  <c r="D93" i="14" s="1"/>
  <c r="G45" i="14"/>
  <c r="G93" i="14" s="1"/>
  <c r="E45" i="14"/>
  <c r="E93" i="14" s="1"/>
  <c r="F45" i="14"/>
  <c r="F93" i="14" s="1"/>
  <c r="G107" i="14"/>
  <c r="G123" i="14"/>
  <c r="C107" i="14"/>
  <c r="C123" i="14"/>
  <c r="AA7" i="16"/>
  <c r="V22" i="16"/>
  <c r="Q7" i="16"/>
  <c r="I90" i="14"/>
  <c r="N58" i="14"/>
  <c r="M74" i="14"/>
  <c r="V21" i="1"/>
  <c r="AA6" i="1"/>
  <c r="C21" i="7" s="1"/>
  <c r="L21" i="7" s="1"/>
  <c r="B40" i="13"/>
  <c r="D40" i="13" s="1"/>
  <c r="Q40" i="4"/>
  <c r="S21" i="13"/>
  <c r="B42" i="15"/>
  <c r="B61" i="15" s="1"/>
  <c r="S23" i="15"/>
  <c r="B98" i="4"/>
  <c r="W85" i="15"/>
  <c r="S123" i="15"/>
  <c r="Q123" i="15" s="1"/>
  <c r="J142" i="15" s="1"/>
  <c r="W84" i="15"/>
  <c r="S122" i="15"/>
  <c r="Q122" i="15" s="1"/>
  <c r="J141" i="15" s="1"/>
  <c r="J59" i="14"/>
  <c r="N57" i="7"/>
  <c r="R57" i="7"/>
  <c r="C76" i="7"/>
  <c r="P38" i="7"/>
  <c r="G102" i="15"/>
  <c r="J102" i="15" s="1"/>
  <c r="K102" i="15" s="1"/>
  <c r="V83" i="15"/>
  <c r="W83" i="15" s="1"/>
  <c r="S121" i="15"/>
  <c r="Q121" i="15" s="1"/>
  <c r="Y64" i="15"/>
  <c r="I44" i="14"/>
  <c r="C44" i="14"/>
  <c r="J104" i="15"/>
  <c r="K104" i="15" s="1"/>
  <c r="J103" i="15"/>
  <c r="K103" i="15" s="1"/>
  <c r="H140" i="15"/>
  <c r="E140" i="15"/>
  <c r="I140" i="15"/>
  <c r="C140" i="15"/>
  <c r="F140" i="15"/>
  <c r="G140" i="15"/>
  <c r="W26" i="7"/>
  <c r="D140" i="15"/>
  <c r="M24" i="7"/>
  <c r="O9" i="7" s="1"/>
  <c r="AO9" i="7" s="1"/>
  <c r="N28" i="14"/>
  <c r="C39" i="7"/>
  <c r="D39" i="7" s="1"/>
  <c r="Z81" i="13"/>
  <c r="B93" i="14"/>
  <c r="Z4" i="1"/>
  <c r="T38" i="1"/>
  <c r="V38" i="1"/>
  <c r="Q38" i="4" s="1"/>
  <c r="S38" i="4" s="1"/>
  <c r="C141" i="15"/>
  <c r="G141" i="15"/>
  <c r="I141" i="15"/>
  <c r="D141" i="15"/>
  <c r="F141" i="15"/>
  <c r="H141" i="15"/>
  <c r="I142" i="15"/>
  <c r="G142" i="15"/>
  <c r="D142" i="15"/>
  <c r="F142" i="15"/>
  <c r="H142" i="15"/>
  <c r="E141" i="15"/>
  <c r="R26" i="7"/>
  <c r="M29" i="15"/>
  <c r="Q29" i="15" s="1"/>
  <c r="U29" i="15" s="1"/>
  <c r="M12" i="7"/>
  <c r="AL12" i="7" s="1"/>
  <c r="I46" i="14"/>
  <c r="C46" i="14"/>
  <c r="W25" i="7"/>
  <c r="N29" i="14"/>
  <c r="Z82" i="13"/>
  <c r="C15" i="7"/>
  <c r="C40" i="7"/>
  <c r="D40" i="7" s="1"/>
  <c r="N30" i="14"/>
  <c r="Z83" i="13"/>
  <c r="C41" i="7"/>
  <c r="D41" i="7" s="1"/>
  <c r="R46" i="1"/>
  <c r="D84" i="4"/>
  <c r="K84" i="4" s="1"/>
  <c r="P9" i="16"/>
  <c r="R4" i="7"/>
  <c r="I45" i="14"/>
  <c r="C45" i="14"/>
  <c r="L76" i="4"/>
  <c r="S76" i="4" s="1"/>
  <c r="D65" i="4"/>
  <c r="D46" i="4"/>
  <c r="K46" i="4" s="1"/>
  <c r="M27" i="4"/>
  <c r="Q27" i="4" s="1"/>
  <c r="R25" i="7"/>
  <c r="N57" i="4"/>
  <c r="Q57" i="4"/>
  <c r="P57" i="4"/>
  <c r="R57" i="4"/>
  <c r="L57" i="4"/>
  <c r="S57" i="4"/>
  <c r="O57" i="4"/>
  <c r="M57" i="4"/>
  <c r="U46" i="1"/>
  <c r="P12" i="1"/>
  <c r="K65" i="4"/>
  <c r="M25" i="7"/>
  <c r="O10" i="7" s="1"/>
  <c r="AO10" i="7" s="1"/>
  <c r="E142" i="15"/>
  <c r="B94" i="14"/>
  <c r="S77" i="4" l="1"/>
  <c r="R77" i="4"/>
  <c r="Q77" i="4"/>
  <c r="M77" i="4"/>
  <c r="O77" i="4"/>
  <c r="P77" i="4"/>
  <c r="N77" i="4"/>
  <c r="J58" i="4"/>
  <c r="N58" i="4"/>
  <c r="R5" i="7"/>
  <c r="T43" i="4"/>
  <c r="U43" i="4"/>
  <c r="K555" i="10"/>
  <c r="K569" i="10" s="1"/>
  <c r="S24" i="7"/>
  <c r="O24" i="7" s="1"/>
  <c r="D41" i="20"/>
  <c r="D54" i="20" s="1"/>
  <c r="J555" i="10"/>
  <c r="J569" i="10" s="1"/>
  <c r="S23" i="7"/>
  <c r="O23" i="7" s="1"/>
  <c r="U42" i="4"/>
  <c r="T42" i="4"/>
  <c r="D40" i="20"/>
  <c r="D53" i="20" s="1"/>
  <c r="I555" i="10"/>
  <c r="I569" i="10" s="1"/>
  <c r="S22" i="7"/>
  <c r="O22" i="7" s="1"/>
  <c r="U41" i="4"/>
  <c r="T41" i="4"/>
  <c r="D39" i="20"/>
  <c r="D52" i="20" s="1"/>
  <c r="U21" i="7"/>
  <c r="T21" i="7"/>
  <c r="Q39" i="4"/>
  <c r="B39" i="13"/>
  <c r="S22" i="15"/>
  <c r="S20" i="13"/>
  <c r="B41" i="15"/>
  <c r="B97" i="4"/>
  <c r="AA5" i="1"/>
  <c r="V20" i="1"/>
  <c r="AD5" i="7"/>
  <c r="H106" i="14"/>
  <c r="M106" i="14" s="1"/>
  <c r="I122" i="14"/>
  <c r="J122" i="14"/>
  <c r="J75" i="14"/>
  <c r="L59" i="14"/>
  <c r="L75" i="14" s="1"/>
  <c r="J39" i="20"/>
  <c r="R122" i="15"/>
  <c r="T122" i="15" s="1"/>
  <c r="B108" i="14"/>
  <c r="C92" i="14"/>
  <c r="F42" i="20"/>
  <c r="C93" i="14"/>
  <c r="B109" i="14"/>
  <c r="B110" i="14"/>
  <c r="C94" i="14"/>
  <c r="O40" i="4"/>
  <c r="P40" i="4" s="1"/>
  <c r="R40" i="4" s="1"/>
  <c r="S40" i="4"/>
  <c r="K98" i="4"/>
  <c r="L98" i="4" s="1"/>
  <c r="B59" i="13"/>
  <c r="Q40" i="13"/>
  <c r="R40" i="13"/>
  <c r="L40" i="13"/>
  <c r="Q78" i="13" s="1"/>
  <c r="S40" i="13"/>
  <c r="E40" i="13"/>
  <c r="N40" i="13"/>
  <c r="C40" i="13"/>
  <c r="C78" i="13" s="1"/>
  <c r="P40" i="13"/>
  <c r="U42" i="15"/>
  <c r="E42" i="15"/>
  <c r="R42" i="15"/>
  <c r="H118" i="15"/>
  <c r="L42" i="15"/>
  <c r="O42" i="15"/>
  <c r="K118" i="15" s="1"/>
  <c r="S42" i="15"/>
  <c r="C42" i="15"/>
  <c r="T42" i="15"/>
  <c r="Z6" i="7"/>
  <c r="C38" i="20"/>
  <c r="C51" i="20" s="1"/>
  <c r="C98" i="4"/>
  <c r="G98" i="4"/>
  <c r="E98" i="4"/>
  <c r="H98" i="4"/>
  <c r="F98" i="4"/>
  <c r="D98" i="4"/>
  <c r="Z42" i="15"/>
  <c r="X40" i="13"/>
  <c r="Q6" i="1"/>
  <c r="M59" i="14"/>
  <c r="S38" i="7"/>
  <c r="Q38" i="7"/>
  <c r="P8" i="7" s="1"/>
  <c r="AP8" i="7" s="1"/>
  <c r="AA82" i="13"/>
  <c r="AA83" i="13"/>
  <c r="F43" i="20"/>
  <c r="F52" i="20" s="1"/>
  <c r="AA81" i="13"/>
  <c r="O28" i="14"/>
  <c r="E39" i="7"/>
  <c r="F39" i="7" s="1"/>
  <c r="M39" i="7"/>
  <c r="B60" i="14"/>
  <c r="N39" i="7"/>
  <c r="F41" i="20"/>
  <c r="R121" i="15"/>
  <c r="T121" i="15" s="1"/>
  <c r="J140" i="15"/>
  <c r="K140" i="15" s="1"/>
  <c r="B124" i="14" s="1"/>
  <c r="K141" i="15"/>
  <c r="V26" i="7"/>
  <c r="Z26" i="7"/>
  <c r="G43" i="20" s="1"/>
  <c r="G56" i="20" s="1"/>
  <c r="Z25" i="7"/>
  <c r="G42" i="20" s="1"/>
  <c r="G55" i="20" s="1"/>
  <c r="V25" i="7"/>
  <c r="L84" i="4"/>
  <c r="S84" i="4" s="1"/>
  <c r="O30" i="14"/>
  <c r="Y26" i="7"/>
  <c r="Z9" i="16"/>
  <c r="AD4" i="7"/>
  <c r="N40" i="7"/>
  <c r="M40" i="7"/>
  <c r="E40" i="7"/>
  <c r="F40" i="7" s="1"/>
  <c r="B61" i="14"/>
  <c r="Z12" i="1"/>
  <c r="AD12" i="7" s="1"/>
  <c r="T46" i="1"/>
  <c r="V46" i="1"/>
  <c r="R12" i="7"/>
  <c r="J65" i="4"/>
  <c r="N65" i="4" s="1"/>
  <c r="B96" i="4"/>
  <c r="B40" i="15"/>
  <c r="B59" i="15" s="1"/>
  <c r="S19" i="13"/>
  <c r="B38" i="13"/>
  <c r="D38" i="13" s="1"/>
  <c r="S21" i="15"/>
  <c r="Y25" i="7"/>
  <c r="M76" i="4"/>
  <c r="Q76" i="4"/>
  <c r="R76" i="4"/>
  <c r="N76" i="4"/>
  <c r="P76" i="4"/>
  <c r="O76" i="4"/>
  <c r="E41" i="7"/>
  <c r="F41" i="7" s="1"/>
  <c r="M41" i="7"/>
  <c r="B62" i="14"/>
  <c r="N41" i="7"/>
  <c r="O29" i="14"/>
  <c r="V19" i="1"/>
  <c r="AA4" i="1"/>
  <c r="C19" i="7" s="1"/>
  <c r="L19" i="7" s="1"/>
  <c r="AG6" i="7" l="1"/>
  <c r="AH6" i="7"/>
  <c r="G97" i="4"/>
  <c r="D97" i="4"/>
  <c r="C97" i="4"/>
  <c r="H97" i="4"/>
  <c r="F97" i="4"/>
  <c r="E97" i="4"/>
  <c r="B60" i="15"/>
  <c r="H117" i="15"/>
  <c r="S41" i="15"/>
  <c r="L41" i="15"/>
  <c r="C41" i="15"/>
  <c r="O41" i="15"/>
  <c r="E41" i="15"/>
  <c r="T41" i="15"/>
  <c r="R41" i="15"/>
  <c r="U41" i="15"/>
  <c r="Q58" i="4"/>
  <c r="O58" i="4"/>
  <c r="L58" i="4"/>
  <c r="R58" i="4"/>
  <c r="M58" i="4"/>
  <c r="S58" i="4"/>
  <c r="P58" i="4"/>
  <c r="B39" i="14"/>
  <c r="H39" i="14" s="1"/>
  <c r="U19" i="7"/>
  <c r="N19" i="7"/>
  <c r="T19" i="7"/>
  <c r="R23" i="7"/>
  <c r="Y23" i="7" s="1"/>
  <c r="I57" i="7"/>
  <c r="I56" i="7"/>
  <c r="R22" i="7"/>
  <c r="Y22" i="7" s="1"/>
  <c r="D39" i="13"/>
  <c r="P39" i="13"/>
  <c r="C39" i="13"/>
  <c r="S39" i="13"/>
  <c r="L39" i="13"/>
  <c r="Q77" i="13" s="1"/>
  <c r="B58" i="13"/>
  <c r="E39" i="13"/>
  <c r="Q39" i="13"/>
  <c r="N39" i="13"/>
  <c r="R39" i="13"/>
  <c r="R24" i="7"/>
  <c r="Y24" i="7"/>
  <c r="Q5" i="1"/>
  <c r="X39" i="13"/>
  <c r="Z41" i="15"/>
  <c r="Z60" i="15" s="1"/>
  <c r="O39" i="4"/>
  <c r="P39" i="4" s="1"/>
  <c r="R39" i="4" s="1"/>
  <c r="K97" i="4"/>
  <c r="L97" i="4" s="1"/>
  <c r="S39" i="4"/>
  <c r="C20" i="7"/>
  <c r="L20" i="7" s="1"/>
  <c r="C37" i="20"/>
  <c r="C50" i="20" s="1"/>
  <c r="Z5" i="7"/>
  <c r="K122" i="14"/>
  <c r="I106" i="14"/>
  <c r="K106" i="14"/>
  <c r="J106" i="14"/>
  <c r="U40" i="4"/>
  <c r="H555" i="10"/>
  <c r="H569" i="10" s="1"/>
  <c r="S21" i="7"/>
  <c r="O21" i="7" s="1"/>
  <c r="K39" i="20"/>
  <c r="F62" i="14"/>
  <c r="E62" i="14"/>
  <c r="G62" i="14"/>
  <c r="D62" i="14"/>
  <c r="I62" i="14"/>
  <c r="H62" i="14"/>
  <c r="G61" i="14"/>
  <c r="H61" i="14"/>
  <c r="F61" i="14"/>
  <c r="E61" i="14"/>
  <c r="D61" i="14"/>
  <c r="I61" i="14"/>
  <c r="I91" i="14"/>
  <c r="E107" i="14"/>
  <c r="E123" i="14"/>
  <c r="H123" i="14" s="1"/>
  <c r="H60" i="14"/>
  <c r="G60" i="14"/>
  <c r="F60" i="14"/>
  <c r="E60" i="14"/>
  <c r="D60" i="14"/>
  <c r="I60" i="14"/>
  <c r="E42" i="20"/>
  <c r="B125" i="14"/>
  <c r="Z61" i="15"/>
  <c r="T61" i="15"/>
  <c r="O118" i="15"/>
  <c r="S80" i="15"/>
  <c r="B80" i="15"/>
  <c r="C61" i="15"/>
  <c r="B118" i="15"/>
  <c r="N118" i="15"/>
  <c r="U61" i="15"/>
  <c r="T80" i="15"/>
  <c r="S78" i="13"/>
  <c r="Q59" i="13"/>
  <c r="J98" i="4"/>
  <c r="M98" i="4" s="1"/>
  <c r="R80" i="15"/>
  <c r="S61" i="15"/>
  <c r="R78" i="13"/>
  <c r="P59" i="13"/>
  <c r="F59" i="13"/>
  <c r="U59" i="13"/>
  <c r="K59" i="13"/>
  <c r="G59" i="13"/>
  <c r="O59" i="13"/>
  <c r="J59" i="13"/>
  <c r="I59" i="13"/>
  <c r="M59" i="13"/>
  <c r="D59" i="13"/>
  <c r="H59" i="13"/>
  <c r="V59" i="13"/>
  <c r="O61" i="15"/>
  <c r="N80" i="15"/>
  <c r="N42" i="15"/>
  <c r="C59" i="13"/>
  <c r="D80" i="15"/>
  <c r="D118" i="15"/>
  <c r="E61" i="15"/>
  <c r="V42" i="15"/>
  <c r="V61" i="15" s="1"/>
  <c r="K80" i="15"/>
  <c r="L61" i="15"/>
  <c r="N59" i="13"/>
  <c r="T78" i="13"/>
  <c r="R59" i="13"/>
  <c r="B21" i="7"/>
  <c r="J21" i="7" s="1"/>
  <c r="B38" i="20"/>
  <c r="B51" i="20" s="1"/>
  <c r="N6" i="7"/>
  <c r="E59" i="13"/>
  <c r="T40" i="13"/>
  <c r="X59" i="13"/>
  <c r="F61" i="15"/>
  <c r="I61" i="15"/>
  <c r="X61" i="15"/>
  <c r="K61" i="15"/>
  <c r="P61" i="15"/>
  <c r="W61" i="15"/>
  <c r="G61" i="15"/>
  <c r="H61" i="15"/>
  <c r="Q61" i="15"/>
  <c r="J61" i="15"/>
  <c r="B99" i="15"/>
  <c r="M61" i="15"/>
  <c r="D61" i="15"/>
  <c r="S59" i="13"/>
  <c r="U78" i="13"/>
  <c r="D38" i="20"/>
  <c r="D51" i="20" s="1"/>
  <c r="T40" i="4"/>
  <c r="B41" i="14"/>
  <c r="H41" i="14" s="1"/>
  <c r="N21" i="7"/>
  <c r="AA6" i="7" s="1"/>
  <c r="AI6" i="7" s="1"/>
  <c r="R61" i="15"/>
  <c r="Q80" i="15"/>
  <c r="L59" i="13"/>
  <c r="F56" i="20"/>
  <c r="F53" i="20"/>
  <c r="D96" i="4"/>
  <c r="C96" i="4"/>
  <c r="M75" i="14"/>
  <c r="N59" i="14"/>
  <c r="F55" i="20"/>
  <c r="F54" i="20"/>
  <c r="E41" i="20"/>
  <c r="C60" i="14"/>
  <c r="B76" i="14"/>
  <c r="O60" i="14"/>
  <c r="R39" i="7"/>
  <c r="T39" i="7"/>
  <c r="E58" i="7"/>
  <c r="H39" i="7"/>
  <c r="C61" i="14"/>
  <c r="B77" i="14"/>
  <c r="O61" i="14"/>
  <c r="N38" i="13"/>
  <c r="S38" i="13"/>
  <c r="U76" i="13" s="1"/>
  <c r="E38" i="13"/>
  <c r="L38" i="13"/>
  <c r="Q76" i="13" s="1"/>
  <c r="P38" i="13"/>
  <c r="R76" i="13" s="1"/>
  <c r="C38" i="13"/>
  <c r="B57" i="13"/>
  <c r="Q38" i="13"/>
  <c r="S76" i="13" s="1"/>
  <c r="O38" i="13"/>
  <c r="P76" i="13" s="1"/>
  <c r="T40" i="7"/>
  <c r="H40" i="7"/>
  <c r="E59" i="7"/>
  <c r="R40" i="7"/>
  <c r="AB10" i="7" s="1"/>
  <c r="AJ10" i="7" s="1"/>
  <c r="Q84" i="4"/>
  <c r="N84" i="4"/>
  <c r="R84" i="4"/>
  <c r="M84" i="4"/>
  <c r="P84" i="4"/>
  <c r="O84" i="4"/>
  <c r="C40" i="15"/>
  <c r="Q40" i="15"/>
  <c r="R40" i="15"/>
  <c r="S40" i="15"/>
  <c r="L40" i="15"/>
  <c r="E40" i="15"/>
  <c r="H116" i="15"/>
  <c r="M116" i="15"/>
  <c r="U40" i="15"/>
  <c r="O40" i="15"/>
  <c r="Q65" i="4"/>
  <c r="S65" i="4"/>
  <c r="R65" i="4"/>
  <c r="O65" i="4"/>
  <c r="P65" i="4"/>
  <c r="L65" i="4"/>
  <c r="M65" i="4"/>
  <c r="N20" i="7"/>
  <c r="AA5" i="7" s="1"/>
  <c r="AI5" i="7" s="1"/>
  <c r="B40" i="14"/>
  <c r="H40" i="14" s="1"/>
  <c r="C62" i="14"/>
  <c r="B78" i="14"/>
  <c r="O62" i="14"/>
  <c r="E96" i="4"/>
  <c r="F96" i="4"/>
  <c r="G96" i="4"/>
  <c r="H96" i="4"/>
  <c r="Z4" i="7"/>
  <c r="C36" i="20"/>
  <c r="C49" i="20" s="1"/>
  <c r="R41" i="7"/>
  <c r="AB11" i="7" s="1"/>
  <c r="AJ11" i="7" s="1"/>
  <c r="T41" i="7"/>
  <c r="H41" i="7"/>
  <c r="E60" i="7"/>
  <c r="K96" i="4"/>
  <c r="L96" i="4" s="1"/>
  <c r="O38" i="4"/>
  <c r="P38" i="4" s="1"/>
  <c r="R38" i="4" s="1"/>
  <c r="S29" i="15"/>
  <c r="B104" i="4"/>
  <c r="Q46" i="4"/>
  <c r="B48" i="15"/>
  <c r="B46" i="13"/>
  <c r="S27" i="13"/>
  <c r="Z40" i="15"/>
  <c r="X38" i="13"/>
  <c r="Q4" i="1"/>
  <c r="AA12" i="1"/>
  <c r="C27" i="7" s="1"/>
  <c r="L27" i="7" s="1"/>
  <c r="V27" i="1"/>
  <c r="AG5" i="7" l="1"/>
  <c r="AH5" i="7"/>
  <c r="AH4" i="7"/>
  <c r="AG4" i="7"/>
  <c r="AM6" i="7"/>
  <c r="AN6" i="7"/>
  <c r="X58" i="13"/>
  <c r="Q58" i="13"/>
  <c r="S77" i="13"/>
  <c r="D39" i="14"/>
  <c r="D87" i="14" s="1"/>
  <c r="B87" i="14"/>
  <c r="E39" i="14"/>
  <c r="E87" i="14" s="1"/>
  <c r="F39" i="14"/>
  <c r="F87" i="14" s="1"/>
  <c r="G39" i="14"/>
  <c r="G87" i="14" s="1"/>
  <c r="U60" i="15"/>
  <c r="T79" i="15"/>
  <c r="N117" i="15"/>
  <c r="E58" i="13"/>
  <c r="T39" i="13"/>
  <c r="V22" i="7"/>
  <c r="Z22" i="7"/>
  <c r="G39" i="20" s="1"/>
  <c r="G52" i="20" s="1"/>
  <c r="Q79" i="15"/>
  <c r="R60" i="15"/>
  <c r="H60" i="15"/>
  <c r="J60" i="15"/>
  <c r="B98" i="15"/>
  <c r="W60" i="15"/>
  <c r="M60" i="15"/>
  <c r="G60" i="15"/>
  <c r="I60" i="15"/>
  <c r="P60" i="15"/>
  <c r="K60" i="15"/>
  <c r="Q60" i="15"/>
  <c r="F60" i="15"/>
  <c r="X60" i="15"/>
  <c r="D60" i="15"/>
  <c r="N5" i="7"/>
  <c r="B37" i="20"/>
  <c r="B50" i="20" s="1"/>
  <c r="B20" i="7"/>
  <c r="J20" i="7" s="1"/>
  <c r="O58" i="13"/>
  <c r="F58" i="13"/>
  <c r="V58" i="13"/>
  <c r="H58" i="13"/>
  <c r="I58" i="13"/>
  <c r="M58" i="13"/>
  <c r="J58" i="13"/>
  <c r="G58" i="13"/>
  <c r="K58" i="13"/>
  <c r="U58" i="13"/>
  <c r="Q56" i="7"/>
  <c r="B75" i="7"/>
  <c r="F75" i="7"/>
  <c r="E75" i="7"/>
  <c r="G75" i="7"/>
  <c r="O117" i="15"/>
  <c r="T60" i="15"/>
  <c r="S79" i="15"/>
  <c r="U27" i="7"/>
  <c r="T27" i="7"/>
  <c r="L58" i="13"/>
  <c r="Q57" i="7"/>
  <c r="B76" i="7"/>
  <c r="F76" i="7"/>
  <c r="V41" i="15"/>
  <c r="V60" i="15" s="1"/>
  <c r="E60" i="15"/>
  <c r="D117" i="15"/>
  <c r="D79" i="15"/>
  <c r="F98" i="15" s="1"/>
  <c r="T20" i="7"/>
  <c r="U20" i="7"/>
  <c r="U77" i="13"/>
  <c r="S58" i="13"/>
  <c r="V23" i="7"/>
  <c r="Z23" i="7"/>
  <c r="G40" i="20" s="1"/>
  <c r="G53" i="20" s="1"/>
  <c r="N41" i="15"/>
  <c r="K117" i="15"/>
  <c r="N79" i="15"/>
  <c r="O60" i="15"/>
  <c r="Z24" i="7"/>
  <c r="G41" i="20" s="1"/>
  <c r="G54" i="20" s="1"/>
  <c r="V24" i="7"/>
  <c r="C58" i="13"/>
  <c r="C60" i="15"/>
  <c r="B117" i="15"/>
  <c r="B79" i="15"/>
  <c r="J97" i="4"/>
  <c r="R58" i="13"/>
  <c r="T77" i="13"/>
  <c r="R77" i="13"/>
  <c r="P58" i="13"/>
  <c r="L60" i="15"/>
  <c r="K79" i="15"/>
  <c r="C76" i="13"/>
  <c r="T39" i="4"/>
  <c r="U39" i="4"/>
  <c r="G555" i="10"/>
  <c r="G569" i="10" s="1"/>
  <c r="S20" i="7"/>
  <c r="O20" i="7" s="1"/>
  <c r="R20" i="7" s="1"/>
  <c r="Y20" i="7" s="1"/>
  <c r="D37" i="20"/>
  <c r="D50" i="20" s="1"/>
  <c r="N58" i="13"/>
  <c r="C77" i="13"/>
  <c r="D58" i="13"/>
  <c r="R79" i="15"/>
  <c r="S60" i="15"/>
  <c r="B67" i="15"/>
  <c r="M124" i="15"/>
  <c r="G77" i="14"/>
  <c r="F555" i="10"/>
  <c r="F569" i="10" s="1"/>
  <c r="U38" i="4"/>
  <c r="S19" i="7"/>
  <c r="O19" i="7" s="1"/>
  <c r="I123" i="14"/>
  <c r="J123" i="14"/>
  <c r="H107" i="14"/>
  <c r="M107" i="14" s="1"/>
  <c r="L106" i="14"/>
  <c r="N106" i="14" s="1"/>
  <c r="E76" i="14"/>
  <c r="H78" i="14"/>
  <c r="F41" i="14"/>
  <c r="F89" i="14" s="1"/>
  <c r="D41" i="14"/>
  <c r="D89" i="14" s="1"/>
  <c r="G41" i="14"/>
  <c r="G89" i="14" s="1"/>
  <c r="E41" i="14"/>
  <c r="E89" i="14" s="1"/>
  <c r="I76" i="14"/>
  <c r="D76" i="14"/>
  <c r="D78" i="14"/>
  <c r="F76" i="14"/>
  <c r="I77" i="14"/>
  <c r="G76" i="14"/>
  <c r="H76" i="14"/>
  <c r="E77" i="14"/>
  <c r="G78" i="14"/>
  <c r="G40" i="14"/>
  <c r="G88" i="14" s="1"/>
  <c r="E40" i="14"/>
  <c r="E88" i="14" s="1"/>
  <c r="D40" i="14"/>
  <c r="D88" i="14" s="1"/>
  <c r="F40" i="14"/>
  <c r="F88" i="14" s="1"/>
  <c r="I78" i="14"/>
  <c r="D77" i="14"/>
  <c r="E78" i="14"/>
  <c r="H77" i="14"/>
  <c r="F109" i="14" s="1"/>
  <c r="J40" i="20"/>
  <c r="Y42" i="15"/>
  <c r="N61" i="15"/>
  <c r="M80" i="15"/>
  <c r="G99" i="15" s="1"/>
  <c r="T59" i="13"/>
  <c r="V78" i="13"/>
  <c r="Y78" i="13" s="1"/>
  <c r="C99" i="15"/>
  <c r="B137" i="15"/>
  <c r="I99" i="15"/>
  <c r="H99" i="15"/>
  <c r="Q98" i="4"/>
  <c r="O98" i="4"/>
  <c r="S98" i="4"/>
  <c r="P98" i="4"/>
  <c r="N98" i="4"/>
  <c r="R98" i="4"/>
  <c r="E99" i="15"/>
  <c r="C25" i="14"/>
  <c r="M25" i="14" s="1"/>
  <c r="K21" i="7"/>
  <c r="N25" i="14" s="1"/>
  <c r="B89" i="14"/>
  <c r="D99" i="15"/>
  <c r="R21" i="7"/>
  <c r="F99" i="15"/>
  <c r="W40" i="13"/>
  <c r="W59" i="13" s="1"/>
  <c r="C104" i="4"/>
  <c r="D104" i="4"/>
  <c r="AB9" i="7"/>
  <c r="AJ9" i="7" s="1"/>
  <c r="X57" i="13"/>
  <c r="F77" i="14"/>
  <c r="E57" i="13"/>
  <c r="J58" i="7"/>
  <c r="H58" i="7"/>
  <c r="P58" i="7" s="1"/>
  <c r="I58" i="7"/>
  <c r="Q58" i="7" s="1"/>
  <c r="F58" i="7"/>
  <c r="K39" i="7"/>
  <c r="O39" i="7"/>
  <c r="J39" i="7"/>
  <c r="L39" i="7"/>
  <c r="K60" i="14" s="1"/>
  <c r="K76" i="14" s="1"/>
  <c r="C76" i="14"/>
  <c r="B36" i="20"/>
  <c r="B49" i="20" s="1"/>
  <c r="B19" i="7"/>
  <c r="J19" i="7" s="1"/>
  <c r="N4" i="7"/>
  <c r="K41" i="7"/>
  <c r="L41" i="7"/>
  <c r="K62" i="14" s="1"/>
  <c r="K78" i="14" s="1"/>
  <c r="J41" i="7"/>
  <c r="O41" i="7"/>
  <c r="N78" i="15"/>
  <c r="O59" i="15"/>
  <c r="Q78" i="15"/>
  <c r="R59" i="15"/>
  <c r="O57" i="13"/>
  <c r="S57" i="13"/>
  <c r="H60" i="7"/>
  <c r="P60" i="7" s="1"/>
  <c r="I60" i="7"/>
  <c r="Q60" i="7" s="1"/>
  <c r="F60" i="7"/>
  <c r="J60" i="7"/>
  <c r="R78" i="15"/>
  <c r="S59" i="15"/>
  <c r="N116" i="15"/>
  <c r="U59" i="15"/>
  <c r="T78" i="15"/>
  <c r="Q59" i="15"/>
  <c r="P78" i="15"/>
  <c r="Q57" i="13"/>
  <c r="N57" i="13"/>
  <c r="W59" i="15"/>
  <c r="B97" i="15"/>
  <c r="J59" i="15"/>
  <c r="F59" i="15"/>
  <c r="P59" i="15"/>
  <c r="X59" i="15"/>
  <c r="I59" i="15"/>
  <c r="M59" i="15"/>
  <c r="G59" i="15"/>
  <c r="K59" i="15"/>
  <c r="H59" i="15"/>
  <c r="T59" i="15"/>
  <c r="D59" i="15"/>
  <c r="Z59" i="15"/>
  <c r="B65" i="13"/>
  <c r="Q46" i="13"/>
  <c r="M46" i="13"/>
  <c r="G84" i="13" s="1"/>
  <c r="J46" i="13"/>
  <c r="K46" i="13"/>
  <c r="D46" i="13"/>
  <c r="C84" i="13" s="1"/>
  <c r="P46" i="13"/>
  <c r="S46" i="13"/>
  <c r="O46" i="13"/>
  <c r="L46" i="13"/>
  <c r="Q84" i="13" s="1"/>
  <c r="B116" i="15"/>
  <c r="B78" i="15"/>
  <c r="C59" i="15"/>
  <c r="R57" i="13"/>
  <c r="I57" i="13"/>
  <c r="J57" i="13"/>
  <c r="F57" i="13"/>
  <c r="D57" i="13"/>
  <c r="H57" i="13"/>
  <c r="V57" i="13"/>
  <c r="M57" i="13"/>
  <c r="K57" i="13"/>
  <c r="G57" i="13"/>
  <c r="U57" i="13"/>
  <c r="Z48" i="15"/>
  <c r="X46" i="13"/>
  <c r="Q12" i="1"/>
  <c r="Q48" i="15"/>
  <c r="J48" i="15"/>
  <c r="P48" i="15"/>
  <c r="U48" i="15"/>
  <c r="S48" i="15"/>
  <c r="L124" i="15"/>
  <c r="M48" i="15"/>
  <c r="L48" i="15"/>
  <c r="D48" i="15"/>
  <c r="R48" i="15"/>
  <c r="K48" i="15"/>
  <c r="K124" i="15"/>
  <c r="I124" i="15"/>
  <c r="T38" i="13"/>
  <c r="V76" i="13" s="1"/>
  <c r="Y76" i="13" s="1"/>
  <c r="C44" i="20"/>
  <c r="C57" i="20" s="1"/>
  <c r="Z12" i="7"/>
  <c r="O46" i="4"/>
  <c r="P46" i="4" s="1"/>
  <c r="R46" i="4" s="1"/>
  <c r="K104" i="4"/>
  <c r="L104" i="4" s="1"/>
  <c r="S46" i="4"/>
  <c r="J96" i="4"/>
  <c r="S96" i="4" s="1"/>
  <c r="C78" i="14"/>
  <c r="D78" i="15"/>
  <c r="E59" i="15"/>
  <c r="D116" i="15"/>
  <c r="F59" i="7"/>
  <c r="H59" i="7"/>
  <c r="P59" i="7" s="1"/>
  <c r="I59" i="7"/>
  <c r="Q59" i="7" s="1"/>
  <c r="J59" i="7"/>
  <c r="C57" i="13"/>
  <c r="H104" i="4"/>
  <c r="E104" i="4"/>
  <c r="G104" i="4"/>
  <c r="F104" i="4"/>
  <c r="T38" i="4"/>
  <c r="D36" i="20"/>
  <c r="D49" i="20" s="1"/>
  <c r="AA4" i="7"/>
  <c r="AI4" i="7" s="1"/>
  <c r="F78" i="14"/>
  <c r="B88" i="14"/>
  <c r="V40" i="15"/>
  <c r="V59" i="15" s="1"/>
  <c r="K78" i="15"/>
  <c r="L59" i="15"/>
  <c r="K40" i="7"/>
  <c r="O40" i="7"/>
  <c r="L40" i="7"/>
  <c r="K61" i="14" s="1"/>
  <c r="K77" i="14" s="1"/>
  <c r="J40" i="7"/>
  <c r="P57" i="13"/>
  <c r="C77" i="14"/>
  <c r="N40" i="15"/>
  <c r="M78" i="15" s="1"/>
  <c r="K116" i="15"/>
  <c r="L57" i="13"/>
  <c r="AN4" i="7" l="1"/>
  <c r="AM4" i="7"/>
  <c r="AM5" i="7"/>
  <c r="AN5" i="7"/>
  <c r="AH12" i="7"/>
  <c r="AG12" i="7"/>
  <c r="D98" i="15"/>
  <c r="B136" i="15"/>
  <c r="H98" i="15"/>
  <c r="I98" i="15"/>
  <c r="C24" i="14"/>
  <c r="K20" i="7"/>
  <c r="W39" i="13"/>
  <c r="W58" i="13" s="1"/>
  <c r="V77" i="13"/>
  <c r="Y77" i="13" s="1"/>
  <c r="T58" i="13"/>
  <c r="N60" i="15"/>
  <c r="Y41" i="15"/>
  <c r="M79" i="15"/>
  <c r="G76" i="7"/>
  <c r="C98" i="15"/>
  <c r="H75" i="7"/>
  <c r="L56" i="7" s="1"/>
  <c r="E76" i="7"/>
  <c r="E98" i="15"/>
  <c r="R97" i="4"/>
  <c r="P97" i="4"/>
  <c r="M97" i="4"/>
  <c r="N97" i="4"/>
  <c r="O97" i="4"/>
  <c r="S97" i="4"/>
  <c r="Q97" i="4"/>
  <c r="C23" i="14"/>
  <c r="K19" i="7"/>
  <c r="F125" i="14"/>
  <c r="U46" i="4"/>
  <c r="N555" i="10"/>
  <c r="N569" i="10" s="1"/>
  <c r="S27" i="7"/>
  <c r="K40" i="20"/>
  <c r="I107" i="14"/>
  <c r="J107" i="14"/>
  <c r="K107" i="14"/>
  <c r="K123" i="14"/>
  <c r="R19" i="7"/>
  <c r="Y19" i="7" s="1"/>
  <c r="D125" i="14"/>
  <c r="D109" i="14"/>
  <c r="H92" i="14"/>
  <c r="G110" i="14"/>
  <c r="G126" i="14"/>
  <c r="F108" i="14"/>
  <c r="F124" i="14"/>
  <c r="H93" i="14"/>
  <c r="D110" i="14"/>
  <c r="D126" i="14"/>
  <c r="G108" i="14"/>
  <c r="G124" i="14"/>
  <c r="G109" i="14"/>
  <c r="G125" i="14"/>
  <c r="C125" i="14"/>
  <c r="C109" i="14"/>
  <c r="C110" i="14"/>
  <c r="C126" i="14"/>
  <c r="H94" i="14"/>
  <c r="F110" i="14"/>
  <c r="F126" i="14"/>
  <c r="C124" i="14"/>
  <c r="C108" i="14"/>
  <c r="D124" i="14"/>
  <c r="D108" i="14"/>
  <c r="J99" i="15"/>
  <c r="K99" i="15" s="1"/>
  <c r="Z21" i="7"/>
  <c r="G38" i="20" s="1"/>
  <c r="G51" i="20" s="1"/>
  <c r="Y21" i="7"/>
  <c r="V21" i="7"/>
  <c r="W21" i="7"/>
  <c r="Z78" i="13"/>
  <c r="AA78" i="13" s="1"/>
  <c r="C36" i="7"/>
  <c r="D36" i="7" s="1"/>
  <c r="M21" i="7"/>
  <c r="O6" i="7" s="1"/>
  <c r="AO6" i="7" s="1"/>
  <c r="I41" i="14"/>
  <c r="C41" i="14"/>
  <c r="S118" i="15"/>
  <c r="Q118" i="15" s="1"/>
  <c r="Y61" i="15"/>
  <c r="E137" i="15"/>
  <c r="H137" i="15"/>
  <c r="I137" i="15"/>
  <c r="D137" i="15"/>
  <c r="F137" i="15"/>
  <c r="C137" i="15"/>
  <c r="G137" i="15"/>
  <c r="V80" i="15"/>
  <c r="W80" i="15" s="1"/>
  <c r="J60" i="14"/>
  <c r="P39" i="7"/>
  <c r="M60" i="14" s="1"/>
  <c r="M76" i="14" s="1"/>
  <c r="X65" i="13"/>
  <c r="R96" i="4"/>
  <c r="Q96" i="4"/>
  <c r="O96" i="4"/>
  <c r="B77" i="7"/>
  <c r="N58" i="7"/>
  <c r="F77" i="7"/>
  <c r="C77" i="7"/>
  <c r="R58" i="7"/>
  <c r="J61" i="14"/>
  <c r="M96" i="4"/>
  <c r="C78" i="7"/>
  <c r="R59" i="7"/>
  <c r="J86" i="15"/>
  <c r="K67" i="15"/>
  <c r="T57" i="13"/>
  <c r="E67" i="15"/>
  <c r="F67" i="15"/>
  <c r="G67" i="15"/>
  <c r="W67" i="15"/>
  <c r="H67" i="15"/>
  <c r="O67" i="15"/>
  <c r="B105" i="15"/>
  <c r="N67" i="15"/>
  <c r="I67" i="15"/>
  <c r="X67" i="15"/>
  <c r="C67" i="15"/>
  <c r="T67" i="15"/>
  <c r="U67" i="15"/>
  <c r="T86" i="15"/>
  <c r="N124" i="15"/>
  <c r="Z67" i="15"/>
  <c r="D97" i="15"/>
  <c r="U84" i="13"/>
  <c r="S65" i="13"/>
  <c r="B79" i="7"/>
  <c r="N60" i="7"/>
  <c r="F79" i="7"/>
  <c r="R67" i="15"/>
  <c r="Q86" i="15"/>
  <c r="R86" i="15"/>
  <c r="S67" i="15"/>
  <c r="C65" i="13"/>
  <c r="V65" i="13"/>
  <c r="F65" i="13"/>
  <c r="N65" i="13"/>
  <c r="E65" i="13"/>
  <c r="I65" i="13"/>
  <c r="R65" i="13"/>
  <c r="U65" i="13"/>
  <c r="H65" i="13"/>
  <c r="G65" i="13"/>
  <c r="C79" i="7"/>
  <c r="R60" i="7"/>
  <c r="W38" i="13"/>
  <c r="W57" i="13" s="1"/>
  <c r="P67" i="15"/>
  <c r="O86" i="15"/>
  <c r="N59" i="7"/>
  <c r="B78" i="7"/>
  <c r="F78" i="7"/>
  <c r="C124" i="15"/>
  <c r="D67" i="15"/>
  <c r="C86" i="15"/>
  <c r="J67" i="15"/>
  <c r="I86" i="15"/>
  <c r="D65" i="13"/>
  <c r="B135" i="15"/>
  <c r="D135" i="15" s="1"/>
  <c r="H97" i="15"/>
  <c r="I97" i="15"/>
  <c r="O65" i="13"/>
  <c r="P84" i="13"/>
  <c r="Q67" i="15"/>
  <c r="P86" i="15"/>
  <c r="K65" i="13"/>
  <c r="T46" i="4"/>
  <c r="D44" i="20"/>
  <c r="D57" i="20" s="1"/>
  <c r="K86" i="15"/>
  <c r="L67" i="15"/>
  <c r="M84" i="13"/>
  <c r="J65" i="13"/>
  <c r="C97" i="15"/>
  <c r="P65" i="13"/>
  <c r="R84" i="13"/>
  <c r="G97" i="15"/>
  <c r="N59" i="15"/>
  <c r="P40" i="7"/>
  <c r="J104" i="4"/>
  <c r="O104" i="4" s="1"/>
  <c r="V48" i="15"/>
  <c r="V67" i="15" s="1"/>
  <c r="M67" i="15"/>
  <c r="L86" i="15"/>
  <c r="J124" i="15"/>
  <c r="Y40" i="15"/>
  <c r="T46" i="13"/>
  <c r="M65" i="13"/>
  <c r="V20" i="7"/>
  <c r="Z20" i="7"/>
  <c r="G37" i="20" s="1"/>
  <c r="G50" i="20" s="1"/>
  <c r="J62" i="14"/>
  <c r="L62" i="14" s="1"/>
  <c r="P96" i="4"/>
  <c r="F97" i="15"/>
  <c r="N12" i="7"/>
  <c r="B27" i="7"/>
  <c r="J27" i="7" s="1"/>
  <c r="B44" i="20"/>
  <c r="B57" i="20" s="1"/>
  <c r="N96" i="4"/>
  <c r="L65" i="13"/>
  <c r="S84" i="13"/>
  <c r="Q65" i="13"/>
  <c r="E97" i="15"/>
  <c r="P41" i="7"/>
  <c r="AN12" i="7" l="1"/>
  <c r="AM12" i="7"/>
  <c r="H76" i="7"/>
  <c r="L57" i="7" s="1"/>
  <c r="T56" i="7"/>
  <c r="M56" i="7"/>
  <c r="G98" i="15"/>
  <c r="J98" i="15" s="1"/>
  <c r="V79" i="15"/>
  <c r="W79" i="15" s="1"/>
  <c r="S117" i="15"/>
  <c r="Q117" i="15" s="1"/>
  <c r="Y60" i="15"/>
  <c r="M20" i="7"/>
  <c r="O5" i="7" s="1"/>
  <c r="AO5" i="7" s="1"/>
  <c r="N24" i="14"/>
  <c r="C35" i="7"/>
  <c r="D35" i="7" s="1"/>
  <c r="Z77" i="13"/>
  <c r="AA77" i="13" s="1"/>
  <c r="W20" i="7"/>
  <c r="M24" i="14"/>
  <c r="I40" i="14" s="1"/>
  <c r="C40" i="14"/>
  <c r="G136" i="15"/>
  <c r="E136" i="15"/>
  <c r="D136" i="15"/>
  <c r="F136" i="15"/>
  <c r="C136" i="15"/>
  <c r="I136" i="15"/>
  <c r="H136" i="15"/>
  <c r="W19" i="7"/>
  <c r="N23" i="14"/>
  <c r="Z76" i="13"/>
  <c r="AA76" i="13" s="1"/>
  <c r="M19" i="7"/>
  <c r="M23" i="14"/>
  <c r="I39" i="14" s="1"/>
  <c r="C39" i="14"/>
  <c r="E105" i="15"/>
  <c r="L105" i="15"/>
  <c r="Z19" i="7"/>
  <c r="G36" i="20" s="1"/>
  <c r="G49" i="20" s="1"/>
  <c r="V19" i="7"/>
  <c r="L107" i="14"/>
  <c r="N107" i="14" s="1"/>
  <c r="J77" i="14"/>
  <c r="L61" i="14"/>
  <c r="L77" i="14" s="1"/>
  <c r="J76" i="14"/>
  <c r="I92" i="14" s="1"/>
  <c r="L60" i="14"/>
  <c r="L76" i="14" s="1"/>
  <c r="F38" i="20"/>
  <c r="F51" i="20" s="1"/>
  <c r="B105" i="14"/>
  <c r="C89" i="14"/>
  <c r="H105" i="15"/>
  <c r="R118" i="15"/>
  <c r="T118" i="15" s="1"/>
  <c r="J137" i="15"/>
  <c r="K137" i="15" s="1"/>
  <c r="E36" i="7"/>
  <c r="F36" i="7" s="1"/>
  <c r="B57" i="14"/>
  <c r="N36" i="7"/>
  <c r="M36" i="7"/>
  <c r="O25" i="14"/>
  <c r="O27" i="7"/>
  <c r="E78" i="7"/>
  <c r="C105" i="15"/>
  <c r="D105" i="15"/>
  <c r="G79" i="7"/>
  <c r="Q39" i="7"/>
  <c r="S39" i="7"/>
  <c r="G135" i="15"/>
  <c r="M104" i="4"/>
  <c r="G77" i="7"/>
  <c r="E77" i="7"/>
  <c r="C31" i="14"/>
  <c r="M31" i="14" s="1"/>
  <c r="K27" i="7"/>
  <c r="W27" i="7" s="1"/>
  <c r="M62" i="14"/>
  <c r="S41" i="7"/>
  <c r="Q41" i="7"/>
  <c r="P11" i="7" s="1"/>
  <c r="AP11" i="7" s="1"/>
  <c r="F105" i="15"/>
  <c r="B143" i="15"/>
  <c r="E143" i="15" s="1"/>
  <c r="I105" i="15"/>
  <c r="T65" i="13"/>
  <c r="V84" i="13"/>
  <c r="Y84" i="13" s="1"/>
  <c r="P104" i="4"/>
  <c r="J78" i="14"/>
  <c r="L78" i="14"/>
  <c r="S116" i="15"/>
  <c r="Q116" i="15" s="1"/>
  <c r="Y59" i="15"/>
  <c r="M61" i="14"/>
  <c r="S40" i="7"/>
  <c r="Q40" i="7"/>
  <c r="P10" i="7" s="1"/>
  <c r="AP10" i="7" s="1"/>
  <c r="R104" i="4"/>
  <c r="S104" i="4"/>
  <c r="Y48" i="15"/>
  <c r="C142" i="15"/>
  <c r="K142" i="15" s="1"/>
  <c r="B126" i="14" s="1"/>
  <c r="R123" i="15"/>
  <c r="T123" i="15" s="1"/>
  <c r="C34" i="7"/>
  <c r="D34" i="7" s="1"/>
  <c r="B55" i="14" s="1"/>
  <c r="O4" i="7"/>
  <c r="AO4" i="7" s="1"/>
  <c r="N27" i="7"/>
  <c r="AA12" i="7" s="1"/>
  <c r="AI12" i="7" s="1"/>
  <c r="B47" i="14"/>
  <c r="H47" i="14" s="1"/>
  <c r="I135" i="15"/>
  <c r="H135" i="15"/>
  <c r="F135" i="15"/>
  <c r="C135" i="15"/>
  <c r="G105" i="15"/>
  <c r="V86" i="15"/>
  <c r="Q104" i="4"/>
  <c r="E79" i="7"/>
  <c r="V78" i="15"/>
  <c r="W78" i="15" s="1"/>
  <c r="J97" i="15"/>
  <c r="N104" i="4"/>
  <c r="W46" i="13"/>
  <c r="W65" i="13" s="1"/>
  <c r="G78" i="7"/>
  <c r="E135" i="15"/>
  <c r="B121" i="14" l="1"/>
  <c r="M137" i="15"/>
  <c r="L137" i="15"/>
  <c r="O24" i="14"/>
  <c r="K98" i="15"/>
  <c r="B104" i="14"/>
  <c r="F37" i="20"/>
  <c r="F50" i="20" s="1"/>
  <c r="C88" i="14"/>
  <c r="M35" i="7"/>
  <c r="E35" i="7"/>
  <c r="F35" i="7" s="1"/>
  <c r="B56" i="14"/>
  <c r="N35" i="7"/>
  <c r="J136" i="15"/>
  <c r="K136" i="15" s="1"/>
  <c r="M136" i="15" s="1"/>
  <c r="R117" i="15"/>
  <c r="T117" i="15" s="1"/>
  <c r="N94" i="7"/>
  <c r="P94" i="7" s="1"/>
  <c r="U56" i="7"/>
  <c r="V56" i="7"/>
  <c r="O23" i="14"/>
  <c r="O55" i="14" s="1"/>
  <c r="B103" i="14"/>
  <c r="C87" i="14"/>
  <c r="K97" i="15"/>
  <c r="B71" i="14"/>
  <c r="D55" i="14"/>
  <c r="F55" i="14"/>
  <c r="I55" i="14"/>
  <c r="G55" i="14"/>
  <c r="E55" i="14"/>
  <c r="H55" i="14"/>
  <c r="C55" i="14"/>
  <c r="I57" i="14"/>
  <c r="H57" i="14"/>
  <c r="G57" i="14"/>
  <c r="F57" i="14"/>
  <c r="D57" i="14"/>
  <c r="E57" i="14"/>
  <c r="E126" i="14"/>
  <c r="H126" i="14" s="1"/>
  <c r="E110" i="14"/>
  <c r="E47" i="14"/>
  <c r="E95" i="14" s="1"/>
  <c r="F47" i="14"/>
  <c r="F95" i="14" s="1"/>
  <c r="D47" i="14"/>
  <c r="D95" i="14" s="1"/>
  <c r="G47" i="14"/>
  <c r="G95" i="14" s="1"/>
  <c r="E108" i="14"/>
  <c r="E124" i="14"/>
  <c r="H124" i="14" s="1"/>
  <c r="E109" i="14"/>
  <c r="E125" i="14"/>
  <c r="H125" i="14" s="1"/>
  <c r="I93" i="14"/>
  <c r="E38" i="20"/>
  <c r="O57" i="14"/>
  <c r="B73" i="14"/>
  <c r="C57" i="14"/>
  <c r="H36" i="7"/>
  <c r="T36" i="7"/>
  <c r="E55" i="7"/>
  <c r="R36" i="7"/>
  <c r="AB6" i="7" s="1"/>
  <c r="AJ6" i="7" s="1"/>
  <c r="R27" i="7"/>
  <c r="V27" i="7" s="1"/>
  <c r="P9" i="7"/>
  <c r="AP9" i="7" s="1"/>
  <c r="H78" i="7"/>
  <c r="L59" i="7" s="1"/>
  <c r="M59" i="7" s="1"/>
  <c r="N60" i="14"/>
  <c r="H77" i="7"/>
  <c r="L58" i="7" s="1"/>
  <c r="M58" i="7" s="1"/>
  <c r="H79" i="7"/>
  <c r="L60" i="7" s="1"/>
  <c r="T60" i="7" s="1"/>
  <c r="M27" i="7"/>
  <c r="O12" i="7" s="1"/>
  <c r="AO12" i="7" s="1"/>
  <c r="J105" i="15"/>
  <c r="K105" i="15" s="1"/>
  <c r="E43" i="20"/>
  <c r="E52" i="20" s="1"/>
  <c r="W86" i="15"/>
  <c r="M34" i="7"/>
  <c r="E34" i="7"/>
  <c r="F34" i="7" s="1"/>
  <c r="J34" i="7"/>
  <c r="N34" i="7"/>
  <c r="Y67" i="15"/>
  <c r="S124" i="15"/>
  <c r="Q124" i="15" s="1"/>
  <c r="I94" i="14"/>
  <c r="I143" i="15"/>
  <c r="G143" i="15"/>
  <c r="D143" i="15"/>
  <c r="C143" i="15"/>
  <c r="F143" i="15"/>
  <c r="N31" i="14"/>
  <c r="C42" i="7"/>
  <c r="D42" i="7" s="1"/>
  <c r="Z84" i="13"/>
  <c r="AA84" i="13" s="1"/>
  <c r="F36" i="20"/>
  <c r="F49" i="20" s="1"/>
  <c r="M77" i="14"/>
  <c r="N61" i="14"/>
  <c r="C47" i="14"/>
  <c r="I47" i="14"/>
  <c r="B95" i="14"/>
  <c r="H143" i="15"/>
  <c r="J135" i="15"/>
  <c r="K135" i="15" s="1"/>
  <c r="B119" i="14" s="1"/>
  <c r="R116" i="15"/>
  <c r="T116" i="15" s="1"/>
  <c r="N62" i="14"/>
  <c r="M78" i="14"/>
  <c r="L136" i="15" l="1"/>
  <c r="H39" i="20"/>
  <c r="H52" i="20" s="1"/>
  <c r="Q94" i="7"/>
  <c r="B120" i="14"/>
  <c r="E37" i="20"/>
  <c r="E50" i="20" s="1"/>
  <c r="H56" i="14"/>
  <c r="O56" i="14"/>
  <c r="G56" i="14"/>
  <c r="C56" i="14"/>
  <c r="E56" i="14"/>
  <c r="F56" i="14"/>
  <c r="D56" i="14"/>
  <c r="I56" i="14"/>
  <c r="B72" i="14"/>
  <c r="T35" i="7"/>
  <c r="H35" i="7"/>
  <c r="E54" i="7"/>
  <c r="R35" i="7"/>
  <c r="AB5" i="7" s="1"/>
  <c r="AJ5" i="7" s="1"/>
  <c r="F71" i="14"/>
  <c r="D71" i="14"/>
  <c r="H71" i="14"/>
  <c r="E71" i="14"/>
  <c r="D119" i="14" s="1"/>
  <c r="G71" i="14"/>
  <c r="F119" i="14" s="1"/>
  <c r="I71" i="14"/>
  <c r="H87" i="14" s="1"/>
  <c r="E73" i="14"/>
  <c r="D105" i="14" s="1"/>
  <c r="I126" i="14"/>
  <c r="J126" i="14"/>
  <c r="D73" i="14"/>
  <c r="I124" i="14"/>
  <c r="J124" i="14"/>
  <c r="F73" i="14"/>
  <c r="G121" i="14" s="1"/>
  <c r="H108" i="14"/>
  <c r="M108" i="14" s="1"/>
  <c r="H110" i="14"/>
  <c r="K43" i="20" s="1"/>
  <c r="H73" i="14"/>
  <c r="G119" i="14"/>
  <c r="G103" i="14"/>
  <c r="C103" i="14"/>
  <c r="C119" i="14"/>
  <c r="I125" i="14"/>
  <c r="J125" i="14"/>
  <c r="H109" i="14"/>
  <c r="M109" i="14" s="1"/>
  <c r="C71" i="14"/>
  <c r="C105" i="14"/>
  <c r="C121" i="14"/>
  <c r="G73" i="14"/>
  <c r="I73" i="14"/>
  <c r="J42" i="20"/>
  <c r="B111" i="14"/>
  <c r="C95" i="14"/>
  <c r="Y27" i="7"/>
  <c r="H55" i="7"/>
  <c r="P55" i="7" s="1"/>
  <c r="F55" i="7"/>
  <c r="J55" i="7"/>
  <c r="I55" i="7"/>
  <c r="Q55" i="7" s="1"/>
  <c r="K36" i="7"/>
  <c r="L36" i="7"/>
  <c r="K57" i="14" s="1"/>
  <c r="K73" i="14" s="1"/>
  <c r="J36" i="7"/>
  <c r="O36" i="7"/>
  <c r="C73" i="14"/>
  <c r="E53" i="20"/>
  <c r="T59" i="7"/>
  <c r="Z27" i="7"/>
  <c r="G44" i="20" s="1"/>
  <c r="G57" i="20" s="1"/>
  <c r="M60" i="7"/>
  <c r="V60" i="7" s="1"/>
  <c r="T58" i="7"/>
  <c r="F44" i="20"/>
  <c r="F57" i="20" s="1"/>
  <c r="O31" i="14"/>
  <c r="V58" i="7"/>
  <c r="U58" i="7"/>
  <c r="N96" i="7"/>
  <c r="P96" i="7" s="1"/>
  <c r="H34" i="7"/>
  <c r="E53" i="7"/>
  <c r="R34" i="7"/>
  <c r="AB4" i="7" s="1"/>
  <c r="AJ4" i="7" s="1"/>
  <c r="T34" i="7"/>
  <c r="E56" i="20"/>
  <c r="E54" i="20"/>
  <c r="E55" i="20"/>
  <c r="E51" i="20"/>
  <c r="N97" i="7"/>
  <c r="P97" i="7" s="1"/>
  <c r="U59" i="7"/>
  <c r="V59" i="7"/>
  <c r="E36" i="20"/>
  <c r="E49" i="20" s="1"/>
  <c r="J143" i="15"/>
  <c r="K143" i="15" s="1"/>
  <c r="B127" i="14" s="1"/>
  <c r="R124" i="15"/>
  <c r="T124" i="15" s="1"/>
  <c r="M42" i="7"/>
  <c r="B63" i="14"/>
  <c r="E42" i="7"/>
  <c r="F42" i="7" s="1"/>
  <c r="N42" i="7"/>
  <c r="D103" i="14" l="1"/>
  <c r="H72" i="14"/>
  <c r="I72" i="14"/>
  <c r="H88" i="14" s="1"/>
  <c r="D72" i="14"/>
  <c r="I54" i="7"/>
  <c r="Q54" i="7" s="1"/>
  <c r="F54" i="7"/>
  <c r="J54" i="7"/>
  <c r="H54" i="7"/>
  <c r="P54" i="7" s="1"/>
  <c r="F72" i="14"/>
  <c r="O35" i="7"/>
  <c r="L35" i="7"/>
  <c r="K56" i="14" s="1"/>
  <c r="K72" i="14" s="1"/>
  <c r="K35" i="7"/>
  <c r="J35" i="7"/>
  <c r="P35" i="7" s="1"/>
  <c r="S35" i="7" s="1"/>
  <c r="E72" i="14"/>
  <c r="C72" i="14"/>
  <c r="G72" i="14"/>
  <c r="G105" i="14"/>
  <c r="M110" i="14"/>
  <c r="D121" i="14"/>
  <c r="F103" i="14"/>
  <c r="K125" i="14"/>
  <c r="K42" i="20"/>
  <c r="K55" i="20" s="1"/>
  <c r="K124" i="14"/>
  <c r="K41" i="20"/>
  <c r="K54" i="20" s="1"/>
  <c r="I108" i="14"/>
  <c r="J108" i="14"/>
  <c r="K108" i="14"/>
  <c r="I109" i="14"/>
  <c r="J109" i="14"/>
  <c r="K109" i="14"/>
  <c r="K126" i="14"/>
  <c r="J57" i="14"/>
  <c r="L57" i="14" s="1"/>
  <c r="I110" i="14"/>
  <c r="J110" i="14"/>
  <c r="K110" i="14"/>
  <c r="F121" i="14"/>
  <c r="F105" i="14"/>
  <c r="E63" i="14"/>
  <c r="D63" i="14"/>
  <c r="I63" i="14"/>
  <c r="F63" i="14"/>
  <c r="H63" i="14"/>
  <c r="G63" i="14"/>
  <c r="H89" i="14"/>
  <c r="K53" i="20"/>
  <c r="K56" i="20"/>
  <c r="K52" i="20"/>
  <c r="J41" i="20"/>
  <c r="J43" i="20"/>
  <c r="J55" i="20" s="1"/>
  <c r="R55" i="7"/>
  <c r="C74" i="7"/>
  <c r="B74" i="7"/>
  <c r="F74" i="7"/>
  <c r="N55" i="7"/>
  <c r="P36" i="7"/>
  <c r="N98" i="7"/>
  <c r="P98" i="7" s="1"/>
  <c r="H43" i="20" s="1"/>
  <c r="H56" i="20" s="1"/>
  <c r="U60" i="7"/>
  <c r="Q96" i="7"/>
  <c r="H41" i="20"/>
  <c r="H54" i="20" s="1"/>
  <c r="C63" i="14"/>
  <c r="O63" i="14"/>
  <c r="B79" i="14"/>
  <c r="H42" i="20"/>
  <c r="H55" i="20" s="1"/>
  <c r="Q97" i="7"/>
  <c r="E44" i="20"/>
  <c r="E57" i="20" s="1"/>
  <c r="H53" i="7"/>
  <c r="P53" i="7" s="1"/>
  <c r="F53" i="7"/>
  <c r="J53" i="7"/>
  <c r="I53" i="7"/>
  <c r="Q53" i="7" s="1"/>
  <c r="T42" i="7"/>
  <c r="R42" i="7"/>
  <c r="AB12" i="7" s="1"/>
  <c r="AJ12" i="7" s="1"/>
  <c r="H42" i="7"/>
  <c r="E61" i="7"/>
  <c r="O34" i="7"/>
  <c r="K34" i="7"/>
  <c r="L34" i="7"/>
  <c r="K55" i="14" s="1"/>
  <c r="K71" i="14" s="1"/>
  <c r="Q35" i="7" l="1"/>
  <c r="P5" i="7" s="1"/>
  <c r="AP5" i="7" s="1"/>
  <c r="P34" i="7"/>
  <c r="M56" i="14"/>
  <c r="M72" i="14" s="1"/>
  <c r="G120" i="14"/>
  <c r="G104" i="14"/>
  <c r="F104" i="14"/>
  <c r="F120" i="14"/>
  <c r="C73" i="7"/>
  <c r="R54" i="7"/>
  <c r="D104" i="14"/>
  <c r="D120" i="14"/>
  <c r="B73" i="7"/>
  <c r="N54" i="7"/>
  <c r="F73" i="7"/>
  <c r="C104" i="14"/>
  <c r="C120" i="14"/>
  <c r="J56" i="14"/>
  <c r="L108" i="14"/>
  <c r="N108" i="14" s="1"/>
  <c r="E79" i="14"/>
  <c r="D111" i="14" s="1"/>
  <c r="J55" i="14"/>
  <c r="L55" i="14" s="1"/>
  <c r="L110" i="14"/>
  <c r="N110" i="14" s="1"/>
  <c r="L109" i="14"/>
  <c r="N109" i="14" s="1"/>
  <c r="I79" i="14"/>
  <c r="H95" i="14" s="1"/>
  <c r="D79" i="14"/>
  <c r="C127" i="14" s="1"/>
  <c r="G79" i="14"/>
  <c r="H79" i="14"/>
  <c r="J54" i="20"/>
  <c r="J52" i="20"/>
  <c r="J56" i="20"/>
  <c r="J53" i="20"/>
  <c r="Q98" i="7"/>
  <c r="Q36" i="7"/>
  <c r="P6" i="7" s="1"/>
  <c r="AP6" i="7" s="1"/>
  <c r="S36" i="7"/>
  <c r="M57" i="14"/>
  <c r="E74" i="7"/>
  <c r="G74" i="7"/>
  <c r="J73" i="14"/>
  <c r="L73" i="14"/>
  <c r="F79" i="14"/>
  <c r="M55" i="14"/>
  <c r="N53" i="7"/>
  <c r="F72" i="7"/>
  <c r="B72" i="7"/>
  <c r="C79" i="14"/>
  <c r="I61" i="7"/>
  <c r="J61" i="7"/>
  <c r="F61" i="7"/>
  <c r="H61" i="7"/>
  <c r="P61" i="7" s="1"/>
  <c r="C72" i="7"/>
  <c r="R53" i="7"/>
  <c r="L42" i="7"/>
  <c r="K63" i="14" s="1"/>
  <c r="K79" i="14" s="1"/>
  <c r="O42" i="7"/>
  <c r="K42" i="7"/>
  <c r="J42" i="7"/>
  <c r="L56" i="14" l="1"/>
  <c r="J72" i="14"/>
  <c r="G73" i="7"/>
  <c r="E73" i="7"/>
  <c r="H73" i="7" s="1"/>
  <c r="L54" i="7" s="1"/>
  <c r="M54" i="7" s="1"/>
  <c r="N92" i="7" s="1"/>
  <c r="P92" i="7" s="1"/>
  <c r="C111" i="14"/>
  <c r="D127" i="14"/>
  <c r="M71" i="14"/>
  <c r="J71" i="14"/>
  <c r="L71" i="14"/>
  <c r="F111" i="14"/>
  <c r="F127" i="14"/>
  <c r="E105" i="14"/>
  <c r="E121" i="14"/>
  <c r="H121" i="14" s="1"/>
  <c r="G111" i="14"/>
  <c r="G127" i="14"/>
  <c r="H74" i="7"/>
  <c r="L55" i="7" s="1"/>
  <c r="T55" i="7" s="1"/>
  <c r="I89" i="14"/>
  <c r="M73" i="14"/>
  <c r="N57" i="14"/>
  <c r="T57" i="7"/>
  <c r="M57" i="7"/>
  <c r="N95" i="7" s="1"/>
  <c r="P95" i="7" s="1"/>
  <c r="Q34" i="7"/>
  <c r="P4" i="7" s="1"/>
  <c r="AP4" i="7" s="1"/>
  <c r="G72" i="7"/>
  <c r="J63" i="14"/>
  <c r="S34" i="7"/>
  <c r="E72" i="7"/>
  <c r="F80" i="7"/>
  <c r="B80" i="7"/>
  <c r="N61" i="7"/>
  <c r="R61" i="7"/>
  <c r="C80" i="7"/>
  <c r="Q61" i="7"/>
  <c r="P42" i="7"/>
  <c r="U54" i="7" l="1"/>
  <c r="V54" i="7"/>
  <c r="E120" i="14"/>
  <c r="H120" i="14" s="1"/>
  <c r="E104" i="14"/>
  <c r="H104" i="14" s="1"/>
  <c r="K37" i="20" s="1"/>
  <c r="K50" i="20" s="1"/>
  <c r="I88" i="14"/>
  <c r="T54" i="7"/>
  <c r="L72" i="14"/>
  <c r="N56" i="14"/>
  <c r="N55" i="14"/>
  <c r="I87" i="14"/>
  <c r="E103" i="14"/>
  <c r="E119" i="14"/>
  <c r="H119" i="14" s="1"/>
  <c r="I121" i="14"/>
  <c r="J121" i="14"/>
  <c r="I104" i="14"/>
  <c r="H105" i="14"/>
  <c r="M105" i="14" s="1"/>
  <c r="J79" i="14"/>
  <c r="L63" i="14"/>
  <c r="L79" i="14" s="1"/>
  <c r="M55" i="7"/>
  <c r="U55" i="7" s="1"/>
  <c r="J37" i="20"/>
  <c r="J50" i="20" s="1"/>
  <c r="H40" i="20"/>
  <c r="H53" i="20" s="1"/>
  <c r="Q95" i="7"/>
  <c r="U57" i="7"/>
  <c r="V57" i="7"/>
  <c r="H72" i="7"/>
  <c r="L53" i="7" s="1"/>
  <c r="T53" i="7" s="1"/>
  <c r="I95" i="14"/>
  <c r="G80" i="7"/>
  <c r="E80" i="7"/>
  <c r="M63" i="14"/>
  <c r="Q42" i="7"/>
  <c r="P12" i="7" s="1"/>
  <c r="AP12" i="7" s="1"/>
  <c r="S42" i="7"/>
  <c r="Q92" i="7"/>
  <c r="H37" i="20"/>
  <c r="H50" i="20" s="1"/>
  <c r="K38" i="20" l="1"/>
  <c r="K51" i="20" s="1"/>
  <c r="M104" i="14"/>
  <c r="J104" i="14"/>
  <c r="K104" i="14"/>
  <c r="L104" i="14"/>
  <c r="N104" i="14" s="1"/>
  <c r="I120" i="14"/>
  <c r="J120" i="14"/>
  <c r="I119" i="14"/>
  <c r="J119" i="14"/>
  <c r="K121" i="14"/>
  <c r="H103" i="14"/>
  <c r="M103" i="14" s="1"/>
  <c r="I105" i="14"/>
  <c r="J105" i="14"/>
  <c r="K105" i="14"/>
  <c r="E111" i="14"/>
  <c r="E127" i="14"/>
  <c r="H127" i="14" s="1"/>
  <c r="N93" i="7"/>
  <c r="P93" i="7" s="1"/>
  <c r="H38" i="20" s="1"/>
  <c r="H51" i="20" s="1"/>
  <c r="V55" i="7"/>
  <c r="J38" i="20"/>
  <c r="J51" i="20" s="1"/>
  <c r="M53" i="7"/>
  <c r="N91" i="7" s="1"/>
  <c r="P91" i="7" s="1"/>
  <c r="H80" i="7"/>
  <c r="L61" i="7" s="1"/>
  <c r="M61" i="7" s="1"/>
  <c r="N63" i="14"/>
  <c r="M79" i="14"/>
  <c r="K120" i="14" l="1"/>
  <c r="Q93" i="7"/>
  <c r="I103" i="14"/>
  <c r="J103" i="14"/>
  <c r="K103" i="14"/>
  <c r="K36" i="20"/>
  <c r="K49" i="20" s="1"/>
  <c r="L105" i="14"/>
  <c r="N105" i="14" s="1"/>
  <c r="I127" i="14"/>
  <c r="J127" i="14"/>
  <c r="H111" i="14"/>
  <c r="K119" i="14"/>
  <c r="J44" i="20"/>
  <c r="J57" i="20" s="1"/>
  <c r="J36" i="20"/>
  <c r="J49" i="20" s="1"/>
  <c r="U53" i="7"/>
  <c r="V53" i="7"/>
  <c r="T61" i="7"/>
  <c r="N99" i="7"/>
  <c r="P99" i="7" s="1"/>
  <c r="U61" i="7"/>
  <c r="V61" i="7"/>
  <c r="Q91" i="7"/>
  <c r="H36" i="20"/>
  <c r="H49" i="20" s="1"/>
  <c r="K127" i="14" l="1"/>
  <c r="K44" i="20"/>
  <c r="K57" i="20" s="1"/>
  <c r="I111" i="14"/>
  <c r="J111" i="14"/>
  <c r="K111" i="14"/>
  <c r="M111" i="14"/>
  <c r="L103" i="14"/>
  <c r="N103" i="14" s="1"/>
  <c r="H44" i="20"/>
  <c r="H57" i="20" s="1"/>
  <c r="Q99" i="7"/>
  <c r="L111" i="14" l="1"/>
  <c r="N1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Kubal</author>
  </authors>
  <commentList>
    <comment ref="A177" authorId="0" shapeId="0" xr:uid="{2A0B48C3-7D98-C847-A396-F51013F81AF4}">
      <text>
        <r>
          <rPr>
            <b/>
            <sz val="9"/>
            <color indexed="81"/>
            <rFont val="Tahoma"/>
            <family val="2"/>
          </rPr>
          <t>Edit using the pull-down menu on Dashboard</t>
        </r>
      </text>
    </comment>
    <comment ref="A405" authorId="0" shapeId="0" xr:uid="{1672FBBC-F616-0E40-A587-3F1ED185FABA}">
      <text>
        <r>
          <rPr>
            <b/>
            <sz val="9"/>
            <color indexed="81"/>
            <rFont val="Tahoma"/>
            <family val="2"/>
          </rPr>
          <t>Edit using the pull-down menu on Dashboard</t>
        </r>
      </text>
    </comment>
  </commentList>
</comments>
</file>

<file path=xl/sharedStrings.xml><?xml version="1.0" encoding="utf-8"?>
<sst xmlns="http://schemas.openxmlformats.org/spreadsheetml/2006/main" count="3444" uniqueCount="1507">
  <si>
    <t>Formula</t>
  </si>
  <si>
    <t>Electrode Porosity</t>
  </si>
  <si>
    <t>Graphite (Cathode in Dual Ion vs. Li)</t>
  </si>
  <si>
    <t>Graphite</t>
  </si>
  <si>
    <t>C6</t>
  </si>
  <si>
    <t>Binder Mass Fraction Cathode</t>
  </si>
  <si>
    <t>Conductive Additive Mass Fraction Cathode</t>
  </si>
  <si>
    <t>Active Mass Fraction Anode</t>
  </si>
  <si>
    <t>Binder Mass Fraction Anode</t>
  </si>
  <si>
    <t>Conductive Additive Mass Fraction Anode</t>
  </si>
  <si>
    <t>Porosity</t>
  </si>
  <si>
    <t>Binder (Solef 5130)</t>
  </si>
  <si>
    <t>Conductive Additive (Imerys C65)</t>
  </si>
  <si>
    <t xml:space="preserve"> </t>
  </si>
  <si>
    <t>Pos. Current Collector (Al; per coated side)</t>
  </si>
  <si>
    <t>Neg. Current Collector (Cu; per coated side)</t>
  </si>
  <si>
    <t>Liquid Electrolyte (LP57)</t>
  </si>
  <si>
    <t>Liquid Electrolyte (Mg-S)</t>
  </si>
  <si>
    <t>Liquid Electrolyte (Dual-Ion)</t>
  </si>
  <si>
    <t>Separator (Celgard2320)</t>
  </si>
  <si>
    <t>Separator</t>
  </si>
  <si>
    <t>Electrolyte</t>
  </si>
  <si>
    <t>Cathode</t>
  </si>
  <si>
    <t>g</t>
  </si>
  <si>
    <t>Energy Density</t>
  </si>
  <si>
    <t>LiNi0.8Co0.15Al0.05O2</t>
  </si>
  <si>
    <t>Inactive Cell
Components</t>
  </si>
  <si>
    <t xml:space="preserve">Packaging foil </t>
  </si>
  <si>
    <t>Steel can</t>
  </si>
  <si>
    <t xml:space="preserve">Insulator disk (2×), </t>
  </si>
  <si>
    <t xml:space="preserve">positive pole/negative pole Positive pole incl. CID, PTC, and gasket </t>
  </si>
  <si>
    <t>Negative pole Jelly roll</t>
  </si>
  <si>
    <t>Ni mandrels (2×, wrapped Ni foil)</t>
  </si>
  <si>
    <t>Sum inactive</t>
  </si>
  <si>
    <t>Passive components/ housing Panasonic NCR18650B</t>
  </si>
  <si>
    <t>C16</t>
  </si>
  <si>
    <t>Specific Energy</t>
  </si>
  <si>
    <t>Cu</t>
  </si>
  <si>
    <t>Al</t>
  </si>
  <si>
    <t>AM Mass Fraction Cathode</t>
  </si>
  <si>
    <t>Separator (non-woven)</t>
  </si>
  <si>
    <t>Battery Systems (Parameters)</t>
  </si>
  <si>
    <t>Active Materials (Parameters)</t>
  </si>
  <si>
    <t>Battery Systems (General Calculations)</t>
  </si>
  <si>
    <t>Battery Systems (Electrolyte Calculations)</t>
  </si>
  <si>
    <t>Theoretical Elyte Excess Additionally to Pore Volume</t>
  </si>
  <si>
    <t>Theoretical Ratio Capacity Anode/ Cathode</t>
  </si>
  <si>
    <t>Practical Elyte Excess Additionally  to Pore Volume</t>
  </si>
  <si>
    <t>Practical Ratio Capacity Anode/ Cathode</t>
  </si>
  <si>
    <t>Theoretical Discharge Capacity</t>
  </si>
  <si>
    <t xml:space="preserve">Crystallographic
Density AM </t>
  </si>
  <si>
    <r>
      <t>[g cm</t>
    </r>
    <r>
      <rPr>
        <b/>
        <vertAlign val="superscript"/>
        <sz val="12"/>
        <color theme="1"/>
        <rFont val="Calibri"/>
        <family val="2"/>
        <scheme val="minor"/>
      </rPr>
      <t>-3</t>
    </r>
    <r>
      <rPr>
        <b/>
        <sz val="12"/>
        <color theme="1"/>
        <rFont val="Calibri"/>
        <family val="2"/>
        <scheme val="minor"/>
      </rPr>
      <t>]</t>
    </r>
  </si>
  <si>
    <t>Practical Discharge Capacity</t>
  </si>
  <si>
    <t xml:space="preserve">(AM, prac. DC and CV) </t>
  </si>
  <si>
    <t xml:space="preserve">Step 2          </t>
  </si>
  <si>
    <t xml:space="preserve">(With Elyte)    </t>
  </si>
  <si>
    <t>Step 3</t>
  </si>
  <si>
    <t xml:space="preserve">(With Elyte Excess)    </t>
  </si>
  <si>
    <t>Step 4</t>
  </si>
  <si>
    <t xml:space="preserve"> (Stack level)     </t>
  </si>
  <si>
    <t>Step 5</t>
  </si>
  <si>
    <t xml:space="preserve">Step 6 </t>
  </si>
  <si>
    <t>Step 1</t>
  </si>
  <si>
    <t>Step 2</t>
  </si>
  <si>
    <r>
      <t>[Wh L</t>
    </r>
    <r>
      <rPr>
        <b/>
        <vertAlign val="superscript"/>
        <sz val="12"/>
        <color theme="0"/>
        <rFont val="Calibri"/>
        <family val="2"/>
        <scheme val="minor"/>
      </rPr>
      <t>-1</t>
    </r>
    <r>
      <rPr>
        <b/>
        <sz val="12"/>
        <color theme="0"/>
        <rFont val="Calibri"/>
        <family val="2"/>
        <scheme val="minor"/>
      </rPr>
      <t>]</t>
    </r>
  </si>
  <si>
    <r>
      <t xml:space="preserve">   [Wh L</t>
    </r>
    <r>
      <rPr>
        <b/>
        <vertAlign val="superscript"/>
        <sz val="12"/>
        <color theme="0"/>
        <rFont val="Calibri"/>
        <family val="2"/>
        <scheme val="minor"/>
      </rPr>
      <t>-1</t>
    </r>
    <r>
      <rPr>
        <b/>
        <sz val="12"/>
        <color theme="0"/>
        <rFont val="Calibri"/>
        <family val="2"/>
        <scheme val="minor"/>
      </rPr>
      <t>]</t>
    </r>
  </si>
  <si>
    <t>Lithium Nickel Cobalt Aluminum Oxide (NCA)</t>
  </si>
  <si>
    <t xml:space="preserve">Thickness </t>
  </si>
  <si>
    <t>[µm]</t>
  </si>
  <si>
    <t xml:space="preserve">Spec. Mass      </t>
  </si>
  <si>
    <t xml:space="preserve">Density  </t>
  </si>
  <si>
    <r>
      <t>[mg cm</t>
    </r>
    <r>
      <rPr>
        <b/>
        <vertAlign val="superscript"/>
        <sz val="12"/>
        <color theme="1"/>
        <rFont val="Calibri"/>
        <family val="2"/>
        <scheme val="minor"/>
      </rPr>
      <t>-2</t>
    </r>
    <r>
      <rPr>
        <b/>
        <sz val="12"/>
        <color theme="1"/>
        <rFont val="Calibri"/>
        <family val="2"/>
        <scheme val="minor"/>
      </rPr>
      <t>]</t>
    </r>
  </si>
  <si>
    <r>
      <t xml:space="preserve"> [g cm</t>
    </r>
    <r>
      <rPr>
        <b/>
        <vertAlign val="superscript"/>
        <sz val="12"/>
        <color theme="1"/>
        <rFont val="Calibri"/>
        <family val="2"/>
        <scheme val="minor"/>
      </rPr>
      <t>-3</t>
    </r>
    <r>
      <rPr>
        <b/>
        <sz val="12"/>
        <color theme="1"/>
        <rFont val="Calibri"/>
        <family val="2"/>
        <scheme val="minor"/>
      </rPr>
      <t>]</t>
    </r>
  </si>
  <si>
    <r>
      <t>[mAh g</t>
    </r>
    <r>
      <rPr>
        <b/>
        <vertAlign val="superscript"/>
        <sz val="12"/>
        <color theme="1"/>
        <rFont val="Calibri"/>
        <family val="2"/>
        <scheme val="minor"/>
      </rPr>
      <t>-1</t>
    </r>
    <r>
      <rPr>
        <b/>
        <sz val="12"/>
        <color theme="1"/>
        <rFont val="Calibri"/>
        <family val="2"/>
        <scheme val="minor"/>
      </rPr>
      <t>]</t>
    </r>
  </si>
  <si>
    <r>
      <t>[Wh L</t>
    </r>
    <r>
      <rPr>
        <b/>
        <vertAlign val="superscript"/>
        <sz val="12"/>
        <rFont val="Calibri"/>
        <family val="2"/>
        <scheme val="minor"/>
      </rPr>
      <t>-1</t>
    </r>
    <r>
      <rPr>
        <b/>
        <sz val="12"/>
        <rFont val="Calibri"/>
        <family val="2"/>
        <scheme val="minor"/>
      </rPr>
      <t>]</t>
    </r>
  </si>
  <si>
    <r>
      <t xml:space="preserve">    [Wh L</t>
    </r>
    <r>
      <rPr>
        <b/>
        <vertAlign val="superscript"/>
        <sz val="12"/>
        <rFont val="Calibri"/>
        <family val="2"/>
        <scheme val="minor"/>
      </rPr>
      <t>-1</t>
    </r>
    <r>
      <rPr>
        <b/>
        <sz val="12"/>
        <rFont val="Calibri"/>
        <family val="2"/>
        <scheme val="minor"/>
      </rPr>
      <t>]</t>
    </r>
  </si>
  <si>
    <r>
      <t>[Wh kg</t>
    </r>
    <r>
      <rPr>
        <b/>
        <vertAlign val="superscript"/>
        <sz val="12"/>
        <rFont val="Calibri"/>
        <family val="2"/>
        <scheme val="minor"/>
      </rPr>
      <t>-1</t>
    </r>
    <r>
      <rPr>
        <b/>
        <sz val="12"/>
        <rFont val="Calibri"/>
        <family val="2"/>
        <scheme val="minor"/>
      </rPr>
      <t>]</t>
    </r>
  </si>
  <si>
    <r>
      <t>[Wh kg</t>
    </r>
    <r>
      <rPr>
        <b/>
        <vertAlign val="superscript"/>
        <sz val="12"/>
        <color theme="0"/>
        <rFont val="Calibri"/>
        <family val="2"/>
        <scheme val="minor"/>
      </rPr>
      <t>-1</t>
    </r>
    <r>
      <rPr>
        <b/>
        <sz val="12"/>
        <color theme="0"/>
        <rFont val="Calibri"/>
        <family val="2"/>
        <scheme val="minor"/>
      </rPr>
      <t>]</t>
    </r>
  </si>
  <si>
    <t xml:space="preserve">Theoretical Mean Discharge Voltage </t>
  </si>
  <si>
    <t>[V]</t>
  </si>
  <si>
    <t xml:space="preserve">Practical Mean Discharge Voltage </t>
  </si>
  <si>
    <t xml:space="preserve">Thickness Cathode </t>
  </si>
  <si>
    <t xml:space="preserve">Thickness Separator </t>
  </si>
  <si>
    <t xml:space="preserve">Density Elyte </t>
  </si>
  <si>
    <t>[mL]</t>
  </si>
  <si>
    <t>Mass Cell components</t>
  </si>
  <si>
    <t xml:space="preserve"> [g]</t>
  </si>
  <si>
    <r>
      <t>[µL mg</t>
    </r>
    <r>
      <rPr>
        <b/>
        <vertAlign val="superscript"/>
        <sz val="12"/>
        <color theme="1"/>
        <rFont val="Calibri"/>
        <family val="2"/>
        <scheme val="minor"/>
      </rPr>
      <t>-1</t>
    </r>
    <r>
      <rPr>
        <b/>
        <sz val="12"/>
        <color theme="1"/>
        <rFont val="Calibri"/>
        <family val="2"/>
        <scheme val="minor"/>
      </rPr>
      <t>]</t>
    </r>
  </si>
  <si>
    <t>Practical Ratio Elyte/ Cathode AM</t>
  </si>
  <si>
    <t>Theoretical Ratio Elyte/ Cathode AM</t>
  </si>
  <si>
    <t>Composite Cathode Density</t>
  </si>
  <si>
    <r>
      <t>[g cm</t>
    </r>
    <r>
      <rPr>
        <b/>
        <vertAlign val="superscript"/>
        <sz val="12"/>
        <color theme="1"/>
        <rFont val="Calibri"/>
        <family val="2"/>
        <scheme val="minor"/>
      </rPr>
      <t>-3</t>
    </r>
    <r>
      <rPr>
        <b/>
        <sz val="12"/>
        <color theme="1"/>
        <rFont val="Calibri"/>
        <family val="2"/>
        <scheme val="minor"/>
      </rPr>
      <t>]</t>
    </r>
  </si>
  <si>
    <r>
      <t xml:space="preserve"> [mAh cm</t>
    </r>
    <r>
      <rPr>
        <b/>
        <vertAlign val="superscript"/>
        <sz val="12"/>
        <color theme="1"/>
        <rFont val="Calibri"/>
        <family val="2"/>
        <scheme val="minor"/>
      </rPr>
      <t>-3</t>
    </r>
    <r>
      <rPr>
        <b/>
        <sz val="12"/>
        <color theme="1"/>
        <rFont val="Calibri"/>
        <family val="2"/>
        <scheme val="minor"/>
      </rPr>
      <t xml:space="preserve">] </t>
    </r>
  </si>
  <si>
    <t xml:space="preserve">Practical Volumetric
Capacity Cathode Coating </t>
  </si>
  <si>
    <t>Composite Anode Density</t>
  </si>
  <si>
    <t xml:space="preserve">AM Density in Cathode Coating    </t>
  </si>
  <si>
    <r>
      <t xml:space="preserve"> [mAh cm</t>
    </r>
    <r>
      <rPr>
        <b/>
        <vertAlign val="superscript"/>
        <sz val="12"/>
        <color theme="1"/>
        <rFont val="Calibri"/>
        <family val="2"/>
        <scheme val="minor"/>
      </rPr>
      <t>-2</t>
    </r>
    <r>
      <rPr>
        <b/>
        <sz val="12"/>
        <color theme="1"/>
        <rFont val="Calibri"/>
        <family val="2"/>
        <scheme val="minor"/>
      </rPr>
      <t xml:space="preserve">] </t>
    </r>
  </si>
  <si>
    <t xml:space="preserve">Theoretical Cathode
Area Capacity </t>
  </si>
  <si>
    <t xml:space="preserve">Theoretical Anode
Area Capacity </t>
  </si>
  <si>
    <t xml:space="preserve">Practical Anode
Area Capacity </t>
  </si>
  <si>
    <t>Theoretical Anode AM
Area Mass</t>
  </si>
  <si>
    <t xml:space="preserve">Practical Anode AM
Area Mass </t>
  </si>
  <si>
    <t xml:space="preserve">Theoretical Anode
Thickness </t>
  </si>
  <si>
    <t xml:space="preserve">Practical Anode
Thickness </t>
  </si>
  <si>
    <t>Total Stack
Thickness with  Elyte Excess</t>
  </si>
  <si>
    <t>Total Stack
Mass with  Elyte Excess</t>
  </si>
  <si>
    <t>Total Stack Volumetric
Energy with Elyte Excess</t>
  </si>
  <si>
    <t>Total Stack Gravimetric
Energy with Elyte Excess</t>
  </si>
  <si>
    <t>[g]</t>
  </si>
  <si>
    <t>Pos. Electrode AM
Area Mass</t>
  </si>
  <si>
    <t>Density Separator + Elyte</t>
  </si>
  <si>
    <t>Specific Mass Separator</t>
  </si>
  <si>
    <t xml:space="preserve">Specific Mass Separator + Elyte          </t>
  </si>
  <si>
    <t>Mass of Elyte in Separator</t>
  </si>
  <si>
    <t xml:space="preserve">Weight Elytes  in Cathode </t>
  </si>
  <si>
    <t xml:space="preserve">Practical Weight Elyte in Anode          </t>
  </si>
  <si>
    <t xml:space="preserve">Total Volume Elyte in Pores (A+C+S)         </t>
  </si>
  <si>
    <r>
      <t>[µL cm</t>
    </r>
    <r>
      <rPr>
        <b/>
        <vertAlign val="superscript"/>
        <sz val="12"/>
        <color theme="1"/>
        <rFont val="Calibri"/>
        <family val="2"/>
        <scheme val="minor"/>
      </rPr>
      <t>-2</t>
    </r>
    <r>
      <rPr>
        <b/>
        <sz val="12"/>
        <color theme="1"/>
        <rFont val="Calibri"/>
        <family val="2"/>
        <scheme val="minor"/>
      </rPr>
      <t>]</t>
    </r>
  </si>
  <si>
    <t>Theoretical Thickness Elyte excess</t>
  </si>
  <si>
    <t>Practical Thickness Elyte excess</t>
  </si>
  <si>
    <t>Practical Total Volume Elyte Excess per Area</t>
  </si>
  <si>
    <t>Theoretical Total Volume Elyte Excess per Area</t>
  </si>
  <si>
    <t>Practical Total Mass Elyte per Area</t>
  </si>
  <si>
    <t>Theoretical Total Mass Elyte per Area</t>
  </si>
  <si>
    <t>Practical Total Volume Elyte per Area</t>
  </si>
  <si>
    <t>Theoretical Total Volume Elyte per Area</t>
  </si>
  <si>
    <t>Practical Ratio  Needed Elyte/ Cathode AM</t>
  </si>
  <si>
    <t>Theoretical Ratio  Needed Elyte/ Cathode AM</t>
  </si>
  <si>
    <t xml:space="preserve">Resulting Elyte to AM mass ratio          </t>
  </si>
  <si>
    <t>Theoretical Volumetric
Capacity Cathode  Coating</t>
  </si>
  <si>
    <t xml:space="preserve">Cathode AM
Areal Mass Loading </t>
  </si>
  <si>
    <t xml:space="preserve">Approximate weight </t>
  </si>
  <si>
    <t xml:space="preserve">Practical Cathode
Area Capacity </t>
  </si>
  <si>
    <t xml:space="preserve">(AM, Theo. DC and CV)   </t>
  </si>
  <si>
    <t xml:space="preserve"> (AM, Theo. DC and CV)  </t>
  </si>
  <si>
    <t>Max Volume Change During Charge</t>
  </si>
  <si>
    <t>Practical Total Salt Mass  per Area</t>
  </si>
  <si>
    <t>Practical Total Elyte Mass per Area</t>
  </si>
  <si>
    <t>Practical Total Elyte Solvent Mass per Area</t>
  </si>
  <si>
    <t>Practical Total Elyte Solvent Volume per Area</t>
  </si>
  <si>
    <t xml:space="preserve">Reduced Thickness  Electrolyte Charged </t>
  </si>
  <si>
    <t xml:space="preserve">Electrolyte Volume Change </t>
  </si>
  <si>
    <t>Max Volume Change During      (Dis-)Charge</t>
  </si>
  <si>
    <t>Lithium iron phosphate</t>
  </si>
  <si>
    <t>LiFePO4</t>
  </si>
  <si>
    <t>Al metal</t>
  </si>
  <si>
    <t>Polyanthraquinone</t>
  </si>
  <si>
    <t>PAQS</t>
  </si>
  <si>
    <t>Graphite (Cathode in Dual Ion vs. Al)</t>
  </si>
  <si>
    <t>MnO4</t>
  </si>
  <si>
    <t>Polybenzoquinone</t>
  </si>
  <si>
    <t>PBQS</t>
  </si>
  <si>
    <t>Liquid Electrolyte (Al)</t>
  </si>
  <si>
    <t>Electrolyte-cathode properties</t>
  </si>
  <si>
    <t>Molar mass C16 (g/mol)</t>
  </si>
  <si>
    <t>Molar mass LiPF6 (g/mol)</t>
  </si>
  <si>
    <t>Salt concentration Li-DIB (M/ml)</t>
  </si>
  <si>
    <t>Active salt ion mass</t>
  </si>
  <si>
    <t>Salt ion mass in anode</t>
  </si>
  <si>
    <t>Salt ion mass in cathode</t>
  </si>
  <si>
    <t xml:space="preserve">Practical Additional Thickness (Dis-)charge 
Cathode </t>
  </si>
  <si>
    <t xml:space="preserve">Practical Additional Thickness (Dis-)charge 
Anode </t>
  </si>
  <si>
    <t>Separator porosity</t>
  </si>
  <si>
    <t>Practical Ion mass in separator</t>
  </si>
  <si>
    <t>Practical Separator Thickness</t>
  </si>
  <si>
    <t>[µL cm-2]</t>
  </si>
  <si>
    <t>Electrolyte volume and separator thickness</t>
  </si>
  <si>
    <t>Molar mass EMIM (g/mol)</t>
  </si>
  <si>
    <t>AlCl3:EMIM_Cl-ratio</t>
  </si>
  <si>
    <t>Molar mass AlCl3 (g/mol)</t>
  </si>
  <si>
    <t>Capacity per AlCl3 for AlCl2 active species</t>
  </si>
  <si>
    <t>Capacity per AlCl3 for AlCl active species</t>
  </si>
  <si>
    <t>Capacity per AlCl3 for AlCl4 active species</t>
  </si>
  <si>
    <t>Active Ion mass in separator</t>
  </si>
  <si>
    <t>Separator Thickness</t>
  </si>
  <si>
    <t>Practical salt ion mass</t>
  </si>
  <si>
    <t>Active Electrolyte in Separator Thickness</t>
  </si>
  <si>
    <t>[mg cm-2]</t>
  </si>
  <si>
    <t>Active Electrolyte Volume in Separator</t>
  </si>
  <si>
    <t>Practical Electrolyte Volume in Separator</t>
  </si>
  <si>
    <t xml:space="preserve"> Mass Active Elyte in Separator  </t>
  </si>
  <si>
    <t xml:space="preserve"> Mass Practical Elyte in Separator     </t>
  </si>
  <si>
    <t>Total Mass Active Elyte</t>
  </si>
  <si>
    <t xml:space="preserve"> Total Mass Practical Elyte</t>
  </si>
  <si>
    <t>AlCl3-mass concentration</t>
  </si>
  <si>
    <t xml:space="preserve">Elyte in Separator     </t>
  </si>
  <si>
    <t>Elyte in Pores</t>
  </si>
  <si>
    <t>Total Volume Active Elyte</t>
  </si>
  <si>
    <t>Active Elyte</t>
  </si>
  <si>
    <t>Faraday's constant (Ah/mol)</t>
  </si>
  <si>
    <t>Cathode AM Areal Mass Loading</t>
  </si>
  <si>
    <t>Anode AM Areal Mass Loading</t>
  </si>
  <si>
    <t>Binder Areal mass</t>
  </si>
  <si>
    <t>Conductive Additive Areal Mass</t>
  </si>
  <si>
    <t>Positive Current Collector Mass</t>
  </si>
  <si>
    <t>Negative Current Collector Mass</t>
  </si>
  <si>
    <t>Separator Mass</t>
  </si>
  <si>
    <r>
      <t>[$ kg</t>
    </r>
    <r>
      <rPr>
        <b/>
        <vertAlign val="superscript"/>
        <sz val="12"/>
        <color theme="1"/>
        <rFont val="Calibri"/>
        <family val="2"/>
        <scheme val="minor"/>
      </rPr>
      <t>-1</t>
    </r>
    <r>
      <rPr>
        <b/>
        <sz val="12"/>
        <color theme="1"/>
        <rFont val="Calibri"/>
        <family val="2"/>
        <scheme val="minor"/>
      </rPr>
      <t>]</t>
    </r>
  </si>
  <si>
    <t>Specific Cost</t>
  </si>
  <si>
    <t>Lithium Iron Phosphate</t>
  </si>
  <si>
    <t>Battery Systems (Mass contents)</t>
  </si>
  <si>
    <t>Areal cost</t>
  </si>
  <si>
    <t>[$ cm-2]</t>
  </si>
  <si>
    <t>[$ m-2]</t>
  </si>
  <si>
    <t>Composite Cathode Cost</t>
  </si>
  <si>
    <r>
      <t>[$ cm</t>
    </r>
    <r>
      <rPr>
        <b/>
        <vertAlign val="superscript"/>
        <sz val="12"/>
        <color theme="1"/>
        <rFont val="Calibri"/>
        <family val="2"/>
        <scheme val="minor"/>
      </rPr>
      <t>-2</t>
    </r>
    <r>
      <rPr>
        <b/>
        <sz val="12"/>
        <color theme="1"/>
        <rFont val="Calibri"/>
        <family val="2"/>
        <scheme val="minor"/>
      </rPr>
      <t>]</t>
    </r>
  </si>
  <si>
    <t>Composite Anode Cost</t>
  </si>
  <si>
    <t>Electrolyte Cost</t>
  </si>
  <si>
    <t>Placke 2018</t>
  </si>
  <si>
    <t>Pos. Current Collector SS; per coated side)</t>
  </si>
  <si>
    <t>Separator Cost</t>
  </si>
  <si>
    <t>Positive Current Collector Cost Cost</t>
  </si>
  <si>
    <t>Negative Current Collector Cost Cost</t>
  </si>
  <si>
    <t>Total Stack Mass</t>
  </si>
  <si>
    <t>Practical Mean Discharge Voltage</t>
  </si>
  <si>
    <t>Practical Cathode Area Capacity</t>
  </si>
  <si>
    <t>Stack Specific Energy</t>
  </si>
  <si>
    <t>[Wh kg-1]</t>
  </si>
  <si>
    <t>Energy per Area</t>
  </si>
  <si>
    <t xml:space="preserve"> [mWh cm-2] </t>
  </si>
  <si>
    <t xml:space="preserve"> [$ kWh-1] </t>
  </si>
  <si>
    <t>Total Stack Cost</t>
  </si>
  <si>
    <t>Lithium titanate</t>
  </si>
  <si>
    <t>Li4Ti5O12</t>
  </si>
  <si>
    <t>Berg 2015</t>
  </si>
  <si>
    <t>S</t>
  </si>
  <si>
    <t>Passive components/ housing pouch cell</t>
  </si>
  <si>
    <t>21,5 mg/cm2 for 153 um</t>
  </si>
  <si>
    <t xml:space="preserve">$1/m2 for 480mm W x 20 m L x 0.113 mm </t>
  </si>
  <si>
    <t>Tabs?</t>
  </si>
  <si>
    <t>Anode size</t>
  </si>
  <si>
    <t>Cathode size</t>
  </si>
  <si>
    <t>Packaging foil size</t>
  </si>
  <si>
    <t>Packaging foil thickness [cm] and density [g cm-2]</t>
  </si>
  <si>
    <t>[cm]</t>
  </si>
  <si>
    <t>Width</t>
  </si>
  <si>
    <t>Length</t>
  </si>
  <si>
    <t>Active Volume in Pouch cell</t>
  </si>
  <si>
    <t>Cell stacking height</t>
  </si>
  <si>
    <t>Pouch size with seam</t>
  </si>
  <si>
    <t xml:space="preserve">Outer Volume of Pouch cell  </t>
  </si>
  <si>
    <t>Mass of stack inside Pouch cell</t>
  </si>
  <si>
    <t>Number of Stack layers within Pouch cell</t>
  </si>
  <si>
    <t xml:space="preserve"> (Pouch Cell level) </t>
  </si>
  <si>
    <t>Manganese oxide</t>
  </si>
  <si>
    <t>Mn2O4</t>
  </si>
  <si>
    <t>MnO2</t>
  </si>
  <si>
    <t>[years]</t>
  </si>
  <si>
    <t>[MWh]</t>
  </si>
  <si>
    <t>[$]</t>
  </si>
  <si>
    <t>Energy per Pouch cell</t>
  </si>
  <si>
    <t>[Wh]</t>
  </si>
  <si>
    <t>Pouch cell foil cost</t>
  </si>
  <si>
    <t>Pouch cell foil</t>
  </si>
  <si>
    <t>Total Pouch cell Cost</t>
  </si>
  <si>
    <t>$/MWh</t>
  </si>
  <si>
    <t>LCOS</t>
  </si>
  <si>
    <t>Battery Systems (Material costs)</t>
  </si>
  <si>
    <t>Battery Systems (Mass fractions)</t>
  </si>
  <si>
    <t>[%]</t>
  </si>
  <si>
    <t>Cathode AM mass fraction in Stack</t>
  </si>
  <si>
    <t>Anode AM mass fraction in Stack</t>
  </si>
  <si>
    <t>Electrolyte mass fraction in Stack</t>
  </si>
  <si>
    <t>Separator mass fraction in Stack</t>
  </si>
  <si>
    <t>Positive CC mass fraction in Stack</t>
  </si>
  <si>
    <t>Negative CC mass fraction in Stack</t>
  </si>
  <si>
    <t>Binder mass fraction in Stack</t>
  </si>
  <si>
    <t>Conductive additive mass fraction in Stack</t>
  </si>
  <si>
    <t>Total Stack Mass Control</t>
  </si>
  <si>
    <t>Battery Systems (Stack thickness)</t>
  </si>
  <si>
    <t>Anode</t>
  </si>
  <si>
    <t>Positive CC</t>
  </si>
  <si>
    <t>Negative CC</t>
  </si>
  <si>
    <t>Thickness Change Electrolyte</t>
  </si>
  <si>
    <t>Thickness Change Anode</t>
  </si>
  <si>
    <t>Thickness Change Cathode</t>
  </si>
  <si>
    <t>Expansion</t>
  </si>
  <si>
    <t>Total Stack Thickness</t>
  </si>
  <si>
    <t>Positive Current Collector Cost</t>
  </si>
  <si>
    <t>Negative Current Collector Cost</t>
  </si>
  <si>
    <t>Cathode Area Capacity</t>
  </si>
  <si>
    <t xml:space="preserve"> [mAh cm-2] </t>
  </si>
  <si>
    <t>Reference</t>
  </si>
  <si>
    <t xml:space="preserve"> [g cm-3]</t>
  </si>
  <si>
    <t>[kg]</t>
  </si>
  <si>
    <t>System Components</t>
  </si>
  <si>
    <t>$/kW</t>
  </si>
  <si>
    <t>Cell Specific Energy</t>
  </si>
  <si>
    <t>Total mass</t>
  </si>
  <si>
    <t>Capacity Day 1 (kWh)</t>
  </si>
  <si>
    <t>Container Footprint (m2)</t>
  </si>
  <si>
    <t>Container Volume (m3)</t>
  </si>
  <si>
    <t>Mass of PCS</t>
  </si>
  <si>
    <t>E:P-ratio</t>
  </si>
  <si>
    <t>Inverter Power</t>
  </si>
  <si>
    <t>[MW]</t>
  </si>
  <si>
    <t>Datasheets</t>
  </si>
  <si>
    <t>[Wh L-1]</t>
  </si>
  <si>
    <t>Mass of Cells</t>
  </si>
  <si>
    <t>Costs</t>
  </si>
  <si>
    <t>Weights</t>
  </si>
  <si>
    <t>Pouch Cell</t>
  </si>
  <si>
    <t xml:space="preserve"> [Ah] </t>
  </si>
  <si>
    <t>40 ft ISO Container</t>
  </si>
  <si>
    <t>Cost of Cell Materials</t>
  </si>
  <si>
    <t>Utility BESS</t>
  </si>
  <si>
    <t>4 hour</t>
  </si>
  <si>
    <t>2 hour</t>
  </si>
  <si>
    <t>1 hour</t>
  </si>
  <si>
    <t>0.5 hour</t>
  </si>
  <si>
    <t>$/kWh</t>
  </si>
  <si>
    <t>Model Component</t>
  </si>
  <si>
    <t>Lithium-ion Battery</t>
  </si>
  <si>
    <t xml:space="preserve">Battery Central Inverter </t>
  </si>
  <si>
    <t>Structural BOS</t>
  </si>
  <si>
    <t>Electrical BOS</t>
  </si>
  <si>
    <t>Installation Labor &amp; Equipment</t>
  </si>
  <si>
    <t xml:space="preserve">EPC Overhead  </t>
  </si>
  <si>
    <t xml:space="preserve">Sale Tax </t>
  </si>
  <si>
    <t>∑ EPC Cost</t>
  </si>
  <si>
    <t>Land acquisition</t>
  </si>
  <si>
    <t>Permitting fee</t>
  </si>
  <si>
    <t>Interconnection fee</t>
  </si>
  <si>
    <t>Contingency</t>
  </si>
  <si>
    <t>Developer overhead</t>
  </si>
  <si>
    <t xml:space="preserve">EPC/developer net profit </t>
  </si>
  <si>
    <t>∑ Developer cost</t>
  </si>
  <si>
    <t>∑ Total energy storage system cost</t>
  </si>
  <si>
    <t>TITLE</t>
  </si>
  <si>
    <t>AUTHORS</t>
  </si>
  <si>
    <t>David Feldman, Vignesh Ramasamy, Robert Margolis</t>
  </si>
  <si>
    <t>Number of Containers</t>
  </si>
  <si>
    <t>Total Power (MW)</t>
  </si>
  <si>
    <t>Energy per 40 ft container (MWh)</t>
  </si>
  <si>
    <t>C_P</t>
  </si>
  <si>
    <t>C_C</t>
  </si>
  <si>
    <t>$/container</t>
  </si>
  <si>
    <t>Total Overhead</t>
  </si>
  <si>
    <t>[$/kW]</t>
  </si>
  <si>
    <t>[$/container]</t>
  </si>
  <si>
    <t>(kg/kW)</t>
  </si>
  <si>
    <t>Total Pack Volume</t>
  </si>
  <si>
    <t>Volume of Cells</t>
  </si>
  <si>
    <t>Mass of Pack (w.o. Cells)</t>
  </si>
  <si>
    <t>Pack Energy</t>
  </si>
  <si>
    <t>Pack Usable Energy</t>
  </si>
  <si>
    <t>[kWh]</t>
  </si>
  <si>
    <t>[L]</t>
  </si>
  <si>
    <t>Number of battery packs</t>
  </si>
  <si>
    <t xml:space="preserve">     Packs in series or parallel</t>
  </si>
  <si>
    <t>Number of cells per pack</t>
  </si>
  <si>
    <t>Battery system capacity, Ah</t>
  </si>
  <si>
    <t>Battery system power at target % OCV, kW</t>
  </si>
  <si>
    <t>Cooling system power requirement, W</t>
  </si>
  <si>
    <t>Pack total energy, kWh</t>
  </si>
  <si>
    <t>Pack capacity, Ah</t>
  </si>
  <si>
    <t>Pack total mass, kg</t>
  </si>
  <si>
    <t>Pack specific energy, Wh/kg</t>
  </si>
  <si>
    <t>Pack volume, L</t>
  </si>
  <si>
    <t>Pack energy density, Wh/L</t>
  </si>
  <si>
    <t>Module mass, kg</t>
  </si>
  <si>
    <t>Cell capacity, Ah</t>
  </si>
  <si>
    <t>Cell mass, kg</t>
  </si>
  <si>
    <t>Cell specific energy, Wh/kg</t>
  </si>
  <si>
    <t>Cell volume, L</t>
  </si>
  <si>
    <t>Cell energy density, Wh/L</t>
  </si>
  <si>
    <t>Positive electrode thickness, µm</t>
  </si>
  <si>
    <t>Negative electrode thickness, µm</t>
  </si>
  <si>
    <t>Investment Costs</t>
  </si>
  <si>
    <t>Total investment, mil$</t>
  </si>
  <si>
    <t>Variable Cost</t>
  </si>
  <si>
    <t>Total variable cost, $/pack</t>
  </si>
  <si>
    <t>Fixed Expenses</t>
  </si>
  <si>
    <t>General, sales, administration, $/pack</t>
  </si>
  <si>
    <t>Research and development, $/pack</t>
  </si>
  <si>
    <t>Depreciation, $/pack</t>
  </si>
  <si>
    <t>Total fixed expenses, $/pack</t>
  </si>
  <si>
    <t/>
  </si>
  <si>
    <t>Li-DIB</t>
  </si>
  <si>
    <t>Al-MnO</t>
  </si>
  <si>
    <t>Values from software Batpac 4.0</t>
  </si>
  <si>
    <t>Developed by Argonne National Laboratory</t>
  </si>
  <si>
    <t>Battery Container (Energy Content)</t>
  </si>
  <si>
    <t>Battery Container Specific Energy</t>
  </si>
  <si>
    <t>Battery Container Energy Density</t>
  </si>
  <si>
    <t>Cell:Container Mass-ratio</t>
  </si>
  <si>
    <t>Cell:Container Volume-ratio</t>
  </si>
  <si>
    <t>60 MW Systems (Costs)</t>
  </si>
  <si>
    <t>System Power</t>
  </si>
  <si>
    <t>Number of Battery Containers</t>
  </si>
  <si>
    <t>Mass of Structural BOS</t>
  </si>
  <si>
    <t>Cost of Structural BOS</t>
  </si>
  <si>
    <t>Cost of Electrical BOS</t>
  </si>
  <si>
    <t>Overhead costs</t>
  </si>
  <si>
    <t>Total System Costs</t>
  </si>
  <si>
    <t>Installation costs</t>
  </si>
  <si>
    <t>Power Conversion Costs</t>
  </si>
  <si>
    <t xml:space="preserve">   [Wh L-1]</t>
  </si>
  <si>
    <t>kWh/container</t>
  </si>
  <si>
    <t xml:space="preserve"> (Container level) </t>
  </si>
  <si>
    <t>Cell material:System cost-ratio</t>
  </si>
  <si>
    <t>60 MW Systems (Overhead Costs)</t>
  </si>
  <si>
    <t>Sales tax</t>
  </si>
  <si>
    <t>EPC Overhead</t>
  </si>
  <si>
    <t>Permitting and interconnection fee</t>
  </si>
  <si>
    <t>Developer Overhead</t>
  </si>
  <si>
    <t>EPC/Developer net profit</t>
  </si>
  <si>
    <t>Total Overhead costs</t>
  </si>
  <si>
    <t>Installed Energy per Container</t>
  </si>
  <si>
    <t>Usable Energy per Container</t>
  </si>
  <si>
    <t>System Usable Energy</t>
  </si>
  <si>
    <t>[$/kg]</t>
  </si>
  <si>
    <t>Total pouch cell specific cost</t>
  </si>
  <si>
    <t>Polyphenanthraquinone</t>
  </si>
  <si>
    <t>pPQ</t>
  </si>
  <si>
    <t>PQ with PVDF-binder</t>
  </si>
  <si>
    <t>Al-pPQ</t>
  </si>
  <si>
    <t>Pack Voltage</t>
  </si>
  <si>
    <t>Summary of Results</t>
  </si>
  <si>
    <t>Manufactoring Cost Calculations</t>
  </si>
  <si>
    <t>Annual Processing Rates</t>
  </si>
  <si>
    <t>Number of battery packs manufactured per year</t>
  </si>
  <si>
    <t>Energy, kWh per year</t>
  </si>
  <si>
    <t>Number of accepted cells per year</t>
  </si>
  <si>
    <t>Number of cells adjusted for yield</t>
  </si>
  <si>
    <t>Electrode area, m² per year</t>
  </si>
  <si>
    <t>Positive active material, kg per year</t>
  </si>
  <si>
    <t>Negative active material, kg per year</t>
  </si>
  <si>
    <t>Total Cell Materials per Accepted Cell</t>
  </si>
  <si>
    <t>Yield, %</t>
  </si>
  <si>
    <t>Positive electrode active material, g/cell</t>
  </si>
  <si>
    <t>Electrolyte, L</t>
  </si>
  <si>
    <t>Annual Cell Materials Rates</t>
  </si>
  <si>
    <t>Number of cell containers</t>
  </si>
  <si>
    <t>Unit Cell Materials Costs</t>
  </si>
  <si>
    <t>Baseline</t>
  </si>
  <si>
    <t>p</t>
  </si>
  <si>
    <t>Positive Electrode, $/kg</t>
  </si>
  <si>
    <t>Positive electrode active material, $/kg</t>
  </si>
  <si>
    <t>Positive electrode carbon additive, $/kg</t>
  </si>
  <si>
    <t>Positive electrode binder, $/kg</t>
  </si>
  <si>
    <t>Positive electrode binder solvent, $/kg</t>
  </si>
  <si>
    <t>Negative electrode material, $/kg</t>
  </si>
  <si>
    <t>Negative electrode active material, $/kg</t>
  </si>
  <si>
    <t>Negative electrode carbon additive, $/kg</t>
  </si>
  <si>
    <t>Negative electrode binder, $/kg</t>
  </si>
  <si>
    <t>Electrolyte, $/L</t>
  </si>
  <si>
    <t>Hardware Costs, $/unit</t>
  </si>
  <si>
    <t>Hardware Costs: Cell container $/unit</t>
  </si>
  <si>
    <t>Cell Materials Cost, $/cell</t>
  </si>
  <si>
    <t>Positive Electrode (dry)</t>
  </si>
  <si>
    <t>Positive electrode active material, $/cell</t>
  </si>
  <si>
    <t>Positive electrode carbon additive, $/cell</t>
  </si>
  <si>
    <t>Positive electrode binder, $/cell</t>
  </si>
  <si>
    <t>Negative electrode active material, $/cell</t>
  </si>
  <si>
    <t>Negative electrode carbon additive, $/cell</t>
  </si>
  <si>
    <t>Positive current collector, $/cell</t>
  </si>
  <si>
    <t>Negative current collector, $/cell</t>
  </si>
  <si>
    <t>Separators, $/cell</t>
  </si>
  <si>
    <t>Electrolyte, $/cell</t>
  </si>
  <si>
    <t>Cell container, $/unit</t>
  </si>
  <si>
    <t>Total cost of cell materials, $/cell</t>
  </si>
  <si>
    <t>Provision for gas release, $/module</t>
  </si>
  <si>
    <t>Module enclosure, $/module</t>
  </si>
  <si>
    <t>Baseline thermal system, $/pack</t>
  </si>
  <si>
    <t>Heating system, $/pack</t>
  </si>
  <si>
    <t>Additional for multiple packs, $/additional pack</t>
  </si>
  <si>
    <t>Plant</t>
  </si>
  <si>
    <t>Electrode Processing</t>
  </si>
  <si>
    <t>Calendering</t>
  </si>
  <si>
    <t>Electrode Slitting (area/yr)</t>
  </si>
  <si>
    <t>Cell Assembly in Dry Room</t>
  </si>
  <si>
    <t xml:space="preserve">Rejected Cell and Scrap Recycle (number of cells/yr) </t>
  </si>
  <si>
    <t>Summary for Battery Pack</t>
  </si>
  <si>
    <t>Direct labor, hours/year</t>
  </si>
  <si>
    <t>Capital equipment, million$</t>
  </si>
  <si>
    <t>Summary for Cost of Modules Only</t>
  </si>
  <si>
    <t>Summary for Cost of Cells Only</t>
  </si>
  <si>
    <r>
      <t>Dry room operating area, m</t>
    </r>
    <r>
      <rPr>
        <vertAlign val="superscript"/>
        <sz val="10"/>
        <rFont val="Arial"/>
        <family val="2"/>
      </rPr>
      <t>2</t>
    </r>
  </si>
  <si>
    <t>Aluminum</t>
  </si>
  <si>
    <t>Aluminum in cell current collectors, kg/pk</t>
  </si>
  <si>
    <t>Aluminum in cell terminals, kg/pk</t>
  </si>
  <si>
    <t>Aluminum in thermal conductors, kg/pk</t>
  </si>
  <si>
    <t>Total aluminum content, kg/pk</t>
  </si>
  <si>
    <t>Aluminum content, kg/kWh</t>
  </si>
  <si>
    <t>Copper</t>
  </si>
  <si>
    <t>Copper in cell current collectors, kg/pk</t>
  </si>
  <si>
    <t>Total copper content, kg/pk</t>
  </si>
  <si>
    <t>Copper content, kg/kWh</t>
  </si>
  <si>
    <t>LIB-LFP</t>
  </si>
  <si>
    <r>
      <t>Table S1</t>
    </r>
    <r>
      <rPr>
        <sz val="12"/>
        <color theme="1"/>
        <rFont val="Times New Roman"/>
        <family val="1"/>
      </rPr>
      <t xml:space="preserve"> Cost evaluation of the 1 Ah AGDI (1.5 V) cell developer at Albufera</t>
    </r>
  </si>
  <si>
    <t>Wh</t>
  </si>
  <si>
    <t>Al-C cost 1 Ah/ 1.5 V</t>
  </si>
  <si>
    <t>Cost weight (%)</t>
  </si>
  <si>
    <t>Part cost</t>
  </si>
  <si>
    <t>kg</t>
  </si>
  <si>
    <t xml:space="preserve">Cathode active mass </t>
  </si>
  <si>
    <t xml:space="preserve">Anode active mass </t>
  </si>
  <si>
    <t xml:space="preserve">Electrolyte mixture </t>
  </si>
  <si>
    <t xml:space="preserve">Separator </t>
  </si>
  <si>
    <t xml:space="preserve">Electrical tabs </t>
  </si>
  <si>
    <t xml:space="preserve">Container </t>
  </si>
  <si>
    <t xml:space="preserve">Total cost </t>
  </si>
  <si>
    <t>€</t>
  </si>
  <si>
    <t>Aluminium price for 2020-2030: 2,000 USD/Tm (stable)</t>
  </si>
  <si>
    <t>Carbonaceous material for cathode price for 2020-2030: 420 - 560 USD/Tm</t>
  </si>
  <si>
    <t>Potential of cost decrease in electrolyte and cell container</t>
  </si>
  <si>
    <t>Man power cost (not included) planned at 2% total material costs</t>
  </si>
  <si>
    <t>Machinery depreciation planned at 0.006 €/cell</t>
  </si>
  <si>
    <t>Al-gra loading</t>
  </si>
  <si>
    <t>mAh/cm2</t>
  </si>
  <si>
    <t>Ah</t>
  </si>
  <si>
    <t>Total area</t>
  </si>
  <si>
    <t>cm2</t>
  </si>
  <si>
    <t>Separator cost</t>
  </si>
  <si>
    <t>€/cm2</t>
  </si>
  <si>
    <t>€/m2</t>
  </si>
  <si>
    <t>Active electrolyte</t>
  </si>
  <si>
    <t>total electrolyte</t>
  </si>
  <si>
    <t>electrolyte cost</t>
  </si>
  <si>
    <t>Electrolyte for AlBs</t>
  </si>
  <si>
    <t>Packaging foil mass per Pouch cell</t>
  </si>
  <si>
    <t xml:space="preserve"> [g] </t>
  </si>
  <si>
    <t>Cell area (Mass contents)</t>
  </si>
  <si>
    <t>Aluminium Anode Mass</t>
  </si>
  <si>
    <t>Aluminium Current Collector Mass</t>
  </si>
  <si>
    <t>Aluminium in Electrolyte</t>
  </si>
  <si>
    <t>Active material content</t>
  </si>
  <si>
    <t>mol/mL</t>
  </si>
  <si>
    <t>Li content</t>
  </si>
  <si>
    <t>Al content</t>
  </si>
  <si>
    <t>Al mass in Cathode</t>
  </si>
  <si>
    <t>Mn/Ni/Fe mass in Cathode</t>
  </si>
  <si>
    <t>Copper Current Collector Mass</t>
  </si>
  <si>
    <t>Graphite Mass</t>
  </si>
  <si>
    <t>Binder Mass</t>
  </si>
  <si>
    <t>Organic Active Material Mass</t>
  </si>
  <si>
    <t>Li mass in Cathode</t>
  </si>
  <si>
    <t>Lithium in Electrolyte</t>
  </si>
  <si>
    <t>Conductive Additives Mass</t>
  </si>
  <si>
    <t>Residual Electrolyte Mass</t>
  </si>
  <si>
    <t>Packaging Foil Mass</t>
  </si>
  <si>
    <t>Total Pouch cell Mass</t>
  </si>
  <si>
    <t>Oxygen mass in Oxide-Cathode</t>
  </si>
  <si>
    <t>Total Pouch cell Mass (Control)</t>
  </si>
  <si>
    <t>Pouch cell (Mass per Energy)</t>
  </si>
  <si>
    <t>[kg/kWh]</t>
  </si>
  <si>
    <t>Number of Pouch cells per Rack</t>
  </si>
  <si>
    <t>Aluminium in Cells</t>
  </si>
  <si>
    <t>Aluminium in Cell terminals</t>
  </si>
  <si>
    <t>Aluminium in Thermal Conductors</t>
  </si>
  <si>
    <t>Pouch cell (Mass per Cell)</t>
  </si>
  <si>
    <t>Battery Rack (Mass per Rack)</t>
  </si>
  <si>
    <t>Aluminium in Battery Enclosure</t>
  </si>
  <si>
    <t>Lithium in Cells</t>
  </si>
  <si>
    <t>Mn/Ni/Fe in Cells</t>
  </si>
  <si>
    <t>Co in Cells</t>
  </si>
  <si>
    <t>Coppar in Cells</t>
  </si>
  <si>
    <t>Copper in Cell Terminals</t>
  </si>
  <si>
    <t>Copper in Rack Terminals</t>
  </si>
  <si>
    <t>Steel in Plates and Straps</t>
  </si>
  <si>
    <t>Total Rack Mass</t>
  </si>
  <si>
    <t>Total Rack Mass (Control)</t>
  </si>
  <si>
    <t>Residual Rack M</t>
  </si>
  <si>
    <t>Coolant</t>
  </si>
  <si>
    <t>Other Rack Materials</t>
  </si>
  <si>
    <t>Pack insulation</t>
  </si>
  <si>
    <t>Battery Container (Mass per Energy)</t>
  </si>
  <si>
    <t>Battery Container (Mass Contents)</t>
  </si>
  <si>
    <t>Total Battery Container Mass</t>
  </si>
  <si>
    <t>Total Battery Container Mass (Control)</t>
  </si>
  <si>
    <t>Residual Battery Container Mass</t>
  </si>
  <si>
    <t>Steel</t>
  </si>
  <si>
    <t>Electronics</t>
  </si>
  <si>
    <t>Substrate</t>
  </si>
  <si>
    <t>Width (cm)</t>
  </si>
  <si>
    <t>Sputter target area</t>
  </si>
  <si>
    <t>% of substrate</t>
  </si>
  <si>
    <t>cm</t>
  </si>
  <si>
    <t>Power density</t>
  </si>
  <si>
    <t>W/cm2</t>
  </si>
  <si>
    <t>Deposition rate</t>
  </si>
  <si>
    <t>µm/h</t>
  </si>
  <si>
    <t>µm</t>
  </si>
  <si>
    <t>Pump power</t>
  </si>
  <si>
    <t>kW</t>
  </si>
  <si>
    <t>Other</t>
  </si>
  <si>
    <t>Ar flow</t>
  </si>
  <si>
    <t>sccm</t>
  </si>
  <si>
    <t>Deposition time</t>
  </si>
  <si>
    <t>h</t>
  </si>
  <si>
    <t>Consumed Ar</t>
  </si>
  <si>
    <t>Thickness</t>
  </si>
  <si>
    <t>Deposition loss</t>
  </si>
  <si>
    <t>Deposited mass</t>
  </si>
  <si>
    <t>%</t>
  </si>
  <si>
    <t>Consumed mass</t>
  </si>
  <si>
    <t>Diameter (cm)</t>
  </si>
  <si>
    <t>Deposited area</t>
  </si>
  <si>
    <t>m2</t>
  </si>
  <si>
    <t>Wasted mass</t>
  </si>
  <si>
    <t>Process parameters</t>
  </si>
  <si>
    <t>Sputtering system costs</t>
  </si>
  <si>
    <t>Density</t>
  </si>
  <si>
    <t>g/cm3 (Cr)</t>
  </si>
  <si>
    <t>Power Supply</t>
  </si>
  <si>
    <t>Chamber</t>
  </si>
  <si>
    <t>Pumps</t>
  </si>
  <si>
    <t>Software, Electronics, Diagnostic Instruments</t>
  </si>
  <si>
    <t>Total</t>
  </si>
  <si>
    <t>Maintenance</t>
  </si>
  <si>
    <t>Yearly Maintenance</t>
  </si>
  <si>
    <t>Life-time</t>
  </si>
  <si>
    <t>years</t>
  </si>
  <si>
    <t>Annuity</t>
  </si>
  <si>
    <t>Hours per day</t>
  </si>
  <si>
    <t>Days per year</t>
  </si>
  <si>
    <t>Monitoring rate</t>
  </si>
  <si>
    <t>$</t>
  </si>
  <si>
    <t>Preparations</t>
  </si>
  <si>
    <t>Throughput</t>
  </si>
  <si>
    <t>m2/year</t>
  </si>
  <si>
    <t>Exchange-rate</t>
  </si>
  <si>
    <t>$/€</t>
  </si>
  <si>
    <t>Adjusted for compatibility with BatPac</t>
  </si>
  <si>
    <t>Steel cylinder in closed chamber</t>
  </si>
  <si>
    <t>Steel roll inside closed chamber</t>
  </si>
  <si>
    <t>(Varied from 0,1 to 0,5)</t>
  </si>
  <si>
    <t>Salary</t>
  </si>
  <si>
    <t>€/h</t>
  </si>
  <si>
    <t>Electricity consumed</t>
  </si>
  <si>
    <t>kWh</t>
  </si>
  <si>
    <t>Electricity cost</t>
  </si>
  <si>
    <t>$/kWh (estimated)</t>
  </si>
  <si>
    <t>€/kWh (estimated)</t>
  </si>
  <si>
    <t>Material cost</t>
  </si>
  <si>
    <t>€/kg (estimated)</t>
  </si>
  <si>
    <t>OPEX per year</t>
  </si>
  <si>
    <t>Material</t>
  </si>
  <si>
    <t>g/m2</t>
  </si>
  <si>
    <t>Electricity</t>
  </si>
  <si>
    <t>CAPEX per year</t>
  </si>
  <si>
    <t>Yearly costs</t>
  </si>
  <si>
    <t>m2/h</t>
  </si>
  <si>
    <t>$/kg (estimated)</t>
  </si>
  <si>
    <t>$/m2</t>
  </si>
  <si>
    <t>$/h</t>
  </si>
  <si>
    <t>F/Cl material content</t>
  </si>
  <si>
    <t>Phosphorus in Electrolyte</t>
  </si>
  <si>
    <t>Chlorine/Flourine in Electrolyte</t>
  </si>
  <si>
    <t>Co/P content</t>
  </si>
  <si>
    <t>Co/P mass in Cathode</t>
  </si>
  <si>
    <t>Concentration</t>
  </si>
  <si>
    <t xml:space="preserve"> [mol/mL]</t>
  </si>
  <si>
    <t>Current Collector Coating</t>
  </si>
  <si>
    <t>Si</t>
  </si>
  <si>
    <t>Fe</t>
  </si>
  <si>
    <t>Ca</t>
  </si>
  <si>
    <t>Mg</t>
  </si>
  <si>
    <t>Na</t>
  </si>
  <si>
    <t>K</t>
  </si>
  <si>
    <t>Ti</t>
  </si>
  <si>
    <t>C</t>
  </si>
  <si>
    <t>Mn</t>
  </si>
  <si>
    <t>P</t>
  </si>
  <si>
    <t>Cl</t>
  </si>
  <si>
    <t>V</t>
  </si>
  <si>
    <t>Cr</t>
  </si>
  <si>
    <t>Zn</t>
  </si>
  <si>
    <t>Ni</t>
  </si>
  <si>
    <t>N</t>
  </si>
  <si>
    <t>Co</t>
  </si>
  <si>
    <t>Li</t>
  </si>
  <si>
    <t>Pb</t>
  </si>
  <si>
    <t>Element</t>
  </si>
  <si>
    <t>CSP</t>
  </si>
  <si>
    <t>[kg Si eq./kg]</t>
  </si>
  <si>
    <t>F</t>
  </si>
  <si>
    <t>Alloy</t>
  </si>
  <si>
    <t>Mo</t>
  </si>
  <si>
    <t>Stainless Steel 304L</t>
  </si>
  <si>
    <t>(Fe69Mn2Cr19Ni10)</t>
  </si>
  <si>
    <t>Total CSP</t>
  </si>
  <si>
    <t>[kg Si eq.]</t>
  </si>
  <si>
    <t>[kg Si eq./kWh]</t>
  </si>
  <si>
    <t>LiNi0.8Mn0.1Co0.1O2</t>
  </si>
  <si>
    <t>Lithium Nickel Manganese Cobalt Oxide (NMC811)</t>
  </si>
  <si>
    <t>LIB-NMC</t>
  </si>
  <si>
    <t>Al-PBQS</t>
  </si>
  <si>
    <t>Polybenzoquinone low density</t>
  </si>
  <si>
    <t>Polybenzoquinone high density</t>
  </si>
  <si>
    <t>Polybenzoquinone low capacity</t>
  </si>
  <si>
    <t>Polybenzoquinone high capacity</t>
  </si>
  <si>
    <t>PBQS baseline</t>
  </si>
  <si>
    <t>PBQS high V</t>
  </si>
  <si>
    <t>PBQS low V</t>
  </si>
  <si>
    <t>PBQS AlCl+</t>
  </si>
  <si>
    <t>PBQS Al3+</t>
  </si>
  <si>
    <t>PBQS low capacity</t>
  </si>
  <si>
    <t>PBQS high capacity</t>
  </si>
  <si>
    <t>PBQS low density</t>
  </si>
  <si>
    <t>PBQS high density</t>
  </si>
  <si>
    <t>Voltage</t>
  </si>
  <si>
    <t>Average Discharge Voltage</t>
  </si>
  <si>
    <t>Volumetric Capacity</t>
  </si>
  <si>
    <t>Specific Capacity</t>
  </si>
  <si>
    <t>Anode-materials</t>
  </si>
  <si>
    <t>Anolyte with AlCl-</t>
  </si>
  <si>
    <t>r</t>
  </si>
  <si>
    <t>M_Al</t>
  </si>
  <si>
    <t>M_AlCl3</t>
  </si>
  <si>
    <t>M_EMIMCl</t>
  </si>
  <si>
    <t>Cathode Specific Capacity</t>
  </si>
  <si>
    <t>Cathode Density</t>
  </si>
  <si>
    <t>Cathode Volumetric Capacity</t>
  </si>
  <si>
    <t>Anode Specific Capacity</t>
  </si>
  <si>
    <t>Anode Density</t>
  </si>
  <si>
    <t>Anode Volumetric Capacity</t>
  </si>
  <si>
    <t>Anode material</t>
  </si>
  <si>
    <t>Cathode Material</t>
  </si>
  <si>
    <r>
      <t>[mAh cm</t>
    </r>
    <r>
      <rPr>
        <b/>
        <vertAlign val="superscript"/>
        <sz val="12"/>
        <color theme="1"/>
        <rFont val="Calibri"/>
        <family val="2"/>
        <scheme val="minor"/>
      </rPr>
      <t>-3</t>
    </r>
    <r>
      <rPr>
        <b/>
        <sz val="12"/>
        <color theme="1"/>
        <rFont val="Calibri"/>
        <family val="2"/>
        <scheme val="minor"/>
      </rPr>
      <t>]</t>
    </r>
  </si>
  <si>
    <t>[Wh/kg]</t>
  </si>
  <si>
    <t>[Wh/L]</t>
  </si>
  <si>
    <t>MnO</t>
  </si>
  <si>
    <t>NMC</t>
  </si>
  <si>
    <t>LFP</t>
  </si>
  <si>
    <t>Anolyte (AlCl2+)</t>
  </si>
  <si>
    <t>Anolyte (AlCl4-)</t>
  </si>
  <si>
    <t>Al-gra</t>
  </si>
  <si>
    <t>Step pre-3</t>
  </si>
  <si>
    <t>Battery Container (CDP per Energy)</t>
  </si>
  <si>
    <t>Cells</t>
  </si>
  <si>
    <t>Corten B Steel</t>
  </si>
  <si>
    <t>(Fe97.5Mn1Cu0.4Cr0.6Ni0.4V0.1</t>
  </si>
  <si>
    <t>Total CDP</t>
  </si>
  <si>
    <t>Electrolyte Mass</t>
  </si>
  <si>
    <t>Capacity per Pouch cell</t>
  </si>
  <si>
    <t>[Ah]</t>
  </si>
  <si>
    <t>Step pre-1</t>
  </si>
  <si>
    <t xml:space="preserve">Step 1       </t>
  </si>
  <si>
    <t>Step pre-2</t>
  </si>
  <si>
    <t>Relative loss</t>
  </si>
  <si>
    <t>Step 1 to 2</t>
  </si>
  <si>
    <t>Step 1 to 3</t>
  </si>
  <si>
    <t>Step 2 to 3</t>
  </si>
  <si>
    <t>Step 3 to 4</t>
  </si>
  <si>
    <t>Step 3 to 5</t>
  </si>
  <si>
    <t>Housing</t>
  </si>
  <si>
    <t>Assembly</t>
  </si>
  <si>
    <t>Clean production</t>
  </si>
  <si>
    <t>Baseline assembly</t>
  </si>
  <si>
    <t>Kg CO2-eq per 18650 cell</t>
  </si>
  <si>
    <t>Al-foil</t>
  </si>
  <si>
    <t>kg in 18650 cell</t>
  </si>
  <si>
    <t>PAN-based</t>
  </si>
  <si>
    <t>Cr-Steel</t>
  </si>
  <si>
    <t>AlCl3 in [EMI][TFSI]</t>
  </si>
  <si>
    <t>Cu-foil</t>
  </si>
  <si>
    <t>PP</t>
  </si>
  <si>
    <t>PE</t>
  </si>
  <si>
    <t>LiPF6 in EC</t>
  </si>
  <si>
    <t>Cr-steel</t>
  </si>
  <si>
    <t>Kg CO2-eq per kg battery material</t>
  </si>
  <si>
    <t>Cathode active material (kg)</t>
  </si>
  <si>
    <t>Cathode binder (kg)</t>
  </si>
  <si>
    <t>Cathode conductive carbon (kg)</t>
  </si>
  <si>
    <t>Cathode current collector (kg)</t>
  </si>
  <si>
    <t>Anode active material (kg)</t>
  </si>
  <si>
    <t>Anode binder (kg)</t>
  </si>
  <si>
    <t>Anode conductive carbon (kg)</t>
  </si>
  <si>
    <t>Anode current collector (kg)</t>
  </si>
  <si>
    <t>Electrolyte (carbonate solvents) (kg)</t>
  </si>
  <si>
    <t>Electrolyte (lithium ions) (kg)</t>
  </si>
  <si>
    <t>Seperator (kg)</t>
  </si>
  <si>
    <t>Cell container (kg)</t>
  </si>
  <si>
    <t>BMS (kg)</t>
  </si>
  <si>
    <t>Module casing (kg)</t>
  </si>
  <si>
    <t>Battery inverter (kg)</t>
  </si>
  <si>
    <t>Cell chemistry</t>
  </si>
  <si>
    <t>LFP-C</t>
  </si>
  <si>
    <t>LMO-C</t>
  </si>
  <si>
    <t>NMC-C</t>
  </si>
  <si>
    <t>Cell assembly and transportation</t>
  </si>
  <si>
    <t>Module assembly and transportation</t>
  </si>
  <si>
    <t>Cathode total</t>
  </si>
  <si>
    <t>Anode total</t>
  </si>
  <si>
    <t>Electrolyte total</t>
  </si>
  <si>
    <t>CO2-eq.</t>
  </si>
  <si>
    <t>Kg</t>
  </si>
  <si>
    <t>Battery mass</t>
  </si>
  <si>
    <t>g/cm3 (Cr2N)</t>
  </si>
  <si>
    <t>Pos. Current Collector Al; without coating)</t>
  </si>
  <si>
    <t>Pos. Current Collector Al; per coated side)</t>
  </si>
  <si>
    <t>AlB Current Collector Mass</t>
  </si>
  <si>
    <t>Ar+N flow</t>
  </si>
  <si>
    <t>CC Coating (Cr2N)</t>
  </si>
  <si>
    <t>Cathode Additives Mass</t>
  </si>
  <si>
    <t>Anode Additives Mass</t>
  </si>
  <si>
    <t>Cl (weighted CSI)</t>
  </si>
  <si>
    <t>Anode Additives</t>
  </si>
  <si>
    <t>Cathode additives</t>
  </si>
  <si>
    <t>Organic AM</t>
  </si>
  <si>
    <t>Copper CC</t>
  </si>
  <si>
    <t>AlB CC</t>
  </si>
  <si>
    <t>Anode Graphite Mass</t>
  </si>
  <si>
    <t>Cathode Graphite Mass</t>
  </si>
  <si>
    <t>Anode Graphite</t>
  </si>
  <si>
    <t>Cathode Graphite</t>
  </si>
  <si>
    <t>Part of US NaCl-production from rock salt (Ref USGS)</t>
  </si>
  <si>
    <t>Mn content</t>
  </si>
  <si>
    <t>Ni/Fe content</t>
  </si>
  <si>
    <t>Ni/Fe mass in Cathode</t>
  </si>
  <si>
    <t>[kg CO2 eq.]</t>
  </si>
  <si>
    <t>NMC Cathode</t>
  </si>
  <si>
    <t>LFP Cathode</t>
  </si>
  <si>
    <t>AlB Electrolyte</t>
  </si>
  <si>
    <t>LIB Electrolyte</t>
  </si>
  <si>
    <t>Organic Cathode</t>
  </si>
  <si>
    <t>Total CO2</t>
  </si>
  <si>
    <t>Mass per cell</t>
  </si>
  <si>
    <t>[kg CO2 eq./kg]</t>
  </si>
  <si>
    <t>CO2 per cell mass</t>
  </si>
  <si>
    <t>LIB-Separator</t>
  </si>
  <si>
    <t>AlB clean assembly</t>
  </si>
  <si>
    <t>LIB clean assembly</t>
  </si>
  <si>
    <t>Clean assembly</t>
  </si>
  <si>
    <t>[kg CO2 eq./kWh]</t>
  </si>
  <si>
    <t>LMO</t>
  </si>
  <si>
    <t>[kWh/kg]</t>
  </si>
  <si>
    <t>Electronics in Pack</t>
  </si>
  <si>
    <t>Copper Electronic BOS</t>
  </si>
  <si>
    <t>Electronics in PCS Inverter and Electrical BOS</t>
  </si>
  <si>
    <t>Electronics in Container</t>
  </si>
  <si>
    <t>Insulation</t>
  </si>
  <si>
    <t>mass (g)</t>
  </si>
  <si>
    <t>Brass</t>
  </si>
  <si>
    <t>Cu in brass</t>
  </si>
  <si>
    <t>Zn in brass</t>
  </si>
  <si>
    <t>Cu total</t>
  </si>
  <si>
    <t>Au</t>
  </si>
  <si>
    <t>Sn</t>
  </si>
  <si>
    <t>Zn total</t>
  </si>
  <si>
    <t>Share</t>
  </si>
  <si>
    <t>Inverter</t>
  </si>
  <si>
    <t>CPI (kg Si eq./kg)</t>
  </si>
  <si>
    <t>per kg inverter</t>
  </si>
  <si>
    <t>Copper in Electrical BOS</t>
  </si>
  <si>
    <t>Mass of inverter for 50 kW at 500 V</t>
  </si>
  <si>
    <t>Mass per kW</t>
  </si>
  <si>
    <t>kg/kW</t>
  </si>
  <si>
    <t>For bidirectional inverter</t>
  </si>
  <si>
    <t>Cu (weighted CSI)</t>
  </si>
  <si>
    <t></t>
  </si>
  <si>
    <t>AlB-electrolyte</t>
  </si>
  <si>
    <t>AlCl3</t>
  </si>
  <si>
    <t>GWP (CO2 eq./kg)</t>
  </si>
  <si>
    <t>BMIM_Cl</t>
  </si>
  <si>
    <t>mass (g/mol)</t>
  </si>
  <si>
    <t>AlCl in 1 kg electrolyte</t>
  </si>
  <si>
    <t>GWP</t>
  </si>
  <si>
    <t>EMIM_Cl in 1 kg electrolyte</t>
  </si>
  <si>
    <t>LCI</t>
  </si>
  <si>
    <t>kg CO2 eq/kg</t>
  </si>
  <si>
    <t>g CO2 eq/m2</t>
  </si>
  <si>
    <t>(of which ca 80% is from electricity)</t>
  </si>
  <si>
    <t>CC coating</t>
  </si>
  <si>
    <t>Part of global Cu-production from scrap</t>
  </si>
  <si>
    <t>Total CSP per mass</t>
  </si>
  <si>
    <t>Usable Energy per Battery Container</t>
  </si>
  <si>
    <t>Cells CDP per Usable Energy</t>
  </si>
  <si>
    <t>Cells CDP per Useable Energy</t>
  </si>
  <si>
    <t>Li2CO3 in LMO</t>
  </si>
  <si>
    <t>LMO minus Li2CO3</t>
  </si>
  <si>
    <t>MnO2 - GWP</t>
  </si>
  <si>
    <t>$/kg</t>
  </si>
  <si>
    <t>$/kg cathode</t>
  </si>
  <si>
    <t>with profits</t>
  </si>
  <si>
    <t>60 MW Systems (LCOS)</t>
  </si>
  <si>
    <t>System Life-time</t>
  </si>
  <si>
    <t>Number of cycles</t>
  </si>
  <si>
    <t>Discharged Energy per cycle</t>
  </si>
  <si>
    <t>Charged Energy per cycle</t>
  </si>
  <si>
    <t>Charged Enery over life-time</t>
  </si>
  <si>
    <t>[$/kWh]</t>
  </si>
  <si>
    <t>CAPEX</t>
  </si>
  <si>
    <t>OPEX</t>
  </si>
  <si>
    <t xml:space="preserve"> [$] </t>
  </si>
  <si>
    <t xml:space="preserve"> [$ cycle-1 kWh-1] </t>
  </si>
  <si>
    <t>Yearly Operation &amp; Maintenance</t>
  </si>
  <si>
    <t>Cost of Operation</t>
  </si>
  <si>
    <t>Cell-level Energy efficiency</t>
  </si>
  <si>
    <t>Powder production</t>
  </si>
  <si>
    <t>Cathode production</t>
  </si>
  <si>
    <t>kg CO2e/kg</t>
  </si>
  <si>
    <t>Safeplus Air</t>
  </si>
  <si>
    <t>mass (kg)</t>
  </si>
  <si>
    <t>Stainless steel</t>
  </si>
  <si>
    <t>Share (%)</t>
  </si>
  <si>
    <t>per kg transformer</t>
  </si>
  <si>
    <t>Component</t>
  </si>
  <si>
    <t>Switch-disconnector T1D</t>
  </si>
  <si>
    <t>Current</t>
  </si>
  <si>
    <t>Mass</t>
  </si>
  <si>
    <t>Pack energy (kWh)</t>
  </si>
  <si>
    <t>Pack voltage (V)</t>
  </si>
  <si>
    <t>Pack current (A)</t>
  </si>
  <si>
    <t>Pcs per pack</t>
  </si>
  <si>
    <t>Discharge time (h)</t>
  </si>
  <si>
    <t>Pack power (kW)</t>
  </si>
  <si>
    <t>Mass/kW</t>
  </si>
  <si>
    <t>Communication system</t>
  </si>
  <si>
    <t>Inverter PCS100 per module</t>
  </si>
  <si>
    <t>Transformer Safeplus Air per unit</t>
  </si>
  <si>
    <t>Pack density in container</t>
  </si>
  <si>
    <t>Tesla Megapack</t>
  </si>
  <si>
    <t>System energy</t>
  </si>
  <si>
    <t>System volume</t>
  </si>
  <si>
    <t>L</t>
  </si>
  <si>
    <t>Pack energy density</t>
  </si>
  <si>
    <t>Wh/L</t>
  </si>
  <si>
    <t>Pack %volume of system</t>
  </si>
  <si>
    <t>Northvolt Mobile</t>
  </si>
  <si>
    <t>Voltpack Core energy</t>
  </si>
  <si>
    <t>Voltpack Core energy density</t>
  </si>
  <si>
    <t>Voltpack Core volume</t>
  </si>
  <si>
    <t>System energy density</t>
  </si>
  <si>
    <t>Mean Pack %volume of system</t>
  </si>
  <si>
    <t>Cables in BOS (per container)</t>
  </si>
  <si>
    <t>Electronics in BOS (per kW)</t>
  </si>
  <si>
    <t>PCS (per kW)</t>
  </si>
  <si>
    <t>Total Electronics in BOS</t>
  </si>
  <si>
    <t>Transformer</t>
  </si>
  <si>
    <t>Transformer (per kW)</t>
  </si>
  <si>
    <t>GWP of transformer</t>
  </si>
  <si>
    <t>GWP (kg CO2 eq./kg)</t>
  </si>
  <si>
    <t>Other metal</t>
  </si>
  <si>
    <t>Other metal (Ni)</t>
  </si>
  <si>
    <t>Mass of Cu in Electrical BOS</t>
  </si>
  <si>
    <t>Mass of Electronics in Electrical BOS</t>
  </si>
  <si>
    <t>Mass of transformer in Electrical BOS</t>
  </si>
  <si>
    <t>Efficiency</t>
  </si>
  <si>
    <t>DC-combiner Emax2 E2.2</t>
  </si>
  <si>
    <t>System-level efficiency (AC-DC-AC)</t>
  </si>
  <si>
    <t>PCS efficiency (AC-DC or DC-AC)</t>
  </si>
  <si>
    <t>Electrical BOS efficiency (AC-DC or DC-AC)</t>
  </si>
  <si>
    <t>Cost of Discharged Energy</t>
  </si>
  <si>
    <t>Extra OPEX</t>
  </si>
  <si>
    <t>Error-bars OPEX</t>
  </si>
  <si>
    <t>KPIs 2030</t>
  </si>
  <si>
    <t>Cell</t>
  </si>
  <si>
    <t>Pack cost</t>
  </si>
  <si>
    <t>Salt concentration Li-DIB (mol/ml)</t>
  </si>
  <si>
    <t>Organic solvents in electrolyte</t>
  </si>
  <si>
    <t>Active Salt Mass  per Area</t>
  </si>
  <si>
    <t>Remaining Salt Mass  per Area</t>
  </si>
  <si>
    <t>Vanadium carbide</t>
  </si>
  <si>
    <t>V2C</t>
  </si>
  <si>
    <t>Al-VC</t>
  </si>
  <si>
    <t>Titanium oxide</t>
  </si>
  <si>
    <t>TiO2</t>
  </si>
  <si>
    <t>Al-TiO</t>
  </si>
  <si>
    <t>TiO2 - GWP</t>
  </si>
  <si>
    <t>Ti/Mn mass in Cathode</t>
  </si>
  <si>
    <t>Ti/Ni/Fe/Mn content</t>
  </si>
  <si>
    <t>Ti/Mn/Ni/Fe mass in Cathode</t>
  </si>
  <si>
    <t>TiO/MnO Cathode</t>
  </si>
  <si>
    <t>Cathode Mass</t>
  </si>
  <si>
    <t>Anode Mass</t>
  </si>
  <si>
    <t>Pouch cell foil Mass</t>
  </si>
  <si>
    <t>VC</t>
  </si>
  <si>
    <t>V2C-cathode</t>
  </si>
  <si>
    <t>MAX materials</t>
  </si>
  <si>
    <t>V2O5</t>
  </si>
  <si>
    <t>Inputs</t>
  </si>
  <si>
    <t>Outputs</t>
  </si>
  <si>
    <t>Mol</t>
  </si>
  <si>
    <t>V2AlC</t>
  </si>
  <si>
    <t>Al2O3</t>
  </si>
  <si>
    <t>Resulting Mxene</t>
  </si>
  <si>
    <t>kg/mol</t>
  </si>
  <si>
    <t>Costs V2C</t>
  </si>
  <si>
    <t>Output</t>
  </si>
  <si>
    <t>GWP V2C</t>
  </si>
  <si>
    <t>Vanadium carbine</t>
  </si>
  <si>
    <t>V/Mn in Cathode</t>
  </si>
  <si>
    <t>TiO</t>
  </si>
  <si>
    <t>Metal content</t>
  </si>
  <si>
    <t>Recycled</t>
  </si>
  <si>
    <t>Lithium manganese oxide</t>
  </si>
  <si>
    <t>LiMn2O4</t>
  </si>
  <si>
    <t>LMO - GWP</t>
  </si>
  <si>
    <t>kg/kg cathode</t>
  </si>
  <si>
    <t>CO2/kg</t>
  </si>
  <si>
    <t>LMO incl. Li2CO3</t>
  </si>
  <si>
    <t>Anolyte (LiPF6 4M)</t>
  </si>
  <si>
    <t>Total Usable Energy (MWh)</t>
  </si>
  <si>
    <t>Anode and electrolyte</t>
  </si>
  <si>
    <t>Cell with electrolyte</t>
  </si>
  <si>
    <t>Usable Energy per Area</t>
  </si>
  <si>
    <t>Usable Energy per Pouch cell</t>
  </si>
  <si>
    <t>Cuskelly 16</t>
  </si>
  <si>
    <t>Susarla 2020</t>
  </si>
  <si>
    <t>Short name</t>
  </si>
  <si>
    <t>Cuskelly 2016</t>
  </si>
  <si>
    <t>Dieterich 2018</t>
  </si>
  <si>
    <t>Elia 2021</t>
  </si>
  <si>
    <t>Dai 2019</t>
  </si>
  <si>
    <t>Delgado 2019</t>
  </si>
  <si>
    <t>Betz 2019</t>
  </si>
  <si>
    <t>Spanos 2015</t>
  </si>
  <si>
    <t>Middlemas 2014</t>
  </si>
  <si>
    <t>Weber 2019</t>
  </si>
  <si>
    <t>Nordelöf 2019</t>
  </si>
  <si>
    <t>ABB 2021</t>
  </si>
  <si>
    <t>Iturrondobeita 2021</t>
  </si>
  <si>
    <t>Righi 2011</t>
  </si>
  <si>
    <t>NREL 2021</t>
  </si>
  <si>
    <t>Thomas 2020</t>
  </si>
  <si>
    <t>Weber 2018</t>
  </si>
  <si>
    <t>Westlake 2017</t>
  </si>
  <si>
    <r>
      <t xml:space="preserve">Utility-scale battery energy storage system (BESS) - BESS 4.0 MWh system design. </t>
    </r>
    <r>
      <rPr>
        <i/>
        <sz val="11"/>
        <color theme="1"/>
        <rFont val="Calibri"/>
        <family val="2"/>
        <scheme val="minor"/>
      </rPr>
      <t>ABB White Pap.</t>
    </r>
    <r>
      <rPr>
        <sz val="11"/>
        <color theme="1"/>
        <rFont val="Calibri"/>
        <family val="2"/>
        <scheme val="minor"/>
      </rPr>
      <t xml:space="preserve"> (2021).</t>
    </r>
  </si>
  <si>
    <r>
      <t xml:space="preserve">Placke, T.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Perspective on Performance, Cost, and Technical Challenges for Practical Dual-Ion Batteries. </t>
    </r>
    <r>
      <rPr>
        <i/>
        <sz val="11"/>
        <color theme="1"/>
        <rFont val="Calibri"/>
        <family val="2"/>
        <scheme val="minor"/>
      </rPr>
      <t>Joule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2528–2550 (2018).</t>
    </r>
  </si>
  <si>
    <r>
      <t xml:space="preserve">Berg, E. J., Villevieille, C., Streich, D., Trabesinger, S. &amp; Novák, P. Rechargeable Batteries: Grasping for the Limits of Chemistry. </t>
    </r>
    <r>
      <rPr>
        <i/>
        <sz val="11"/>
        <color theme="1"/>
        <rFont val="Calibri"/>
        <family val="2"/>
        <scheme val="minor"/>
      </rPr>
      <t>J. Electrochem. Soc.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162</t>
    </r>
    <r>
      <rPr>
        <sz val="11"/>
        <color theme="1"/>
        <rFont val="Calibri"/>
        <family val="2"/>
        <scheme val="minor"/>
      </rPr>
      <t>, A2468–A2475 (2015).</t>
    </r>
  </si>
  <si>
    <r>
      <t xml:space="preserve">Betz, J.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Theoretical versus Practical Energy: A Plea for More Transparency in the Energy Calculation of Different Rechargeable Battery Systems. </t>
    </r>
    <r>
      <rPr>
        <i/>
        <sz val="11"/>
        <color theme="1"/>
        <rFont val="Calibri"/>
        <family val="2"/>
        <scheme val="minor"/>
      </rPr>
      <t>Adv. Energy Mater.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, 1803170 (2019).</t>
    </r>
  </si>
  <si>
    <r>
      <t xml:space="preserve">Dai, Q., Kelly, J. C., Gaines, L. &amp; Wang, M. Life cycle analysis of lithium-ion batteries for automotive applications. </t>
    </r>
    <r>
      <rPr>
        <i/>
        <sz val="11"/>
        <color theme="1"/>
        <rFont val="Calibri"/>
        <family val="2"/>
        <scheme val="minor"/>
      </rPr>
      <t>Batteries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, (2019).</t>
    </r>
  </si>
  <si>
    <r>
      <t xml:space="preserve">Delgado, M. A. S., Usai, L., Ellingsen, L. A. W., Pan, Q. &amp; Strømman, A. H. Comparative Life Cycle Assessment of a Novel Al-Ion and a Li-Ion Battery for Stationary Applications. </t>
    </r>
    <r>
      <rPr>
        <i/>
        <sz val="11"/>
        <color theme="1"/>
        <rFont val="Calibri"/>
        <family val="2"/>
        <scheme val="minor"/>
      </rPr>
      <t>Materials (Basel).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, 1–14 (2019).</t>
    </r>
  </si>
  <si>
    <t>Arvidsson 2020</t>
  </si>
  <si>
    <r>
      <t xml:space="preserve">Arvidsson, R.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A crustal scarcity indicator for long-term global elemental resource assessment in LCA. </t>
    </r>
    <r>
      <rPr>
        <i/>
        <sz val="11"/>
        <color theme="1"/>
        <rFont val="Calibri"/>
        <family val="2"/>
        <scheme val="minor"/>
      </rPr>
      <t>Int. J. Life Cycle Assess.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25</t>
    </r>
    <r>
      <rPr>
        <sz val="11"/>
        <color theme="1"/>
        <rFont val="Calibri"/>
        <family val="2"/>
        <scheme val="minor"/>
      </rPr>
      <t>, 1805–1817 (2020).</t>
    </r>
  </si>
  <si>
    <r>
      <t xml:space="preserve">Elia, G. A.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An overview and prospective on Al and Al-ion battery technologies. </t>
    </r>
    <r>
      <rPr>
        <i/>
        <sz val="11"/>
        <color theme="1"/>
        <rFont val="Calibri"/>
        <family val="2"/>
        <scheme val="minor"/>
      </rPr>
      <t>J. Power Sources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481</t>
    </r>
    <r>
      <rPr>
        <sz val="11"/>
        <color theme="1"/>
        <rFont val="Calibri"/>
        <family val="2"/>
        <scheme val="minor"/>
      </rPr>
      <t>, 228870 (2021).</t>
    </r>
  </si>
  <si>
    <r>
      <t xml:space="preserve">Westlake, B. Recycling and Disposal of Battery-Based Grid Energy Storage Systems: A Preliminary Investigation. </t>
    </r>
    <r>
      <rPr>
        <i/>
        <sz val="11"/>
        <color theme="1"/>
        <rFont val="Calibri"/>
        <family val="2"/>
        <scheme val="minor"/>
      </rPr>
      <t>Electr. Power Res. Inst.</t>
    </r>
    <r>
      <rPr>
        <sz val="11"/>
        <color theme="1"/>
        <rFont val="Calibri"/>
        <family val="2"/>
        <scheme val="minor"/>
      </rPr>
      <t xml:space="preserve"> (2017).</t>
    </r>
  </si>
  <si>
    <r>
      <t xml:space="preserve">Dieterich, V.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Estimating the cost of organic battery active materials: a case study on anthraquinone disulfonic acid. </t>
    </r>
    <r>
      <rPr>
        <i/>
        <sz val="11"/>
        <color theme="1"/>
        <rFont val="Calibri"/>
        <family val="2"/>
        <scheme val="minor"/>
      </rPr>
      <t>Transl. Mater. Res.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, 034001 (2018).</t>
    </r>
  </si>
  <si>
    <r>
      <t xml:space="preserve">Cuskelly, D. T., Kisi, E. H. &amp; Sugo, H. O. MAX phase - Alumina composites via exchange reaction in the Mn+1AlCn systems (M=Ti, V, Cr, Nb, or Ta). </t>
    </r>
    <r>
      <rPr>
        <i/>
        <sz val="11"/>
        <color theme="1"/>
        <rFont val="Calibri"/>
        <family val="2"/>
        <scheme val="minor"/>
      </rPr>
      <t>J. Solid State Chem.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233</t>
    </r>
    <r>
      <rPr>
        <sz val="11"/>
        <color theme="1"/>
        <rFont val="Calibri"/>
        <family val="2"/>
        <scheme val="minor"/>
      </rPr>
      <t>, 150–157 (2016).</t>
    </r>
  </si>
  <si>
    <r>
      <t xml:space="preserve">Weber, S., Peters, J. F., Baumann, M. &amp; Weil, M. Life Cycle Assessment of a Vanadium Redox Flow Battery. </t>
    </r>
    <r>
      <rPr>
        <i/>
        <sz val="11"/>
        <color theme="1"/>
        <rFont val="Calibri"/>
        <family val="2"/>
        <scheme val="minor"/>
      </rPr>
      <t>Environ. Sci. Technol.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52</t>
    </r>
    <r>
      <rPr>
        <sz val="11"/>
        <color theme="1"/>
        <rFont val="Calibri"/>
        <family val="2"/>
        <scheme val="minor"/>
      </rPr>
      <t>, 10864–10873 (2018).</t>
    </r>
  </si>
  <si>
    <r>
      <t xml:space="preserve">Naresh Susarla; Shabbir Ahmed. Estimating the cost and energy demand of producing lithium manganese oxide for Li-ion batteries. </t>
    </r>
    <r>
      <rPr>
        <i/>
        <sz val="11"/>
        <color theme="1"/>
        <rFont val="Calibri"/>
        <family val="2"/>
        <scheme val="minor"/>
      </rPr>
      <t>Argonne Natl. Lab.</t>
    </r>
    <r>
      <rPr>
        <sz val="11"/>
        <color theme="1"/>
        <rFont val="Calibri"/>
        <family val="2"/>
        <scheme val="minor"/>
      </rPr>
      <t xml:space="preserve"> (2020).</t>
    </r>
  </si>
  <si>
    <t>Merlo 2021</t>
  </si>
  <si>
    <r>
      <t xml:space="preserve">Merlo, A. &amp; Léonard, G. Magnetron Sputtering vs. Electrodeposition for Hard Chrome Coatings: A Comparison of Environmental and Economic Performances. </t>
    </r>
    <r>
      <rPr>
        <i/>
        <sz val="11"/>
        <color theme="1"/>
        <rFont val="Calibri"/>
        <family val="2"/>
        <scheme val="minor"/>
      </rPr>
      <t>Materials (Basel).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, 3823 (2021).</t>
    </r>
  </si>
  <si>
    <r>
      <t xml:space="preserve">Vignesh Ramasamy, David Feldman, Jal Desai &amp; Robert Margolis. U.S. Solar Photovoltaic System and Energy Storage Cost Benchmarks: Q1 2021. </t>
    </r>
    <r>
      <rPr>
        <i/>
        <sz val="11"/>
        <color theme="1"/>
        <rFont val="Calibri"/>
        <family val="2"/>
        <scheme val="minor"/>
      </rPr>
      <t>Natl. Renew. Energy Lab.</t>
    </r>
    <r>
      <rPr>
        <sz val="11"/>
        <color theme="1"/>
        <rFont val="Calibri"/>
        <family val="2"/>
        <scheme val="minor"/>
      </rPr>
      <t xml:space="preserve"> (2021).</t>
    </r>
  </si>
  <si>
    <r>
      <t xml:space="preserve">Thomas, L. V., Schmidt, O., Gambhir, A., Few, S. &amp; Staffell, I. Comparative life cycle assessment of lithium-ion battery chemistries for residential storage. </t>
    </r>
    <r>
      <rPr>
        <i/>
        <sz val="11"/>
        <color theme="1"/>
        <rFont val="Calibri"/>
        <family val="2"/>
        <scheme val="minor"/>
      </rPr>
      <t>J. Energy Storage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28</t>
    </r>
    <r>
      <rPr>
        <sz val="11"/>
        <color theme="1"/>
        <rFont val="Calibri"/>
        <family val="2"/>
        <scheme val="minor"/>
      </rPr>
      <t>, 101230 (2020).</t>
    </r>
  </si>
  <si>
    <r>
      <t xml:space="preserve">Iturrondobeitia, M., Akizu-Gardoki, O., Amondarain, O., Minguez, R. &amp; Lizundia, E. Environmental Impacts of Aqueous Zinc Ion Batteries Based on Life Cycle Assessment. </t>
    </r>
    <r>
      <rPr>
        <i/>
        <sz val="11"/>
        <color theme="1"/>
        <rFont val="Calibri"/>
        <family val="2"/>
        <scheme val="minor"/>
      </rPr>
      <t>Adv. Sustain. Syst.</t>
    </r>
    <r>
      <rPr>
        <sz val="11"/>
        <color theme="1"/>
        <rFont val="Calibri"/>
        <family val="2"/>
        <scheme val="minor"/>
      </rPr>
      <t xml:space="preserve"> (2021) doi:10.1002/adsu.202100308.</t>
    </r>
  </si>
  <si>
    <r>
      <t xml:space="preserve">Middlemas, S., Fang, Z. &amp; Fan, P. LCA comparison of emerging and traditional TiO 2 manufacturing processes. </t>
    </r>
    <r>
      <rPr>
        <i/>
        <sz val="11"/>
        <color theme="1"/>
        <rFont val="Calibri"/>
        <family val="2"/>
        <scheme val="minor"/>
      </rPr>
      <t>J. Clean. Prod.</t>
    </r>
    <r>
      <rPr>
        <sz val="11"/>
        <color theme="1"/>
        <rFont val="Calibri"/>
        <family val="2"/>
        <scheme val="minor"/>
      </rPr>
      <t xml:space="preserve"> 1–11 (2014).</t>
    </r>
  </si>
  <si>
    <r>
      <t xml:space="preserve">Spanos, C., Turney, D. E. &amp; Fthenakis, V. Life-cycle analysis of flow-assisted nickel zinc-, manganese dioxide-, and valve-regulated lead-acid batteries designed for demand-charge reduction. </t>
    </r>
    <r>
      <rPr>
        <i/>
        <sz val="11"/>
        <color theme="1"/>
        <rFont val="Calibri"/>
        <family val="2"/>
        <scheme val="minor"/>
      </rPr>
      <t>Renew. Sustain. Energy Rev.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43</t>
    </r>
    <r>
      <rPr>
        <sz val="11"/>
        <color theme="1"/>
        <rFont val="Calibri"/>
        <family val="2"/>
        <scheme val="minor"/>
      </rPr>
      <t>, 478–494 (2015).</t>
    </r>
  </si>
  <si>
    <r>
      <t xml:space="preserve">Righi, S.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Comparative cradle-to-gate life cycle assessments of cellulose dissolution with 1-butyl-3-methylimidazolium chloride and N-methyl-morpholine-N-oxide. </t>
    </r>
    <r>
      <rPr>
        <i/>
        <sz val="11"/>
        <color theme="1"/>
        <rFont val="Calibri"/>
        <family val="2"/>
        <scheme val="minor"/>
      </rPr>
      <t>Green Chem.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, 367–375 (2011).</t>
    </r>
  </si>
  <si>
    <r>
      <t xml:space="preserve">Nordelöf, A., Alatalo, M. &amp; Söderman, M. L. A scalable life cycle inventory of an automotive power electronic inverter unit—part I: design and composition. </t>
    </r>
    <r>
      <rPr>
        <i/>
        <sz val="11"/>
        <color theme="1"/>
        <rFont val="Calibri"/>
        <family val="2"/>
        <scheme val="minor"/>
      </rPr>
      <t>Int. J. Life Cycle Assess.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24</t>
    </r>
    <r>
      <rPr>
        <sz val="11"/>
        <color theme="1"/>
        <rFont val="Calibri"/>
        <family val="2"/>
        <scheme val="minor"/>
      </rPr>
      <t>, 78–92 (2019).</t>
    </r>
  </si>
  <si>
    <t>Ecocosts 2012 LCA data on emissions and materials depletion (see www.ecocostsvalue.com tab data)</t>
  </si>
  <si>
    <t>Ecocosts 2012</t>
  </si>
  <si>
    <t>SI in Elia 2021</t>
  </si>
  <si>
    <t>Based on Merlo 2021 for Cr sputtering</t>
  </si>
  <si>
    <t>SI in Delgado 2019</t>
  </si>
  <si>
    <t>SI in Thomas 2020</t>
  </si>
  <si>
    <t>Pouch cell (CSP per Cell)</t>
  </si>
  <si>
    <t>Pouch cell (CSP per Energy)</t>
  </si>
  <si>
    <t>Lithium CSP</t>
  </si>
  <si>
    <t>Separator (BatPaC 2022)</t>
  </si>
  <si>
    <t>Separator (Placke 2018)</t>
  </si>
  <si>
    <t>Separator 15 µm</t>
  </si>
  <si>
    <t>Cell including tabs Energy density</t>
  </si>
  <si>
    <t>Battery System Parameters</t>
  </si>
  <si>
    <t>Battery System Configuration and Performance</t>
  </si>
  <si>
    <t>Battery system nominal voltage (average OCV), V</t>
  </si>
  <si>
    <t>Battery system total energy, kWh</t>
  </si>
  <si>
    <t>Battery system useable energy, kWh(Useable)</t>
  </si>
  <si>
    <t>Battery system rated power, kW</t>
  </si>
  <si>
    <t>Target SOC at full power, %</t>
  </si>
  <si>
    <t>Pulse time at rated power, s</t>
  </si>
  <si>
    <t>% OCV at rated power (adjusted for thickness limit), %</t>
  </si>
  <si>
    <t>Battery System Size</t>
  </si>
  <si>
    <t>Battery system volume (all packs and cooling), L</t>
  </si>
  <si>
    <t>Battery system mass (all packs and cooling), kg</t>
  </si>
  <si>
    <t>Battery System Metrics</t>
  </si>
  <si>
    <t>Battery system energy density, Wh/L</t>
  </si>
  <si>
    <t>Battery system specific energy, Wh/kg</t>
  </si>
  <si>
    <t>Battery system useable energy density, Wh(Useable)/L</t>
  </si>
  <si>
    <t>Battery system useable specific energy, Wh(Useable)/kg</t>
  </si>
  <si>
    <t>Pack Parameters</t>
  </si>
  <si>
    <t>Pack Configuration and Performance</t>
  </si>
  <si>
    <t>Number of modules per pack</t>
  </si>
  <si>
    <t>Nominal pack voltage (average OCV), V</t>
  </si>
  <si>
    <t>Pack useable energy, kWh(Useable)</t>
  </si>
  <si>
    <t>Pack power at target %OCV, kW</t>
  </si>
  <si>
    <t>Pack power at rated power, kW</t>
  </si>
  <si>
    <t>Pack Size</t>
  </si>
  <si>
    <t>Pack length, mm</t>
  </si>
  <si>
    <t>Pack width, mm</t>
  </si>
  <si>
    <t>Pack height, mm</t>
  </si>
  <si>
    <t>Pack Metrics</t>
  </si>
  <si>
    <t>Pack power to energy ratio (with respect to power at target %OCV)</t>
  </si>
  <si>
    <t>Pack power to energy ratio (with respect to rated power)</t>
  </si>
  <si>
    <t>Pack useable energy density, Wh(Useable)/L</t>
  </si>
  <si>
    <t>Pack useable specific energy, Wh(Useable)/kg</t>
  </si>
  <si>
    <t>Module Parameters</t>
  </si>
  <si>
    <t>Module Configuration and Performance</t>
  </si>
  <si>
    <t>Number of cells per module</t>
  </si>
  <si>
    <t>Nominal module voltage (average OCV), V</t>
  </si>
  <si>
    <t>Module capacity, Ah</t>
  </si>
  <si>
    <t>Module total energy, kWh</t>
  </si>
  <si>
    <t>Module useable energy, kWh(Useable)</t>
  </si>
  <si>
    <t>Module power at target %OCV, kW</t>
  </si>
  <si>
    <t>Module power at rated power, kW</t>
  </si>
  <si>
    <t>Module Size</t>
  </si>
  <si>
    <t>Module length, mm</t>
  </si>
  <si>
    <t>Module width, mm</t>
  </si>
  <si>
    <t>Module height, mm</t>
  </si>
  <si>
    <t>Module volume, L</t>
  </si>
  <si>
    <t>Module volume per pack, L</t>
  </si>
  <si>
    <t>Module mass per pack, kg</t>
  </si>
  <si>
    <t>Module Metrics</t>
  </si>
  <si>
    <t>Module energy density, Wh/L</t>
  </si>
  <si>
    <t>Module specific energy, Wh/kg</t>
  </si>
  <si>
    <t>Module useable energy density, Wh(Useable)/L</t>
  </si>
  <si>
    <t>Module useable specific energy, Wh(Useable)/kg</t>
  </si>
  <si>
    <t>Cell Parameters</t>
  </si>
  <si>
    <t>Cell Performance</t>
  </si>
  <si>
    <t>Cell nominal voltage (average OCV), V</t>
  </si>
  <si>
    <t>Cell total energy, kWh</t>
  </si>
  <si>
    <t>Cell useable energy, kWh(Useable)</t>
  </si>
  <si>
    <t>Cell power at target %OCV, kW</t>
  </si>
  <si>
    <t>Cell power at rated power, kW</t>
  </si>
  <si>
    <t>Cell Size</t>
  </si>
  <si>
    <t>Cell length, mm</t>
  </si>
  <si>
    <t>Cell width, mm</t>
  </si>
  <si>
    <t>Cell thickness, mm</t>
  </si>
  <si>
    <t>Cell volume per pack, L</t>
  </si>
  <si>
    <t>Cell mass per pack, kg</t>
  </si>
  <si>
    <t>Cell Metrics</t>
  </si>
  <si>
    <t>Cell useable energy density, Wh(Useable)/L</t>
  </si>
  <si>
    <t>Cell useable specific energy, Wh(Useable)/kg</t>
  </si>
  <si>
    <t>Additional Cell Information</t>
  </si>
  <si>
    <t>Positive electode areal capacity, mAh/cm²</t>
  </si>
  <si>
    <t>Negative electrode areal capacity, mAh/cm²</t>
  </si>
  <si>
    <t>* To change this, go to dashboard</t>
  </si>
  <si>
    <t>↓</t>
  </si>
  <si>
    <t>Profit and warranty from cell manufacturer</t>
  </si>
  <si>
    <t>Profit and warranty from module manufacturer</t>
  </si>
  <si>
    <t>Profit on pack</t>
  </si>
  <si>
    <t>x</t>
  </si>
  <si>
    <t>Warranty on pack</t>
  </si>
  <si>
    <t>Number of row racks per year</t>
  </si>
  <si>
    <t>Number of modules per year</t>
  </si>
  <si>
    <t>Number of cell interconnects per year</t>
  </si>
  <si>
    <t>Positive binder solvent evaporated, kg per year</t>
  </si>
  <si>
    <t>Negative binder solvent evaporated, kg per year</t>
  </si>
  <si>
    <t>Calculated Battery Parameters (For Reference Below)</t>
  </si>
  <si>
    <t>Number of packs per battery system</t>
  </si>
  <si>
    <t>Mass ratio of positive binder solvent to mass positive binder (default = 24)</t>
  </si>
  <si>
    <t>Mass ratio of negative binder solvent to mass negative binder (default = 24)</t>
  </si>
  <si>
    <t>Positive Electrode Materials</t>
  </si>
  <si>
    <t>Positive electrode carbon additive, g/cell</t>
  </si>
  <si>
    <t>Positive electrode binder, g/cell</t>
  </si>
  <si>
    <t>Total for positive electrode (dry), g/cell</t>
  </si>
  <si>
    <t>Negative Electrode Materials</t>
  </si>
  <si>
    <t>Negative electrode active material, g/cell</t>
  </si>
  <si>
    <t>Negative electrode carbon additive, g/cell</t>
  </si>
  <si>
    <t>Negative electrode binder, g/cell</t>
  </si>
  <si>
    <t>Total for negative electrode (dry), g/cell</t>
  </si>
  <si>
    <t>Additives, g/cell</t>
  </si>
  <si>
    <t>Additional Components</t>
  </si>
  <si>
    <t>Positive Electrode, kg/yr</t>
  </si>
  <si>
    <t>Positive electrode active material, kg/yr</t>
  </si>
  <si>
    <t>Positive electrode carbon additive, kg/yr</t>
  </si>
  <si>
    <t>Positive electrode binder, kg/yr</t>
  </si>
  <si>
    <t>Positive electrode binder solvent, kg/yr</t>
  </si>
  <si>
    <t>Negative Electrode Material, kg/yr</t>
  </si>
  <si>
    <t>Negative electrode active material, kg/yr</t>
  </si>
  <si>
    <t>Negative electrode conductive additive, kg/yr</t>
  </si>
  <si>
    <t>Negative electrode binder, kg/yr</t>
  </si>
  <si>
    <t>Negative electrode binder solvent, kg/yr</t>
  </si>
  <si>
    <t>Additives, kg/yr</t>
  </si>
  <si>
    <t>Number of negative terminals</t>
  </si>
  <si>
    <t>Number of positive terminals</t>
  </si>
  <si>
    <t>Number of aluminum thermal conductors</t>
  </si>
  <si>
    <t>Positive binder solvent evaporated in dryer, kg</t>
  </si>
  <si>
    <t>Negative binder solvent evaporated in dryer, kg</t>
  </si>
  <si>
    <t>NMP solvent evaporated in dryer, kg</t>
  </si>
  <si>
    <t>Negative electrode binder solvent, $/kg</t>
  </si>
  <si>
    <t>Hardware Costs: Positive terminal, $/unit</t>
  </si>
  <si>
    <t>Hardware Costs: Negative terminal $/unit</t>
  </si>
  <si>
    <t>Negative Electrode Material (dry)</t>
  </si>
  <si>
    <t>Negative electrode binder, $/cell</t>
  </si>
  <si>
    <t>Additives</t>
  </si>
  <si>
    <t>Other Cell Materials</t>
  </si>
  <si>
    <t>Positive terminal, $/unit</t>
  </si>
  <si>
    <t>Negative terminal , $/unit</t>
  </si>
  <si>
    <t>Cost of Module Purchased Items, $/module</t>
  </si>
  <si>
    <t>Aluminum thermal conductors, $/module</t>
  </si>
  <si>
    <t>Module management system (MMS)</t>
  </si>
  <si>
    <t>Cell interconnects (copper) $/module</t>
  </si>
  <si>
    <t>Interconnect panel, PP, $/module</t>
  </si>
  <si>
    <t>Module terminals and tabs from end cells, $/module</t>
  </si>
  <si>
    <t>Total cost for module materials and purchased items, $/module</t>
  </si>
  <si>
    <t>Cost of Battery Pack Purchased Items, $/pack</t>
  </si>
  <si>
    <t>Row rack materials (not including cooling panels materials), $/pack</t>
  </si>
  <si>
    <t>Elastomer pads between modules, $/pack</t>
  </si>
  <si>
    <t>Module Interconnects and signal wiring, $/pack</t>
  </si>
  <si>
    <t>Bus bar for battery packs, $/pack</t>
  </si>
  <si>
    <t>Cooling panels, S.S., $/pack</t>
  </si>
  <si>
    <t>Coolant manifolds, $/pack</t>
  </si>
  <si>
    <t>Pack terminals and seals, $/pack</t>
  </si>
  <si>
    <t>Pack jacket steel, $/pack</t>
  </si>
  <si>
    <t>Pack jacket aluminum, $/pack</t>
  </si>
  <si>
    <t>Pack jacket insulation, $/pack</t>
  </si>
  <si>
    <t>Total cost for pack materials and purchased items, $/pack</t>
  </si>
  <si>
    <t>Total cost of battery management system, $/pack</t>
  </si>
  <si>
    <t>Cost of Additional Purchased Items</t>
  </si>
  <si>
    <t>Additions to AC system, $/battery system</t>
  </si>
  <si>
    <t>Total cost for addition to AC system, $/battery system</t>
  </si>
  <si>
    <t>If "X", used in the calculation of plant utilization</t>
  </si>
  <si>
    <t>Materials Preparation/mixing</t>
  </si>
  <si>
    <t>Positive materials (positive mass/yr)</t>
  </si>
  <si>
    <t>Mass ratio (mass/baseline mass)</t>
  </si>
  <si>
    <t>Plant area, m²</t>
  </si>
  <si>
    <t>Negative materials (negative mass/yr)</t>
  </si>
  <si>
    <t>Electrode Coating</t>
  </si>
  <si>
    <t>Positive materials (area/yr)</t>
  </si>
  <si>
    <t>Area ratio (area/baseline area)</t>
  </si>
  <si>
    <t>Negative materials (area/yr)</t>
  </si>
  <si>
    <t>Notching</t>
  </si>
  <si>
    <t>Vacuum Drying of Electrodes (area/yr)</t>
  </si>
  <si>
    <t>Cell Stacking (number of cells/yr)</t>
  </si>
  <si>
    <t>Cell ratio (number of cells/baseline number of cells)</t>
  </si>
  <si>
    <t>Cell Capacity, Ah</t>
  </si>
  <si>
    <t>Current Collector Welding (number of cells/yr)</t>
  </si>
  <si>
    <t>X-ray Inspection of Cells (number of cells/yr)</t>
  </si>
  <si>
    <t>Inserting Cell in Container (number of cell/yr)</t>
  </si>
  <si>
    <t>Electrolyte Filling, and Cell Sealing (number of cells/yr)</t>
  </si>
  <si>
    <t>Dry Room and Dry Room Control System (number of cells/year and area/year)</t>
  </si>
  <si>
    <t>Ratio (number of cells/baseline number of cells) or (area/baseline area)</t>
  </si>
  <si>
    <t>Formation Cycling</t>
  </si>
  <si>
    <t>Aging, Loading, Formation, DC/AC IR Measurements, Sealing, Packing (number of cells/yr)</t>
  </si>
  <si>
    <t>Module Assembly</t>
  </si>
  <si>
    <t>Module assembly (modules/year)</t>
  </si>
  <si>
    <t>Module ratio (modules/baseline modules)</t>
  </si>
  <si>
    <t>Pack Assembly</t>
  </si>
  <si>
    <t>Pack assembly (packs/year)</t>
  </si>
  <si>
    <t>Pack ratio (pakcs/baseline packs)</t>
  </si>
  <si>
    <t>Number of modules per Pack</t>
  </si>
  <si>
    <t xml:space="preserve">Warehouse </t>
  </si>
  <si>
    <t>Shipping, Receiving, and Storage (energy/year)</t>
  </si>
  <si>
    <t>Energy ratio (energy/baseline energy)</t>
  </si>
  <si>
    <t>Building and Supporting Systems</t>
  </si>
  <si>
    <t>Building Support Systems (energy/year)</t>
  </si>
  <si>
    <t>Binder Solvent (NMP) Recovery (kg/yr)</t>
  </si>
  <si>
    <t>Control Laboratory (energy/yr)</t>
  </si>
  <si>
    <t>Direct Labor Summary, hrs/year</t>
  </si>
  <si>
    <t>Direct labor: electrode processing, hrs/year</t>
  </si>
  <si>
    <t>Direct labor: cell assembly, hours/year</t>
  </si>
  <si>
    <t>Direct labor: formation cycling, testing and sealing, hrs/year</t>
  </si>
  <si>
    <t>Direct labor: module assembly, hrs/year</t>
  </si>
  <si>
    <t>Direct labor: pack assembly, hrs/year</t>
  </si>
  <si>
    <t>Direct labor: warehouse, hrs/year</t>
  </si>
  <si>
    <t>Direct labor: building and support systems, hrs/year</t>
  </si>
  <si>
    <t>Total direct labor, hrs/year</t>
  </si>
  <si>
    <t>Capital Equipment Summary, $millions</t>
  </si>
  <si>
    <t>Capital equipment: electrode processing, $mil</t>
  </si>
  <si>
    <t>Capital equipment: cell assembly, $mil</t>
  </si>
  <si>
    <t>Capital equipment: formation cycling, testing and sealing, $mil</t>
  </si>
  <si>
    <t>Capital equipment: module assembly, $mil</t>
  </si>
  <si>
    <t>Capital equipment: pack assembly, $mil</t>
  </si>
  <si>
    <t>Capital equipment: warehouse, $mil</t>
  </si>
  <si>
    <t>Capital equipment: building and support systems, $mil</t>
  </si>
  <si>
    <t>Total cost of capital equipment, $mil</t>
  </si>
  <si>
    <t>Building and Land, square meters</t>
  </si>
  <si>
    <t>Building: electrode processing, m²</t>
  </si>
  <si>
    <t>Building: cell assembly, m²</t>
  </si>
  <si>
    <t>Building: formation cycling, testing and sealing, m²</t>
  </si>
  <si>
    <t>Building: module assembly, m²</t>
  </si>
  <si>
    <t>Building: pack assembly, m²</t>
  </si>
  <si>
    <t>Building: warehouse, m²</t>
  </si>
  <si>
    <t>Building: building and support systems, m²</t>
  </si>
  <si>
    <t>Total building, land and utilities area, m²</t>
  </si>
  <si>
    <t>Method to calculate plant utilization</t>
  </si>
  <si>
    <t>Packs manufactured at 100% utilization (packs/yr)</t>
  </si>
  <si>
    <t>Percent plant utilization (%)</t>
  </si>
  <si>
    <t>Actual number of packs manufactured per year (packs/yr)</t>
  </si>
  <si>
    <t>Packs manufactured at 100% utilization (pack/yr)</t>
  </si>
  <si>
    <t>Capital equipment and building support cost including installation, mil$</t>
  </si>
  <si>
    <t>Cost of building and land, mil$</t>
  </si>
  <si>
    <t>Unit Cost of Cells, $/cell</t>
  </si>
  <si>
    <t>Total cost of cell materials and purchased items, $/cell</t>
  </si>
  <si>
    <t>Variable overhead, $/cell</t>
  </si>
  <si>
    <t>Total variable cost, $/cell</t>
  </si>
  <si>
    <t>Depreciation, $/cell</t>
  </si>
  <si>
    <t>General, sales, administration, $/cell</t>
  </si>
  <si>
    <t>Research and development, $/cell</t>
  </si>
  <si>
    <t>Total fixed expenses, $/cell</t>
  </si>
  <si>
    <t>Additional Costs</t>
  </si>
  <si>
    <t>Profits on initial investment, $/cell</t>
  </si>
  <si>
    <t>Warranty on cells, $/cell</t>
  </si>
  <si>
    <t>Total Cost</t>
  </si>
  <si>
    <t>Total cell cost, $/cell</t>
  </si>
  <si>
    <t>Total cell cost per pack, $/pack</t>
  </si>
  <si>
    <t>Investment Costs for Modules</t>
  </si>
  <si>
    <t>Unit Cost of Modules, $/module</t>
  </si>
  <si>
    <t>Total cost of module materials and purchased items, $/module</t>
  </si>
  <si>
    <t>Variable overhead, $/module</t>
  </si>
  <si>
    <t>Total variable cost, $/module</t>
  </si>
  <si>
    <t>Depreciation, $/module</t>
  </si>
  <si>
    <t>General, sales, administration, $/module</t>
  </si>
  <si>
    <t>Research and development, $/module</t>
  </si>
  <si>
    <t>Total fixed expenses, $/module</t>
  </si>
  <si>
    <t>Profits on initial investment, $/module</t>
  </si>
  <si>
    <t>Warranty (includes modules only), $/module</t>
  </si>
  <si>
    <t>Total module cost, $/module</t>
  </si>
  <si>
    <t>Total module cost per pack, $/pack</t>
  </si>
  <si>
    <t>Unit Cost of One Battery Pack, $</t>
  </si>
  <si>
    <t>Total cost of pack materials and purchased items, $/pack</t>
  </si>
  <si>
    <t>Variable overhead, $/pack</t>
  </si>
  <si>
    <t>Profits on initial investment, $/pack</t>
  </si>
  <si>
    <t>Warranty (includes pack only), $/pack</t>
  </si>
  <si>
    <t>Total cost per pack, $/pack</t>
  </si>
  <si>
    <t>Total pack cost, $/battery system</t>
  </si>
  <si>
    <t>Cost of integration w/ air conditioning (AC), $/battery system</t>
  </si>
  <si>
    <t>Total battery system cost, $/battery system</t>
  </si>
  <si>
    <t>Errors in unit materials and processing costs (default = 10), ±%</t>
  </si>
  <si>
    <t>Errors in electrode thickness and capacity limits (default = 5), ±%</t>
  </si>
  <si>
    <t>Maximum price to consumer for battery system, $</t>
  </si>
  <si>
    <t>Minimum price to consumer for battery system, $</t>
  </si>
  <si>
    <t>Cell balance</t>
  </si>
  <si>
    <t>Positive active material, g/cell</t>
  </si>
  <si>
    <t>Negative active material per cell, g/cell</t>
  </si>
  <si>
    <t>Electroylte mass, g/cell</t>
  </si>
  <si>
    <t>Electroylte volume, L/cell</t>
  </si>
  <si>
    <t>Positive additive, g/cell</t>
  </si>
  <si>
    <t>Negative additive, g/cell</t>
  </si>
  <si>
    <t>Electrolyte additive, g/cell</t>
  </si>
  <si>
    <t>Lithium Balance</t>
  </si>
  <si>
    <t>Li mass in positive electrode, g/cell</t>
  </si>
  <si>
    <t>Li mass in negative electrode, g/cell</t>
  </si>
  <si>
    <t>Li mass in electroylte, g/cell</t>
  </si>
  <si>
    <t>Li mass in positive additive, g/cell</t>
  </si>
  <si>
    <t>Li mass in negative additive, g/cell</t>
  </si>
  <si>
    <t>Li mass in electrolyte additive, g/cell</t>
  </si>
  <si>
    <t>Li mass, g/cell</t>
  </si>
  <si>
    <t>Li mass, kg/pack</t>
  </si>
  <si>
    <t>Li mass, kg/kWh</t>
  </si>
  <si>
    <t>Elemental Analysis of Additional Components</t>
  </si>
  <si>
    <t>Aluminum in pack jacket, kg/pk</t>
  </si>
  <si>
    <t>Copper in cell terminals, kg/pk</t>
  </si>
  <si>
    <t>Copper in cell interconnects, kg/pk</t>
  </si>
  <si>
    <t>Copper in tabs to module terminals, kg/pk</t>
  </si>
  <si>
    <t>Copper in module terminals, kg/pk</t>
  </si>
  <si>
    <t>Copper in module interconnects, kg/pk</t>
  </si>
  <si>
    <t>Copper in bus bars, kg/pk</t>
  </si>
  <si>
    <t>Copper in pack terminals, kg/pk</t>
  </si>
  <si>
    <t>Steel in row racks, kg/pk</t>
  </si>
  <si>
    <t>Steel in pack jacket, kg/pk</t>
  </si>
  <si>
    <t>Total steel content, kg/pk</t>
  </si>
  <si>
    <t>Steel content, kg/kWh</t>
  </si>
  <si>
    <t>Stainless steel in cooling panels, kg/pk</t>
  </si>
  <si>
    <t>Stainless steel in coolant manifolds, kg/pk</t>
  </si>
  <si>
    <t>Total stainless steel content, kg/pk</t>
  </si>
  <si>
    <t>Stainless steel content, kg/kWh</t>
  </si>
  <si>
    <t>Total Mass of BMS, kg</t>
  </si>
  <si>
    <t>Main Components</t>
  </si>
  <si>
    <t>Mass added per ASCI</t>
  </si>
  <si>
    <t>BDU electronics/Power electronics</t>
  </si>
  <si>
    <t>10% for enclosure for main componets</t>
  </si>
  <si>
    <t>Additional 30% for enclosure</t>
  </si>
  <si>
    <r>
      <t>Positive current collector, m</t>
    </r>
    <r>
      <rPr>
        <sz val="10"/>
        <rFont val="Calibri"/>
        <family val="2"/>
      </rPr>
      <t>²</t>
    </r>
  </si>
  <si>
    <r>
      <t>Negative current collector, m</t>
    </r>
    <r>
      <rPr>
        <sz val="10"/>
        <rFont val="Calibri"/>
        <family val="2"/>
      </rPr>
      <t>²</t>
    </r>
  </si>
  <si>
    <r>
      <t>Separators, m</t>
    </r>
    <r>
      <rPr>
        <sz val="10"/>
        <rFont val="Calibri"/>
        <family val="2"/>
      </rPr>
      <t>²</t>
    </r>
  </si>
  <si>
    <r>
      <t>Positive current collector, $/m</t>
    </r>
    <r>
      <rPr>
        <sz val="10"/>
        <rFont val="Calibri"/>
        <family val="2"/>
      </rPr>
      <t>²</t>
    </r>
  </si>
  <si>
    <r>
      <t>Negative current collector, $/m</t>
    </r>
    <r>
      <rPr>
        <sz val="10"/>
        <rFont val="Calibri"/>
        <family val="2"/>
      </rPr>
      <t>²</t>
    </r>
  </si>
  <si>
    <r>
      <t>Separators, $/m</t>
    </r>
    <r>
      <rPr>
        <sz val="10"/>
        <rFont val="Calibri"/>
        <family val="2"/>
      </rPr>
      <t>²</t>
    </r>
  </si>
  <si>
    <r>
      <t>Plant area, m</t>
    </r>
    <r>
      <rPr>
        <sz val="10"/>
        <rFont val="Calibri"/>
        <family val="2"/>
      </rPr>
      <t>²</t>
    </r>
  </si>
  <si>
    <r>
      <t>Solvent evaporated, kg/m</t>
    </r>
    <r>
      <rPr>
        <vertAlign val="superscript"/>
        <sz val="10"/>
        <rFont val="Arial"/>
        <family val="2"/>
      </rPr>
      <t>2</t>
    </r>
  </si>
  <si>
    <r>
      <t>Solvent evaporated, kg/m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yr</t>
    </r>
  </si>
  <si>
    <t>Breakdown of Materials and Purchased Item Costs, $/pack</t>
  </si>
  <si>
    <t>Positive active material</t>
  </si>
  <si>
    <t>Negative active material</t>
  </si>
  <si>
    <t>Carbon additive</t>
  </si>
  <si>
    <t>Binders</t>
  </si>
  <si>
    <t>Solvents</t>
  </si>
  <si>
    <t>Positive current collector</t>
  </si>
  <si>
    <t>Negative current collector</t>
  </si>
  <si>
    <t>Separators</t>
  </si>
  <si>
    <t>Cell purchased items</t>
  </si>
  <si>
    <t>Module purchased items</t>
  </si>
  <si>
    <t>Pack purchased items</t>
  </si>
  <si>
    <t>Battery management system</t>
  </si>
  <si>
    <t>Total cost</t>
  </si>
  <si>
    <t>Breakdown of Pack Costs, $/pack</t>
  </si>
  <si>
    <t>Total cost of materials</t>
  </si>
  <si>
    <t>Total cost of purchased items</t>
  </si>
  <si>
    <t>Total cost of battery management system</t>
  </si>
  <si>
    <t>Total cost of direct labor</t>
  </si>
  <si>
    <t>Cost of variable overhead</t>
  </si>
  <si>
    <t>Cost of general, sales, administration</t>
  </si>
  <si>
    <t>Cost of research and development</t>
  </si>
  <si>
    <t>Cost of depreciation</t>
  </si>
  <si>
    <t>Per unit profit</t>
  </si>
  <si>
    <t>Warranty (includes battery pack(s) only)</t>
  </si>
  <si>
    <t>Total pack cost</t>
  </si>
  <si>
    <t>Al-MnO2</t>
  </si>
  <si>
    <t>Al-V2C</t>
  </si>
  <si>
    <t>Al-TiO2</t>
  </si>
  <si>
    <t>Al-PPQ</t>
  </si>
  <si>
    <t>Breakdown of Pack Costs, $/kWh</t>
  </si>
  <si>
    <t>Cells per pack</t>
  </si>
  <si>
    <t>Usable energy per pack (kWh)</t>
  </si>
  <si>
    <t>Non-BatPaC Total cost of cell materials</t>
  </si>
  <si>
    <t>BatPaC Total cost of cell materials (excl. Solvents)</t>
  </si>
  <si>
    <t>Solvents incl. Recovery</t>
  </si>
  <si>
    <t>Aluminium in Pack Jacket</t>
  </si>
  <si>
    <t>Copper in rest of Pack</t>
  </si>
  <si>
    <t>Copper in Pack</t>
  </si>
  <si>
    <t>Steel in Pack</t>
  </si>
  <si>
    <t>Stainless steel in Pack</t>
  </si>
  <si>
    <t>Copper in Cell interconnects</t>
  </si>
  <si>
    <t>Total Mass of Electronics in Pack, kg</t>
  </si>
  <si>
    <t>Stainless Steel</t>
  </si>
  <si>
    <t>Electronics in BMS</t>
  </si>
  <si>
    <t>% of Cost of recovered NMP (Ahmed 2016)</t>
  </si>
  <si>
    <r>
      <t xml:space="preserve">Ahmed, S., Nelson, P. A., Gallagher, K. G. &amp; Dees, D. W. Energy impact of cathode drying and solvent recovery during lithium-ion battery manufacturing. </t>
    </r>
    <r>
      <rPr>
        <i/>
        <sz val="11"/>
        <color theme="1"/>
        <rFont val="Calibri"/>
        <family val="2"/>
        <scheme val="minor"/>
      </rPr>
      <t>J. Power Sources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322</t>
    </r>
    <r>
      <rPr>
        <sz val="11"/>
        <color theme="1"/>
        <rFont val="Calibri"/>
        <family val="2"/>
        <scheme val="minor"/>
      </rPr>
      <t>, 169–178 (2016).</t>
    </r>
  </si>
  <si>
    <t>Ahmed 2016</t>
  </si>
  <si>
    <t>Cathode share of total cost</t>
  </si>
  <si>
    <t>Cu share of Total CSP</t>
  </si>
  <si>
    <t>Cu in Cells part of total CSP</t>
  </si>
  <si>
    <t>Cu part of total CSP</t>
  </si>
  <si>
    <t>Al and Steel in BESS part of total GWP</t>
  </si>
  <si>
    <t>Steel part of total GWP</t>
  </si>
  <si>
    <t>Cu and Electronics part of total CSP</t>
  </si>
  <si>
    <t>Electronics part of total CSP</t>
  </si>
  <si>
    <t>Cu in Packs part of total CSP</t>
  </si>
  <si>
    <t>mg/cm2</t>
  </si>
  <si>
    <t>€/kg</t>
  </si>
  <si>
    <t>cost</t>
  </si>
  <si>
    <t>Total capacity</t>
  </si>
  <si>
    <t>Relative GWP from Thomas 2020</t>
  </si>
  <si>
    <t>Absolute GWP relative to Dai 2019</t>
  </si>
  <si>
    <t>Absolute GWP from Thomas 2020</t>
  </si>
  <si>
    <t>Coating of Cr2N for Current Collector in AlBs</t>
  </si>
  <si>
    <t>GWPs</t>
  </si>
  <si>
    <t>CSP of Inverter</t>
  </si>
  <si>
    <t>CSP of transformer</t>
  </si>
  <si>
    <t>Weight Electrical BOS</t>
  </si>
  <si>
    <t>Values from software Batpac 5.0</t>
  </si>
  <si>
    <t>Battery Container (GWP per Energy)</t>
  </si>
  <si>
    <t>Total GWP</t>
  </si>
  <si>
    <t>Crustal scarcity potentials</t>
  </si>
  <si>
    <t>Global warming potentials</t>
  </si>
  <si>
    <t>Reference: Arvidsson 2020</t>
  </si>
  <si>
    <t>MnO2 - cost</t>
  </si>
  <si>
    <t>GWP Organic cathode</t>
  </si>
  <si>
    <t>Wh/kg</t>
  </si>
  <si>
    <t>Organic cathode share of GWP</t>
  </si>
  <si>
    <t>Organic cathode per Energy</t>
  </si>
  <si>
    <t>kg/kWh</t>
  </si>
  <si>
    <t>Organic Cathode GWP per Energy</t>
  </si>
  <si>
    <t>Organic cathode GWP per mass</t>
  </si>
  <si>
    <t>kg CO2/kWh</t>
  </si>
  <si>
    <t>Energy density Organic cathode (Calix4Q)</t>
  </si>
  <si>
    <t>kg CO2/kg</t>
  </si>
  <si>
    <t>Elemental contents</t>
  </si>
  <si>
    <t>Pouch cell (GWP per Cell)</t>
  </si>
  <si>
    <t>Pouch cell (GWP per Energy)</t>
  </si>
  <si>
    <t>Cu foil</t>
  </si>
  <si>
    <t>Volumetric energy density</t>
  </si>
  <si>
    <t>Specific energy density</t>
  </si>
  <si>
    <t>Battery Pack (Energy Content)</t>
  </si>
  <si>
    <t xml:space="preserve"> (Pack level) </t>
  </si>
  <si>
    <t>Cables in BOS (per Pack)</t>
  </si>
  <si>
    <t>Number of Packs</t>
  </si>
  <si>
    <t>Capacity per Pack (kWh)</t>
  </si>
  <si>
    <t>Max Volume Fraction of Packs</t>
  </si>
  <si>
    <t>Max Areal Packs Weight (kg/m2)</t>
  </si>
  <si>
    <t>Total mass per Pack</t>
  </si>
  <si>
    <t>Pack Specific Energy</t>
  </si>
  <si>
    <t>Pack Energy Density</t>
  </si>
  <si>
    <t>Cost of Cell materials in Pack</t>
  </si>
  <si>
    <t>Cost of Purchased Items in Pack</t>
  </si>
  <si>
    <t>Cost of Non-Materials in Pack</t>
  </si>
  <si>
    <t>Total Cost of Pack</t>
  </si>
  <si>
    <t>Cell:Pack Mass-ratio</t>
  </si>
  <si>
    <t>Cell:Pack Volume-ratio</t>
  </si>
  <si>
    <t>Cell:Pack Cost-ratio</t>
  </si>
  <si>
    <t>Total Cost of Pack per Usable Energy</t>
  </si>
  <si>
    <t>Volume-Limited Number of Packs per Container</t>
  </si>
  <si>
    <t>Mass-Limited Number of Packs per Container</t>
  </si>
  <si>
    <t>Number of Packs per Container</t>
  </si>
  <si>
    <t>Mass of Packs (w.o. Cells)</t>
  </si>
  <si>
    <t>Cost of Packs (w.o. Cell Materials)</t>
  </si>
  <si>
    <t>Battery Pack (Mass Contents)</t>
  </si>
  <si>
    <t>Number of Pouch cells per Pack</t>
  </si>
  <si>
    <t>Total Pack Mass</t>
  </si>
  <si>
    <t>Total Pack Mass (Control)</t>
  </si>
  <si>
    <t>Battery Pack (Mass per Energy)</t>
  </si>
  <si>
    <t>Energy per Pack</t>
  </si>
  <si>
    <t>Aluminium in Pack</t>
  </si>
  <si>
    <t>Pack Mass per Energy</t>
  </si>
  <si>
    <t>Number of Packs per container</t>
  </si>
  <si>
    <t>Residual Pack M</t>
  </si>
  <si>
    <t>Battery Pack (CDP per Energy)</t>
  </si>
  <si>
    <t>Usable Energy per Pack</t>
  </si>
  <si>
    <t>Stainless Steel in Pack</t>
  </si>
  <si>
    <t>Al in Packs part of total GWP</t>
  </si>
  <si>
    <t>Ref: Westlake 2017</t>
  </si>
  <si>
    <t>Ref: NREL 2021</t>
  </si>
  <si>
    <t>Batpac 2022</t>
  </si>
  <si>
    <t>Active Materials (Costs)</t>
  </si>
  <si>
    <t>Cost</t>
  </si>
  <si>
    <t>PPQ</t>
  </si>
  <si>
    <t>Values from software Batpac 5.0, Developed by Argonne National Laboratory (2022)</t>
  </si>
  <si>
    <t>Residual Pack mass (mainly coolants)</t>
  </si>
  <si>
    <t>U.S. Solar Photovoltaic System and Energy Storage Cost Benchmark: Q1 2021</t>
  </si>
  <si>
    <t>Total cost relative</t>
  </si>
  <si>
    <t>Cathode share of Total CSP</t>
  </si>
  <si>
    <t>Electrolyte and Assembly share of Total CSP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</si>
</sst>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* #,##0.00\ &quot;kr&quot;_-;\-* #,##0.00\ &quot;kr&quot;_-;_-* &quot;-&quot;??\ &quot;kr&quot;_-;_-@_-"/>
    <numFmt numFmtId="43" formatCode="_-* #,##0.00\ _k_r_-;\-* #,##0.00\ _k_r_-;_-* &quot;-&quot;??\ _k_r_-;_-@_-"/>
    <numFmt numFmtId="164" formatCode="0.0000"/>
    <numFmt numFmtId="165" formatCode="0.000"/>
    <numFmt numFmtId="166" formatCode="0.0"/>
    <numFmt numFmtId="167" formatCode="0.0%"/>
    <numFmt numFmtId="168" formatCode="_(* #,##0_);_(* \(#,##0\);_(* &quot;-&quot;??_);_(@_)"/>
    <numFmt numFmtId="169" formatCode="&quot;$&quot;#,##0.00"/>
    <numFmt numFmtId="170" formatCode="_(&quot;$&quot;* #,##0_);_(&quot;$&quot;* \(#,##0\);_(&quot;$&quot;* &quot;-&quot;??_);_(@_)"/>
    <numFmt numFmtId="171" formatCode="_-[$$-409]* #,##0.00_ ;_-[$$-409]* \-#,##0.00\ ;_-[$$-409]* &quot;-&quot;??_ ;_-@_ "/>
    <numFmt numFmtId="172" formatCode="_(* #,##0.00_);_(* \(#,##0.00\);_(* &quot;-&quot;??_);_(@_)"/>
    <numFmt numFmtId="173" formatCode="#,##0.0_);[Red]\(#,##0.0\)"/>
    <numFmt numFmtId="174" formatCode="_(* #,##0.000_);_(* \(#,##0.000\);_(* &quot;-&quot;??_);_(@_)"/>
    <numFmt numFmtId="175" formatCode="_(* #,##0.0_);_(* \(#,##0.0\);_(* &quot;-&quot;??_);_(@_)"/>
    <numFmt numFmtId="176" formatCode="#,##0.0000_);[Red]\(#,##0.0000\)"/>
    <numFmt numFmtId="177" formatCode="_(* #,##0.0000_);_(* \(#,##0.0000\);_(* &quot;-&quot;??_);_(@_)"/>
    <numFmt numFmtId="178" formatCode="&quot;$&quot;#,##0"/>
    <numFmt numFmtId="179" formatCode="_(* #,##0.00000_);_(* \(#,##0.00000\);_(* &quot;-&quot;??_);_(@_)"/>
    <numFmt numFmtId="180" formatCode="#,##0.000_);[Red]\(#,##0.000\)"/>
    <numFmt numFmtId="181" formatCode="_(&quot;$&quot;* #,##0.00_);_(&quot;$&quot;* \(#,##0.00\);_(&quot;$&quot;* &quot;-&quot;??_);_(@_)"/>
    <numFmt numFmtId="182" formatCode="_([$$-409]* #,##0_);_([$$-409]* \(#,##0\);_([$$-409]* &quot;-&quot;??_);_(@_)"/>
  </numFmts>
  <fonts count="74"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rgb="FF0079C1"/>
      <name val="Arial"/>
      <family val="2"/>
    </font>
    <font>
      <sz val="12"/>
      <color theme="8"/>
      <name val="Arial"/>
      <family val="2"/>
    </font>
    <font>
      <b/>
      <sz val="12"/>
      <color theme="4" tint="-0.249977111117893"/>
      <name val="Arial"/>
      <family val="2"/>
    </font>
    <font>
      <b/>
      <sz val="12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u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u/>
      <sz val="10"/>
      <color theme="1"/>
      <name val="Arial"/>
      <family val="2"/>
    </font>
    <font>
      <b/>
      <sz val="9"/>
      <color indexed="81"/>
      <name val="Tahoma"/>
      <family val="2"/>
    </font>
    <font>
      <u/>
      <sz val="11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u/>
      <sz val="11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u/>
      <sz val="11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i/>
      <sz val="12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CAE8AA"/>
        <bgColor rgb="FFCAE8AA"/>
      </patternFill>
    </fill>
    <fill>
      <patternFill patternType="solid">
        <fgColor rgb="FFFFC000"/>
        <bgColor rgb="FFFFC000"/>
      </patternFill>
    </fill>
    <fill>
      <patternFill patternType="solid">
        <fgColor theme="2"/>
        <bgColor theme="2"/>
      </patternFill>
    </fill>
    <fill>
      <patternFill patternType="solid">
        <fgColor theme="5" tint="0.39997558519241921"/>
        <bgColor rgb="FFFF6969"/>
      </patternFill>
    </fill>
    <fill>
      <patternFill patternType="solid">
        <fgColor theme="2"/>
        <bgColor theme="4" tint="0.79998168889431442"/>
      </patternFill>
    </fill>
    <fill>
      <patternFill patternType="solid">
        <fgColor rgb="FFFF8181"/>
        <bgColor rgb="FF0070C0"/>
      </patternFill>
    </fill>
    <fill>
      <patternFill patternType="solid">
        <fgColor rgb="FFFF0000"/>
        <bgColor rgb="FFC00000"/>
      </patternFill>
    </fill>
    <fill>
      <patternFill patternType="solid">
        <fgColor rgb="FFFFF4AF"/>
        <bgColor indexed="5"/>
      </patternFill>
    </fill>
    <fill>
      <patternFill patternType="solid">
        <fgColor rgb="FF1338D7"/>
        <bgColor theme="6" tint="0.79998168889431442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rgb="FFFF6969"/>
      </patternFill>
    </fill>
    <fill>
      <patternFill patternType="solid">
        <fgColor theme="9" tint="0.59999389629810485"/>
        <bgColor rgb="FFFF696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CAE8AA"/>
      </patternFill>
    </fill>
    <fill>
      <patternFill patternType="solid">
        <fgColor rgb="FF007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/>
        <bgColor rgb="FF92D050"/>
      </patternFill>
    </fill>
    <fill>
      <patternFill patternType="solid">
        <fgColor theme="9"/>
        <bgColor rgb="FF92D050"/>
      </patternFill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rgb="FF8EAADB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6" fillId="2" borderId="0"/>
    <xf numFmtId="0" fontId="13" fillId="16" borderId="0" applyNumberFormat="0" applyBorder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6" fillId="0" borderId="0"/>
    <xf numFmtId="9" fontId="47" fillId="0" borderId="0" applyFont="0" applyFill="0" applyBorder="0" applyAlignment="0" applyProtection="0"/>
  </cellStyleXfs>
  <cellXfs count="1228">
    <xf numFmtId="0" fontId="0" fillId="0" borderId="0" xfId="0"/>
    <xf numFmtId="0" fontId="17" fillId="0" borderId="0" xfId="0" applyFont="1"/>
    <xf numFmtId="2" fontId="19" fillId="0" borderId="0" xfId="1" applyNumberFormat="1" applyFont="1" applyFill="1"/>
    <xf numFmtId="2" fontId="19" fillId="0" borderId="0" xfId="0" applyNumberFormat="1" applyFont="1"/>
    <xf numFmtId="2" fontId="20" fillId="0" borderId="0" xfId="1" applyNumberFormat="1" applyFont="1" applyFill="1"/>
    <xf numFmtId="2" fontId="22" fillId="0" borderId="0" xfId="0" applyNumberFormat="1" applyFont="1"/>
    <xf numFmtId="0" fontId="0" fillId="0" borderId="0" xfId="0" applyFill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0" xfId="0" applyFill="1" applyBorder="1"/>
    <xf numFmtId="0" fontId="17" fillId="0" borderId="0" xfId="0" applyFont="1" applyBorder="1"/>
    <xf numFmtId="0" fontId="17" fillId="0" borderId="0" xfId="0" applyFont="1" applyFill="1"/>
    <xf numFmtId="2" fontId="19" fillId="0" borderId="0" xfId="1" applyNumberFormat="1" applyFont="1" applyFill="1" applyBorder="1"/>
    <xf numFmtId="2" fontId="17" fillId="0" borderId="0" xfId="0" applyNumberFormat="1" applyFont="1" applyFill="1" applyBorder="1"/>
    <xf numFmtId="2" fontId="19" fillId="0" borderId="3" xfId="1" applyNumberFormat="1" applyFont="1" applyFill="1" applyBorder="1"/>
    <xf numFmtId="2" fontId="19" fillId="0" borderId="5" xfId="1" applyNumberFormat="1" applyFont="1" applyFill="1" applyBorder="1"/>
    <xf numFmtId="2" fontId="19" fillId="0" borderId="6" xfId="1" applyNumberFormat="1" applyFont="1" applyFill="1" applyBorder="1"/>
    <xf numFmtId="0" fontId="19" fillId="0" borderId="10" xfId="1" applyFont="1" applyFill="1" applyBorder="1"/>
    <xf numFmtId="0" fontId="19" fillId="0" borderId="11" xfId="1" applyFont="1" applyFill="1" applyBorder="1"/>
    <xf numFmtId="10" fontId="17" fillId="0" borderId="0" xfId="0" applyNumberFormat="1" applyFont="1"/>
    <xf numFmtId="166" fontId="0" fillId="0" borderId="0" xfId="0" applyNumberFormat="1"/>
    <xf numFmtId="166" fontId="0" fillId="0" borderId="0" xfId="0" applyNumberFormat="1" applyFill="1" applyBorder="1"/>
    <xf numFmtId="1" fontId="31" fillId="9" borderId="0" xfId="0" applyNumberFormat="1" applyFont="1" applyFill="1" applyBorder="1"/>
    <xf numFmtId="1" fontId="24" fillId="8" borderId="0" xfId="0" applyNumberFormat="1" applyFont="1" applyFill="1" applyBorder="1"/>
    <xf numFmtId="1" fontId="24" fillId="4" borderId="0" xfId="0" applyNumberFormat="1" applyFont="1" applyFill="1" applyBorder="1"/>
    <xf numFmtId="1" fontId="17" fillId="10" borderId="0" xfId="0" applyNumberFormat="1" applyFont="1" applyFill="1" applyBorder="1"/>
    <xf numFmtId="1" fontId="31" fillId="11" borderId="0" xfId="0" applyNumberFormat="1" applyFont="1" applyFill="1" applyBorder="1"/>
    <xf numFmtId="1" fontId="31" fillId="12" borderId="3" xfId="1" applyNumberFormat="1" applyFont="1" applyFill="1" applyBorder="1"/>
    <xf numFmtId="1" fontId="31" fillId="9" borderId="5" xfId="0" applyNumberFormat="1" applyFont="1" applyFill="1" applyBorder="1"/>
    <xf numFmtId="1" fontId="24" fillId="8" borderId="5" xfId="0" applyNumberFormat="1" applyFont="1" applyFill="1" applyBorder="1"/>
    <xf numFmtId="0" fontId="23" fillId="3" borderId="8" xfId="0" applyFont="1" applyFill="1" applyBorder="1" applyAlignment="1">
      <alignment horizontal="center" wrapText="1"/>
    </xf>
    <xf numFmtId="0" fontId="25" fillId="3" borderId="8" xfId="0" applyFont="1" applyFill="1" applyBorder="1" applyAlignment="1">
      <alignment horizontal="center" wrapText="1"/>
    </xf>
    <xf numFmtId="0" fontId="18" fillId="10" borderId="0" xfId="0" applyFont="1" applyFill="1" applyBorder="1" applyAlignment="1">
      <alignment horizontal="center" wrapText="1"/>
    </xf>
    <xf numFmtId="0" fontId="29" fillId="9" borderId="0" xfId="0" applyFont="1" applyFill="1" applyBorder="1" applyAlignment="1">
      <alignment horizontal="center" wrapText="1"/>
    </xf>
    <xf numFmtId="0" fontId="21" fillId="8" borderId="0" xfId="0" applyFont="1" applyFill="1" applyBorder="1" applyAlignment="1">
      <alignment horizontal="center" wrapText="1"/>
    </xf>
    <xf numFmtId="0" fontId="21" fillId="4" borderId="0" xfId="0" applyFont="1" applyFill="1" applyBorder="1" applyAlignment="1">
      <alignment horizontal="center" wrapText="1"/>
    </xf>
    <xf numFmtId="0" fontId="29" fillId="11" borderId="0" xfId="0" applyFont="1" applyFill="1" applyBorder="1" applyAlignment="1">
      <alignment horizontal="center" wrapText="1"/>
    </xf>
    <xf numFmtId="2" fontId="33" fillId="0" borderId="0" xfId="1" applyNumberFormat="1" applyFont="1" applyFill="1" applyBorder="1"/>
    <xf numFmtId="2" fontId="33" fillId="0" borderId="5" xfId="1" applyNumberFormat="1" applyFont="1" applyFill="1" applyBorder="1"/>
    <xf numFmtId="0" fontId="25" fillId="8" borderId="0" xfId="0" applyFont="1" applyFill="1" applyBorder="1" applyAlignment="1">
      <alignment horizontal="center" wrapText="1"/>
    </xf>
    <xf numFmtId="0" fontId="29" fillId="9" borderId="18" xfId="0" applyFont="1" applyFill="1" applyBorder="1" applyAlignment="1">
      <alignment horizontal="center" wrapText="1"/>
    </xf>
    <xf numFmtId="0" fontId="21" fillId="8" borderId="14" xfId="0" applyFont="1" applyFill="1" applyBorder="1" applyAlignment="1">
      <alignment horizontal="center" wrapText="1"/>
    </xf>
    <xf numFmtId="0" fontId="21" fillId="4" borderId="14" xfId="0" applyFont="1" applyFill="1" applyBorder="1" applyAlignment="1">
      <alignment horizontal="center" wrapText="1"/>
    </xf>
    <xf numFmtId="0" fontId="21" fillId="10" borderId="14" xfId="0" applyFont="1" applyFill="1" applyBorder="1" applyAlignment="1">
      <alignment horizontal="center" wrapText="1"/>
    </xf>
    <xf numFmtId="0" fontId="29" fillId="11" borderId="14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18" fillId="6" borderId="14" xfId="0" applyFont="1" applyFill="1" applyBorder="1" applyAlignment="1">
      <alignment horizontal="center" wrapText="1"/>
    </xf>
    <xf numFmtId="0" fontId="29" fillId="9" borderId="8" xfId="0" applyFont="1" applyFill="1" applyBorder="1" applyAlignment="1">
      <alignment horizontal="center" wrapText="1"/>
    </xf>
    <xf numFmtId="0" fontId="21" fillId="8" borderId="8" xfId="0" applyFont="1" applyFill="1" applyBorder="1" applyAlignment="1">
      <alignment horizontal="center" wrapText="1"/>
    </xf>
    <xf numFmtId="0" fontId="21" fillId="4" borderId="8" xfId="0" applyFont="1" applyFill="1" applyBorder="1" applyAlignment="1">
      <alignment horizontal="center" wrapText="1"/>
    </xf>
    <xf numFmtId="0" fontId="18" fillId="10" borderId="8" xfId="0" applyFont="1" applyFill="1" applyBorder="1" applyAlignment="1">
      <alignment horizontal="center" wrapText="1"/>
    </xf>
    <xf numFmtId="0" fontId="29" fillId="11" borderId="8" xfId="0" applyFont="1" applyFill="1" applyBorder="1" applyAlignment="1">
      <alignment horizontal="center" wrapText="1"/>
    </xf>
    <xf numFmtId="0" fontId="29" fillId="12" borderId="9" xfId="0" applyFont="1" applyFill="1" applyBorder="1" applyAlignment="1">
      <alignment horizontal="center" wrapText="1"/>
    </xf>
    <xf numFmtId="0" fontId="29" fillId="12" borderId="3" xfId="0" applyFont="1" applyFill="1" applyBorder="1" applyAlignment="1">
      <alignment horizontal="center" wrapText="1"/>
    </xf>
    <xf numFmtId="0" fontId="29" fillId="12" borderId="20" xfId="0" applyFont="1" applyFill="1" applyBorder="1" applyAlignment="1">
      <alignment horizontal="center" wrapText="1"/>
    </xf>
    <xf numFmtId="9" fontId="33" fillId="0" borderId="5" xfId="1" applyNumberFormat="1" applyFont="1" applyFill="1" applyBorder="1"/>
    <xf numFmtId="9" fontId="33" fillId="0" borderId="3" xfId="1" applyNumberFormat="1" applyFont="1" applyFill="1" applyBorder="1"/>
    <xf numFmtId="0" fontId="18" fillId="14" borderId="14" xfId="0" applyFont="1" applyFill="1" applyBorder="1" applyAlignment="1">
      <alignment horizontal="center" wrapText="1"/>
    </xf>
    <xf numFmtId="0" fontId="18" fillId="14" borderId="18" xfId="0" applyFont="1" applyFill="1" applyBorder="1" applyAlignment="1"/>
    <xf numFmtId="0" fontId="18" fillId="14" borderId="20" xfId="0" applyFont="1" applyFill="1" applyBorder="1" applyAlignment="1">
      <alignment horizontal="center" wrapText="1"/>
    </xf>
    <xf numFmtId="0" fontId="18" fillId="14" borderId="1" xfId="0" applyFont="1" applyFill="1" applyBorder="1" applyAlignment="1">
      <alignment horizontal="center" wrapText="1"/>
    </xf>
    <xf numFmtId="0" fontId="18" fillId="14" borderId="13" xfId="0" applyFont="1" applyFill="1" applyBorder="1" applyAlignment="1">
      <alignment horizontal="center" wrapText="1"/>
    </xf>
    <xf numFmtId="0" fontId="18" fillId="14" borderId="20" xfId="0" applyFont="1" applyFill="1" applyBorder="1" applyAlignment="1">
      <alignment horizontal="center"/>
    </xf>
    <xf numFmtId="0" fontId="33" fillId="7" borderId="0" xfId="0" applyFont="1" applyFill="1" applyBorder="1"/>
    <xf numFmtId="0" fontId="33" fillId="7" borderId="3" xfId="0" applyFont="1" applyFill="1" applyBorder="1"/>
    <xf numFmtId="0" fontId="33" fillId="0" borderId="0" xfId="0" applyFont="1" applyFill="1" applyBorder="1"/>
    <xf numFmtId="164" fontId="33" fillId="0" borderId="0" xfId="0" applyNumberFormat="1" applyFont="1" applyFill="1" applyBorder="1"/>
    <xf numFmtId="0" fontId="33" fillId="0" borderId="3" xfId="0" applyFont="1" applyFill="1" applyBorder="1"/>
    <xf numFmtId="2" fontId="33" fillId="7" borderId="0" xfId="0" applyNumberFormat="1" applyFont="1" applyFill="1" applyBorder="1"/>
    <xf numFmtId="2" fontId="33" fillId="0" borderId="0" xfId="0" applyNumberFormat="1" applyFont="1" applyFill="1" applyBorder="1"/>
    <xf numFmtId="9" fontId="33" fillId="0" borderId="3" xfId="0" applyNumberFormat="1" applyFont="1" applyFill="1" applyBorder="1"/>
    <xf numFmtId="0" fontId="33" fillId="7" borderId="5" xfId="0" applyFont="1" applyFill="1" applyBorder="1"/>
    <xf numFmtId="2" fontId="33" fillId="7" borderId="5" xfId="0" applyNumberFormat="1" applyFont="1" applyFill="1" applyBorder="1"/>
    <xf numFmtId="9" fontId="33" fillId="7" borderId="6" xfId="0" applyNumberFormat="1" applyFont="1" applyFill="1" applyBorder="1"/>
    <xf numFmtId="2" fontId="34" fillId="0" borderId="3" xfId="0" applyNumberFormat="1" applyFont="1" applyBorder="1"/>
    <xf numFmtId="0" fontId="34" fillId="0" borderId="3" xfId="0" applyFont="1" applyBorder="1"/>
    <xf numFmtId="2" fontId="34" fillId="0" borderId="20" xfId="0" applyNumberFormat="1" applyFont="1" applyBorder="1"/>
    <xf numFmtId="2" fontId="34" fillId="0" borderId="6" xfId="0" applyNumberFormat="1" applyFont="1" applyBorder="1"/>
    <xf numFmtId="10" fontId="19" fillId="0" borderId="0" xfId="1" applyNumberFormat="1" applyFont="1" applyFill="1" applyBorder="1"/>
    <xf numFmtId="1" fontId="33" fillId="0" borderId="0" xfId="1" applyNumberFormat="1" applyFont="1" applyFill="1" applyBorder="1"/>
    <xf numFmtId="0" fontId="26" fillId="0" borderId="22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1" fontId="31" fillId="0" borderId="0" xfId="0" applyNumberFormat="1" applyFont="1" applyFill="1" applyBorder="1"/>
    <xf numFmtId="1" fontId="24" fillId="0" borderId="0" xfId="0" applyNumberFormat="1" applyFont="1" applyFill="1" applyBorder="1"/>
    <xf numFmtId="1" fontId="17" fillId="0" borderId="0" xfId="0" applyNumberFormat="1" applyFont="1" applyFill="1" applyBorder="1"/>
    <xf numFmtId="1" fontId="31" fillId="0" borderId="0" xfId="1" applyNumberFormat="1" applyFont="1" applyFill="1" applyBorder="1"/>
    <xf numFmtId="0" fontId="15" fillId="0" borderId="0" xfId="0" applyFont="1"/>
    <xf numFmtId="2" fontId="0" fillId="0" borderId="0" xfId="0" applyNumberFormat="1"/>
    <xf numFmtId="0" fontId="19" fillId="15" borderId="10" xfId="1" applyFont="1" applyFill="1" applyBorder="1"/>
    <xf numFmtId="2" fontId="19" fillId="15" borderId="0" xfId="1" applyNumberFormat="1" applyFont="1" applyFill="1" applyBorder="1"/>
    <xf numFmtId="1" fontId="33" fillId="15" borderId="0" xfId="1" applyNumberFormat="1" applyFont="1" applyFill="1" applyBorder="1"/>
    <xf numFmtId="2" fontId="33" fillId="15" borderId="0" xfId="1" applyNumberFormat="1" applyFont="1" applyFill="1" applyBorder="1"/>
    <xf numFmtId="9" fontId="33" fillId="15" borderId="3" xfId="1" applyNumberFormat="1" applyFont="1" applyFill="1" applyBorder="1"/>
    <xf numFmtId="2" fontId="19" fillId="15" borderId="5" xfId="1" applyNumberFormat="1" applyFont="1" applyFill="1" applyBorder="1"/>
    <xf numFmtId="2" fontId="33" fillId="15" borderId="5" xfId="1" applyNumberFormat="1" applyFont="1" applyFill="1" applyBorder="1"/>
    <xf numFmtId="2" fontId="24" fillId="0" borderId="0" xfId="1" applyNumberFormat="1" applyFont="1" applyFill="1" applyBorder="1"/>
    <xf numFmtId="1" fontId="0" fillId="0" borderId="0" xfId="0" applyNumberFormat="1"/>
    <xf numFmtId="0" fontId="19" fillId="0" borderId="0" xfId="1" applyFont="1" applyFill="1" applyBorder="1"/>
    <xf numFmtId="167" fontId="33" fillId="0" borderId="0" xfId="1" applyNumberFormat="1" applyFont="1" applyFill="1" applyBorder="1"/>
    <xf numFmtId="167" fontId="33" fillId="15" borderId="0" xfId="1" applyNumberFormat="1" applyFont="1" applyFill="1" applyBorder="1"/>
    <xf numFmtId="0" fontId="21" fillId="14" borderId="9" xfId="0" applyFont="1" applyFill="1" applyBorder="1" applyAlignment="1">
      <alignment horizontal="center" wrapText="1"/>
    </xf>
    <xf numFmtId="0" fontId="18" fillId="14" borderId="8" xfId="0" applyFont="1" applyFill="1" applyBorder="1" applyAlignment="1">
      <alignment horizontal="center" wrapText="1"/>
    </xf>
    <xf numFmtId="0" fontId="18" fillId="14" borderId="9" xfId="0" applyFont="1" applyFill="1" applyBorder="1" applyAlignment="1">
      <alignment horizontal="center" wrapText="1"/>
    </xf>
    <xf numFmtId="0" fontId="18" fillId="14" borderId="3" xfId="0" applyFont="1" applyFill="1" applyBorder="1" applyAlignment="1">
      <alignment horizontal="center" wrapText="1"/>
    </xf>
    <xf numFmtId="2" fontId="0" fillId="0" borderId="22" xfId="0" applyNumberFormat="1" applyBorder="1" applyAlignment="1">
      <alignment horizontal="left"/>
    </xf>
    <xf numFmtId="2" fontId="0" fillId="0" borderId="19" xfId="0" applyNumberFormat="1" applyBorder="1" applyAlignment="1">
      <alignment horizontal="left"/>
    </xf>
    <xf numFmtId="0" fontId="26" fillId="14" borderId="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19" fillId="0" borderId="0" xfId="1" applyFont="1" applyFill="1" applyBorder="1" applyAlignment="1">
      <alignment horizontal="center"/>
    </xf>
    <xf numFmtId="0" fontId="13" fillId="0" borderId="0" xfId="0" applyFont="1"/>
    <xf numFmtId="0" fontId="13" fillId="7" borderId="2" xfId="0" applyFont="1" applyFill="1" applyBorder="1" applyAlignment="1">
      <alignment horizontal="left"/>
    </xf>
    <xf numFmtId="0" fontId="13" fillId="7" borderId="16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13" fillId="0" borderId="16" xfId="0" applyFont="1" applyFill="1" applyBorder="1" applyAlignment="1">
      <alignment horizontal="left"/>
    </xf>
    <xf numFmtId="0" fontId="13" fillId="7" borderId="4" xfId="0" applyFont="1" applyFill="1" applyBorder="1" applyAlignment="1">
      <alignment horizontal="left"/>
    </xf>
    <xf numFmtId="0" fontId="13" fillId="7" borderId="15" xfId="0" applyFont="1" applyFill="1" applyBorder="1" applyAlignment="1">
      <alignment horizontal="left"/>
    </xf>
    <xf numFmtId="0" fontId="13" fillId="0" borderId="0" xfId="0" applyFont="1" applyFill="1" applyBorder="1"/>
    <xf numFmtId="2" fontId="19" fillId="0" borderId="0" xfId="0" applyNumberFormat="1" applyFont="1" applyFill="1" applyBorder="1"/>
    <xf numFmtId="2" fontId="13" fillId="0" borderId="0" xfId="0" applyNumberFormat="1" applyFont="1" applyFill="1" applyBorder="1"/>
    <xf numFmtId="0" fontId="19" fillId="15" borderId="10" xfId="0" applyFont="1" applyFill="1" applyBorder="1"/>
    <xf numFmtId="2" fontId="24" fillId="15" borderId="0" xfId="1" applyNumberFormat="1" applyFont="1" applyFill="1" applyBorder="1"/>
    <xf numFmtId="2" fontId="19" fillId="15" borderId="6" xfId="1" applyNumberFormat="1" applyFont="1" applyFill="1" applyBorder="1"/>
    <xf numFmtId="1" fontId="34" fillId="0" borderId="3" xfId="0" applyNumberFormat="1" applyFont="1" applyBorder="1"/>
    <xf numFmtId="165" fontId="34" fillId="0" borderId="6" xfId="0" applyNumberFormat="1" applyFont="1" applyBorder="1"/>
    <xf numFmtId="165" fontId="34" fillId="0" borderId="20" xfId="0" applyNumberFormat="1" applyFont="1" applyBorder="1"/>
    <xf numFmtId="0" fontId="14" fillId="0" borderId="0" xfId="0" applyFont="1"/>
    <xf numFmtId="0" fontId="13" fillId="0" borderId="0" xfId="0" applyFont="1" applyFill="1"/>
    <xf numFmtId="0" fontId="18" fillId="0" borderId="0" xfId="0" applyFont="1"/>
    <xf numFmtId="2" fontId="17" fillId="0" borderId="0" xfId="0" applyNumberFormat="1" applyFont="1"/>
    <xf numFmtId="0" fontId="25" fillId="17" borderId="0" xfId="0" applyFont="1" applyFill="1" applyBorder="1" applyAlignment="1">
      <alignment horizontal="center" wrapText="1"/>
    </xf>
    <xf numFmtId="0" fontId="17" fillId="0" borderId="0" xfId="0" applyFont="1" applyFill="1" applyBorder="1"/>
    <xf numFmtId="0" fontId="18" fillId="0" borderId="0" xfId="0" applyFont="1" applyFill="1" applyBorder="1" applyAlignment="1">
      <alignment horizontal="center"/>
    </xf>
    <xf numFmtId="2" fontId="34" fillId="0" borderId="0" xfId="0" applyNumberFormat="1" applyFont="1" applyFill="1" applyBorder="1"/>
    <xf numFmtId="0" fontId="34" fillId="0" borderId="0" xfId="0" applyFont="1" applyFill="1" applyBorder="1"/>
    <xf numFmtId="0" fontId="25" fillId="0" borderId="0" xfId="0" applyFont="1" applyFill="1" applyBorder="1" applyAlignment="1">
      <alignment horizontal="center" wrapText="1"/>
    </xf>
    <xf numFmtId="1" fontId="34" fillId="0" borderId="0" xfId="0" applyNumberFormat="1" applyFont="1" applyFill="1" applyBorder="1"/>
    <xf numFmtId="165" fontId="34" fillId="0" borderId="0" xfId="0" applyNumberFormat="1" applyFont="1" applyFill="1" applyBorder="1"/>
    <xf numFmtId="167" fontId="24" fillId="0" borderId="0" xfId="1" applyNumberFormat="1" applyFont="1" applyFill="1" applyBorder="1"/>
    <xf numFmtId="0" fontId="12" fillId="0" borderId="0" xfId="0" applyFont="1"/>
    <xf numFmtId="10" fontId="19" fillId="15" borderId="0" xfId="1" applyNumberFormat="1" applyFont="1" applyFill="1" applyBorder="1"/>
    <xf numFmtId="0" fontId="19" fillId="15" borderId="0" xfId="1" applyFont="1" applyFill="1" applyBorder="1"/>
    <xf numFmtId="9" fontId="33" fillId="15" borderId="0" xfId="1" applyNumberFormat="1" applyFont="1" applyFill="1" applyBorder="1"/>
    <xf numFmtId="2" fontId="13" fillId="15" borderId="0" xfId="1" applyNumberFormat="1" applyFont="1" applyFill="1" applyBorder="1"/>
    <xf numFmtId="2" fontId="12" fillId="15" borderId="0" xfId="1" applyNumberFormat="1" applyFont="1" applyFill="1" applyBorder="1"/>
    <xf numFmtId="0" fontId="19" fillId="15" borderId="2" xfId="1" applyFont="1" applyFill="1" applyBorder="1"/>
    <xf numFmtId="0" fontId="25" fillId="18" borderId="0" xfId="0" applyFont="1" applyFill="1" applyBorder="1" applyAlignment="1">
      <alignment horizontal="center" wrapText="1"/>
    </xf>
    <xf numFmtId="0" fontId="17" fillId="0" borderId="16" xfId="0" applyFont="1" applyBorder="1"/>
    <xf numFmtId="2" fontId="34" fillId="15" borderId="3" xfId="0" applyNumberFormat="1" applyFont="1" applyFill="1" applyBorder="1"/>
    <xf numFmtId="0" fontId="33" fillId="15" borderId="27" xfId="0" applyFont="1" applyFill="1" applyBorder="1"/>
    <xf numFmtId="0" fontId="17" fillId="15" borderId="27" xfId="0" applyFont="1" applyFill="1" applyBorder="1"/>
    <xf numFmtId="0" fontId="34" fillId="15" borderId="3" xfId="0" applyFont="1" applyFill="1" applyBorder="1"/>
    <xf numFmtId="2" fontId="34" fillId="15" borderId="6" xfId="0" applyNumberFormat="1" applyFont="1" applyFill="1" applyBorder="1"/>
    <xf numFmtId="0" fontId="18" fillId="14" borderId="3" xfId="0" applyFont="1" applyFill="1" applyBorder="1" applyAlignment="1">
      <alignment horizontal="center"/>
    </xf>
    <xf numFmtId="1" fontId="34" fillId="0" borderId="9" xfId="0" applyNumberFormat="1" applyFont="1" applyBorder="1"/>
    <xf numFmtId="0" fontId="13" fillId="0" borderId="2" xfId="0" applyFont="1" applyBorder="1"/>
    <xf numFmtId="0" fontId="33" fillId="0" borderId="3" xfId="0" applyFont="1" applyBorder="1"/>
    <xf numFmtId="165" fontId="14" fillId="0" borderId="3" xfId="0" applyNumberFormat="1" applyFont="1" applyBorder="1"/>
    <xf numFmtId="165" fontId="34" fillId="0" borderId="3" xfId="0" applyNumberFormat="1" applyFont="1" applyBorder="1"/>
    <xf numFmtId="0" fontId="13" fillId="0" borderId="4" xfId="0" applyFont="1" applyBorder="1"/>
    <xf numFmtId="0" fontId="17" fillId="0" borderId="6" xfId="0" applyFont="1" applyBorder="1"/>
    <xf numFmtId="0" fontId="17" fillId="0" borderId="15" xfId="0" applyFont="1" applyBorder="1"/>
    <xf numFmtId="0" fontId="21" fillId="19" borderId="9" xfId="0" applyFont="1" applyFill="1" applyBorder="1" applyAlignment="1">
      <alignment horizontal="center" wrapText="1"/>
    </xf>
    <xf numFmtId="0" fontId="18" fillId="17" borderId="0" xfId="0" applyFont="1" applyFill="1" applyBorder="1" applyAlignment="1">
      <alignment horizontal="center" wrapText="1"/>
    </xf>
    <xf numFmtId="0" fontId="18" fillId="17" borderId="8" xfId="0" applyFont="1" applyFill="1" applyBorder="1" applyAlignment="1">
      <alignment horizontal="center" wrapText="1"/>
    </xf>
    <xf numFmtId="2" fontId="12" fillId="15" borderId="0" xfId="0" applyNumberFormat="1" applyFont="1" applyFill="1" applyBorder="1" applyAlignment="1">
      <alignment horizontal="center" wrapText="1"/>
    </xf>
    <xf numFmtId="2" fontId="12" fillId="15" borderId="3" xfId="1" applyNumberFormat="1" applyFont="1" applyFill="1" applyBorder="1"/>
    <xf numFmtId="9" fontId="33" fillId="0" borderId="0" xfId="0" applyNumberFormat="1" applyFont="1" applyFill="1" applyBorder="1"/>
    <xf numFmtId="2" fontId="12" fillId="15" borderId="3" xfId="0" applyNumberFormat="1" applyFont="1" applyFill="1" applyBorder="1" applyAlignment="1">
      <alignment horizontal="center" wrapText="1"/>
    </xf>
    <xf numFmtId="0" fontId="17" fillId="0" borderId="3" xfId="0" applyFont="1" applyBorder="1"/>
    <xf numFmtId="0" fontId="17" fillId="15" borderId="3" xfId="0" applyFont="1" applyFill="1" applyBorder="1"/>
    <xf numFmtId="0" fontId="12" fillId="0" borderId="2" xfId="0" applyFont="1" applyFill="1" applyBorder="1" applyAlignment="1">
      <alignment horizontal="left"/>
    </xf>
    <xf numFmtId="0" fontId="17" fillId="0" borderId="3" xfId="0" applyFont="1" applyFill="1" applyBorder="1"/>
    <xf numFmtId="1" fontId="33" fillId="0" borderId="0" xfId="0" applyNumberFormat="1" applyFont="1" applyFill="1" applyBorder="1"/>
    <xf numFmtId="0" fontId="17" fillId="0" borderId="8" xfId="0" applyFont="1" applyBorder="1"/>
    <xf numFmtId="0" fontId="17" fillId="0" borderId="9" xfId="0" applyFont="1" applyBorder="1"/>
    <xf numFmtId="0" fontId="18" fillId="15" borderId="0" xfId="0" applyFont="1" applyFill="1" applyBorder="1" applyAlignment="1">
      <alignment horizontal="center" wrapText="1"/>
    </xf>
    <xf numFmtId="0" fontId="36" fillId="0" borderId="0" xfId="0" applyFont="1" applyFill="1" applyBorder="1"/>
    <xf numFmtId="0" fontId="39" fillId="22" borderId="0" xfId="5" applyFont="1" applyFill="1" applyBorder="1" applyAlignment="1">
      <alignment horizontal="left" vertical="top"/>
    </xf>
    <xf numFmtId="0" fontId="40" fillId="22" borderId="0" xfId="5" applyFont="1" applyFill="1" applyBorder="1" applyAlignment="1">
      <alignment vertical="top"/>
    </xf>
    <xf numFmtId="49" fontId="39" fillId="22" borderId="0" xfId="5" applyNumberFormat="1" applyFont="1" applyFill="1" applyBorder="1" applyAlignment="1">
      <alignment vertical="top"/>
    </xf>
    <xf numFmtId="0" fontId="41" fillId="0" borderId="0" xfId="0" applyFont="1"/>
    <xf numFmtId="0" fontId="38" fillId="21" borderId="8" xfId="0" applyFont="1" applyFill="1" applyBorder="1"/>
    <xf numFmtId="0" fontId="38" fillId="21" borderId="9" xfId="0" applyFont="1" applyFill="1" applyBorder="1"/>
    <xf numFmtId="0" fontId="38" fillId="21" borderId="0" xfId="0" applyFont="1" applyFill="1" applyBorder="1"/>
    <xf numFmtId="0" fontId="38" fillId="21" borderId="3" xfId="0" applyFont="1" applyFill="1" applyBorder="1"/>
    <xf numFmtId="170" fontId="0" fillId="0" borderId="0" xfId="4" applyNumberFormat="1" applyFont="1" applyBorder="1"/>
    <xf numFmtId="170" fontId="0" fillId="0" borderId="3" xfId="4" applyNumberFormat="1" applyFont="1" applyBorder="1"/>
    <xf numFmtId="0" fontId="0" fillId="0" borderId="4" xfId="0" applyBorder="1"/>
    <xf numFmtId="0" fontId="0" fillId="0" borderId="5" xfId="0" applyBorder="1"/>
    <xf numFmtId="170" fontId="0" fillId="0" borderId="0" xfId="4" applyNumberFormat="1" applyFont="1" applyFill="1" applyBorder="1"/>
    <xf numFmtId="0" fontId="14" fillId="0" borderId="0" xfId="0" applyFont="1" applyFill="1" applyBorder="1"/>
    <xf numFmtId="0" fontId="0" fillId="0" borderId="0" xfId="4" applyNumberFormat="1" applyFont="1" applyFill="1" applyBorder="1"/>
    <xf numFmtId="0" fontId="0" fillId="0" borderId="0" xfId="4" applyNumberFormat="1" applyFont="1"/>
    <xf numFmtId="171" fontId="0" fillId="0" borderId="0" xfId="4" applyNumberFormat="1" applyFont="1"/>
    <xf numFmtId="170" fontId="0" fillId="0" borderId="0" xfId="0" applyNumberFormat="1"/>
    <xf numFmtId="0" fontId="42" fillId="23" borderId="8" xfId="0" applyFont="1" applyFill="1" applyBorder="1" applyAlignment="1">
      <alignment horizontal="center" wrapText="1"/>
    </xf>
    <xf numFmtId="0" fontId="32" fillId="0" borderId="7" xfId="0" applyFont="1" applyBorder="1"/>
    <xf numFmtId="0" fontId="0" fillId="0" borderId="8" xfId="0" applyBorder="1"/>
    <xf numFmtId="0" fontId="32" fillId="0" borderId="2" xfId="0" applyFont="1" applyBorder="1"/>
    <xf numFmtId="0" fontId="14" fillId="0" borderId="0" xfId="0" applyFont="1" applyBorder="1"/>
    <xf numFmtId="0" fontId="18" fillId="0" borderId="0" xfId="0" applyFont="1" applyFill="1" applyBorder="1"/>
    <xf numFmtId="0" fontId="11" fillId="0" borderId="0" xfId="0" applyFont="1" applyFill="1" applyBorder="1"/>
    <xf numFmtId="168" fontId="0" fillId="0" borderId="0" xfId="3" applyNumberFormat="1" applyFont="1" applyFill="1" applyBorder="1"/>
    <xf numFmtId="168" fontId="0" fillId="0" borderId="0" xfId="0" applyNumberFormat="1" applyFill="1" applyBorder="1"/>
    <xf numFmtId="169" fontId="0" fillId="0" borderId="0" xfId="0" applyNumberFormat="1" applyFill="1" applyBorder="1"/>
    <xf numFmtId="2" fontId="12" fillId="0" borderId="0" xfId="0" applyNumberFormat="1" applyFont="1" applyFill="1" applyBorder="1" applyAlignment="1">
      <alignment horizontal="center" wrapText="1"/>
    </xf>
    <xf numFmtId="2" fontId="12" fillId="0" borderId="0" xfId="1" applyNumberFormat="1" applyFont="1" applyFill="1" applyBorder="1"/>
    <xf numFmtId="166" fontId="19" fillId="0" borderId="0" xfId="1" applyNumberFormat="1" applyFont="1" applyFill="1" applyBorder="1"/>
    <xf numFmtId="1" fontId="21" fillId="14" borderId="0" xfId="0" applyNumberFormat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2" fontId="14" fillId="0" borderId="22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0" fontId="29" fillId="0" borderId="0" xfId="0" applyFont="1" applyFill="1" applyBorder="1" applyAlignment="1">
      <alignment horizontal="center" wrapText="1"/>
    </xf>
    <xf numFmtId="9" fontId="25" fillId="0" borderId="0" xfId="6" applyFont="1" applyFill="1" applyBorder="1" applyAlignment="1">
      <alignment horizontal="center" wrapText="1"/>
    </xf>
    <xf numFmtId="11" fontId="19" fillId="15" borderId="0" xfId="1" applyNumberFormat="1" applyFont="1" applyFill="1" applyBorder="1"/>
    <xf numFmtId="11" fontId="19" fillId="15" borderId="3" xfId="1" applyNumberFormat="1" applyFont="1" applyFill="1" applyBorder="1"/>
    <xf numFmtId="0" fontId="43" fillId="0" borderId="14" xfId="0" applyFont="1" applyBorder="1"/>
    <xf numFmtId="0" fontId="48" fillId="0" borderId="0" xfId="0" applyFont="1" applyFill="1" applyBorder="1"/>
    <xf numFmtId="0" fontId="43" fillId="0" borderId="0" xfId="0" applyFont="1" applyFill="1" applyBorder="1"/>
    <xf numFmtId="0" fontId="43" fillId="0" borderId="0" xfId="0" applyFont="1" applyBorder="1"/>
    <xf numFmtId="0" fontId="36" fillId="0" borderId="0" xfId="0" applyFont="1" applyBorder="1" applyAlignment="1">
      <alignment horizontal="center"/>
    </xf>
    <xf numFmtId="0" fontId="49" fillId="0" borderId="0" xfId="0" applyFont="1"/>
    <xf numFmtId="0" fontId="36" fillId="0" borderId="0" xfId="0" applyFont="1" applyBorder="1"/>
    <xf numFmtId="0" fontId="48" fillId="0" borderId="0" xfId="0" applyFont="1"/>
    <xf numFmtId="0" fontId="50" fillId="0" borderId="0" xfId="0" applyFont="1"/>
    <xf numFmtId="0" fontId="43" fillId="0" borderId="0" xfId="0" applyFont="1"/>
    <xf numFmtId="0" fontId="36" fillId="0" borderId="0" xfId="0" applyFont="1"/>
    <xf numFmtId="166" fontId="36" fillId="0" borderId="0" xfId="0" applyNumberFormat="1" applyFont="1" applyAlignment="1">
      <alignment horizontal="center"/>
    </xf>
    <xf numFmtId="166" fontId="36" fillId="0" borderId="0" xfId="0" applyNumberFormat="1" applyFont="1"/>
    <xf numFmtId="0" fontId="36" fillId="0" borderId="0" xfId="0" applyFont="1" applyAlignment="1">
      <alignment horizontal="center"/>
    </xf>
    <xf numFmtId="38" fontId="36" fillId="0" borderId="0" xfId="3" applyNumberFormat="1" applyFont="1" applyAlignment="1">
      <alignment horizontal="right"/>
    </xf>
    <xf numFmtId="0" fontId="50" fillId="0" borderId="0" xfId="0" applyFont="1" applyFill="1" applyBorder="1"/>
    <xf numFmtId="0" fontId="37" fillId="0" borderId="0" xfId="0" applyFont="1"/>
    <xf numFmtId="2" fontId="36" fillId="0" borderId="0" xfId="0" applyNumberFormat="1" applyFont="1" applyAlignment="1"/>
    <xf numFmtId="40" fontId="36" fillId="0" borderId="0" xfId="3" applyNumberFormat="1" applyFont="1" applyAlignment="1">
      <alignment horizontal="right"/>
    </xf>
    <xf numFmtId="2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left"/>
    </xf>
    <xf numFmtId="2" fontId="43" fillId="0" borderId="0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3" fillId="0" borderId="0" xfId="0" applyFont="1" applyBorder="1" applyAlignment="1"/>
    <xf numFmtId="0" fontId="50" fillId="0" borderId="0" xfId="0" applyFont="1" applyBorder="1" applyAlignment="1">
      <alignment horizontal="center"/>
    </xf>
    <xf numFmtId="168" fontId="36" fillId="0" borderId="0" xfId="3" applyNumberFormat="1" applyFont="1" applyBorder="1" applyAlignment="1">
      <alignment horizontal="center"/>
    </xf>
    <xf numFmtId="165" fontId="36" fillId="0" borderId="0" xfId="0" applyNumberFormat="1" applyFont="1" applyAlignment="1">
      <alignment horizontal="center"/>
    </xf>
    <xf numFmtId="173" fontId="36" fillId="0" borderId="0" xfId="3" applyNumberFormat="1" applyFont="1" applyAlignment="1">
      <alignment horizontal="right"/>
    </xf>
    <xf numFmtId="175" fontId="36" fillId="0" borderId="0" xfId="3" applyNumberFormat="1" applyFont="1" applyBorder="1" applyAlignment="1">
      <alignment horizontal="center"/>
    </xf>
    <xf numFmtId="176" fontId="36" fillId="0" borderId="0" xfId="3" applyNumberFormat="1" applyFont="1" applyAlignment="1">
      <alignment horizontal="right"/>
    </xf>
    <xf numFmtId="168" fontId="36" fillId="0" borderId="0" xfId="3" applyNumberFormat="1" applyFont="1" applyAlignment="1">
      <alignment horizontal="center"/>
    </xf>
    <xf numFmtId="0" fontId="43" fillId="0" borderId="0" xfId="0" applyFont="1" applyAlignment="1">
      <alignment horizontal="left"/>
    </xf>
    <xf numFmtId="172" fontId="0" fillId="0" borderId="0" xfId="0" applyNumberFormat="1"/>
    <xf numFmtId="175" fontId="0" fillId="0" borderId="0" xfId="0" applyNumberFormat="1"/>
    <xf numFmtId="0" fontId="0" fillId="0" borderId="0" xfId="0" applyAlignment="1">
      <alignment horizontal="center"/>
    </xf>
    <xf numFmtId="175" fontId="0" fillId="0" borderId="0" xfId="3" applyNumberFormat="1" applyFont="1" applyAlignment="1">
      <alignment horizontal="right"/>
    </xf>
    <xf numFmtId="168" fontId="0" fillId="0" borderId="0" xfId="3" applyNumberFormat="1" applyFont="1" applyAlignment="1">
      <alignment horizontal="right"/>
    </xf>
    <xf numFmtId="177" fontId="0" fillId="0" borderId="0" xfId="3" applyNumberFormat="1" applyFont="1" applyAlignment="1">
      <alignment horizontal="right"/>
    </xf>
    <xf numFmtId="172" fontId="0" fillId="0" borderId="0" xfId="3" applyNumberFormat="1" applyFont="1" applyAlignment="1">
      <alignment horizontal="right"/>
    </xf>
    <xf numFmtId="0" fontId="53" fillId="0" borderId="0" xfId="0" applyFont="1" applyFill="1" applyBorder="1" applyAlignment="1">
      <alignment horizontal="center" vertical="center" wrapText="1"/>
    </xf>
    <xf numFmtId="11" fontId="0" fillId="0" borderId="0" xfId="0" applyNumberFormat="1"/>
    <xf numFmtId="0" fontId="32" fillId="0" borderId="0" xfId="0" applyFont="1"/>
    <xf numFmtId="0" fontId="43" fillId="0" borderId="0" xfId="0" applyFont="1" applyFill="1"/>
    <xf numFmtId="0" fontId="36" fillId="0" borderId="0" xfId="0" applyFont="1" applyFill="1"/>
    <xf numFmtId="166" fontId="36" fillId="0" borderId="0" xfId="0" applyNumberFormat="1" applyFont="1" applyFill="1" applyAlignment="1">
      <alignment horizontal="center"/>
    </xf>
    <xf numFmtId="0" fontId="49" fillId="0" borderId="0" xfId="0" applyFont="1" applyFill="1"/>
    <xf numFmtId="166" fontId="36" fillId="0" borderId="0" xfId="0" applyNumberFormat="1" applyFont="1" applyFill="1"/>
    <xf numFmtId="0" fontId="50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37" fillId="0" borderId="0" xfId="0" applyFont="1" applyFill="1"/>
    <xf numFmtId="2" fontId="36" fillId="0" borderId="0" xfId="0" applyNumberFormat="1" applyFont="1" applyFill="1" applyAlignment="1"/>
    <xf numFmtId="2" fontId="36" fillId="0" borderId="0" xfId="0" applyNumberFormat="1" applyFont="1" applyFill="1" applyAlignment="1">
      <alignment horizontal="center"/>
    </xf>
    <xf numFmtId="0" fontId="36" fillId="0" borderId="0" xfId="0" applyFont="1" applyFill="1" applyAlignment="1">
      <alignment horizontal="left"/>
    </xf>
    <xf numFmtId="0" fontId="50" fillId="0" borderId="0" xfId="0" applyFont="1" applyFill="1"/>
    <xf numFmtId="38" fontId="36" fillId="0" borderId="0" xfId="3" applyNumberFormat="1" applyFont="1" applyFill="1" applyBorder="1" applyAlignment="1">
      <alignment horizontal="right"/>
    </xf>
    <xf numFmtId="40" fontId="36" fillId="0" borderId="0" xfId="3" applyNumberFormat="1" applyFont="1" applyFill="1" applyBorder="1" applyAlignment="1">
      <alignment horizontal="right"/>
    </xf>
    <xf numFmtId="1" fontId="0" fillId="0" borderId="0" xfId="0" applyNumberFormat="1" applyFill="1" applyBorder="1"/>
    <xf numFmtId="173" fontId="36" fillId="0" borderId="0" xfId="3" applyNumberFormat="1" applyFont="1" applyFill="1" applyBorder="1" applyAlignment="1">
      <alignment horizontal="right"/>
    </xf>
    <xf numFmtId="176" fontId="36" fillId="0" borderId="0" xfId="3" applyNumberFormat="1" applyFont="1" applyFill="1" applyBorder="1" applyAlignment="1">
      <alignment horizontal="right"/>
    </xf>
    <xf numFmtId="165" fontId="17" fillId="0" borderId="0" xfId="0" applyNumberFormat="1" applyFont="1" applyFill="1" applyBorder="1"/>
    <xf numFmtId="165" fontId="17" fillId="0" borderId="3" xfId="0" applyNumberFormat="1" applyFont="1" applyBorder="1"/>
    <xf numFmtId="0" fontId="18" fillId="14" borderId="8" xfId="0" applyFont="1" applyFill="1" applyBorder="1" applyAlignment="1">
      <alignment horizontal="center" wrapText="1"/>
    </xf>
    <xf numFmtId="0" fontId="21" fillId="6" borderId="8" xfId="0" applyFont="1" applyFill="1" applyBorder="1" applyAlignment="1">
      <alignment horizontal="center" wrapText="1"/>
    </xf>
    <xf numFmtId="0" fontId="21" fillId="6" borderId="0" xfId="0" applyFont="1" applyFill="1" applyBorder="1" applyAlignment="1">
      <alignment horizontal="center" wrapText="1"/>
    </xf>
    <xf numFmtId="0" fontId="21" fillId="18" borderId="8" xfId="0" applyFont="1" applyFill="1" applyBorder="1" applyAlignment="1">
      <alignment horizontal="center" wrapText="1"/>
    </xf>
    <xf numFmtId="0" fontId="21" fillId="18" borderId="0" xfId="0" applyFont="1" applyFill="1" applyBorder="1" applyAlignment="1">
      <alignment horizontal="center" wrapText="1"/>
    </xf>
    <xf numFmtId="0" fontId="18" fillId="3" borderId="8" xfId="0" applyFont="1" applyFill="1" applyBorder="1" applyAlignment="1">
      <alignment horizontal="center" wrapText="1"/>
    </xf>
    <xf numFmtId="0" fontId="18" fillId="6" borderId="8" xfId="0" applyFont="1" applyFill="1" applyBorder="1" applyAlignment="1">
      <alignment horizontal="center" wrapText="1"/>
    </xf>
    <xf numFmtId="0" fontId="18" fillId="14" borderId="9" xfId="0" applyFont="1" applyFill="1" applyBorder="1" applyAlignment="1">
      <alignment horizontal="center" wrapText="1"/>
    </xf>
    <xf numFmtId="0" fontId="18" fillId="14" borderId="3" xfId="0" applyFont="1" applyFill="1" applyBorder="1" applyAlignment="1">
      <alignment horizontal="center" wrapText="1"/>
    </xf>
    <xf numFmtId="0" fontId="25" fillId="6" borderId="8" xfId="0" applyFont="1" applyFill="1" applyBorder="1" applyAlignment="1">
      <alignment horizontal="center" wrapText="1"/>
    </xf>
    <xf numFmtId="2" fontId="0" fillId="0" borderId="19" xfId="0" applyNumberFormat="1" applyBorder="1" applyAlignment="1">
      <alignment horizontal="left"/>
    </xf>
    <xf numFmtId="0" fontId="19" fillId="0" borderId="0" xfId="1" applyFont="1" applyFill="1" applyBorder="1" applyAlignment="1">
      <alignment horizontal="center"/>
    </xf>
    <xf numFmtId="2" fontId="0" fillId="0" borderId="22" xfId="0" applyNumberFormat="1" applyBorder="1" applyAlignment="1">
      <alignment horizontal="left"/>
    </xf>
    <xf numFmtId="0" fontId="17" fillId="0" borderId="7" xfId="0" applyFont="1" applyBorder="1"/>
    <xf numFmtId="0" fontId="17" fillId="0" borderId="2" xfId="0" applyFont="1" applyBorder="1"/>
    <xf numFmtId="0" fontId="19" fillId="0" borderId="3" xfId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13" fillId="0" borderId="0" xfId="2" applyFill="1"/>
    <xf numFmtId="0" fontId="19" fillId="0" borderId="10" xfId="0" applyFont="1" applyFill="1" applyBorder="1"/>
    <xf numFmtId="9" fontId="33" fillId="0" borderId="0" xfId="1" applyNumberFormat="1" applyFont="1" applyFill="1" applyBorder="1"/>
    <xf numFmtId="2" fontId="33" fillId="0" borderId="3" xfId="1" applyNumberFormat="1" applyFont="1" applyFill="1" applyBorder="1"/>
    <xf numFmtId="2" fontId="24" fillId="0" borderId="3" xfId="1" applyNumberFormat="1" applyFont="1" applyFill="1" applyBorder="1"/>
    <xf numFmtId="2" fontId="24" fillId="0" borderId="5" xfId="1" applyNumberFormat="1" applyFont="1" applyFill="1" applyBorder="1"/>
    <xf numFmtId="167" fontId="24" fillId="0" borderId="5" xfId="1" applyNumberFormat="1" applyFont="1" applyFill="1" applyBorder="1"/>
    <xf numFmtId="2" fontId="24" fillId="0" borderId="6" xfId="1" applyNumberFormat="1" applyFont="1" applyFill="1" applyBorder="1"/>
    <xf numFmtId="2" fontId="13" fillId="0" borderId="5" xfId="1" applyNumberFormat="1" applyFont="1" applyFill="1" applyBorder="1"/>
    <xf numFmtId="9" fontId="33" fillId="15" borderId="5" xfId="1" applyNumberFormat="1" applyFont="1" applyFill="1" applyBorder="1"/>
    <xf numFmtId="2" fontId="13" fillId="15" borderId="5" xfId="1" applyNumberFormat="1" applyFont="1" applyFill="1" applyBorder="1"/>
    <xf numFmtId="2" fontId="19" fillId="15" borderId="3" xfId="1" applyNumberFormat="1" applyFont="1" applyFill="1" applyBorder="1"/>
    <xf numFmtId="2" fontId="24" fillId="15" borderId="5" xfId="1" applyNumberFormat="1" applyFont="1" applyFill="1" applyBorder="1"/>
    <xf numFmtId="167" fontId="24" fillId="15" borderId="5" xfId="1" applyNumberFormat="1" applyFont="1" applyFill="1" applyBorder="1"/>
    <xf numFmtId="2" fontId="24" fillId="15" borderId="6" xfId="1" applyNumberFormat="1" applyFont="1" applyFill="1" applyBorder="1"/>
    <xf numFmtId="1" fontId="8" fillId="0" borderId="0" xfId="0" applyNumberFormat="1" applyFont="1" applyFill="1" applyBorder="1"/>
    <xf numFmtId="1" fontId="8" fillId="0" borderId="0" xfId="1" applyNumberFormat="1" applyFont="1" applyFill="1" applyBorder="1"/>
    <xf numFmtId="0" fontId="19" fillId="0" borderId="2" xfId="0" applyFont="1" applyFill="1" applyBorder="1"/>
    <xf numFmtId="0" fontId="19" fillId="0" borderId="2" xfId="1" applyFont="1" applyFill="1" applyBorder="1"/>
    <xf numFmtId="0" fontId="19" fillId="0" borderId="4" xfId="0" applyFont="1" applyFill="1" applyBorder="1"/>
    <xf numFmtId="0" fontId="18" fillId="0" borderId="5" xfId="0" applyFont="1" applyFill="1" applyBorder="1" applyAlignment="1">
      <alignment horizontal="center" wrapText="1"/>
    </xf>
    <xf numFmtId="0" fontId="8" fillId="0" borderId="0" xfId="0" applyFont="1" applyFill="1" applyBorder="1"/>
    <xf numFmtId="2" fontId="8" fillId="0" borderId="0" xfId="1" applyNumberFormat="1" applyFont="1" applyFill="1" applyBorder="1"/>
    <xf numFmtId="0" fontId="14" fillId="0" borderId="3" xfId="0" applyFont="1" applyFill="1" applyBorder="1"/>
    <xf numFmtId="0" fontId="8" fillId="0" borderId="0" xfId="1" applyFont="1" applyFill="1" applyBorder="1"/>
    <xf numFmtId="0" fontId="8" fillId="0" borderId="0" xfId="2" applyFont="1" applyFill="1" applyBorder="1"/>
    <xf numFmtId="1" fontId="8" fillId="0" borderId="5" xfId="1" applyNumberFormat="1" applyFont="1" applyFill="1" applyBorder="1"/>
    <xf numFmtId="0" fontId="8" fillId="0" borderId="5" xfId="0" applyFont="1" applyFill="1" applyBorder="1"/>
    <xf numFmtId="2" fontId="8" fillId="0" borderId="5" xfId="1" applyNumberFormat="1" applyFont="1" applyFill="1" applyBorder="1"/>
    <xf numFmtId="166" fontId="14" fillId="0" borderId="0" xfId="0" applyNumberFormat="1" applyFont="1" applyFill="1" applyBorder="1"/>
    <xf numFmtId="166" fontId="8" fillId="0" borderId="0" xfId="1" applyNumberFormat="1" applyFont="1" applyFill="1" applyBorder="1"/>
    <xf numFmtId="166" fontId="8" fillId="0" borderId="5" xfId="1" applyNumberFormat="1" applyFont="1" applyFill="1" applyBorder="1"/>
    <xf numFmtId="1" fontId="14" fillId="0" borderId="0" xfId="0" applyNumberFormat="1" applyFont="1" applyFill="1" applyBorder="1"/>
    <xf numFmtId="166" fontId="8" fillId="0" borderId="0" xfId="0" applyNumberFormat="1" applyFont="1" applyFill="1" applyBorder="1"/>
    <xf numFmtId="1" fontId="14" fillId="0" borderId="5" xfId="0" applyNumberFormat="1" applyFont="1" applyFill="1" applyBorder="1"/>
    <xf numFmtId="0" fontId="8" fillId="0" borderId="2" xfId="2" applyFont="1" applyFill="1" applyBorder="1"/>
    <xf numFmtId="2" fontId="19" fillId="0" borderId="8" xfId="1" applyNumberFormat="1" applyFont="1" applyFill="1" applyBorder="1"/>
    <xf numFmtId="0" fontId="43" fillId="0" borderId="0" xfId="0" applyFont="1" applyFill="1" applyBorder="1" applyAlignment="1"/>
    <xf numFmtId="0" fontId="50" fillId="0" borderId="0" xfId="0" applyFont="1" applyFill="1" applyBorder="1" applyAlignment="1">
      <alignment horizontal="center"/>
    </xf>
    <xf numFmtId="168" fontId="36" fillId="0" borderId="0" xfId="3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left"/>
    </xf>
    <xf numFmtId="168" fontId="50" fillId="0" borderId="0" xfId="3" applyNumberFormat="1" applyFont="1" applyFill="1" applyBorder="1" applyAlignment="1">
      <alignment horizontal="center"/>
    </xf>
    <xf numFmtId="0" fontId="50" fillId="0" borderId="0" xfId="0" applyFont="1" applyFill="1" applyBorder="1" applyAlignment="1">
      <alignment horizontal="left"/>
    </xf>
    <xf numFmtId="0" fontId="43" fillId="0" borderId="0" xfId="0" applyFont="1" applyFill="1" applyBorder="1" applyAlignment="1">
      <alignment horizontal="center"/>
    </xf>
    <xf numFmtId="165" fontId="36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0" fontId="32" fillId="0" borderId="31" xfId="0" applyFont="1" applyBorder="1"/>
    <xf numFmtId="0" fontId="0" fillId="0" borderId="31" xfId="0" applyBorder="1"/>
    <xf numFmtId="166" fontId="0" fillId="0" borderId="31" xfId="0" applyNumberFormat="1" applyBorder="1"/>
    <xf numFmtId="0" fontId="0" fillId="0" borderId="31" xfId="0" applyFill="1" applyBorder="1"/>
    <xf numFmtId="166" fontId="0" fillId="0" borderId="31" xfId="0" applyNumberFormat="1" applyFill="1" applyBorder="1"/>
    <xf numFmtId="0" fontId="32" fillId="0" borderId="27" xfId="0" applyFont="1" applyFill="1" applyBorder="1"/>
    <xf numFmtId="0" fontId="32" fillId="0" borderId="0" xfId="0" applyFont="1" applyFill="1" applyBorder="1"/>
    <xf numFmtId="0" fontId="7" fillId="0" borderId="0" xfId="0" applyFont="1" applyFill="1" applyBorder="1"/>
    <xf numFmtId="165" fontId="17" fillId="0" borderId="0" xfId="0" applyNumberFormat="1" applyFont="1"/>
    <xf numFmtId="0" fontId="55" fillId="0" borderId="0" xfId="0" applyFont="1"/>
    <xf numFmtId="2" fontId="8" fillId="0" borderId="0" xfId="0" applyNumberFormat="1" applyFont="1" applyFill="1" applyBorder="1"/>
    <xf numFmtId="165" fontId="8" fillId="0" borderId="0" xfId="1" applyNumberFormat="1" applyFont="1" applyFill="1" applyBorder="1"/>
    <xf numFmtId="166" fontId="14" fillId="0" borderId="5" xfId="0" applyNumberFormat="1" applyFont="1" applyFill="1" applyBorder="1"/>
    <xf numFmtId="165" fontId="8" fillId="0" borderId="5" xfId="1" applyNumberFormat="1" applyFont="1" applyFill="1" applyBorder="1"/>
    <xf numFmtId="0" fontId="18" fillId="0" borderId="9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left"/>
    </xf>
    <xf numFmtId="0" fontId="5" fillId="0" borderId="0" xfId="0" applyFont="1" applyFill="1" applyBorder="1"/>
    <xf numFmtId="1" fontId="8" fillId="0" borderId="5" xfId="0" applyNumberFormat="1" applyFont="1" applyFill="1" applyBorder="1"/>
    <xf numFmtId="1" fontId="8" fillId="0" borderId="3" xfId="1" applyNumberFormat="1" applyFont="1" applyFill="1" applyBorder="1"/>
    <xf numFmtId="1" fontId="8" fillId="0" borderId="6" xfId="1" applyNumberFormat="1" applyFont="1" applyFill="1" applyBorder="1"/>
    <xf numFmtId="0" fontId="4" fillId="0" borderId="0" xfId="0" applyFont="1" applyFill="1" applyBorder="1"/>
    <xf numFmtId="178" fontId="0" fillId="0" borderId="0" xfId="0" applyNumberFormat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36" fillId="0" borderId="0" xfId="0" applyFont="1" applyFill="1" applyBorder="1" applyAlignment="1"/>
    <xf numFmtId="0" fontId="48" fillId="0" borderId="0" xfId="0" applyFont="1" applyBorder="1"/>
    <xf numFmtId="0" fontId="57" fillId="0" borderId="0" xfId="0" applyFont="1"/>
    <xf numFmtId="0" fontId="0" fillId="0" borderId="0" xfId="0" applyAlignment="1">
      <alignment horizontal="left"/>
    </xf>
    <xf numFmtId="0" fontId="36" fillId="0" borderId="0" xfId="0" applyFont="1" applyBorder="1" applyAlignment="1">
      <alignment horizontal="left"/>
    </xf>
    <xf numFmtId="0" fontId="36" fillId="0" borderId="0" xfId="0" applyFont="1" applyAlignment="1"/>
    <xf numFmtId="0" fontId="50" fillId="0" borderId="0" xfId="0" applyFont="1" applyBorder="1" applyAlignment="1">
      <alignment horizontal="left"/>
    </xf>
    <xf numFmtId="168" fontId="36" fillId="0" borderId="0" xfId="3" applyNumberFormat="1" applyFont="1" applyBorder="1" applyAlignment="1">
      <alignment horizontal="left"/>
    </xf>
    <xf numFmtId="0" fontId="58" fillId="0" borderId="0" xfId="5" applyFont="1" applyFill="1" applyBorder="1" applyAlignment="1">
      <alignment horizontal="center"/>
    </xf>
    <xf numFmtId="0" fontId="59" fillId="0" borderId="0" xfId="5" applyFont="1" applyFill="1" applyBorder="1" applyAlignment="1">
      <alignment horizontal="center"/>
    </xf>
    <xf numFmtId="0" fontId="43" fillId="0" borderId="0" xfId="0" applyFont="1" applyBorder="1" applyAlignment="1">
      <alignment horizontal="left"/>
    </xf>
    <xf numFmtId="40" fontId="48" fillId="0" borderId="0" xfId="0" applyNumberFormat="1" applyFont="1"/>
    <xf numFmtId="0" fontId="6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57" fillId="0" borderId="0" xfId="0" applyFont="1" applyBorder="1"/>
    <xf numFmtId="168" fontId="51" fillId="0" borderId="0" xfId="0" applyNumberFormat="1" applyFont="1"/>
    <xf numFmtId="168" fontId="36" fillId="0" borderId="0" xfId="0" applyNumberFormat="1" applyFont="1"/>
    <xf numFmtId="0" fontId="36" fillId="0" borderId="0" xfId="0" applyFont="1" applyFill="1" applyAlignment="1"/>
    <xf numFmtId="40" fontId="36" fillId="0" borderId="0" xfId="0" applyNumberFormat="1" applyFont="1"/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68" fontId="55" fillId="0" borderId="0" xfId="3" applyNumberFormat="1" applyFont="1" applyAlignment="1">
      <alignment horizontal="center"/>
    </xf>
    <xf numFmtId="179" fontId="36" fillId="0" borderId="0" xfId="3" applyNumberFormat="1" applyFont="1" applyBorder="1" applyAlignment="1">
      <alignment horizontal="center"/>
    </xf>
    <xf numFmtId="0" fontId="58" fillId="28" borderId="28" xfId="5" applyFont="1" applyFill="1" applyBorder="1" applyAlignment="1">
      <alignment horizontal="center"/>
    </xf>
    <xf numFmtId="0" fontId="58" fillId="28" borderId="34" xfId="5" applyFont="1" applyFill="1" applyBorder="1" applyAlignment="1">
      <alignment horizontal="center"/>
    </xf>
    <xf numFmtId="0" fontId="58" fillId="28" borderId="29" xfId="5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58" fillId="28" borderId="34" xfId="5" applyNumberFormat="1" applyFont="1" applyFill="1" applyBorder="1" applyAlignment="1">
      <alignment horizontal="center"/>
    </xf>
    <xf numFmtId="1" fontId="58" fillId="28" borderId="29" xfId="5" applyNumberFormat="1" applyFont="1" applyFill="1" applyBorder="1" applyAlignment="1">
      <alignment horizontal="center"/>
    </xf>
    <xf numFmtId="1" fontId="36" fillId="0" borderId="0" xfId="0" applyNumberFormat="1" applyFont="1"/>
    <xf numFmtId="1" fontId="36" fillId="0" borderId="0" xfId="0" applyNumberFormat="1" applyFont="1" applyBorder="1"/>
    <xf numFmtId="1" fontId="36" fillId="0" borderId="0" xfId="3" applyNumberFormat="1" applyFont="1" applyBorder="1" applyAlignment="1">
      <alignment horizontal="center"/>
    </xf>
    <xf numFmtId="0" fontId="48" fillId="0" borderId="0" xfId="0" applyFont="1" applyAlignment="1">
      <alignment horizontal="center"/>
    </xf>
    <xf numFmtId="38" fontId="36" fillId="0" borderId="0" xfId="3" applyNumberFormat="1" applyFont="1" applyBorder="1" applyAlignment="1">
      <alignment horizontal="right"/>
    </xf>
    <xf numFmtId="0" fontId="43" fillId="0" borderId="0" xfId="0" applyFont="1" applyAlignment="1">
      <alignment horizontal="center"/>
    </xf>
    <xf numFmtId="1" fontId="36" fillId="0" borderId="0" xfId="0" applyNumberFormat="1" applyFont="1" applyAlignment="1">
      <alignment horizontal="center"/>
    </xf>
    <xf numFmtId="0" fontId="36" fillId="29" borderId="0" xfId="0" applyFont="1" applyFill="1" applyAlignment="1">
      <alignment horizontal="center"/>
    </xf>
    <xf numFmtId="173" fontId="36" fillId="0" borderId="0" xfId="3" applyNumberFormat="1" applyFont="1"/>
    <xf numFmtId="180" fontId="36" fillId="0" borderId="0" xfId="3" applyNumberFormat="1" applyFont="1"/>
    <xf numFmtId="165" fontId="36" fillId="0" borderId="0" xfId="0" applyNumberFormat="1" applyFont="1"/>
    <xf numFmtId="38" fontId="36" fillId="0" borderId="0" xfId="3" applyNumberFormat="1" applyFont="1" applyAlignment="1">
      <alignment horizontal="center"/>
    </xf>
    <xf numFmtId="40" fontId="36" fillId="0" borderId="0" xfId="3" applyNumberFormat="1" applyFont="1" applyAlignment="1">
      <alignment horizontal="center"/>
    </xf>
    <xf numFmtId="43" fontId="36" fillId="0" borderId="0" xfId="3" applyFont="1" applyAlignment="1">
      <alignment horizontal="center"/>
    </xf>
    <xf numFmtId="172" fontId="36" fillId="0" borderId="0" xfId="3" applyNumberFormat="1" applyFont="1" applyAlignment="1">
      <alignment horizontal="center"/>
    </xf>
    <xf numFmtId="172" fontId="36" fillId="0" borderId="0" xfId="3" applyNumberFormat="1" applyFont="1" applyBorder="1" applyAlignment="1">
      <alignment horizontal="center"/>
    </xf>
    <xf numFmtId="43" fontId="0" fillId="0" borderId="0" xfId="3" applyFont="1"/>
    <xf numFmtId="43" fontId="36" fillId="0" borderId="0" xfId="3" applyFont="1" applyBorder="1" applyAlignment="1">
      <alignment horizontal="center"/>
    </xf>
    <xf numFmtId="174" fontId="36" fillId="0" borderId="0" xfId="3" applyNumberFormat="1" applyFont="1" applyBorder="1" applyAlignment="1">
      <alignment horizontal="center"/>
    </xf>
    <xf numFmtId="177" fontId="36" fillId="0" borderId="0" xfId="3" applyNumberFormat="1" applyFont="1" applyBorder="1" applyAlignment="1">
      <alignment horizontal="center"/>
    </xf>
    <xf numFmtId="174" fontId="36" fillId="0" borderId="0" xfId="0" applyNumberFormat="1" applyFont="1"/>
    <xf numFmtId="165" fontId="0" fillId="0" borderId="0" xfId="0" applyNumberFormat="1" applyAlignment="1">
      <alignment horizontal="center"/>
    </xf>
    <xf numFmtId="174" fontId="0" fillId="0" borderId="0" xfId="3" applyNumberFormat="1" applyFont="1" applyAlignment="1">
      <alignment horizontal="center"/>
    </xf>
    <xf numFmtId="168" fontId="0" fillId="0" borderId="0" xfId="3" applyNumberFormat="1" applyFont="1" applyAlignment="1">
      <alignment horizontal="center"/>
    </xf>
    <xf numFmtId="175" fontId="0" fillId="0" borderId="0" xfId="3" applyNumberFormat="1" applyFont="1" applyAlignment="1">
      <alignment horizontal="center"/>
    </xf>
    <xf numFmtId="174" fontId="0" fillId="0" borderId="0" xfId="0" applyNumberFormat="1"/>
    <xf numFmtId="174" fontId="36" fillId="0" borderId="0" xfId="3" applyNumberFormat="1" applyFont="1" applyAlignment="1">
      <alignment horizontal="center"/>
    </xf>
    <xf numFmtId="174" fontId="36" fillId="0" borderId="0" xfId="3" applyNumberFormat="1" applyFont="1" applyAlignment="1">
      <alignment horizontal="right"/>
    </xf>
    <xf numFmtId="180" fontId="0" fillId="0" borderId="0" xfId="3" applyNumberFormat="1" applyFont="1"/>
    <xf numFmtId="43" fontId="0" fillId="0" borderId="0" xfId="3" applyFont="1" applyAlignment="1">
      <alignment horizontal="center"/>
    </xf>
    <xf numFmtId="168" fontId="0" fillId="0" borderId="0" xfId="3" applyNumberFormat="1" applyFont="1" applyFill="1" applyAlignment="1">
      <alignment horizontal="center"/>
    </xf>
    <xf numFmtId="168" fontId="0" fillId="0" borderId="0" xfId="3" applyNumberFormat="1" applyFont="1" applyFill="1" applyBorder="1" applyAlignment="1">
      <alignment horizontal="center"/>
    </xf>
    <xf numFmtId="168" fontId="36" fillId="0" borderId="0" xfId="3" applyNumberFormat="1" applyFont="1" applyFill="1" applyAlignment="1">
      <alignment horizontal="center"/>
    </xf>
    <xf numFmtId="43" fontId="0" fillId="0" borderId="0" xfId="3" applyFont="1" applyFill="1" applyAlignment="1">
      <alignment horizontal="center"/>
    </xf>
    <xf numFmtId="43" fontId="0" fillId="0" borderId="0" xfId="3" applyFont="1" applyFill="1" applyBorder="1" applyAlignment="1">
      <alignment horizontal="center"/>
    </xf>
    <xf numFmtId="168" fontId="0" fillId="0" borderId="0" xfId="3" applyNumberFormat="1" applyFont="1" applyBorder="1" applyAlignment="1">
      <alignment horizontal="center"/>
    </xf>
    <xf numFmtId="168" fontId="0" fillId="0" borderId="0" xfId="3" applyNumberFormat="1" applyFont="1"/>
    <xf numFmtId="168" fontId="0" fillId="0" borderId="0" xfId="0" applyNumberFormat="1"/>
    <xf numFmtId="9" fontId="0" fillId="0" borderId="0" xfId="6" applyFont="1"/>
    <xf numFmtId="175" fontId="55" fillId="0" borderId="0" xfId="3" applyNumberFormat="1" applyFont="1" applyAlignment="1">
      <alignment horizontal="center"/>
    </xf>
    <xf numFmtId="175" fontId="0" fillId="0" borderId="0" xfId="3" applyNumberFormat="1" applyFont="1"/>
    <xf numFmtId="172" fontId="55" fillId="0" borderId="0" xfId="3" applyNumberFormat="1" applyFont="1"/>
    <xf numFmtId="38" fontId="55" fillId="0" borderId="0" xfId="3" applyNumberFormat="1" applyFont="1"/>
    <xf numFmtId="168" fontId="36" fillId="0" borderId="0" xfId="0" applyNumberFormat="1" applyFont="1" applyAlignment="1">
      <alignment horizontal="center"/>
    </xf>
    <xf numFmtId="172" fontId="36" fillId="0" borderId="0" xfId="3" applyNumberFormat="1" applyFont="1"/>
    <xf numFmtId="175" fontId="36" fillId="0" borderId="0" xfId="0" applyNumberFormat="1" applyFont="1"/>
    <xf numFmtId="172" fontId="36" fillId="0" borderId="0" xfId="0" applyNumberFormat="1" applyFont="1" applyBorder="1"/>
    <xf numFmtId="168" fontId="36" fillId="0" borderId="0" xfId="3" applyNumberFormat="1" applyFont="1"/>
    <xf numFmtId="172" fontId="36" fillId="0" borderId="0" xfId="0" applyNumberFormat="1" applyFont="1"/>
    <xf numFmtId="173" fontId="55" fillId="0" borderId="0" xfId="3" applyNumberFormat="1" applyFont="1"/>
    <xf numFmtId="175" fontId="36" fillId="0" borderId="0" xfId="3" applyNumberFormat="1" applyFont="1"/>
    <xf numFmtId="168" fontId="36" fillId="0" borderId="0" xfId="0" applyNumberFormat="1" applyFont="1" applyBorder="1"/>
    <xf numFmtId="37" fontId="36" fillId="29" borderId="0" xfId="0" applyNumberFormat="1" applyFont="1" applyFill="1" applyAlignment="1">
      <alignment horizontal="right"/>
    </xf>
    <xf numFmtId="37" fontId="36" fillId="0" borderId="0" xfId="0" applyNumberFormat="1" applyFont="1" applyFill="1" applyAlignment="1">
      <alignment horizontal="right"/>
    </xf>
    <xf numFmtId="181" fontId="0" fillId="0" borderId="0" xfId="0" applyNumberFormat="1"/>
    <xf numFmtId="182" fontId="36" fillId="0" borderId="0" xfId="0" applyNumberFormat="1" applyFont="1" applyAlignment="1">
      <alignment horizontal="right"/>
    </xf>
    <xf numFmtId="182" fontId="36" fillId="0" borderId="0" xfId="0" applyNumberFormat="1" applyFont="1" applyFill="1" applyAlignment="1">
      <alignment horizontal="right"/>
    </xf>
    <xf numFmtId="182" fontId="36" fillId="0" borderId="0" xfId="0" applyNumberFormat="1" applyFont="1" applyFill="1" applyBorder="1" applyAlignment="1">
      <alignment horizontal="right"/>
    </xf>
    <xf numFmtId="2" fontId="36" fillId="0" borderId="0" xfId="0" applyNumberFormat="1" applyFont="1"/>
    <xf numFmtId="0" fontId="21" fillId="6" borderId="8" xfId="0" applyFont="1" applyFill="1" applyBorder="1" applyAlignment="1">
      <alignment horizontal="center" wrapText="1"/>
    </xf>
    <xf numFmtId="0" fontId="21" fillId="6" borderId="0" xfId="0" applyFont="1" applyFill="1" applyBorder="1" applyAlignment="1">
      <alignment horizontal="center" wrapText="1"/>
    </xf>
    <xf numFmtId="0" fontId="18" fillId="14" borderId="24" xfId="0" applyFont="1" applyFill="1" applyBorder="1" applyAlignment="1">
      <alignment horizontal="center" wrapText="1"/>
    </xf>
    <xf numFmtId="0" fontId="18" fillId="14" borderId="8" xfId="0" applyFont="1" applyFill="1" applyBorder="1" applyAlignment="1">
      <alignment horizontal="center" wrapText="1"/>
    </xf>
    <xf numFmtId="0" fontId="18" fillId="14" borderId="0" xfId="0" applyFont="1" applyFill="1" applyBorder="1" applyAlignment="1">
      <alignment horizontal="center" wrapText="1"/>
    </xf>
    <xf numFmtId="0" fontId="18" fillId="3" borderId="8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 wrapText="1"/>
    </xf>
    <xf numFmtId="0" fontId="18" fillId="0" borderId="8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6" borderId="8" xfId="0" applyFont="1" applyFill="1" applyBorder="1" applyAlignment="1">
      <alignment horizontal="center" wrapText="1"/>
    </xf>
    <xf numFmtId="0" fontId="18" fillId="6" borderId="0" xfId="0" applyFont="1" applyFill="1" applyBorder="1" applyAlignment="1">
      <alignment horizontal="center" wrapText="1"/>
    </xf>
    <xf numFmtId="0" fontId="18" fillId="14" borderId="9" xfId="0" applyFont="1" applyFill="1" applyBorder="1" applyAlignment="1">
      <alignment horizontal="center" wrapText="1"/>
    </xf>
    <xf numFmtId="0" fontId="18" fillId="14" borderId="3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18" fillId="19" borderId="8" xfId="0" applyFont="1" applyFill="1" applyBorder="1" applyAlignment="1">
      <alignment horizontal="center" wrapText="1"/>
    </xf>
    <xf numFmtId="0" fontId="18" fillId="19" borderId="0" xfId="0" applyFont="1" applyFill="1" applyBorder="1" applyAlignment="1">
      <alignment horizontal="center" wrapText="1"/>
    </xf>
    <xf numFmtId="0" fontId="18" fillId="13" borderId="0" xfId="0" applyFont="1" applyFill="1" applyBorder="1" applyAlignment="1">
      <alignment horizontal="center" wrapText="1"/>
    </xf>
    <xf numFmtId="0" fontId="21" fillId="18" borderId="8" xfId="0" applyFont="1" applyFill="1" applyBorder="1" applyAlignment="1">
      <alignment horizontal="center" wrapText="1"/>
    </xf>
    <xf numFmtId="0" fontId="21" fillId="18" borderId="0" xfId="0" applyFont="1" applyFill="1" applyBorder="1" applyAlignment="1">
      <alignment horizontal="center" wrapText="1"/>
    </xf>
    <xf numFmtId="0" fontId="21" fillId="17" borderId="8" xfId="0" applyFont="1" applyFill="1" applyBorder="1" applyAlignment="1">
      <alignment horizontal="center" wrapText="1"/>
    </xf>
    <xf numFmtId="0" fontId="25" fillId="6" borderId="8" xfId="0" applyFont="1" applyFill="1" applyBorder="1" applyAlignment="1">
      <alignment horizontal="center" wrapText="1"/>
    </xf>
    <xf numFmtId="0" fontId="25" fillId="6" borderId="0" xfId="0" applyFont="1" applyFill="1" applyBorder="1" applyAlignment="1">
      <alignment horizontal="center" wrapText="1"/>
    </xf>
    <xf numFmtId="0" fontId="18" fillId="20" borderId="8" xfId="0" applyFont="1" applyFill="1" applyBorder="1" applyAlignment="1">
      <alignment horizontal="center" wrapText="1"/>
    </xf>
    <xf numFmtId="0" fontId="18" fillId="20" borderId="0" xfId="0" applyFont="1" applyFill="1" applyBorder="1" applyAlignment="1">
      <alignment horizontal="center" wrapText="1"/>
    </xf>
    <xf numFmtId="0" fontId="19" fillId="0" borderId="0" xfId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left"/>
    </xf>
    <xf numFmtId="0" fontId="42" fillId="0" borderId="0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8" fillId="14" borderId="8" xfId="0" applyFont="1" applyFill="1" applyBorder="1" applyAlignment="1">
      <alignment horizontal="center" wrapText="1"/>
    </xf>
    <xf numFmtId="0" fontId="18" fillId="14" borderId="0" xfId="0" applyFont="1" applyFill="1" applyBorder="1" applyAlignment="1">
      <alignment horizontal="center" wrapText="1"/>
    </xf>
    <xf numFmtId="0" fontId="18" fillId="19" borderId="8" xfId="0" applyFont="1" applyFill="1" applyBorder="1" applyAlignment="1">
      <alignment horizontal="center" wrapText="1"/>
    </xf>
    <xf numFmtId="0" fontId="18" fillId="19" borderId="0" xfId="0" applyFont="1" applyFill="1" applyBorder="1" applyAlignment="1">
      <alignment horizontal="center" wrapText="1"/>
    </xf>
    <xf numFmtId="2" fontId="14" fillId="15" borderId="2" xfId="0" applyNumberFormat="1" applyFont="1" applyFill="1" applyBorder="1" applyAlignment="1">
      <alignment horizontal="left"/>
    </xf>
    <xf numFmtId="2" fontId="0" fillId="15" borderId="16" xfId="0" applyNumberFormat="1" applyFill="1" applyBorder="1" applyAlignment="1">
      <alignment horizontal="left"/>
    </xf>
    <xf numFmtId="2" fontId="14" fillId="0" borderId="2" xfId="0" applyNumberFormat="1" applyFont="1" applyBorder="1" applyAlignment="1">
      <alignment horizontal="left"/>
    </xf>
    <xf numFmtId="2" fontId="0" fillId="0" borderId="16" xfId="0" applyNumberFormat="1" applyBorder="1" applyAlignment="1">
      <alignment horizontal="left"/>
    </xf>
    <xf numFmtId="2" fontId="0" fillId="0" borderId="4" xfId="0" applyNumberFormat="1" applyBorder="1" applyAlignment="1">
      <alignment horizontal="left"/>
    </xf>
    <xf numFmtId="2" fontId="0" fillId="0" borderId="15" xfId="0" applyNumberFormat="1" applyBorder="1" applyAlignment="1">
      <alignment horizontal="left"/>
    </xf>
    <xf numFmtId="0" fontId="21" fillId="3" borderId="8" xfId="0" applyFont="1" applyFill="1" applyBorder="1" applyAlignment="1">
      <alignment horizontal="center" wrapText="1"/>
    </xf>
    <xf numFmtId="0" fontId="25" fillId="3" borderId="0" xfId="0" applyFont="1" applyFill="1" applyBorder="1" applyAlignment="1">
      <alignment horizontal="center" wrapText="1"/>
    </xf>
    <xf numFmtId="0" fontId="25" fillId="6" borderId="8" xfId="0" applyFont="1" applyFill="1" applyBorder="1" applyAlignment="1">
      <alignment horizontal="center" wrapText="1"/>
    </xf>
    <xf numFmtId="0" fontId="25" fillId="6" borderId="0" xfId="0" applyFont="1" applyFill="1" applyBorder="1" applyAlignment="1">
      <alignment horizont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left"/>
    </xf>
    <xf numFmtId="2" fontId="0" fillId="15" borderId="4" xfId="0" applyNumberFormat="1" applyFill="1" applyBorder="1" applyAlignment="1">
      <alignment horizontal="left"/>
    </xf>
    <xf numFmtId="2" fontId="0" fillId="15" borderId="15" xfId="0" applyNumberFormat="1" applyFill="1" applyBorder="1" applyAlignment="1">
      <alignment horizontal="left"/>
    </xf>
    <xf numFmtId="0" fontId="18" fillId="0" borderId="7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22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wrapText="1"/>
    </xf>
    <xf numFmtId="0" fontId="18" fillId="13" borderId="8" xfId="0" applyFont="1" applyFill="1" applyBorder="1" applyAlignment="1">
      <alignment horizontal="center" wrapText="1"/>
    </xf>
    <xf numFmtId="0" fontId="18" fillId="13" borderId="0" xfId="0" applyFont="1" applyFill="1" applyBorder="1" applyAlignment="1">
      <alignment horizontal="center" wrapText="1"/>
    </xf>
    <xf numFmtId="0" fontId="21" fillId="6" borderId="8" xfId="0" applyFont="1" applyFill="1" applyBorder="1" applyAlignment="1">
      <alignment horizontal="center" wrapText="1"/>
    </xf>
    <xf numFmtId="0" fontId="21" fillId="6" borderId="0" xfId="0" applyFont="1" applyFill="1" applyBorder="1" applyAlignment="1">
      <alignment horizontal="center" wrapText="1"/>
    </xf>
    <xf numFmtId="0" fontId="18" fillId="14" borderId="23" xfId="0" applyFont="1" applyFill="1" applyBorder="1" applyAlignment="1">
      <alignment horizontal="center" wrapText="1"/>
    </xf>
    <xf numFmtId="0" fontId="18" fillId="14" borderId="24" xfId="0" applyFont="1" applyFill="1" applyBorder="1" applyAlignment="1">
      <alignment horizontal="center" wrapText="1"/>
    </xf>
    <xf numFmtId="2" fontId="14" fillId="0" borderId="7" xfId="0" applyNumberFormat="1" applyFont="1" applyBorder="1" applyAlignment="1">
      <alignment horizontal="left"/>
    </xf>
    <xf numFmtId="2" fontId="0" fillId="0" borderId="17" xfId="0" applyNumberFormat="1" applyBorder="1" applyAlignment="1">
      <alignment horizontal="left"/>
    </xf>
    <xf numFmtId="0" fontId="21" fillId="18" borderId="8" xfId="0" applyFont="1" applyFill="1" applyBorder="1" applyAlignment="1">
      <alignment horizontal="center" wrapText="1"/>
    </xf>
    <xf numFmtId="0" fontId="21" fillId="18" borderId="0" xfId="0" applyFont="1" applyFill="1" applyBorder="1" applyAlignment="1">
      <alignment horizontal="center" wrapText="1"/>
    </xf>
    <xf numFmtId="0" fontId="21" fillId="17" borderId="8" xfId="0" applyFont="1" applyFill="1" applyBorder="1" applyAlignment="1">
      <alignment horizontal="center" wrapText="1"/>
    </xf>
    <xf numFmtId="0" fontId="21" fillId="17" borderId="0" xfId="0" applyFont="1" applyFill="1" applyBorder="1" applyAlignment="1">
      <alignment horizontal="center" wrapText="1"/>
    </xf>
    <xf numFmtId="0" fontId="18" fillId="3" borderId="8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 wrapText="1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8" fillId="14" borderId="9" xfId="0" applyFont="1" applyFill="1" applyBorder="1" applyAlignment="1">
      <alignment horizontal="center" wrapText="1"/>
    </xf>
    <xf numFmtId="0" fontId="18" fillId="14" borderId="3" xfId="0" applyFont="1" applyFill="1" applyBorder="1" applyAlignment="1">
      <alignment horizontal="center" wrapText="1"/>
    </xf>
    <xf numFmtId="0" fontId="18" fillId="6" borderId="8" xfId="0" applyFont="1" applyFill="1" applyBorder="1" applyAlignment="1">
      <alignment horizontal="center" wrapText="1"/>
    </xf>
    <xf numFmtId="0" fontId="18" fillId="6" borderId="0" xfId="0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 wrapText="1"/>
    </xf>
    <xf numFmtId="0" fontId="18" fillId="14" borderId="8" xfId="0" applyFont="1" applyFill="1" applyBorder="1" applyAlignment="1">
      <alignment horizontal="center"/>
    </xf>
    <xf numFmtId="0" fontId="18" fillId="14" borderId="0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14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wrapText="1"/>
    </xf>
    <xf numFmtId="2" fontId="14" fillId="0" borderId="0" xfId="0" applyNumberFormat="1" applyFont="1" applyFill="1" applyBorder="1" applyAlignment="1">
      <alignment horizontal="left"/>
    </xf>
    <xf numFmtId="2" fontId="0" fillId="0" borderId="0" xfId="0" applyNumberFormat="1" applyFill="1" applyBorder="1" applyAlignment="1">
      <alignment horizontal="left"/>
    </xf>
    <xf numFmtId="2" fontId="14" fillId="0" borderId="22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0" fontId="19" fillId="0" borderId="0" xfId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vertical="center"/>
    </xf>
    <xf numFmtId="0" fontId="19" fillId="5" borderId="0" xfId="1" applyFont="1" applyFill="1" applyBorder="1" applyAlignment="1">
      <alignment horizontal="center"/>
    </xf>
    <xf numFmtId="0" fontId="19" fillId="5" borderId="16" xfId="1" applyFont="1" applyFill="1" applyBorder="1" applyAlignment="1">
      <alignment horizontal="center"/>
    </xf>
    <xf numFmtId="0" fontId="26" fillId="0" borderId="2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19" fillId="5" borderId="2" xfId="1" applyFont="1" applyFill="1" applyBorder="1" applyAlignment="1">
      <alignment horizontal="center"/>
    </xf>
    <xf numFmtId="2" fontId="14" fillId="0" borderId="16" xfId="0" applyNumberFormat="1" applyFont="1" applyBorder="1" applyAlignment="1">
      <alignment horizontal="left"/>
    </xf>
    <xf numFmtId="0" fontId="42" fillId="0" borderId="0" xfId="0" applyFont="1" applyFill="1" applyBorder="1" applyAlignment="1">
      <alignment horizontal="center" wrapText="1"/>
    </xf>
    <xf numFmtId="0" fontId="43" fillId="0" borderId="32" xfId="0" applyFont="1" applyBorder="1" applyAlignment="1">
      <alignment horizontal="center"/>
    </xf>
    <xf numFmtId="0" fontId="43" fillId="0" borderId="33" xfId="0" applyFont="1" applyBorder="1" applyAlignment="1">
      <alignment horizontal="center"/>
    </xf>
    <xf numFmtId="0" fontId="19" fillId="0" borderId="2" xfId="1" applyFont="1" applyFill="1" applyBorder="1" applyAlignment="1">
      <alignment horizontal="center"/>
    </xf>
    <xf numFmtId="0" fontId="19" fillId="0" borderId="16" xfId="1" applyFont="1" applyFill="1" applyBorder="1" applyAlignment="1">
      <alignment horizontal="center"/>
    </xf>
    <xf numFmtId="0" fontId="19" fillId="15" borderId="2" xfId="1" applyFont="1" applyFill="1" applyBorder="1" applyAlignment="1">
      <alignment horizontal="center"/>
    </xf>
    <xf numFmtId="0" fontId="19" fillId="15" borderId="0" xfId="1" applyFont="1" applyFill="1" applyBorder="1" applyAlignment="1">
      <alignment horizontal="center"/>
    </xf>
    <xf numFmtId="0" fontId="19" fillId="15" borderId="16" xfId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21" fillId="6" borderId="9" xfId="0" applyFont="1" applyFill="1" applyBorder="1" applyAlignment="1">
      <alignment horizontal="center" wrapText="1"/>
    </xf>
    <xf numFmtId="0" fontId="21" fillId="6" borderId="3" xfId="0" applyFont="1" applyFill="1" applyBorder="1" applyAlignment="1">
      <alignment horizontal="center" wrapText="1"/>
    </xf>
    <xf numFmtId="2" fontId="14" fillId="0" borderId="4" xfId="0" applyNumberFormat="1" applyFont="1" applyBorder="1" applyAlignment="1">
      <alignment horizontal="left"/>
    </xf>
    <xf numFmtId="0" fontId="38" fillId="21" borderId="7" xfId="0" applyFont="1" applyFill="1" applyBorder="1" applyAlignment="1">
      <alignment horizontal="center" vertical="center"/>
    </xf>
    <xf numFmtId="0" fontId="38" fillId="21" borderId="8" xfId="0" applyFont="1" applyFill="1" applyBorder="1" applyAlignment="1">
      <alignment horizontal="center" vertical="center"/>
    </xf>
    <xf numFmtId="0" fontId="38" fillId="21" borderId="2" xfId="0" applyFont="1" applyFill="1" applyBorder="1" applyAlignment="1">
      <alignment horizontal="center" vertical="center"/>
    </xf>
    <xf numFmtId="0" fontId="38" fillId="21" borderId="0" xfId="0" applyFont="1" applyFill="1" applyBorder="1" applyAlignment="1">
      <alignment horizontal="center" vertical="center"/>
    </xf>
    <xf numFmtId="166" fontId="31" fillId="12" borderId="3" xfId="1" applyNumberFormat="1" applyFont="1" applyFill="1" applyBorder="1"/>
    <xf numFmtId="0" fontId="57" fillId="0" borderId="0" xfId="0" applyFont="1" applyFill="1" applyBorder="1"/>
    <xf numFmtId="0" fontId="68" fillId="0" borderId="0" xfId="0" applyFont="1" applyFill="1"/>
    <xf numFmtId="0" fontId="69" fillId="0" borderId="0" xfId="0" applyFont="1" applyFill="1" applyBorder="1"/>
    <xf numFmtId="0" fontId="69" fillId="0" borderId="0" xfId="0" applyFont="1" applyFill="1"/>
    <xf numFmtId="0" fontId="70" fillId="0" borderId="0" xfId="0" applyFont="1" applyFill="1"/>
    <xf numFmtId="0" fontId="25" fillId="3" borderId="0" xfId="0" applyFont="1" applyFill="1" applyBorder="1" applyAlignment="1">
      <alignment wrapText="1"/>
    </xf>
    <xf numFmtId="0" fontId="25" fillId="6" borderId="0" xfId="0" applyFont="1" applyFill="1" applyBorder="1" applyAlignment="1">
      <alignment wrapText="1"/>
    </xf>
    <xf numFmtId="0" fontId="32" fillId="0" borderId="35" xfId="0" applyFont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14" fillId="0" borderId="38" xfId="0" applyFont="1" applyBorder="1"/>
    <xf numFmtId="0" fontId="52" fillId="0" borderId="38" xfId="0" applyFont="1" applyBorder="1" applyAlignment="1">
      <alignment vertical="center"/>
    </xf>
    <xf numFmtId="0" fontId="52" fillId="26" borderId="38" xfId="0" applyFont="1" applyFill="1" applyBorder="1" applyAlignment="1">
      <alignment horizontal="center" vertical="center" wrapText="1"/>
    </xf>
    <xf numFmtId="0" fontId="52" fillId="26" borderId="0" xfId="0" applyFont="1" applyFill="1" applyBorder="1" applyAlignment="1">
      <alignment horizontal="center" vertical="center" wrapText="1"/>
    </xf>
    <xf numFmtId="0" fontId="54" fillId="27" borderId="42" xfId="0" applyFont="1" applyFill="1" applyBorder="1" applyAlignment="1">
      <alignment horizontal="center" vertical="center" wrapText="1"/>
    </xf>
    <xf numFmtId="0" fontId="53" fillId="27" borderId="0" xfId="0" applyFont="1" applyFill="1" applyBorder="1" applyAlignment="1">
      <alignment horizontal="center" vertical="center" wrapText="1"/>
    </xf>
    <xf numFmtId="0" fontId="54" fillId="0" borderId="42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3" fillId="0" borderId="38" xfId="0" applyFont="1" applyBorder="1" applyAlignment="1">
      <alignment vertical="center"/>
    </xf>
    <xf numFmtId="2" fontId="0" fillId="0" borderId="0" xfId="0" applyNumberFormat="1" applyBorder="1"/>
    <xf numFmtId="11" fontId="0" fillId="0" borderId="0" xfId="0" applyNumberFormat="1" applyBorder="1"/>
    <xf numFmtId="0" fontId="0" fillId="0" borderId="40" xfId="0" applyBorder="1"/>
    <xf numFmtId="0" fontId="0" fillId="0" borderId="1" xfId="0" applyBorder="1"/>
    <xf numFmtId="0" fontId="0" fillId="0" borderId="41" xfId="0" applyBorder="1"/>
    <xf numFmtId="0" fontId="0" fillId="0" borderId="35" xfId="0" applyBorder="1"/>
    <xf numFmtId="1" fontId="0" fillId="0" borderId="0" xfId="0" applyNumberFormat="1" applyBorder="1"/>
    <xf numFmtId="2" fontId="32" fillId="0" borderId="0" xfId="0" applyNumberFormat="1" applyFont="1" applyBorder="1"/>
    <xf numFmtId="0" fontId="32" fillId="0" borderId="0" xfId="0" applyFont="1" applyBorder="1"/>
    <xf numFmtId="0" fontId="14" fillId="0" borderId="39" xfId="0" applyFont="1" applyBorder="1"/>
    <xf numFmtId="0" fontId="0" fillId="0" borderId="39" xfId="0" applyFill="1" applyBorder="1"/>
    <xf numFmtId="0" fontId="0" fillId="0" borderId="36" xfId="0" applyFill="1" applyBorder="1"/>
    <xf numFmtId="166" fontId="0" fillId="0" borderId="37" xfId="0" applyNumberFormat="1" applyFill="1" applyBorder="1"/>
    <xf numFmtId="166" fontId="0" fillId="0" borderId="0" xfId="0" applyNumberFormat="1" applyBorder="1"/>
    <xf numFmtId="0" fontId="0" fillId="0" borderId="43" xfId="0" applyBorder="1"/>
    <xf numFmtId="0" fontId="0" fillId="0" borderId="44" xfId="0" applyBorder="1"/>
    <xf numFmtId="0" fontId="0" fillId="0" borderId="25" xfId="0" applyBorder="1"/>
    <xf numFmtId="0" fontId="0" fillId="0" borderId="24" xfId="0" applyBorder="1"/>
    <xf numFmtId="0" fontId="0" fillId="0" borderId="16" xfId="0" applyBorder="1"/>
    <xf numFmtId="0" fontId="14" fillId="0" borderId="24" xfId="0" applyFont="1" applyBorder="1"/>
    <xf numFmtId="0" fontId="0" fillId="0" borderId="16" xfId="0" applyFill="1" applyBorder="1"/>
    <xf numFmtId="166" fontId="0" fillId="0" borderId="24" xfId="0" applyNumberFormat="1" applyFill="1" applyBorder="1"/>
    <xf numFmtId="166" fontId="0" fillId="0" borderId="16" xfId="0" applyNumberFormat="1" applyFill="1" applyBorder="1"/>
    <xf numFmtId="0" fontId="0" fillId="0" borderId="18" xfId="0" applyBorder="1"/>
    <xf numFmtId="0" fontId="0" fillId="0" borderId="14" xfId="0" applyBorder="1"/>
    <xf numFmtId="0" fontId="0" fillId="0" borderId="19" xfId="0" applyBorder="1"/>
    <xf numFmtId="0" fontId="14" fillId="0" borderId="16" xfId="0" applyFont="1" applyBorder="1"/>
    <xf numFmtId="0" fontId="0" fillId="0" borderId="26" xfId="0" applyBorder="1"/>
    <xf numFmtId="166" fontId="0" fillId="0" borderId="35" xfId="0" applyNumberFormat="1" applyFill="1" applyBorder="1"/>
    <xf numFmtId="166" fontId="0" fillId="0" borderId="36" xfId="0" applyNumberFormat="1" applyFill="1" applyBorder="1"/>
    <xf numFmtId="0" fontId="0" fillId="0" borderId="18" xfId="0" applyFill="1" applyBorder="1"/>
    <xf numFmtId="0" fontId="0" fillId="0" borderId="14" xfId="0" applyFill="1" applyBorder="1"/>
    <xf numFmtId="165" fontId="0" fillId="0" borderId="0" xfId="0" applyNumberFormat="1" applyBorder="1"/>
    <xf numFmtId="0" fontId="32" fillId="0" borderId="38" xfId="0" applyFont="1" applyBorder="1"/>
    <xf numFmtId="0" fontId="32" fillId="0" borderId="36" xfId="0" applyFont="1" applyBorder="1"/>
    <xf numFmtId="0" fontId="32" fillId="0" borderId="39" xfId="0" applyFont="1" applyBorder="1"/>
    <xf numFmtId="2" fontId="32" fillId="0" borderId="0" xfId="0" applyNumberFormat="1" applyFont="1"/>
    <xf numFmtId="166" fontId="32" fillId="0" borderId="0" xfId="0" applyNumberFormat="1" applyFont="1" applyBorder="1"/>
    <xf numFmtId="0" fontId="32" fillId="0" borderId="43" xfId="0" applyFont="1" applyBorder="1"/>
    <xf numFmtId="0" fontId="32" fillId="0" borderId="24" xfId="0" applyFont="1" applyBorder="1"/>
    <xf numFmtId="0" fontId="32" fillId="0" borderId="44" xfId="0" applyFont="1" applyBorder="1"/>
    <xf numFmtId="1" fontId="32" fillId="0" borderId="0" xfId="0" applyNumberFormat="1" applyFont="1" applyBorder="1"/>
    <xf numFmtId="165" fontId="32" fillId="0" borderId="0" xfId="0" applyNumberFormat="1" applyFont="1" applyBorder="1"/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horizontal="left" vertical="center"/>
    </xf>
    <xf numFmtId="0" fontId="45" fillId="0" borderId="0" xfId="0" applyFont="1" applyFill="1" applyBorder="1"/>
    <xf numFmtId="0" fontId="37" fillId="0" borderId="0" xfId="0" applyFont="1" applyFill="1" applyBorder="1"/>
    <xf numFmtId="0" fontId="45" fillId="0" borderId="0" xfId="0" applyFont="1" applyFill="1" applyBorder="1" applyAlignment="1">
      <alignment horizontal="left"/>
    </xf>
    <xf numFmtId="0" fontId="49" fillId="0" borderId="0" xfId="0" applyFont="1" applyBorder="1"/>
    <xf numFmtId="0" fontId="50" fillId="0" borderId="0" xfId="0" applyFont="1" applyBorder="1"/>
    <xf numFmtId="166" fontId="36" fillId="0" borderId="0" xfId="0" applyNumberFormat="1" applyFont="1" applyFill="1" applyBorder="1" applyAlignment="1">
      <alignment horizontal="center"/>
    </xf>
    <xf numFmtId="168" fontId="50" fillId="0" borderId="0" xfId="3" applyNumberFormat="1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40" fontId="36" fillId="0" borderId="0" xfId="3" applyNumberFormat="1" applyFont="1" applyBorder="1" applyAlignment="1">
      <alignment horizontal="right"/>
    </xf>
    <xf numFmtId="173" fontId="36" fillId="0" borderId="0" xfId="3" applyNumberFormat="1" applyFont="1" applyBorder="1" applyAlignment="1">
      <alignment horizontal="right"/>
    </xf>
    <xf numFmtId="0" fontId="0" fillId="0" borderId="0" xfId="0" applyFill="1" applyAlignment="1">
      <alignment horizontal="center"/>
    </xf>
    <xf numFmtId="175" fontId="0" fillId="0" borderId="0" xfId="3" applyNumberFormat="1" applyFont="1" applyFill="1" applyAlignment="1">
      <alignment horizontal="right"/>
    </xf>
    <xf numFmtId="0" fontId="48" fillId="0" borderId="0" xfId="0" applyFont="1" applyFill="1"/>
    <xf numFmtId="174" fontId="0" fillId="0" borderId="0" xfId="3" applyNumberFormat="1" applyFont="1" applyFill="1" applyAlignment="1">
      <alignment horizontal="right"/>
    </xf>
    <xf numFmtId="39" fontId="0" fillId="0" borderId="0" xfId="3" applyNumberFormat="1" applyFont="1" applyFill="1" applyAlignment="1">
      <alignment horizontal="right"/>
    </xf>
    <xf numFmtId="172" fontId="0" fillId="0" borderId="0" xfId="0" applyNumberFormat="1" applyFill="1"/>
    <xf numFmtId="172" fontId="0" fillId="0" borderId="0" xfId="3" applyNumberFormat="1" applyFont="1" applyFill="1" applyAlignment="1">
      <alignment horizontal="right"/>
    </xf>
    <xf numFmtId="39" fontId="0" fillId="0" borderId="0" xfId="0" applyNumberFormat="1" applyFill="1"/>
    <xf numFmtId="0" fontId="65" fillId="0" borderId="0" xfId="0" applyFont="1" applyFill="1"/>
    <xf numFmtId="0" fontId="66" fillId="0" borderId="0" xfId="0" applyFont="1" applyFill="1"/>
    <xf numFmtId="0" fontId="67" fillId="0" borderId="0" xfId="0" applyFont="1" applyFill="1"/>
    <xf numFmtId="0" fontId="71" fillId="0" borderId="0" xfId="0" applyFont="1" applyFill="1"/>
    <xf numFmtId="0" fontId="72" fillId="0" borderId="0" xfId="0" applyFont="1" applyFill="1"/>
    <xf numFmtId="2" fontId="43" fillId="0" borderId="0" xfId="0" applyNumberFormat="1" applyFont="1" applyFill="1" applyBorder="1" applyAlignment="1">
      <alignment horizontal="center"/>
    </xf>
    <xf numFmtId="2" fontId="36" fillId="0" borderId="0" xfId="0" applyNumberFormat="1" applyFont="1" applyFill="1" applyBorder="1" applyAlignment="1">
      <alignment horizontal="center"/>
    </xf>
    <xf numFmtId="0" fontId="48" fillId="0" borderId="0" xfId="0" applyFont="1" applyFill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1" fillId="0" borderId="0" xfId="0" applyFont="1" applyFill="1" applyBorder="1"/>
    <xf numFmtId="0" fontId="49" fillId="0" borderId="0" xfId="0" applyFont="1" applyFill="1" applyBorder="1"/>
    <xf numFmtId="2" fontId="36" fillId="0" borderId="0" xfId="0" applyNumberFormat="1" applyFont="1" applyFill="1" applyBorder="1" applyAlignment="1"/>
    <xf numFmtId="0" fontId="55" fillId="0" borderId="0" xfId="0" applyFont="1" applyFill="1" applyBorder="1"/>
    <xf numFmtId="0" fontId="7" fillId="0" borderId="0" xfId="0" applyFont="1" applyBorder="1"/>
    <xf numFmtId="0" fontId="17" fillId="15" borderId="0" xfId="0" applyFont="1" applyFill="1" applyBorder="1"/>
    <xf numFmtId="2" fontId="17" fillId="15" borderId="0" xfId="0" applyNumberFormat="1" applyFont="1" applyFill="1" applyBorder="1"/>
    <xf numFmtId="2" fontId="20" fillId="0" borderId="0" xfId="1" applyNumberFormat="1" applyFont="1" applyFill="1" applyBorder="1"/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9" fillId="0" borderId="0" xfId="0" applyFont="1" applyFill="1" applyBorder="1"/>
    <xf numFmtId="0" fontId="13" fillId="0" borderId="0" xfId="2" applyFill="1" applyBorder="1"/>
    <xf numFmtId="2" fontId="14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left"/>
    </xf>
    <xf numFmtId="0" fontId="17" fillId="0" borderId="44" xfId="0" applyFont="1" applyFill="1" applyBorder="1"/>
    <xf numFmtId="0" fontId="26" fillId="0" borderId="2" xfId="0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wrapText="1"/>
    </xf>
    <xf numFmtId="0" fontId="19" fillId="0" borderId="4" xfId="1" applyFont="1" applyFill="1" applyBorder="1"/>
    <xf numFmtId="0" fontId="21" fillId="0" borderId="3" xfId="0" applyFont="1" applyFill="1" applyBorder="1" applyAlignment="1">
      <alignment horizontal="center" wrapText="1"/>
    </xf>
    <xf numFmtId="0" fontId="19" fillId="0" borderId="7" xfId="1" applyFont="1" applyFill="1" applyBorder="1"/>
    <xf numFmtId="0" fontId="17" fillId="0" borderId="8" xfId="0" applyFont="1" applyFill="1" applyBorder="1"/>
    <xf numFmtId="0" fontId="18" fillId="0" borderId="9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0" fontId="18" fillId="0" borderId="8" xfId="0" applyFont="1" applyFill="1" applyBorder="1" applyAlignment="1">
      <alignment horizontal="center"/>
    </xf>
    <xf numFmtId="0" fontId="18" fillId="0" borderId="8" xfId="0" applyNumberFormat="1" applyFont="1" applyFill="1" applyBorder="1" applyAlignment="1">
      <alignment horizontal="center" wrapText="1"/>
    </xf>
    <xf numFmtId="0" fontId="13" fillId="0" borderId="2" xfId="2" applyFill="1" applyBorder="1"/>
    <xf numFmtId="0" fontId="14" fillId="0" borderId="2" xfId="2" applyFont="1" applyFill="1" applyBorder="1"/>
    <xf numFmtId="1" fontId="33" fillId="0" borderId="5" xfId="1" applyNumberFormat="1" applyFont="1" applyFill="1" applyBorder="1"/>
    <xf numFmtId="0" fontId="17" fillId="0" borderId="6" xfId="0" applyFont="1" applyFill="1" applyBorder="1"/>
    <xf numFmtId="0" fontId="17" fillId="0" borderId="9" xfId="0" applyFont="1" applyFill="1" applyBorder="1"/>
    <xf numFmtId="165" fontId="33" fillId="0" borderId="3" xfId="0" applyNumberFormat="1" applyFont="1" applyFill="1" applyBorder="1"/>
    <xf numFmtId="0" fontId="9" fillId="0" borderId="2" xfId="0" applyFont="1" applyFill="1" applyBorder="1"/>
    <xf numFmtId="0" fontId="9" fillId="0" borderId="4" xfId="0" applyFont="1" applyFill="1" applyBorder="1" applyAlignment="1">
      <alignment horizontal="left"/>
    </xf>
    <xf numFmtId="0" fontId="9" fillId="0" borderId="5" xfId="0" applyNumberFormat="1" applyFont="1" applyFill="1" applyBorder="1" applyAlignment="1">
      <alignment horizontal="left"/>
    </xf>
    <xf numFmtId="2" fontId="14" fillId="0" borderId="5" xfId="0" applyNumberFormat="1" applyFont="1" applyFill="1" applyBorder="1"/>
    <xf numFmtId="0" fontId="14" fillId="0" borderId="5" xfId="0" applyNumberFormat="1" applyFont="1" applyFill="1" applyBorder="1" applyAlignment="1">
      <alignment horizontal="left"/>
    </xf>
    <xf numFmtId="2" fontId="34" fillId="0" borderId="5" xfId="0" applyNumberFormat="1" applyFont="1" applyFill="1" applyBorder="1"/>
    <xf numFmtId="0" fontId="33" fillId="0" borderId="6" xfId="0" applyFont="1" applyFill="1" applyBorder="1"/>
    <xf numFmtId="2" fontId="12" fillId="0" borderId="24" xfId="0" applyNumberFormat="1" applyFont="1" applyFill="1" applyBorder="1" applyAlignment="1">
      <alignment horizontal="center" wrapText="1"/>
    </xf>
    <xf numFmtId="2" fontId="17" fillId="0" borderId="44" xfId="0" applyNumberFormat="1" applyFont="1" applyFill="1" applyBorder="1"/>
    <xf numFmtId="2" fontId="24" fillId="0" borderId="24" xfId="1" applyNumberFormat="1" applyFont="1" applyFill="1" applyBorder="1"/>
    <xf numFmtId="0" fontId="18" fillId="0" borderId="24" xfId="0" applyFont="1" applyFill="1" applyBorder="1" applyAlignment="1">
      <alignment horizontal="center" wrapText="1"/>
    </xf>
    <xf numFmtId="2" fontId="19" fillId="0" borderId="24" xfId="1" applyNumberFormat="1" applyFont="1" applyFill="1" applyBorder="1"/>
    <xf numFmtId="2" fontId="19" fillId="0" borderId="46" xfId="1" applyNumberFormat="1" applyFont="1" applyFill="1" applyBorder="1"/>
    <xf numFmtId="0" fontId="26" fillId="0" borderId="12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14" fillId="0" borderId="24" xfId="0" applyFont="1" applyFill="1" applyBorder="1"/>
    <xf numFmtId="165" fontId="1" fillId="0" borderId="0" xfId="1" applyNumberFormat="1" applyFont="1" applyFill="1" applyBorder="1"/>
    <xf numFmtId="0" fontId="1" fillId="0" borderId="0" xfId="1" applyNumberFormat="1" applyFont="1" applyFill="1" applyBorder="1"/>
    <xf numFmtId="0" fontId="1" fillId="0" borderId="0" xfId="0" applyFont="1" applyFill="1" applyBorder="1"/>
    <xf numFmtId="2" fontId="1" fillId="0" borderId="0" xfId="1" applyNumberFormat="1" applyFont="1" applyFill="1" applyBorder="1"/>
    <xf numFmtId="0" fontId="1" fillId="0" borderId="24" xfId="0" applyFont="1" applyFill="1" applyBorder="1"/>
    <xf numFmtId="0" fontId="1" fillId="0" borderId="0" xfId="0" applyNumberFormat="1" applyFont="1" applyFill="1" applyBorder="1"/>
    <xf numFmtId="2" fontId="1" fillId="0" borderId="24" xfId="1" applyNumberFormat="1" applyFont="1" applyFill="1" applyBorder="1"/>
    <xf numFmtId="1" fontId="1" fillId="0" borderId="0" xfId="1" applyNumberFormat="1" applyFont="1" applyFill="1" applyBorder="1"/>
    <xf numFmtId="2" fontId="1" fillId="0" borderId="0" xfId="0" applyNumberFormat="1" applyFont="1" applyFill="1" applyBorder="1"/>
    <xf numFmtId="2" fontId="1" fillId="0" borderId="46" xfId="1" applyNumberFormat="1" applyFont="1" applyFill="1" applyBorder="1"/>
    <xf numFmtId="1" fontId="1" fillId="0" borderId="5" xfId="1" applyNumberFormat="1" applyFont="1" applyFill="1" applyBorder="1"/>
    <xf numFmtId="2" fontId="1" fillId="0" borderId="5" xfId="1" applyNumberFormat="1" applyFont="1" applyFill="1" applyBorder="1"/>
    <xf numFmtId="0" fontId="1" fillId="0" borderId="5" xfId="1" applyNumberFormat="1" applyFont="1" applyFill="1" applyBorder="1"/>
    <xf numFmtId="0" fontId="1" fillId="0" borderId="5" xfId="0" applyFont="1" applyFill="1" applyBorder="1"/>
    <xf numFmtId="2" fontId="1" fillId="0" borderId="5" xfId="0" applyNumberFormat="1" applyFont="1" applyFill="1" applyBorder="1"/>
    <xf numFmtId="0" fontId="1" fillId="0" borderId="8" xfId="0" applyFont="1" applyFill="1" applyBorder="1"/>
    <xf numFmtId="0" fontId="18" fillId="0" borderId="17" xfId="0" applyFont="1" applyFill="1" applyBorder="1" applyAlignment="1">
      <alignment horizontal="center" wrapText="1"/>
    </xf>
    <xf numFmtId="0" fontId="18" fillId="0" borderId="16" xfId="0" applyFont="1" applyFill="1" applyBorder="1" applyAlignment="1">
      <alignment horizontal="center" wrapText="1"/>
    </xf>
    <xf numFmtId="2" fontId="12" fillId="0" borderId="3" xfId="1" applyNumberFormat="1" applyFont="1" applyFill="1" applyBorder="1"/>
    <xf numFmtId="0" fontId="18" fillId="0" borderId="22" xfId="0" applyFont="1" applyFill="1" applyBorder="1" applyAlignment="1">
      <alignment horizontal="center" wrapText="1"/>
    </xf>
    <xf numFmtId="0" fontId="18" fillId="0" borderId="19" xfId="0" applyFont="1" applyFill="1" applyBorder="1" applyAlignment="1">
      <alignment horizontal="center" wrapText="1"/>
    </xf>
    <xf numFmtId="2" fontId="34" fillId="0" borderId="3" xfId="0" applyNumberFormat="1" applyFont="1" applyFill="1" applyBorder="1"/>
    <xf numFmtId="2" fontId="14" fillId="0" borderId="2" xfId="0" applyNumberFormat="1" applyFont="1" applyFill="1" applyBorder="1" applyAlignment="1">
      <alignment horizontal="left"/>
    </xf>
    <xf numFmtId="0" fontId="34" fillId="0" borderId="3" xfId="0" applyFont="1" applyFill="1" applyBorder="1"/>
    <xf numFmtId="2" fontId="34" fillId="0" borderId="6" xfId="0" applyNumberFormat="1" applyFont="1" applyFill="1" applyBorder="1"/>
    <xf numFmtId="1" fontId="12" fillId="0" borderId="0" xfId="1" applyNumberFormat="1" applyFont="1" applyFill="1" applyBorder="1"/>
    <xf numFmtId="2" fontId="22" fillId="0" borderId="0" xfId="0" applyNumberFormat="1" applyFont="1" applyFill="1" applyBorder="1"/>
    <xf numFmtId="0" fontId="4" fillId="0" borderId="2" xfId="2" applyFont="1" applyFill="1" applyBorder="1"/>
    <xf numFmtId="0" fontId="18" fillId="0" borderId="3" xfId="0" applyFont="1" applyFill="1" applyBorder="1" applyAlignment="1">
      <alignment horizontal="center"/>
    </xf>
    <xf numFmtId="0" fontId="4" fillId="0" borderId="2" xfId="0" applyFont="1" applyFill="1" applyBorder="1"/>
    <xf numFmtId="0" fontId="1" fillId="0" borderId="3" xfId="0" applyFont="1" applyFill="1" applyBorder="1"/>
    <xf numFmtId="0" fontId="26" fillId="0" borderId="2" xfId="0" applyFont="1" applyFill="1" applyBorder="1" applyAlignment="1">
      <alignment horizontal="center" vertical="center" wrapText="1"/>
    </xf>
    <xf numFmtId="165" fontId="1" fillId="0" borderId="3" xfId="1" applyNumberFormat="1" applyFont="1" applyFill="1" applyBorder="1"/>
    <xf numFmtId="0" fontId="1" fillId="0" borderId="2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Fill="1" applyBorder="1"/>
    <xf numFmtId="165" fontId="1" fillId="0" borderId="3" xfId="0" applyNumberFormat="1" applyFont="1" applyFill="1" applyBorder="1"/>
    <xf numFmtId="0" fontId="1" fillId="0" borderId="3" xfId="0" applyNumberFormat="1" applyFont="1" applyFill="1" applyBorder="1"/>
    <xf numFmtId="0" fontId="1" fillId="0" borderId="2" xfId="0" applyFont="1" applyFill="1" applyBorder="1"/>
    <xf numFmtId="0" fontId="1" fillId="0" borderId="3" xfId="1" applyNumberFormat="1" applyFont="1" applyFill="1" applyBorder="1"/>
    <xf numFmtId="165" fontId="1" fillId="0" borderId="0" xfId="0" applyNumberFormat="1" applyFont="1" applyFill="1" applyBorder="1"/>
    <xf numFmtId="2" fontId="1" fillId="0" borderId="3" xfId="0" applyNumberFormat="1" applyFont="1" applyFill="1" applyBorder="1"/>
    <xf numFmtId="1" fontId="1" fillId="0" borderId="3" xfId="0" applyNumberFormat="1" applyFont="1" applyFill="1" applyBorder="1"/>
    <xf numFmtId="9" fontId="1" fillId="0" borderId="0" xfId="0" applyNumberFormat="1" applyFont="1" applyFill="1" applyBorder="1"/>
    <xf numFmtId="0" fontId="1" fillId="0" borderId="0" xfId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6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6" xfId="1" applyNumberFormat="1" applyFont="1" applyFill="1" applyBorder="1"/>
    <xf numFmtId="2" fontId="17" fillId="0" borderId="3" xfId="0" applyNumberFormat="1" applyFont="1" applyFill="1" applyBorder="1"/>
    <xf numFmtId="2" fontId="1" fillId="0" borderId="24" xfId="0" applyNumberFormat="1" applyFont="1" applyFill="1" applyBorder="1"/>
    <xf numFmtId="164" fontId="1" fillId="0" borderId="24" xfId="0" applyNumberFormat="1" applyFont="1" applyFill="1" applyBorder="1"/>
    <xf numFmtId="9" fontId="1" fillId="0" borderId="24" xfId="0" applyNumberFormat="1" applyFont="1" applyFill="1" applyBorder="1"/>
    <xf numFmtId="0" fontId="1" fillId="0" borderId="3" xfId="1" applyFont="1" applyFill="1" applyBorder="1" applyAlignment="1">
      <alignment horizontal="center"/>
    </xf>
    <xf numFmtId="2" fontId="14" fillId="0" borderId="46" xfId="0" applyNumberFormat="1" applyFont="1" applyFill="1" applyBorder="1"/>
    <xf numFmtId="2" fontId="0" fillId="0" borderId="4" xfId="0" applyNumberFormat="1" applyFill="1" applyBorder="1" applyAlignment="1">
      <alignment horizontal="left"/>
    </xf>
    <xf numFmtId="2" fontId="0" fillId="0" borderId="5" xfId="0" applyNumberFormat="1" applyFill="1" applyBorder="1" applyAlignment="1">
      <alignment horizontal="left"/>
    </xf>
    <xf numFmtId="1" fontId="18" fillId="0" borderId="0" xfId="1" applyNumberFormat="1" applyFont="1" applyFill="1" applyBorder="1"/>
    <xf numFmtId="0" fontId="26" fillId="0" borderId="7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1" fontId="19" fillId="0" borderId="2" xfId="1" applyNumberFormat="1" applyFont="1" applyFill="1" applyBorder="1" applyAlignment="1">
      <alignment horizontal="center"/>
    </xf>
    <xf numFmtId="0" fontId="12" fillId="0" borderId="2" xfId="0" applyFont="1" applyFill="1" applyBorder="1"/>
    <xf numFmtId="0" fontId="18" fillId="0" borderId="12" xfId="0" applyFont="1" applyFill="1" applyBorder="1" applyAlignment="1">
      <alignment horizontal="center" wrapText="1"/>
    </xf>
    <xf numFmtId="0" fontId="18" fillId="0" borderId="10" xfId="0" applyFont="1" applyFill="1" applyBorder="1" applyAlignment="1">
      <alignment horizontal="center" wrapText="1"/>
    </xf>
    <xf numFmtId="1" fontId="19" fillId="0" borderId="0" xfId="1" applyNumberFormat="1" applyFont="1" applyFill="1" applyBorder="1"/>
    <xf numFmtId="11" fontId="10" fillId="0" borderId="0" xfId="0" applyNumberFormat="1" applyFont="1" applyFill="1" applyBorder="1" applyAlignment="1">
      <alignment horizontal="center" wrapText="1"/>
    </xf>
    <xf numFmtId="11" fontId="19" fillId="0" borderId="0" xfId="1" applyNumberFormat="1" applyFont="1" applyFill="1" applyBorder="1"/>
    <xf numFmtId="11" fontId="19" fillId="0" borderId="3" xfId="1" applyNumberFormat="1" applyFont="1" applyFill="1" applyBorder="1"/>
    <xf numFmtId="1" fontId="19" fillId="0" borderId="0" xfId="1" applyNumberFormat="1" applyFont="1" applyFill="1" applyBorder="1" applyAlignment="1">
      <alignment horizontal="center"/>
    </xf>
    <xf numFmtId="0" fontId="19" fillId="0" borderId="16" xfId="0" applyFont="1" applyFill="1" applyBorder="1"/>
    <xf numFmtId="0" fontId="12" fillId="0" borderId="0" xfId="0" applyFont="1" applyBorder="1"/>
    <xf numFmtId="1" fontId="19" fillId="0" borderId="0" xfId="0" applyNumberFormat="1" applyFont="1" applyBorder="1"/>
    <xf numFmtId="166" fontId="19" fillId="0" borderId="0" xfId="0" applyNumberFormat="1" applyFont="1" applyBorder="1"/>
    <xf numFmtId="2" fontId="12" fillId="0" borderId="0" xfId="0" applyNumberFormat="1" applyFont="1" applyBorder="1"/>
    <xf numFmtId="9" fontId="12" fillId="0" borderId="0" xfId="6" applyFont="1" applyBorder="1"/>
    <xf numFmtId="166" fontId="18" fillId="0" borderId="0" xfId="0" applyNumberFormat="1" applyFont="1" applyFill="1" applyBorder="1" applyAlignment="1">
      <alignment horizontal="center" wrapText="1"/>
    </xf>
    <xf numFmtId="1" fontId="12" fillId="0" borderId="0" xfId="0" applyNumberFormat="1" applyFont="1" applyFill="1" applyBorder="1" applyAlignment="1">
      <alignment horizontal="center" wrapText="1"/>
    </xf>
    <xf numFmtId="11" fontId="12" fillId="0" borderId="0" xfId="0" applyNumberFormat="1" applyFont="1" applyFill="1" applyBorder="1" applyAlignment="1">
      <alignment horizontal="center" wrapText="1"/>
    </xf>
    <xf numFmtId="0" fontId="15" fillId="0" borderId="0" xfId="0" applyFont="1" applyFill="1" applyBorder="1"/>
    <xf numFmtId="9" fontId="19" fillId="0" borderId="0" xfId="1" applyNumberFormat="1" applyFont="1" applyFill="1" applyBorder="1"/>
    <xf numFmtId="165" fontId="19" fillId="0" borderId="0" xfId="1" applyNumberFormat="1" applyFont="1" applyFill="1" applyBorder="1"/>
    <xf numFmtId="0" fontId="7" fillId="0" borderId="2" xfId="0" applyFont="1" applyBorder="1"/>
    <xf numFmtId="0" fontId="1" fillId="0" borderId="0" xfId="0" applyFont="1" applyBorder="1"/>
    <xf numFmtId="0" fontId="7" fillId="0" borderId="3" xfId="0" applyFont="1" applyBorder="1"/>
    <xf numFmtId="0" fontId="29" fillId="12" borderId="8" xfId="0" applyFont="1" applyFill="1" applyBorder="1" applyAlignment="1">
      <alignment horizontal="center" wrapText="1"/>
    </xf>
    <xf numFmtId="0" fontId="29" fillId="24" borderId="8" xfId="0" applyFont="1" applyFill="1" applyBorder="1" applyAlignment="1">
      <alignment horizontal="center" wrapText="1"/>
    </xf>
    <xf numFmtId="0" fontId="29" fillId="25" borderId="8" xfId="0" applyFont="1" applyFill="1" applyBorder="1" applyAlignment="1">
      <alignment horizontal="center" wrapText="1"/>
    </xf>
    <xf numFmtId="0" fontId="29" fillId="11" borderId="9" xfId="0" applyFont="1" applyFill="1" applyBorder="1" applyAlignment="1">
      <alignment horizontal="center" wrapText="1"/>
    </xf>
    <xf numFmtId="0" fontId="29" fillId="12" borderId="0" xfId="0" applyFont="1" applyFill="1" applyBorder="1" applyAlignment="1">
      <alignment horizontal="center" wrapText="1"/>
    </xf>
    <xf numFmtId="0" fontId="29" fillId="24" borderId="0" xfId="0" applyFont="1" applyFill="1" applyBorder="1" applyAlignment="1">
      <alignment horizontal="center" wrapText="1"/>
    </xf>
    <xf numFmtId="0" fontId="29" fillId="25" borderId="0" xfId="0" applyFont="1" applyFill="1" applyBorder="1" applyAlignment="1">
      <alignment horizontal="center" wrapText="1"/>
    </xf>
    <xf numFmtId="0" fontId="29" fillId="11" borderId="3" xfId="0" applyFont="1" applyFill="1" applyBorder="1" applyAlignment="1">
      <alignment horizontal="center" wrapText="1"/>
    </xf>
    <xf numFmtId="0" fontId="21" fillId="10" borderId="0" xfId="0" applyFont="1" applyFill="1" applyBorder="1" applyAlignment="1">
      <alignment horizontal="center" wrapText="1"/>
    </xf>
    <xf numFmtId="1" fontId="31" fillId="12" borderId="0" xfId="1" applyNumberFormat="1" applyFont="1" applyFill="1" applyBorder="1"/>
    <xf numFmtId="1" fontId="31" fillId="24" borderId="0" xfId="1" applyNumberFormat="1" applyFont="1" applyFill="1" applyBorder="1"/>
    <xf numFmtId="1" fontId="31" fillId="25" borderId="0" xfId="1" applyNumberFormat="1" applyFont="1" applyFill="1" applyBorder="1"/>
    <xf numFmtId="1" fontId="31" fillId="11" borderId="3" xfId="0" applyNumberFormat="1" applyFont="1" applyFill="1" applyBorder="1"/>
    <xf numFmtId="1" fontId="17" fillId="10" borderId="5" xfId="0" applyNumberFormat="1" applyFont="1" applyFill="1" applyBorder="1"/>
    <xf numFmtId="1" fontId="31" fillId="12" borderId="5" xfId="1" applyNumberFormat="1" applyFont="1" applyFill="1" applyBorder="1"/>
    <xf numFmtId="1" fontId="31" fillId="24" borderId="5" xfId="1" applyNumberFormat="1" applyFont="1" applyFill="1" applyBorder="1"/>
    <xf numFmtId="1" fontId="31" fillId="25" borderId="5" xfId="1" applyNumberFormat="1" applyFont="1" applyFill="1" applyBorder="1"/>
    <xf numFmtId="1" fontId="24" fillId="4" borderId="5" xfId="0" applyNumberFormat="1" applyFont="1" applyFill="1" applyBorder="1"/>
    <xf numFmtId="1" fontId="31" fillId="11" borderId="6" xfId="0" applyNumberFormat="1" applyFont="1" applyFill="1" applyBorder="1"/>
    <xf numFmtId="0" fontId="10" fillId="0" borderId="4" xfId="0" applyFont="1" applyFill="1" applyBorder="1"/>
    <xf numFmtId="0" fontId="18" fillId="0" borderId="8" xfId="0" applyFont="1" applyBorder="1"/>
    <xf numFmtId="166" fontId="19" fillId="0" borderId="3" xfId="1" applyNumberFormat="1" applyFont="1" applyFill="1" applyBorder="1"/>
    <xf numFmtId="0" fontId="21" fillId="0" borderId="9" xfId="0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center" wrapText="1"/>
    </xf>
    <xf numFmtId="9" fontId="25" fillId="0" borderId="3" xfId="6" applyFont="1" applyFill="1" applyBorder="1" applyAlignment="1">
      <alignment horizontal="center" wrapText="1"/>
    </xf>
    <xf numFmtId="165" fontId="19" fillId="0" borderId="3" xfId="1" applyNumberFormat="1" applyFont="1" applyFill="1" applyBorder="1"/>
    <xf numFmtId="11" fontId="10" fillId="0" borderId="24" xfId="0" applyNumberFormat="1" applyFont="1" applyFill="1" applyBorder="1" applyAlignment="1">
      <alignment horizontal="center" wrapText="1"/>
    </xf>
    <xf numFmtId="166" fontId="18" fillId="0" borderId="24" xfId="0" applyNumberFormat="1" applyFont="1" applyFill="1" applyBorder="1" applyAlignment="1">
      <alignment horizontal="center" wrapText="1"/>
    </xf>
    <xf numFmtId="1" fontId="21" fillId="14" borderId="24" xfId="0" applyNumberFormat="1" applyFont="1" applyFill="1" applyBorder="1" applyAlignment="1">
      <alignment horizontal="center" wrapText="1"/>
    </xf>
    <xf numFmtId="0" fontId="17" fillId="0" borderId="24" xfId="0" applyFont="1" applyFill="1" applyBorder="1"/>
    <xf numFmtId="1" fontId="31" fillId="9" borderId="43" xfId="0" applyNumberFormat="1" applyFont="1" applyFill="1" applyBorder="1"/>
    <xf numFmtId="1" fontId="24" fillId="8" borderId="44" xfId="0" applyNumberFormat="1" applyFont="1" applyFill="1" applyBorder="1"/>
    <xf numFmtId="1" fontId="17" fillId="10" borderId="44" xfId="0" applyNumberFormat="1" applyFont="1" applyFill="1" applyBorder="1"/>
    <xf numFmtId="1" fontId="31" fillId="12" borderId="44" xfId="1" applyNumberFormat="1" applyFont="1" applyFill="1" applyBorder="1"/>
    <xf numFmtId="1" fontId="31" fillId="24" borderId="44" xfId="1" applyNumberFormat="1" applyFont="1" applyFill="1" applyBorder="1"/>
    <xf numFmtId="1" fontId="31" fillId="25" borderId="44" xfId="1" applyNumberFormat="1" applyFont="1" applyFill="1" applyBorder="1"/>
    <xf numFmtId="1" fontId="24" fillId="4" borderId="44" xfId="0" applyNumberFormat="1" applyFont="1" applyFill="1" applyBorder="1"/>
    <xf numFmtId="1" fontId="31" fillId="11" borderId="45" xfId="0" applyNumberFormat="1" applyFont="1" applyFill="1" applyBorder="1"/>
    <xf numFmtId="1" fontId="31" fillId="9" borderId="24" xfId="0" applyNumberFormat="1" applyFont="1" applyFill="1" applyBorder="1"/>
    <xf numFmtId="1" fontId="31" fillId="9" borderId="46" xfId="0" applyNumberFormat="1" applyFont="1" applyFill="1" applyBorder="1"/>
    <xf numFmtId="166" fontId="1" fillId="0" borderId="24" xfId="0" applyNumberFormat="1" applyFont="1" applyFill="1" applyBorder="1"/>
    <xf numFmtId="166" fontId="1" fillId="0" borderId="0" xfId="0" applyNumberFormat="1" applyFont="1" applyFill="1" applyBorder="1"/>
    <xf numFmtId="1" fontId="1" fillId="0" borderId="0" xfId="0" applyNumberFormat="1" applyFont="1" applyFill="1" applyBorder="1"/>
    <xf numFmtId="0" fontId="1" fillId="0" borderId="46" xfId="0" applyFont="1" applyFill="1" applyBorder="1"/>
    <xf numFmtId="2" fontId="1" fillId="0" borderId="6" xfId="0" applyNumberFormat="1" applyFont="1" applyFill="1" applyBorder="1"/>
    <xf numFmtId="165" fontId="17" fillId="0" borderId="3" xfId="0" applyNumberFormat="1" applyFont="1" applyFill="1" applyBorder="1"/>
    <xf numFmtId="2" fontId="18" fillId="0" borderId="0" xfId="0" applyNumberFormat="1" applyFont="1" applyFill="1" applyBorder="1" applyAlignment="1">
      <alignment horizontal="center" wrapText="1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wrapText="1"/>
    </xf>
    <xf numFmtId="11" fontId="1" fillId="0" borderId="0" xfId="1" applyNumberFormat="1" applyFont="1" applyFill="1" applyBorder="1"/>
    <xf numFmtId="9" fontId="1" fillId="0" borderId="0" xfId="6" applyFont="1" applyFill="1" applyBorder="1"/>
    <xf numFmtId="2" fontId="73" fillId="0" borderId="0" xfId="1" applyNumberFormat="1" applyFont="1" applyFill="1" applyBorder="1"/>
    <xf numFmtId="10" fontId="1" fillId="0" borderId="0" xfId="1" applyNumberFormat="1" applyFont="1" applyFill="1" applyBorder="1"/>
    <xf numFmtId="165" fontId="14" fillId="0" borderId="0" xfId="0" applyNumberFormat="1" applyFont="1" applyFill="1" applyBorder="1"/>
    <xf numFmtId="0" fontId="1" fillId="0" borderId="2" xfId="1" applyFont="1" applyFill="1" applyBorder="1"/>
    <xf numFmtId="0" fontId="1" fillId="0" borderId="2" xfId="2" applyFont="1" applyFill="1" applyBorder="1"/>
    <xf numFmtId="1" fontId="1" fillId="0" borderId="3" xfId="1" applyNumberFormat="1" applyFont="1" applyFill="1" applyBorder="1"/>
    <xf numFmtId="0" fontId="1" fillId="0" borderId="4" xfId="1" applyFont="1" applyFill="1" applyBorder="1"/>
    <xf numFmtId="2" fontId="14" fillId="0" borderId="3" xfId="0" applyNumberFormat="1" applyFont="1" applyFill="1" applyBorder="1"/>
    <xf numFmtId="2" fontId="14" fillId="0" borderId="4" xfId="0" applyNumberFormat="1" applyFont="1" applyFill="1" applyBorder="1" applyAlignment="1">
      <alignment horizontal="left"/>
    </xf>
    <xf numFmtId="2" fontId="14" fillId="0" borderId="5" xfId="0" applyNumberFormat="1" applyFont="1" applyFill="1" applyBorder="1" applyAlignment="1">
      <alignment horizontal="left"/>
    </xf>
    <xf numFmtId="2" fontId="14" fillId="0" borderId="6" xfId="0" applyNumberFormat="1" applyFont="1" applyFill="1" applyBorder="1"/>
    <xf numFmtId="0" fontId="1" fillId="0" borderId="9" xfId="0" applyFont="1" applyFill="1" applyBorder="1"/>
    <xf numFmtId="1" fontId="1" fillId="0" borderId="5" xfId="0" applyNumberFormat="1" applyFont="1" applyFill="1" applyBorder="1"/>
    <xf numFmtId="2" fontId="1" fillId="0" borderId="3" xfId="1" applyNumberFormat="1" applyFont="1" applyFill="1" applyBorder="1"/>
    <xf numFmtId="2" fontId="1" fillId="0" borderId="5" xfId="0" applyNumberFormat="1" applyFont="1" applyFill="1" applyBorder="1" applyAlignment="1">
      <alignment horizontal="center" wrapText="1"/>
    </xf>
    <xf numFmtId="2" fontId="1" fillId="0" borderId="6" xfId="1" applyNumberFormat="1" applyFont="1" applyFill="1" applyBorder="1"/>
    <xf numFmtId="9" fontId="1" fillId="0" borderId="3" xfId="6" applyFont="1" applyFill="1" applyBorder="1"/>
    <xf numFmtId="2" fontId="1" fillId="0" borderId="3" xfId="0" applyNumberFormat="1" applyFont="1" applyFill="1" applyBorder="1" applyAlignment="1">
      <alignment horizontal="center" wrapText="1"/>
    </xf>
    <xf numFmtId="2" fontId="1" fillId="0" borderId="24" xfId="0" applyNumberFormat="1" applyFont="1" applyFill="1" applyBorder="1" applyAlignment="1">
      <alignment horizontal="center" wrapText="1"/>
    </xf>
    <xf numFmtId="11" fontId="1" fillId="0" borderId="24" xfId="1" applyNumberFormat="1" applyFont="1" applyFill="1" applyBorder="1"/>
    <xf numFmtId="0" fontId="26" fillId="0" borderId="7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26" fillId="0" borderId="16" xfId="0" applyFont="1" applyFill="1" applyBorder="1" applyAlignment="1">
      <alignment vertical="center" wrapText="1"/>
    </xf>
    <xf numFmtId="0" fontId="26" fillId="0" borderId="22" xfId="0" applyFont="1" applyFill="1" applyBorder="1" applyAlignment="1">
      <alignment vertical="center" wrapText="1"/>
    </xf>
    <xf numFmtId="0" fontId="26" fillId="0" borderId="19" xfId="0" applyFont="1" applyFill="1" applyBorder="1" applyAlignment="1">
      <alignment vertical="center" wrapText="1"/>
    </xf>
    <xf numFmtId="2" fontId="14" fillId="0" borderId="43" xfId="0" applyNumberFormat="1" applyFont="1" applyFill="1" applyBorder="1"/>
    <xf numFmtId="2" fontId="14" fillId="0" borderId="44" xfId="0" applyNumberFormat="1" applyFont="1" applyFill="1" applyBorder="1"/>
    <xf numFmtId="2" fontId="14" fillId="0" borderId="45" xfId="0" applyNumberFormat="1" applyFont="1" applyFill="1" applyBorder="1"/>
    <xf numFmtId="2" fontId="14" fillId="0" borderId="24" xfId="0" applyNumberFormat="1" applyFont="1" applyFill="1" applyBorder="1"/>
    <xf numFmtId="9" fontId="14" fillId="0" borderId="0" xfId="6" applyFont="1" applyFill="1" applyBorder="1"/>
    <xf numFmtId="1" fontId="1" fillId="15" borderId="0" xfId="1" applyNumberFormat="1" applyFont="1" applyFill="1" applyBorder="1"/>
    <xf numFmtId="2" fontId="1" fillId="15" borderId="0" xfId="1" applyNumberFormat="1" applyFont="1" applyFill="1" applyBorder="1"/>
    <xf numFmtId="0" fontId="0" fillId="0" borderId="9" xfId="0" applyBorder="1"/>
    <xf numFmtId="1" fontId="14" fillId="0" borderId="3" xfId="0" applyNumberFormat="1" applyFont="1" applyFill="1" applyBorder="1"/>
    <xf numFmtId="1" fontId="14" fillId="0" borderId="6" xfId="0" applyNumberFormat="1" applyFont="1" applyFill="1" applyBorder="1"/>
    <xf numFmtId="0" fontId="14" fillId="0" borderId="8" xfId="0" applyFont="1" applyBorder="1"/>
    <xf numFmtId="2" fontId="8" fillId="0" borderId="3" xfId="1" applyNumberFormat="1" applyFont="1" applyFill="1" applyBorder="1"/>
    <xf numFmtId="1" fontId="0" fillId="0" borderId="5" xfId="0" applyNumberFormat="1" applyBorder="1"/>
    <xf numFmtId="9" fontId="14" fillId="0" borderId="3" xfId="6" applyFont="1" applyFill="1" applyBorder="1"/>
    <xf numFmtId="9" fontId="14" fillId="0" borderId="5" xfId="6" applyFont="1" applyFill="1" applyBorder="1"/>
    <xf numFmtId="9" fontId="14" fillId="0" borderId="6" xfId="6" applyFont="1" applyFill="1" applyBorder="1"/>
    <xf numFmtId="1" fontId="19" fillId="0" borderId="43" xfId="0" applyNumberFormat="1" applyFont="1" applyFill="1" applyBorder="1"/>
    <xf numFmtId="1" fontId="19" fillId="0" borderId="44" xfId="0" applyNumberFormat="1" applyFont="1" applyFill="1" applyBorder="1"/>
    <xf numFmtId="2" fontId="19" fillId="0" borderId="44" xfId="0" applyNumberFormat="1" applyFont="1" applyFill="1" applyBorder="1"/>
    <xf numFmtId="1" fontId="19" fillId="0" borderId="45" xfId="0" applyNumberFormat="1" applyFont="1" applyFill="1" applyBorder="1"/>
    <xf numFmtId="9" fontId="14" fillId="0" borderId="24" xfId="6" applyFont="1" applyFill="1" applyBorder="1"/>
    <xf numFmtId="9" fontId="14" fillId="0" borderId="46" xfId="6" applyFont="1" applyFill="1" applyBorder="1"/>
    <xf numFmtId="1" fontId="14" fillId="0" borderId="43" xfId="0" applyNumberFormat="1" applyFont="1" applyFill="1" applyBorder="1"/>
    <xf numFmtId="1" fontId="14" fillId="0" borderId="44" xfId="0" applyNumberFormat="1" applyFont="1" applyFill="1" applyBorder="1"/>
    <xf numFmtId="166" fontId="14" fillId="0" borderId="44" xfId="0" applyNumberFormat="1" applyFont="1" applyFill="1" applyBorder="1"/>
    <xf numFmtId="1" fontId="8" fillId="0" borderId="44" xfId="1" applyNumberFormat="1" applyFont="1" applyFill="1" applyBorder="1"/>
    <xf numFmtId="2" fontId="8" fillId="0" borderId="44" xfId="0" applyNumberFormat="1" applyFont="1" applyFill="1" applyBorder="1"/>
    <xf numFmtId="165" fontId="8" fillId="0" borderId="44" xfId="1" applyNumberFormat="1" applyFont="1" applyFill="1" applyBorder="1"/>
    <xf numFmtId="2" fontId="8" fillId="0" borderId="45" xfId="1" applyNumberFormat="1" applyFont="1" applyFill="1" applyBorder="1"/>
    <xf numFmtId="1" fontId="14" fillId="0" borderId="24" xfId="0" applyNumberFormat="1" applyFont="1" applyFill="1" applyBorder="1"/>
    <xf numFmtId="1" fontId="14" fillId="0" borderId="46" xfId="0" applyNumberFormat="1" applyFont="1" applyFill="1" applyBorder="1"/>
    <xf numFmtId="2" fontId="8" fillId="0" borderId="44" xfId="1" applyNumberFormat="1" applyFont="1" applyFill="1" applyBorder="1"/>
    <xf numFmtId="1" fontId="14" fillId="0" borderId="45" xfId="0" applyNumberFormat="1" applyFont="1" applyFill="1" applyBorder="1"/>
    <xf numFmtId="1" fontId="8" fillId="0" borderId="24" xfId="1" applyNumberFormat="1" applyFont="1" applyFill="1" applyBorder="1"/>
    <xf numFmtId="1" fontId="8" fillId="0" borderId="46" xfId="1" applyNumberFormat="1" applyFont="1" applyFill="1" applyBorder="1"/>
    <xf numFmtId="0" fontId="14" fillId="0" borderId="43" xfId="0" applyFont="1" applyFill="1" applyBorder="1"/>
    <xf numFmtId="0" fontId="8" fillId="0" borderId="44" xfId="0" applyFont="1" applyFill="1" applyBorder="1"/>
    <xf numFmtId="166" fontId="8" fillId="0" borderId="44" xfId="1" applyNumberFormat="1" applyFont="1" applyFill="1" applyBorder="1"/>
    <xf numFmtId="0" fontId="8" fillId="0" borderId="24" xfId="1" applyFont="1" applyFill="1" applyBorder="1"/>
    <xf numFmtId="1" fontId="3" fillId="0" borderId="46" xfId="1" applyNumberFormat="1" applyFont="1" applyFill="1" applyBorder="1"/>
    <xf numFmtId="0" fontId="0" fillId="0" borderId="12" xfId="0" applyBorder="1"/>
    <xf numFmtId="0" fontId="18" fillId="0" borderId="21" xfId="0" applyFont="1" applyFill="1" applyBorder="1" applyAlignment="1">
      <alignment horizontal="center" wrapText="1"/>
    </xf>
    <xf numFmtId="167" fontId="33" fillId="0" borderId="5" xfId="1" applyNumberFormat="1" applyFont="1" applyFill="1" applyBorder="1"/>
    <xf numFmtId="9" fontId="33" fillId="0" borderId="6" xfId="1" applyNumberFormat="1" applyFont="1" applyFill="1" applyBorder="1"/>
    <xf numFmtId="2" fontId="13" fillId="0" borderId="0" xfId="1" applyNumberFormat="1" applyFont="1" applyFill="1" applyBorder="1"/>
    <xf numFmtId="0" fontId="26" fillId="14" borderId="2" xfId="0" applyFont="1" applyFill="1" applyBorder="1" applyAlignment="1">
      <alignment horizontal="center" vertical="center" wrapText="1"/>
    </xf>
    <xf numFmtId="0" fontId="25" fillId="14" borderId="0" xfId="0" applyFont="1" applyFill="1" applyBorder="1" applyAlignment="1">
      <alignment horizontal="center" wrapText="1"/>
    </xf>
    <xf numFmtId="0" fontId="25" fillId="19" borderId="3" xfId="0" applyFont="1" applyFill="1" applyBorder="1" applyAlignment="1">
      <alignment horizontal="center" wrapText="1"/>
    </xf>
    <xf numFmtId="0" fontId="6" fillId="0" borderId="0" xfId="0" applyFont="1" applyFill="1" applyBorder="1"/>
    <xf numFmtId="0" fontId="17" fillId="13" borderId="0" xfId="0" applyFont="1" applyFill="1" applyBorder="1"/>
    <xf numFmtId="0" fontId="15" fillId="0" borderId="0" xfId="0" applyFont="1" applyBorder="1"/>
    <xf numFmtId="10" fontId="17" fillId="0" borderId="0" xfId="0" applyNumberFormat="1" applyFont="1" applyBorder="1"/>
    <xf numFmtId="0" fontId="14" fillId="0" borderId="5" xfId="2" applyFont="1" applyFill="1" applyBorder="1"/>
    <xf numFmtId="0" fontId="14" fillId="0" borderId="5" xfId="0" applyFont="1" applyFill="1" applyBorder="1"/>
    <xf numFmtId="1" fontId="31" fillId="11" borderId="5" xfId="0" applyNumberFormat="1" applyFont="1" applyFill="1" applyBorder="1"/>
    <xf numFmtId="1" fontId="31" fillId="12" borderId="6" xfId="1" applyNumberFormat="1" applyFont="1" applyFill="1" applyBorder="1"/>
    <xf numFmtId="0" fontId="25" fillId="6" borderId="3" xfId="0" applyFont="1" applyFill="1" applyBorder="1" applyAlignment="1">
      <alignment horizontal="center" wrapText="1"/>
    </xf>
    <xf numFmtId="10" fontId="19" fillId="0" borderId="5" xfId="1" applyNumberFormat="1" applyFont="1" applyFill="1" applyBorder="1"/>
    <xf numFmtId="0" fontId="21" fillId="18" borderId="9" xfId="0" applyFont="1" applyFill="1" applyBorder="1" applyAlignment="1">
      <alignment horizontal="center" wrapText="1"/>
    </xf>
    <xf numFmtId="0" fontId="17" fillId="13" borderId="3" xfId="0" applyFont="1" applyFill="1" applyBorder="1"/>
    <xf numFmtId="0" fontId="21" fillId="18" borderId="3" xfId="0" applyFont="1" applyFill="1" applyBorder="1" applyAlignment="1">
      <alignment horizontal="center" wrapText="1"/>
    </xf>
    <xf numFmtId="0" fontId="25" fillId="18" borderId="3" xfId="0" applyFont="1" applyFill="1" applyBorder="1" applyAlignment="1">
      <alignment horizontal="center" wrapText="1"/>
    </xf>
    <xf numFmtId="2" fontId="24" fillId="0" borderId="43" xfId="1" applyNumberFormat="1" applyFont="1" applyFill="1" applyBorder="1"/>
    <xf numFmtId="2" fontId="24" fillId="0" borderId="44" xfId="1" applyNumberFormat="1" applyFont="1" applyFill="1" applyBorder="1"/>
    <xf numFmtId="167" fontId="24" fillId="0" borderId="44" xfId="1" applyNumberFormat="1" applyFont="1" applyFill="1" applyBorder="1"/>
    <xf numFmtId="2" fontId="24" fillId="0" borderId="45" xfId="1" applyNumberFormat="1" applyFont="1" applyFill="1" applyBorder="1"/>
    <xf numFmtId="9" fontId="33" fillId="0" borderId="24" xfId="1" applyNumberFormat="1" applyFont="1" applyFill="1" applyBorder="1"/>
    <xf numFmtId="0" fontId="29" fillId="9" borderId="14" xfId="0" applyFont="1" applyFill="1" applyBorder="1" applyAlignment="1">
      <alignment horizontal="center" wrapText="1"/>
    </xf>
    <xf numFmtId="0" fontId="18" fillId="14" borderId="14" xfId="0" applyFont="1" applyFill="1" applyBorder="1" applyAlignment="1"/>
    <xf numFmtId="0" fontId="26" fillId="14" borderId="12" xfId="0" applyFont="1" applyFill="1" applyBorder="1" applyAlignment="1">
      <alignment horizontal="center" vertical="center" wrapText="1"/>
    </xf>
    <xf numFmtId="0" fontId="26" fillId="14" borderId="21" xfId="0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/>
    </xf>
    <xf numFmtId="0" fontId="4" fillId="15" borderId="0" xfId="2" applyFont="1" applyFill="1" applyBorder="1"/>
    <xf numFmtId="0" fontId="14" fillId="15" borderId="0" xfId="0" applyFont="1" applyFill="1" applyBorder="1"/>
    <xf numFmtId="0" fontId="13" fillId="15" borderId="0" xfId="0" applyFont="1" applyFill="1" applyBorder="1"/>
    <xf numFmtId="0" fontId="7" fillId="15" borderId="0" xfId="0" applyFont="1" applyFill="1" applyBorder="1"/>
    <xf numFmtId="0" fontId="33" fillId="15" borderId="0" xfId="0" applyFont="1" applyFill="1" applyBorder="1"/>
    <xf numFmtId="9" fontId="33" fillId="15" borderId="0" xfId="0" applyNumberFormat="1" applyFont="1" applyFill="1" applyBorder="1"/>
    <xf numFmtId="9" fontId="33" fillId="15" borderId="3" xfId="0" applyNumberFormat="1" applyFont="1" applyFill="1" applyBorder="1"/>
    <xf numFmtId="0" fontId="19" fillId="15" borderId="3" xfId="1" applyFont="1" applyFill="1" applyBorder="1" applyAlignment="1">
      <alignment horizontal="center"/>
    </xf>
    <xf numFmtId="0" fontId="19" fillId="15" borderId="4" xfId="1" applyFont="1" applyFill="1" applyBorder="1" applyAlignment="1">
      <alignment horizontal="center"/>
    </xf>
    <xf numFmtId="0" fontId="19" fillId="15" borderId="5" xfId="1" applyFont="1" applyFill="1" applyBorder="1" applyAlignment="1">
      <alignment horizontal="center"/>
    </xf>
    <xf numFmtId="0" fontId="19" fillId="15" borderId="6" xfId="1" applyFont="1" applyFill="1" applyBorder="1" applyAlignment="1">
      <alignment horizontal="center"/>
    </xf>
    <xf numFmtId="9" fontId="33" fillId="15" borderId="43" xfId="1" applyNumberFormat="1" applyFont="1" applyFill="1" applyBorder="1"/>
    <xf numFmtId="9" fontId="33" fillId="15" borderId="44" xfId="1" applyNumberFormat="1" applyFont="1" applyFill="1" applyBorder="1"/>
    <xf numFmtId="2" fontId="33" fillId="15" borderId="44" xfId="1" applyNumberFormat="1" applyFont="1" applyFill="1" applyBorder="1"/>
    <xf numFmtId="2" fontId="13" fillId="15" borderId="44" xfId="1" applyNumberFormat="1" applyFont="1" applyFill="1" applyBorder="1"/>
    <xf numFmtId="2" fontId="12" fillId="15" borderId="44" xfId="1" applyNumberFormat="1" applyFont="1" applyFill="1" applyBorder="1"/>
    <xf numFmtId="2" fontId="19" fillId="15" borderId="45" xfId="1" applyNumberFormat="1" applyFont="1" applyFill="1" applyBorder="1"/>
    <xf numFmtId="9" fontId="33" fillId="15" borderId="24" xfId="1" applyNumberFormat="1" applyFont="1" applyFill="1" applyBorder="1"/>
    <xf numFmtId="0" fontId="1" fillId="15" borderId="2" xfId="0" applyFont="1" applyFill="1" applyBorder="1"/>
    <xf numFmtId="0" fontId="19" fillId="15" borderId="4" xfId="1" applyFont="1" applyFill="1" applyBorder="1"/>
    <xf numFmtId="9" fontId="33" fillId="15" borderId="46" xfId="1" applyNumberFormat="1" applyFont="1" applyFill="1" applyBorder="1"/>
    <xf numFmtId="2" fontId="12" fillId="15" borderId="5" xfId="1" applyNumberFormat="1" applyFont="1" applyFill="1" applyBorder="1"/>
    <xf numFmtId="2" fontId="19" fillId="15" borderId="43" xfId="1" applyNumberFormat="1" applyFont="1" applyFill="1" applyBorder="1"/>
    <xf numFmtId="2" fontId="19" fillId="15" borderId="44" xfId="1" applyNumberFormat="1" applyFont="1" applyFill="1" applyBorder="1"/>
    <xf numFmtId="2" fontId="19" fillId="15" borderId="24" xfId="1" applyNumberFormat="1" applyFont="1" applyFill="1" applyBorder="1"/>
    <xf numFmtId="2" fontId="19" fillId="15" borderId="46" xfId="1" applyNumberFormat="1" applyFont="1" applyFill="1" applyBorder="1"/>
    <xf numFmtId="10" fontId="19" fillId="15" borderId="44" xfId="1" applyNumberFormat="1" applyFont="1" applyFill="1" applyBorder="1"/>
    <xf numFmtId="10" fontId="19" fillId="15" borderId="5" xfId="1" applyNumberFormat="1" applyFont="1" applyFill="1" applyBorder="1"/>
    <xf numFmtId="2" fontId="24" fillId="15" borderId="24" xfId="1" applyNumberFormat="1" applyFont="1" applyFill="1" applyBorder="1"/>
    <xf numFmtId="167" fontId="24" fillId="15" borderId="0" xfId="1" applyNumberFormat="1" applyFont="1" applyFill="1" applyBorder="1"/>
    <xf numFmtId="2" fontId="24" fillId="15" borderId="3" xfId="1" applyNumberFormat="1" applyFont="1" applyFill="1" applyBorder="1"/>
    <xf numFmtId="2" fontId="24" fillId="15" borderId="46" xfId="1" applyNumberFormat="1" applyFont="1" applyFill="1" applyBorder="1"/>
    <xf numFmtId="0" fontId="17" fillId="15" borderId="5" xfId="0" applyFont="1" applyFill="1" applyBorder="1"/>
    <xf numFmtId="0" fontId="1" fillId="15" borderId="2" xfId="1" applyFont="1" applyFill="1" applyBorder="1"/>
    <xf numFmtId="2" fontId="1" fillId="15" borderId="43" xfId="1" applyNumberFormat="1" applyFont="1" applyFill="1" applyBorder="1"/>
    <xf numFmtId="1" fontId="1" fillId="15" borderId="44" xfId="1" applyNumberFormat="1" applyFont="1" applyFill="1" applyBorder="1"/>
    <xf numFmtId="0" fontId="1" fillId="15" borderId="45" xfId="0" applyFont="1" applyFill="1" applyBorder="1"/>
    <xf numFmtId="2" fontId="1" fillId="15" borderId="24" xfId="1" applyNumberFormat="1" applyFont="1" applyFill="1" applyBorder="1"/>
    <xf numFmtId="1" fontId="1" fillId="15" borderId="3" xfId="1" applyNumberFormat="1" applyFont="1" applyFill="1" applyBorder="1"/>
    <xf numFmtId="0" fontId="14" fillId="15" borderId="3" xfId="0" applyFont="1" applyFill="1" applyBorder="1"/>
    <xf numFmtId="0" fontId="1" fillId="15" borderId="24" xfId="0" applyFont="1" applyFill="1" applyBorder="1"/>
    <xf numFmtId="166" fontId="1" fillId="15" borderId="0" xfId="0" applyNumberFormat="1" applyFont="1" applyFill="1" applyBorder="1"/>
    <xf numFmtId="0" fontId="1" fillId="15" borderId="3" xfId="0" applyFont="1" applyFill="1" applyBorder="1"/>
    <xf numFmtId="0" fontId="14" fillId="15" borderId="2" xfId="2" applyFont="1" applyFill="1" applyBorder="1"/>
    <xf numFmtId="0" fontId="14" fillId="15" borderId="24" xfId="0" applyFont="1" applyFill="1" applyBorder="1"/>
    <xf numFmtId="0" fontId="1" fillId="15" borderId="0" xfId="0" applyFont="1" applyFill="1" applyBorder="1"/>
    <xf numFmtId="0" fontId="1" fillId="15" borderId="2" xfId="0" applyFont="1" applyFill="1" applyBorder="1" applyAlignment="1">
      <alignment horizontal="left"/>
    </xf>
    <xf numFmtId="0" fontId="1" fillId="15" borderId="0" xfId="0" applyFont="1" applyFill="1" applyBorder="1" applyAlignment="1">
      <alignment horizontal="left"/>
    </xf>
    <xf numFmtId="0" fontId="1" fillId="15" borderId="43" xfId="0" applyFont="1" applyFill="1" applyBorder="1"/>
    <xf numFmtId="0" fontId="1" fillId="15" borderId="44" xfId="0" applyFont="1" applyFill="1" applyBorder="1"/>
    <xf numFmtId="2" fontId="1" fillId="15" borderId="44" xfId="0" applyNumberFormat="1" applyFont="1" applyFill="1" applyBorder="1"/>
    <xf numFmtId="2" fontId="1" fillId="15" borderId="0" xfId="0" applyNumberFormat="1" applyFont="1" applyFill="1" applyBorder="1"/>
    <xf numFmtId="165" fontId="1" fillId="15" borderId="0" xfId="0" applyNumberFormat="1" applyFont="1" applyFill="1" applyBorder="1"/>
    <xf numFmtId="2" fontId="1" fillId="15" borderId="24" xfId="0" applyNumberFormat="1" applyFont="1" applyFill="1" applyBorder="1"/>
    <xf numFmtId="9" fontId="1" fillId="15" borderId="0" xfId="0" applyNumberFormat="1" applyFont="1" applyFill="1" applyBorder="1"/>
    <xf numFmtId="1" fontId="1" fillId="15" borderId="0" xfId="0" applyNumberFormat="1" applyFont="1" applyFill="1" applyBorder="1"/>
    <xf numFmtId="2" fontId="1" fillId="15" borderId="43" xfId="0" applyNumberFormat="1" applyFont="1" applyFill="1" applyBorder="1" applyAlignment="1">
      <alignment horizontal="center" wrapText="1"/>
    </xf>
    <xf numFmtId="2" fontId="1" fillId="15" borderId="44" xfId="1" applyNumberFormat="1" applyFont="1" applyFill="1" applyBorder="1"/>
    <xf numFmtId="2" fontId="1" fillId="15" borderId="44" xfId="0" applyNumberFormat="1" applyFont="1" applyFill="1" applyBorder="1" applyAlignment="1">
      <alignment horizontal="center" wrapText="1"/>
    </xf>
    <xf numFmtId="2" fontId="1" fillId="15" borderId="45" xfId="1" applyNumberFormat="1" applyFont="1" applyFill="1" applyBorder="1"/>
    <xf numFmtId="2" fontId="1" fillId="15" borderId="24" xfId="0" applyNumberFormat="1" applyFont="1" applyFill="1" applyBorder="1" applyAlignment="1">
      <alignment horizontal="center" wrapText="1"/>
    </xf>
    <xf numFmtId="2" fontId="1" fillId="15" borderId="0" xfId="0" applyNumberFormat="1" applyFont="1" applyFill="1" applyBorder="1" applyAlignment="1">
      <alignment horizontal="center" wrapText="1"/>
    </xf>
    <xf numFmtId="2" fontId="1" fillId="15" borderId="3" xfId="1" applyNumberFormat="1" applyFont="1" applyFill="1" applyBorder="1"/>
    <xf numFmtId="0" fontId="1" fillId="15" borderId="4" xfId="1" applyFont="1" applyFill="1" applyBorder="1"/>
    <xf numFmtId="2" fontId="1" fillId="15" borderId="46" xfId="0" applyNumberFormat="1" applyFont="1" applyFill="1" applyBorder="1" applyAlignment="1">
      <alignment horizontal="center" wrapText="1"/>
    </xf>
    <xf numFmtId="2" fontId="1" fillId="15" borderId="5" xfId="1" applyNumberFormat="1" applyFont="1" applyFill="1" applyBorder="1"/>
    <xf numFmtId="2" fontId="1" fillId="15" borderId="5" xfId="0" applyNumberFormat="1" applyFont="1" applyFill="1" applyBorder="1" applyAlignment="1">
      <alignment horizontal="center" wrapText="1"/>
    </xf>
    <xf numFmtId="2" fontId="1" fillId="15" borderId="6" xfId="1" applyNumberFormat="1" applyFont="1" applyFill="1" applyBorder="1"/>
    <xf numFmtId="11" fontId="1" fillId="15" borderId="43" xfId="1" applyNumberFormat="1" applyFont="1" applyFill="1" applyBorder="1"/>
    <xf numFmtId="11" fontId="1" fillId="15" borderId="44" xfId="1" applyNumberFormat="1" applyFont="1" applyFill="1" applyBorder="1"/>
    <xf numFmtId="9" fontId="1" fillId="15" borderId="45" xfId="6" applyFont="1" applyFill="1" applyBorder="1"/>
    <xf numFmtId="11" fontId="1" fillId="15" borderId="24" xfId="1" applyNumberFormat="1" applyFont="1" applyFill="1" applyBorder="1"/>
    <xf numFmtId="11" fontId="1" fillId="15" borderId="0" xfId="1" applyNumberFormat="1" applyFont="1" applyFill="1" applyBorder="1"/>
    <xf numFmtId="9" fontId="1" fillId="15" borderId="3" xfId="6" applyFont="1" applyFill="1" applyBorder="1"/>
    <xf numFmtId="2" fontId="73" fillId="15" borderId="0" xfId="1" applyNumberFormat="1" applyFont="1" applyFill="1" applyBorder="1"/>
    <xf numFmtId="11" fontId="1" fillId="15" borderId="46" xfId="1" applyNumberFormat="1" applyFont="1" applyFill="1" applyBorder="1"/>
    <xf numFmtId="11" fontId="1" fillId="15" borderId="5" xfId="1" applyNumberFormat="1" applyFont="1" applyFill="1" applyBorder="1"/>
    <xf numFmtId="9" fontId="1" fillId="15" borderId="6" xfId="6" applyFont="1" applyFill="1" applyBorder="1"/>
    <xf numFmtId="2" fontId="1" fillId="15" borderId="45" xfId="0" applyNumberFormat="1" applyFont="1" applyFill="1" applyBorder="1" applyAlignment="1">
      <alignment horizontal="center" wrapText="1"/>
    </xf>
    <xf numFmtId="2" fontId="1" fillId="15" borderId="3" xfId="0" applyNumberFormat="1" applyFont="1" applyFill="1" applyBorder="1" applyAlignment="1">
      <alignment horizontal="center" wrapText="1"/>
    </xf>
    <xf numFmtId="2" fontId="1" fillId="15" borderId="46" xfId="1" applyNumberFormat="1" applyFont="1" applyFill="1" applyBorder="1"/>
    <xf numFmtId="2" fontId="1" fillId="15" borderId="6" xfId="0" applyNumberFormat="1" applyFont="1" applyFill="1" applyBorder="1" applyAlignment="1">
      <alignment horizontal="center" wrapText="1"/>
    </xf>
    <xf numFmtId="165" fontId="17" fillId="0" borderId="2" xfId="0" applyNumberFormat="1" applyFont="1" applyBorder="1"/>
    <xf numFmtId="165" fontId="17" fillId="0" borderId="0" xfId="0" applyNumberFormat="1" applyFont="1" applyBorder="1"/>
    <xf numFmtId="0" fontId="12" fillId="15" borderId="2" xfId="0" applyFont="1" applyFill="1" applyBorder="1" applyAlignment="1">
      <alignment horizontal="left"/>
    </xf>
    <xf numFmtId="166" fontId="1" fillId="15" borderId="43" xfId="0" applyNumberFormat="1" applyFont="1" applyFill="1" applyBorder="1"/>
    <xf numFmtId="166" fontId="1" fillId="15" borderId="44" xfId="0" applyNumberFormat="1" applyFont="1" applyFill="1" applyBorder="1"/>
    <xf numFmtId="1" fontId="1" fillId="15" borderId="3" xfId="0" applyNumberFormat="1" applyFont="1" applyFill="1" applyBorder="1"/>
    <xf numFmtId="0" fontId="11" fillId="15" borderId="2" xfId="0" applyFont="1" applyFill="1" applyBorder="1"/>
    <xf numFmtId="2" fontId="1" fillId="15" borderId="3" xfId="0" applyNumberFormat="1" applyFont="1" applyFill="1" applyBorder="1"/>
    <xf numFmtId="0" fontId="10" fillId="15" borderId="2" xfId="0" applyFont="1" applyFill="1" applyBorder="1" applyAlignment="1">
      <alignment horizontal="left"/>
    </xf>
    <xf numFmtId="1" fontId="19" fillId="15" borderId="2" xfId="1" applyNumberFormat="1" applyFont="1" applyFill="1" applyBorder="1" applyAlignment="1">
      <alignment horizontal="center"/>
    </xf>
    <xf numFmtId="1" fontId="19" fillId="15" borderId="4" xfId="1" applyNumberFormat="1" applyFont="1" applyFill="1" applyBorder="1" applyAlignment="1">
      <alignment horizontal="center"/>
    </xf>
    <xf numFmtId="165" fontId="17" fillId="15" borderId="7" xfId="0" applyNumberFormat="1" applyFont="1" applyFill="1" applyBorder="1"/>
    <xf numFmtId="165" fontId="17" fillId="15" borderId="8" xfId="0" applyNumberFormat="1" applyFont="1" applyFill="1" applyBorder="1"/>
    <xf numFmtId="165" fontId="17" fillId="15" borderId="9" xfId="0" applyNumberFormat="1" applyFont="1" applyFill="1" applyBorder="1"/>
    <xf numFmtId="165" fontId="17" fillId="15" borderId="2" xfId="0" applyNumberFormat="1" applyFont="1" applyFill="1" applyBorder="1"/>
    <xf numFmtId="165" fontId="17" fillId="15" borderId="0" xfId="0" applyNumberFormat="1" applyFont="1" applyFill="1" applyBorder="1"/>
    <xf numFmtId="165" fontId="17" fillId="15" borderId="3" xfId="0" applyNumberFormat="1" applyFont="1" applyFill="1" applyBorder="1"/>
    <xf numFmtId="165" fontId="17" fillId="15" borderId="4" xfId="0" applyNumberFormat="1" applyFont="1" applyFill="1" applyBorder="1"/>
    <xf numFmtId="165" fontId="17" fillId="15" borderId="5" xfId="0" applyNumberFormat="1" applyFont="1" applyFill="1" applyBorder="1"/>
    <xf numFmtId="165" fontId="17" fillId="15" borderId="6" xfId="0" applyNumberFormat="1" applyFont="1" applyFill="1" applyBorder="1"/>
    <xf numFmtId="0" fontId="17" fillId="15" borderId="2" xfId="0" applyFont="1" applyFill="1" applyBorder="1"/>
    <xf numFmtId="1" fontId="21" fillId="15" borderId="43" xfId="0" applyNumberFormat="1" applyFont="1" applyFill="1" applyBorder="1" applyAlignment="1">
      <alignment horizontal="center" wrapText="1"/>
    </xf>
    <xf numFmtId="1" fontId="21" fillId="15" borderId="44" xfId="0" applyNumberFormat="1" applyFont="1" applyFill="1" applyBorder="1" applyAlignment="1">
      <alignment horizontal="center" wrapText="1"/>
    </xf>
    <xf numFmtId="1" fontId="19" fillId="15" borderId="44" xfId="0" applyNumberFormat="1" applyFont="1" applyFill="1" applyBorder="1"/>
    <xf numFmtId="166" fontId="19" fillId="15" borderId="44" xfId="0" applyNumberFormat="1" applyFont="1" applyFill="1" applyBorder="1"/>
    <xf numFmtId="166" fontId="19" fillId="15" borderId="44" xfId="1" applyNumberFormat="1" applyFont="1" applyFill="1" applyBorder="1"/>
    <xf numFmtId="2" fontId="17" fillId="15" borderId="44" xfId="0" applyNumberFormat="1" applyFont="1" applyFill="1" applyBorder="1"/>
    <xf numFmtId="2" fontId="12" fillId="15" borderId="44" xfId="0" applyNumberFormat="1" applyFont="1" applyFill="1" applyBorder="1"/>
    <xf numFmtId="9" fontId="12" fillId="15" borderId="44" xfId="6" applyFont="1" applyFill="1" applyBorder="1"/>
    <xf numFmtId="166" fontId="19" fillId="15" borderId="45" xfId="1" applyNumberFormat="1" applyFont="1" applyFill="1" applyBorder="1"/>
    <xf numFmtId="1" fontId="21" fillId="15" borderId="24" xfId="0" applyNumberFormat="1" applyFont="1" applyFill="1" applyBorder="1" applyAlignment="1">
      <alignment horizontal="center" wrapText="1"/>
    </xf>
    <xf numFmtId="1" fontId="21" fillId="15" borderId="0" xfId="0" applyNumberFormat="1" applyFont="1" applyFill="1" applyBorder="1" applyAlignment="1">
      <alignment horizontal="center" wrapText="1"/>
    </xf>
    <xf numFmtId="1" fontId="19" fillId="15" borderId="0" xfId="0" applyNumberFormat="1" applyFont="1" applyFill="1" applyBorder="1"/>
    <xf numFmtId="166" fontId="19" fillId="15" borderId="0" xfId="0" applyNumberFormat="1" applyFont="1" applyFill="1" applyBorder="1"/>
    <xf numFmtId="166" fontId="19" fillId="15" borderId="0" xfId="1" applyNumberFormat="1" applyFont="1" applyFill="1" applyBorder="1"/>
    <xf numFmtId="2" fontId="12" fillId="15" borderId="0" xfId="0" applyNumberFormat="1" applyFont="1" applyFill="1" applyBorder="1"/>
    <xf numFmtId="9" fontId="12" fillId="15" borderId="0" xfId="6" applyFont="1" applyFill="1" applyBorder="1"/>
    <xf numFmtId="166" fontId="19" fillId="15" borderId="3" xfId="1" applyNumberFormat="1" applyFont="1" applyFill="1" applyBorder="1"/>
    <xf numFmtId="0" fontId="17" fillId="15" borderId="4" xfId="0" applyFont="1" applyFill="1" applyBorder="1"/>
    <xf numFmtId="1" fontId="21" fillId="15" borderId="46" xfId="0" applyNumberFormat="1" applyFont="1" applyFill="1" applyBorder="1" applyAlignment="1">
      <alignment horizontal="center" wrapText="1"/>
    </xf>
    <xf numFmtId="1" fontId="21" fillId="15" borderId="5" xfId="0" applyNumberFormat="1" applyFont="1" applyFill="1" applyBorder="1" applyAlignment="1">
      <alignment horizontal="center" wrapText="1"/>
    </xf>
    <xf numFmtId="1" fontId="19" fillId="15" borderId="5" xfId="0" applyNumberFormat="1" applyFont="1" applyFill="1" applyBorder="1"/>
    <xf numFmtId="166" fontId="19" fillId="15" borderId="5" xfId="0" applyNumberFormat="1" applyFont="1" applyFill="1" applyBorder="1"/>
    <xf numFmtId="166" fontId="19" fillId="15" borderId="5" xfId="1" applyNumberFormat="1" applyFont="1" applyFill="1" applyBorder="1"/>
    <xf numFmtId="2" fontId="17" fillId="15" borderId="5" xfId="0" applyNumberFormat="1" applyFont="1" applyFill="1" applyBorder="1"/>
    <xf numFmtId="2" fontId="12" fillId="15" borderId="5" xfId="0" applyNumberFormat="1" applyFont="1" applyFill="1" applyBorder="1"/>
    <xf numFmtId="9" fontId="12" fillId="15" borderId="5" xfId="6" applyFont="1" applyFill="1" applyBorder="1"/>
    <xf numFmtId="166" fontId="19" fillId="15" borderId="6" xfId="1" applyNumberFormat="1" applyFont="1" applyFill="1" applyBorder="1"/>
    <xf numFmtId="166" fontId="18" fillId="15" borderId="43" xfId="0" applyNumberFormat="1" applyFont="1" applyFill="1" applyBorder="1" applyAlignment="1">
      <alignment horizontal="center" wrapText="1"/>
    </xf>
    <xf numFmtId="166" fontId="18" fillId="15" borderId="44" xfId="0" applyNumberFormat="1" applyFont="1" applyFill="1" applyBorder="1" applyAlignment="1">
      <alignment horizontal="center" wrapText="1"/>
    </xf>
    <xf numFmtId="0" fontId="18" fillId="15" borderId="44" xfId="0" applyFont="1" applyFill="1" applyBorder="1" applyAlignment="1">
      <alignment horizontal="center" wrapText="1"/>
    </xf>
    <xf numFmtId="2" fontId="12" fillId="15" borderId="44" xfId="0" applyNumberFormat="1" applyFont="1" applyFill="1" applyBorder="1" applyAlignment="1">
      <alignment horizontal="center" wrapText="1"/>
    </xf>
    <xf numFmtId="1" fontId="12" fillId="15" borderId="44" xfId="0" applyNumberFormat="1" applyFont="1" applyFill="1" applyBorder="1" applyAlignment="1">
      <alignment horizontal="center" wrapText="1"/>
    </xf>
    <xf numFmtId="1" fontId="12" fillId="15" borderId="44" xfId="1" applyNumberFormat="1" applyFont="1" applyFill="1" applyBorder="1"/>
    <xf numFmtId="2" fontId="12" fillId="15" borderId="45" xfId="1" applyNumberFormat="1" applyFont="1" applyFill="1" applyBorder="1"/>
    <xf numFmtId="166" fontId="18" fillId="15" borderId="24" xfId="0" applyNumberFormat="1" applyFont="1" applyFill="1" applyBorder="1" applyAlignment="1">
      <alignment horizontal="center" wrapText="1"/>
    </xf>
    <xf numFmtId="166" fontId="18" fillId="15" borderId="0" xfId="0" applyNumberFormat="1" applyFont="1" applyFill="1" applyBorder="1" applyAlignment="1">
      <alignment horizontal="center" wrapText="1"/>
    </xf>
    <xf numFmtId="1" fontId="12" fillId="15" borderId="0" xfId="0" applyNumberFormat="1" applyFont="1" applyFill="1" applyBorder="1" applyAlignment="1">
      <alignment horizontal="center" wrapText="1"/>
    </xf>
    <xf numFmtId="1" fontId="12" fillId="15" borderId="0" xfId="1" applyNumberFormat="1" applyFont="1" applyFill="1" applyBorder="1"/>
    <xf numFmtId="166" fontId="18" fillId="15" borderId="46" xfId="0" applyNumberFormat="1" applyFont="1" applyFill="1" applyBorder="1" applyAlignment="1">
      <alignment horizontal="center" wrapText="1"/>
    </xf>
    <xf numFmtId="166" fontId="18" fillId="15" borderId="5" xfId="0" applyNumberFormat="1" applyFont="1" applyFill="1" applyBorder="1" applyAlignment="1">
      <alignment horizontal="center" wrapText="1"/>
    </xf>
    <xf numFmtId="0" fontId="18" fillId="15" borderId="5" xfId="0" applyFont="1" applyFill="1" applyBorder="1" applyAlignment="1">
      <alignment horizontal="center" wrapText="1"/>
    </xf>
    <xf numFmtId="2" fontId="12" fillId="15" borderId="5" xfId="0" applyNumberFormat="1" applyFont="1" applyFill="1" applyBorder="1" applyAlignment="1">
      <alignment horizontal="center" wrapText="1"/>
    </xf>
    <xf numFmtId="1" fontId="12" fillId="15" borderId="5" xfId="0" applyNumberFormat="1" applyFont="1" applyFill="1" applyBorder="1" applyAlignment="1">
      <alignment horizontal="center" wrapText="1"/>
    </xf>
    <xf numFmtId="1" fontId="12" fillId="15" borderId="5" xfId="1" applyNumberFormat="1" applyFont="1" applyFill="1" applyBorder="1"/>
    <xf numFmtId="2" fontId="12" fillId="15" borderId="6" xfId="1" applyNumberFormat="1" applyFont="1" applyFill="1" applyBorder="1"/>
    <xf numFmtId="0" fontId="18" fillId="15" borderId="43" xfId="0" applyFont="1" applyFill="1" applyBorder="1" applyAlignment="1">
      <alignment horizontal="center" wrapText="1"/>
    </xf>
    <xf numFmtId="1" fontId="19" fillId="15" borderId="44" xfId="1" applyNumberFormat="1" applyFont="1" applyFill="1" applyBorder="1"/>
    <xf numFmtId="11" fontId="19" fillId="15" borderId="44" xfId="1" applyNumberFormat="1" applyFont="1" applyFill="1" applyBorder="1"/>
    <xf numFmtId="11" fontId="12" fillId="15" borderId="44" xfId="0" applyNumberFormat="1" applyFont="1" applyFill="1" applyBorder="1" applyAlignment="1">
      <alignment horizontal="center" wrapText="1"/>
    </xf>
    <xf numFmtId="9" fontId="25" fillId="15" borderId="45" xfId="6" applyFont="1" applyFill="1" applyBorder="1" applyAlignment="1">
      <alignment horizontal="center" wrapText="1"/>
    </xf>
    <xf numFmtId="0" fontId="18" fillId="15" borderId="24" xfId="0" applyFont="1" applyFill="1" applyBorder="1" applyAlignment="1">
      <alignment horizontal="center" wrapText="1"/>
    </xf>
    <xf numFmtId="1" fontId="19" fillId="15" borderId="0" xfId="1" applyNumberFormat="1" applyFont="1" applyFill="1" applyBorder="1"/>
    <xf numFmtId="11" fontId="12" fillId="15" borderId="0" xfId="0" applyNumberFormat="1" applyFont="1" applyFill="1" applyBorder="1" applyAlignment="1">
      <alignment horizontal="center" wrapText="1"/>
    </xf>
    <xf numFmtId="9" fontId="25" fillId="15" borderId="3" xfId="6" applyFont="1" applyFill="1" applyBorder="1" applyAlignment="1">
      <alignment horizontal="center" wrapText="1"/>
    </xf>
    <xf numFmtId="0" fontId="18" fillId="15" borderId="46" xfId="0" applyFont="1" applyFill="1" applyBorder="1" applyAlignment="1">
      <alignment horizontal="center" wrapText="1"/>
    </xf>
    <xf numFmtId="1" fontId="19" fillId="15" borderId="5" xfId="1" applyNumberFormat="1" applyFont="1" applyFill="1" applyBorder="1"/>
    <xf numFmtId="11" fontId="19" fillId="15" borderId="5" xfId="1" applyNumberFormat="1" applyFont="1" applyFill="1" applyBorder="1"/>
    <xf numFmtId="11" fontId="12" fillId="15" borderId="5" xfId="0" applyNumberFormat="1" applyFont="1" applyFill="1" applyBorder="1" applyAlignment="1">
      <alignment horizontal="center" wrapText="1"/>
    </xf>
    <xf numFmtId="9" fontId="25" fillId="15" borderId="6" xfId="6" applyFont="1" applyFill="1" applyBorder="1" applyAlignment="1">
      <alignment horizontal="center" wrapText="1"/>
    </xf>
    <xf numFmtId="11" fontId="10" fillId="15" borderId="43" xfId="0" applyNumberFormat="1" applyFont="1" applyFill="1" applyBorder="1" applyAlignment="1">
      <alignment horizontal="center" wrapText="1"/>
    </xf>
    <xf numFmtId="11" fontId="19" fillId="15" borderId="45" xfId="1" applyNumberFormat="1" applyFont="1" applyFill="1" applyBorder="1"/>
    <xf numFmtId="11" fontId="10" fillId="15" borderId="24" xfId="0" applyNumberFormat="1" applyFont="1" applyFill="1" applyBorder="1" applyAlignment="1">
      <alignment horizontal="center" wrapText="1"/>
    </xf>
    <xf numFmtId="11" fontId="10" fillId="15" borderId="46" xfId="0" applyNumberFormat="1" applyFont="1" applyFill="1" applyBorder="1" applyAlignment="1">
      <alignment horizontal="center" wrapText="1"/>
    </xf>
    <xf numFmtId="11" fontId="19" fillId="15" borderId="6" xfId="1" applyNumberFormat="1" applyFont="1" applyFill="1" applyBorder="1"/>
    <xf numFmtId="9" fontId="19" fillId="15" borderId="44" xfId="1" applyNumberFormat="1" applyFont="1" applyFill="1" applyBorder="1"/>
    <xf numFmtId="165" fontId="19" fillId="15" borderId="44" xfId="1" applyNumberFormat="1" applyFont="1" applyFill="1" applyBorder="1"/>
    <xf numFmtId="165" fontId="19" fillId="15" borderId="45" xfId="1" applyNumberFormat="1" applyFont="1" applyFill="1" applyBorder="1"/>
    <xf numFmtId="9" fontId="19" fillId="15" borderId="0" xfId="1" applyNumberFormat="1" applyFont="1" applyFill="1" applyBorder="1"/>
    <xf numFmtId="165" fontId="19" fillId="15" borderId="0" xfId="1" applyNumberFormat="1" applyFont="1" applyFill="1" applyBorder="1"/>
    <xf numFmtId="165" fontId="19" fillId="15" borderId="3" xfId="1" applyNumberFormat="1" applyFont="1" applyFill="1" applyBorder="1"/>
    <xf numFmtId="9" fontId="19" fillId="15" borderId="5" xfId="1" applyNumberFormat="1" applyFont="1" applyFill="1" applyBorder="1"/>
    <xf numFmtId="165" fontId="19" fillId="15" borderId="5" xfId="1" applyNumberFormat="1" applyFont="1" applyFill="1" applyBorder="1"/>
    <xf numFmtId="165" fontId="19" fillId="15" borderId="6" xfId="1" applyNumberFormat="1" applyFont="1" applyFill="1" applyBorder="1"/>
    <xf numFmtId="165" fontId="1" fillId="15" borderId="44" xfId="1" applyNumberFormat="1" applyFont="1" applyFill="1" applyBorder="1"/>
    <xf numFmtId="0" fontId="13" fillId="15" borderId="2" xfId="0" applyFont="1" applyFill="1" applyBorder="1"/>
    <xf numFmtId="165" fontId="1" fillId="15" borderId="0" xfId="1" applyNumberFormat="1" applyFont="1" applyFill="1" applyBorder="1"/>
    <xf numFmtId="0" fontId="1" fillId="15" borderId="0" xfId="0" applyNumberFormat="1" applyFont="1" applyFill="1" applyBorder="1"/>
    <xf numFmtId="0" fontId="19" fillId="15" borderId="2" xfId="0" applyFont="1" applyFill="1" applyBorder="1"/>
    <xf numFmtId="0" fontId="1" fillId="15" borderId="0" xfId="1" applyNumberFormat="1" applyFont="1" applyFill="1" applyBorder="1"/>
    <xf numFmtId="0" fontId="13" fillId="15" borderId="2" xfId="0" applyFont="1" applyFill="1" applyBorder="1" applyAlignment="1">
      <alignment horizontal="left"/>
    </xf>
    <xf numFmtId="0" fontId="1" fillId="15" borderId="0" xfId="0" applyNumberFormat="1" applyFont="1" applyFill="1" applyBorder="1" applyAlignment="1">
      <alignment horizontal="left"/>
    </xf>
    <xf numFmtId="0" fontId="1" fillId="15" borderId="44" xfId="0" applyNumberFormat="1" applyFont="1" applyFill="1" applyBorder="1" applyAlignment="1">
      <alignment horizontal="left"/>
    </xf>
    <xf numFmtId="0" fontId="1" fillId="15" borderId="45" xfId="0" applyNumberFormat="1" applyFont="1" applyFill="1" applyBorder="1" applyAlignment="1">
      <alignment horizontal="left"/>
    </xf>
    <xf numFmtId="165" fontId="1" fillId="15" borderId="3" xfId="0" applyNumberFormat="1" applyFont="1" applyFill="1" applyBorder="1"/>
    <xf numFmtId="9" fontId="1" fillId="15" borderId="24" xfId="0" applyNumberFormat="1" applyFont="1" applyFill="1" applyBorder="1"/>
    <xf numFmtId="2" fontId="12" fillId="15" borderId="43" xfId="0" applyNumberFormat="1" applyFont="1" applyFill="1" applyBorder="1" applyAlignment="1">
      <alignment horizontal="center" wrapText="1"/>
    </xf>
    <xf numFmtId="2" fontId="12" fillId="15" borderId="24" xfId="0" applyNumberFormat="1" applyFont="1" applyFill="1" applyBorder="1" applyAlignment="1">
      <alignment horizontal="center" wrapText="1"/>
    </xf>
    <xf numFmtId="2" fontId="12" fillId="15" borderId="46" xfId="0" applyNumberFormat="1" applyFont="1" applyFill="1" applyBorder="1" applyAlignment="1">
      <alignment horizontal="center" wrapText="1"/>
    </xf>
    <xf numFmtId="2" fontId="18" fillId="0" borderId="24" xfId="0" applyNumberFormat="1" applyFont="1" applyFill="1" applyBorder="1" applyAlignment="1">
      <alignment horizontal="center" wrapText="1"/>
    </xf>
    <xf numFmtId="2" fontId="18" fillId="15" borderId="43" xfId="0" applyNumberFormat="1" applyFont="1" applyFill="1" applyBorder="1" applyAlignment="1">
      <alignment horizontal="center" wrapText="1"/>
    </xf>
    <xf numFmtId="2" fontId="17" fillId="15" borderId="45" xfId="0" applyNumberFormat="1" applyFont="1" applyFill="1" applyBorder="1"/>
    <xf numFmtId="2" fontId="18" fillId="15" borderId="24" xfId="0" applyNumberFormat="1" applyFont="1" applyFill="1" applyBorder="1" applyAlignment="1">
      <alignment horizontal="center" wrapText="1"/>
    </xf>
    <xf numFmtId="2" fontId="17" fillId="15" borderId="3" xfId="0" applyNumberFormat="1" applyFont="1" applyFill="1" applyBorder="1"/>
    <xf numFmtId="2" fontId="18" fillId="15" borderId="46" xfId="0" applyNumberFormat="1" applyFont="1" applyFill="1" applyBorder="1" applyAlignment="1">
      <alignment horizontal="center" wrapText="1"/>
    </xf>
    <xf numFmtId="2" fontId="17" fillId="15" borderId="6" xfId="0" applyNumberFormat="1" applyFont="1" applyFill="1" applyBorder="1"/>
    <xf numFmtId="165" fontId="17" fillId="15" borderId="44" xfId="0" applyNumberFormat="1" applyFont="1" applyFill="1" applyBorder="1"/>
    <xf numFmtId="0" fontId="17" fillId="0" borderId="23" xfId="0" applyFont="1" applyFill="1" applyBorder="1"/>
    <xf numFmtId="0" fontId="18" fillId="0" borderId="24" xfId="0" applyFont="1" applyFill="1" applyBorder="1"/>
    <xf numFmtId="0" fontId="1" fillId="0" borderId="24" xfId="1" applyNumberFormat="1" applyFont="1" applyFill="1" applyBorder="1"/>
    <xf numFmtId="0" fontId="1" fillId="15" borderId="30" xfId="0" applyFont="1" applyFill="1" applyBorder="1" applyAlignment="1">
      <alignment horizontal="left"/>
    </xf>
    <xf numFmtId="0" fontId="1" fillId="15" borderId="25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left"/>
    </xf>
    <xf numFmtId="0" fontId="1" fillId="15" borderId="16" xfId="0" applyNumberFormat="1" applyFont="1" applyFill="1" applyBorder="1" applyAlignment="1">
      <alignment horizontal="left"/>
    </xf>
    <xf numFmtId="0" fontId="1" fillId="0" borderId="15" xfId="0" applyNumberFormat="1" applyFont="1" applyFill="1" applyBorder="1" applyAlignment="1">
      <alignment horizontal="left"/>
    </xf>
    <xf numFmtId="0" fontId="18" fillId="0" borderId="23" xfId="0" applyNumberFormat="1" applyFont="1" applyFill="1" applyBorder="1" applyAlignment="1">
      <alignment horizontal="center" wrapText="1"/>
    </xf>
    <xf numFmtId="0" fontId="18" fillId="0" borderId="24" xfId="0" applyNumberFormat="1" applyFont="1" applyFill="1" applyBorder="1" applyAlignment="1">
      <alignment horizontal="center" wrapText="1"/>
    </xf>
    <xf numFmtId="164" fontId="9" fillId="0" borderId="24" xfId="0" applyNumberFormat="1" applyFont="1" applyFill="1" applyBorder="1"/>
    <xf numFmtId="0" fontId="9" fillId="0" borderId="16" xfId="0" applyNumberFormat="1" applyFont="1" applyFill="1" applyBorder="1" applyAlignment="1">
      <alignment horizontal="left"/>
    </xf>
    <xf numFmtId="2" fontId="9" fillId="0" borderId="24" xfId="0" applyNumberFormat="1" applyFont="1" applyFill="1" applyBorder="1"/>
    <xf numFmtId="0" fontId="9" fillId="0" borderId="24" xfId="0" applyFont="1" applyFill="1" applyBorder="1"/>
    <xf numFmtId="9" fontId="9" fillId="0" borderId="24" xfId="0" applyNumberFormat="1" applyFont="1" applyFill="1" applyBorder="1"/>
    <xf numFmtId="0" fontId="14" fillId="0" borderId="15" xfId="0" applyNumberFormat="1" applyFont="1" applyFill="1" applyBorder="1" applyAlignment="1">
      <alignment horizontal="left"/>
    </xf>
    <xf numFmtId="0" fontId="17" fillId="15" borderId="45" xfId="0" applyFont="1" applyFill="1" applyBorder="1"/>
    <xf numFmtId="0" fontId="18" fillId="15" borderId="0" xfId="0" applyFont="1" applyFill="1" applyBorder="1" applyAlignment="1">
      <alignment horizontal="center"/>
    </xf>
    <xf numFmtId="0" fontId="9" fillId="15" borderId="30" xfId="0" applyFont="1" applyFill="1" applyBorder="1" applyAlignment="1">
      <alignment horizontal="left"/>
    </xf>
    <xf numFmtId="0" fontId="9" fillId="15" borderId="44" xfId="0" applyNumberFormat="1" applyFont="1" applyFill="1" applyBorder="1" applyAlignment="1">
      <alignment horizontal="left"/>
    </xf>
    <xf numFmtId="0" fontId="9" fillId="15" borderId="43" xfId="0" applyFont="1" applyFill="1" applyBorder="1"/>
    <xf numFmtId="0" fontId="9" fillId="15" borderId="25" xfId="0" applyNumberFormat="1" applyFont="1" applyFill="1" applyBorder="1" applyAlignment="1">
      <alignment horizontal="left"/>
    </xf>
    <xf numFmtId="0" fontId="9" fillId="15" borderId="44" xfId="0" applyFont="1" applyFill="1" applyBorder="1"/>
    <xf numFmtId="0" fontId="9" fillId="15" borderId="45" xfId="0" applyNumberFormat="1" applyFont="1" applyFill="1" applyBorder="1" applyAlignment="1">
      <alignment horizontal="left"/>
    </xf>
    <xf numFmtId="0" fontId="9" fillId="15" borderId="2" xfId="0" applyFont="1" applyFill="1" applyBorder="1" applyAlignment="1">
      <alignment horizontal="left"/>
    </xf>
    <xf numFmtId="0" fontId="9" fillId="15" borderId="0" xfId="0" applyNumberFormat="1" applyFont="1" applyFill="1" applyBorder="1" applyAlignment="1">
      <alignment horizontal="left"/>
    </xf>
    <xf numFmtId="2" fontId="9" fillId="15" borderId="24" xfId="0" applyNumberFormat="1" applyFont="1" applyFill="1" applyBorder="1"/>
    <xf numFmtId="0" fontId="9" fillId="15" borderId="16" xfId="0" applyNumberFormat="1" applyFont="1" applyFill="1" applyBorder="1" applyAlignment="1">
      <alignment horizontal="left"/>
    </xf>
    <xf numFmtId="165" fontId="12" fillId="15" borderId="3" xfId="0" applyNumberFormat="1" applyFont="1" applyFill="1" applyBorder="1"/>
    <xf numFmtId="0" fontId="9" fillId="15" borderId="2" xfId="0" applyFont="1" applyFill="1" applyBorder="1"/>
    <xf numFmtId="0" fontId="9" fillId="15" borderId="24" xfId="0" applyFont="1" applyFill="1" applyBorder="1"/>
    <xf numFmtId="0" fontId="8" fillId="15" borderId="0" xfId="0" applyFont="1" applyFill="1" applyBorder="1"/>
    <xf numFmtId="165" fontId="33" fillId="15" borderId="3" xfId="0" applyNumberFormat="1" applyFont="1" applyFill="1" applyBorder="1"/>
    <xf numFmtId="1" fontId="17" fillId="15" borderId="3" xfId="0" applyNumberFormat="1" applyFont="1" applyFill="1" applyBorder="1"/>
    <xf numFmtId="9" fontId="9" fillId="15" borderId="24" xfId="0" applyNumberFormat="1" applyFont="1" applyFill="1" applyBorder="1"/>
    <xf numFmtId="1" fontId="12" fillId="15" borderId="3" xfId="0" applyNumberFormat="1" applyFont="1" applyFill="1" applyBorder="1"/>
    <xf numFmtId="2" fontId="12" fillId="15" borderId="45" xfId="0" applyNumberFormat="1" applyFont="1" applyFill="1" applyBorder="1" applyAlignment="1">
      <alignment horizontal="center" wrapText="1"/>
    </xf>
    <xf numFmtId="2" fontId="12" fillId="15" borderId="6" xfId="0" applyNumberFormat="1" applyFont="1" applyFill="1" applyBorder="1" applyAlignment="1">
      <alignment horizontal="center" wrapText="1"/>
    </xf>
    <xf numFmtId="0" fontId="17" fillId="15" borderId="44" xfId="0" applyFont="1" applyFill="1" applyBorder="1"/>
    <xf numFmtId="0" fontId="1" fillId="0" borderId="7" xfId="0" applyFont="1" applyFill="1" applyBorder="1"/>
    <xf numFmtId="0" fontId="25" fillId="14" borderId="3" xfId="0" applyFont="1" applyFill="1" applyBorder="1" applyAlignment="1">
      <alignment horizontal="center" wrapText="1"/>
    </xf>
    <xf numFmtId="10" fontId="19" fillId="0" borderId="8" xfId="1" applyNumberFormat="1" applyFont="1" applyFill="1" applyBorder="1"/>
    <xf numFmtId="9" fontId="17" fillId="0" borderId="0" xfId="0" applyNumberFormat="1" applyFont="1" applyFill="1"/>
    <xf numFmtId="2" fontId="24" fillId="0" borderId="8" xfId="1" applyNumberFormat="1" applyFont="1" applyFill="1" applyBorder="1"/>
    <xf numFmtId="167" fontId="24" fillId="0" borderId="8" xfId="1" applyNumberFormat="1" applyFont="1" applyFill="1" applyBorder="1"/>
    <xf numFmtId="2" fontId="24" fillId="0" borderId="9" xfId="1" applyNumberFormat="1" applyFont="1" applyFill="1" applyBorder="1"/>
    <xf numFmtId="2" fontId="19" fillId="0" borderId="9" xfId="1" applyNumberFormat="1" applyFont="1" applyFill="1" applyBorder="1"/>
    <xf numFmtId="9" fontId="33" fillId="0" borderId="8" xfId="1" applyNumberFormat="1" applyFont="1" applyFill="1" applyBorder="1"/>
    <xf numFmtId="2" fontId="33" fillId="0" borderId="8" xfId="1" applyNumberFormat="1" applyFont="1" applyFill="1" applyBorder="1"/>
    <xf numFmtId="2" fontId="13" fillId="0" borderId="8" xfId="1" applyNumberFormat="1" applyFont="1" applyFill="1" applyBorder="1"/>
    <xf numFmtId="165" fontId="1" fillId="15" borderId="44" xfId="0" applyNumberFormat="1" applyFont="1" applyFill="1" applyBorder="1"/>
    <xf numFmtId="165" fontId="1" fillId="15" borderId="5" xfId="0" applyNumberFormat="1" applyFont="1" applyFill="1" applyBorder="1"/>
    <xf numFmtId="165" fontId="17" fillId="15" borderId="45" xfId="0" applyNumberFormat="1" applyFont="1" applyFill="1" applyBorder="1"/>
    <xf numFmtId="9" fontId="19" fillId="15" borderId="45" xfId="6" applyFont="1" applyFill="1" applyBorder="1"/>
    <xf numFmtId="9" fontId="19" fillId="15" borderId="44" xfId="6" applyFont="1" applyFill="1" applyBorder="1"/>
    <xf numFmtId="9" fontId="19" fillId="0" borderId="0" xfId="6" applyFont="1" applyFill="1" applyBorder="1"/>
    <xf numFmtId="9" fontId="19" fillId="0" borderId="3" xfId="6" applyFont="1" applyFill="1" applyBorder="1"/>
    <xf numFmtId="9" fontId="19" fillId="15" borderId="0" xfId="6" applyFont="1" applyFill="1" applyBorder="1"/>
    <xf numFmtId="9" fontId="19" fillId="15" borderId="3" xfId="6" applyFont="1" applyFill="1" applyBorder="1"/>
    <xf numFmtId="9" fontId="19" fillId="15" borderId="5" xfId="6" applyFont="1" applyFill="1" applyBorder="1"/>
    <xf numFmtId="9" fontId="19" fillId="15" borderId="6" xfId="6" applyFont="1" applyFill="1" applyBorder="1"/>
  </cellXfs>
  <cellStyles count="7">
    <cellStyle name="20% - Accent1" xfId="2" builtinId="30"/>
    <cellStyle name="Bad" xfId="1" builtinId="27"/>
    <cellStyle name="Comma" xfId="3" builtinId="3"/>
    <cellStyle name="Currency" xfId="4" builtinId="4"/>
    <cellStyle name="Normal" xfId="0" builtinId="0"/>
    <cellStyle name="Normal 2" xfId="5" xr:uid="{76766C30-5D3D-134C-8739-308B2222240D}"/>
    <cellStyle name="Percent" xfId="6" builtinId="5"/>
  </cellStyles>
  <dxfs count="0"/>
  <tableStyles count="0" defaultTableStyle="TableStyleMedium2" defaultPivotStyle="PivotStyleLight16"/>
  <colors>
    <mruColors>
      <color rgb="FF942092"/>
      <color rgb="FFAB7942"/>
      <color rgb="FFFF40FF"/>
      <color rgb="FFFF9300"/>
      <color rgb="FFFF5757"/>
      <color rgb="FFFF0000"/>
      <color rgb="FF104265"/>
      <color rgb="FF7F7F7F"/>
      <color rgb="FFFED7B6"/>
      <color rgb="FFDAC6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4"/>
          <c:order val="0"/>
          <c:tx>
            <c:strRef>
              <c:f>'Energy Contents Cell'!$S$4</c:f>
              <c:strCache>
                <c:ptCount val="1"/>
                <c:pt idx="0">
                  <c:v>Al-gra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'Energy Contents Cell'!$L$4:$Q$4</c:f>
              <c:numCache>
                <c:formatCode>0</c:formatCode>
                <c:ptCount val="6"/>
                <c:pt idx="0">
                  <c:v>270</c:v>
                </c:pt>
                <c:pt idx="1">
                  <c:v>249.58899688979645</c:v>
                </c:pt>
                <c:pt idx="2">
                  <c:v>109.37076540677818</c:v>
                </c:pt>
                <c:pt idx="3">
                  <c:v>61.220172806355592</c:v>
                </c:pt>
                <c:pt idx="4">
                  <c:v>53.548122541616657</c:v>
                </c:pt>
                <c:pt idx="5">
                  <c:v>52.555193994147949</c:v>
                </c:pt>
              </c:numCache>
            </c:numRef>
          </c:xVal>
          <c:yVal>
            <c:numRef>
              <c:f>'Energy Contents Cell'!$V$4:$AA$4</c:f>
              <c:numCache>
                <c:formatCode>0</c:formatCode>
                <c:ptCount val="6"/>
                <c:pt idx="0">
                  <c:v>594.00000000000011</c:v>
                </c:pt>
                <c:pt idx="1">
                  <c:v>556.89189897513006</c:v>
                </c:pt>
                <c:pt idx="2">
                  <c:v>164.57652152944684</c:v>
                </c:pt>
                <c:pt idx="3">
                  <c:v>82.857392545092779</c:v>
                </c:pt>
                <c:pt idx="4">
                  <c:v>70.941140313927519</c:v>
                </c:pt>
                <c:pt idx="5">
                  <c:v>67.120973895554044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A38-5947-86DC-96393F36CF31}"/>
            </c:ext>
          </c:extLst>
        </c:ser>
        <c:ser>
          <c:idx val="6"/>
          <c:order val="1"/>
          <c:tx>
            <c:strRef>
              <c:f>'Energy Contents Cell'!$S$5</c:f>
              <c:strCache>
                <c:ptCount val="1"/>
                <c:pt idx="0">
                  <c:v>Al-PPQ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'Energy Contents Cell'!$L$5:$Q$5</c:f>
              <c:numCache>
                <c:formatCode>0</c:formatCode>
                <c:ptCount val="6"/>
                <c:pt idx="0">
                  <c:v>313.81394260761073</c:v>
                </c:pt>
                <c:pt idx="1">
                  <c:v>217.97366914710932</c:v>
                </c:pt>
                <c:pt idx="2">
                  <c:v>181.65421691255372</c:v>
                </c:pt>
                <c:pt idx="3">
                  <c:v>147.29448432509344</c:v>
                </c:pt>
                <c:pt idx="4">
                  <c:v>125.65022816382346</c:v>
                </c:pt>
                <c:pt idx="5">
                  <c:v>123.65522124049309</c:v>
                </c:pt>
              </c:numCache>
            </c:numRef>
          </c:xVal>
          <c:yVal>
            <c:numRef>
              <c:f>'Energy Contents Cell'!$V$5:$AA$5</c:f>
              <c:numCache>
                <c:formatCode>0</c:formatCode>
                <c:ptCount val="6"/>
                <c:pt idx="0">
                  <c:v>516.88108744514602</c:v>
                </c:pt>
                <c:pt idx="1">
                  <c:v>361.13804004214961</c:v>
                </c:pt>
                <c:pt idx="2">
                  <c:v>283.01329690398273</c:v>
                </c:pt>
                <c:pt idx="3">
                  <c:v>217.22446939188114</c:v>
                </c:pt>
                <c:pt idx="4">
                  <c:v>195.16639037523163</c:v>
                </c:pt>
                <c:pt idx="5">
                  <c:v>184.65671873466661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A38-5947-86DC-96393F36CF31}"/>
            </c:ext>
          </c:extLst>
        </c:ser>
        <c:ser>
          <c:idx val="5"/>
          <c:order val="2"/>
          <c:tx>
            <c:strRef>
              <c:f>'Energy Contents Cell'!$S$6</c:f>
              <c:strCache>
                <c:ptCount val="1"/>
                <c:pt idx="0">
                  <c:v>Al-PBQS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'Energy Contents Cell'!$L$6:$Q$6</c:f>
              <c:numCache>
                <c:formatCode>0</c:formatCode>
                <c:ptCount val="6"/>
                <c:pt idx="0">
                  <c:v>583.63538141881861</c:v>
                </c:pt>
                <c:pt idx="1">
                  <c:v>417.04459341299912</c:v>
                </c:pt>
                <c:pt idx="2">
                  <c:v>312.4587305965884</c:v>
                </c:pt>
                <c:pt idx="3">
                  <c:v>231.26417825285239</c:v>
                </c:pt>
                <c:pt idx="4">
                  <c:v>200.1627961681551</c:v>
                </c:pt>
                <c:pt idx="5">
                  <c:v>196.88751700393024</c:v>
                </c:pt>
              </c:numCache>
            </c:numRef>
          </c:xVal>
          <c:yVal>
            <c:numRef>
              <c:f>'Energy Contents Cell'!$V$6:$AA$6</c:f>
              <c:numCache>
                <c:formatCode>0</c:formatCode>
                <c:ptCount val="6"/>
                <c:pt idx="0">
                  <c:v>979.78845746582851</c:v>
                </c:pt>
                <c:pt idx="1">
                  <c:v>704.9393410653804</c:v>
                </c:pt>
                <c:pt idx="2">
                  <c:v>479.06645949650465</c:v>
                </c:pt>
                <c:pt idx="3">
                  <c:v>330.7144222894326</c:v>
                </c:pt>
                <c:pt idx="4">
                  <c:v>301.41251468077462</c:v>
                </c:pt>
                <c:pt idx="5">
                  <c:v>285.18151019500465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A38-5947-86DC-96393F36CF31}"/>
            </c:ext>
          </c:extLst>
        </c:ser>
        <c:ser>
          <c:idx val="8"/>
          <c:order val="3"/>
          <c:tx>
            <c:strRef>
              <c:f>'Energy Contents Cell'!$S$9</c:f>
              <c:strCache>
                <c:ptCount val="1"/>
                <c:pt idx="0">
                  <c:v>Al-MnO2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'Energy Contents Cell'!$L$9:$Q$9</c:f>
              <c:numCache>
                <c:formatCode>0</c:formatCode>
                <c:ptCount val="6"/>
                <c:pt idx="0">
                  <c:v>600.00958466453665</c:v>
                </c:pt>
                <c:pt idx="1">
                  <c:v>324.03124541587209</c:v>
                </c:pt>
                <c:pt idx="2">
                  <c:v>297.72358908255711</c:v>
                </c:pt>
                <c:pt idx="3">
                  <c:v>294.14144744243481</c:v>
                </c:pt>
                <c:pt idx="4">
                  <c:v>273.398047816043</c:v>
                </c:pt>
                <c:pt idx="5">
                  <c:v>271.43530953310426</c:v>
                </c:pt>
              </c:numCache>
            </c:numRef>
          </c:xVal>
          <c:yVal>
            <c:numRef>
              <c:f>'Energy Contents Cell'!$V$9:$AA$9</c:f>
              <c:numCache>
                <c:formatCode>0</c:formatCode>
                <c:ptCount val="6"/>
                <c:pt idx="0">
                  <c:v>2704.8364119368798</c:v>
                </c:pt>
                <c:pt idx="1">
                  <c:v>1470.6972529727107</c:v>
                </c:pt>
                <c:pt idx="2">
                  <c:v>1102.2952420921349</c:v>
                </c:pt>
                <c:pt idx="3">
                  <c:v>1062.3772460890279</c:v>
                </c:pt>
                <c:pt idx="4">
                  <c:v>946.25487738771506</c:v>
                </c:pt>
                <c:pt idx="5">
                  <c:v>895.29923881435298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A38-5947-86DC-96393F36CF31}"/>
            </c:ext>
          </c:extLst>
        </c:ser>
        <c:ser>
          <c:idx val="7"/>
          <c:order val="4"/>
          <c:tx>
            <c:strRef>
              <c:f>'Energy Contents Cell'!$S$10</c:f>
              <c:strCache>
                <c:ptCount val="1"/>
                <c:pt idx="0">
                  <c:v>LIB-NMC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'Energy Contents Cell'!$L$10:$Q$10</c:f>
              <c:numCache>
                <c:formatCode>0</c:formatCode>
                <c:ptCount val="6"/>
                <c:pt idx="0">
                  <c:v>621.65734785789266</c:v>
                </c:pt>
                <c:pt idx="1">
                  <c:v>466.90355329949239</c:v>
                </c:pt>
                <c:pt idx="2">
                  <c:v>408.42680139297107</c:v>
                </c:pt>
                <c:pt idx="3">
                  <c:v>400.89535573609299</c:v>
                </c:pt>
                <c:pt idx="4">
                  <c:v>360.23512700547917</c:v>
                </c:pt>
                <c:pt idx="5">
                  <c:v>356.7383808838207</c:v>
                </c:pt>
              </c:numCache>
            </c:numRef>
          </c:xVal>
          <c:yVal>
            <c:numRef>
              <c:f>'Energy Contents Cell'!$V$10:$AA$10</c:f>
              <c:numCache>
                <c:formatCode>0</c:formatCode>
                <c:ptCount val="6"/>
                <c:pt idx="0">
                  <c:v>1956.7879318273235</c:v>
                </c:pt>
                <c:pt idx="1">
                  <c:v>1512.6684350132625</c:v>
                </c:pt>
                <c:pt idx="2">
                  <c:v>1090.9593924446456</c:v>
                </c:pt>
                <c:pt idx="3">
                  <c:v>1047.1691579696123</c:v>
                </c:pt>
                <c:pt idx="4">
                  <c:v>914.44742762524731</c:v>
                </c:pt>
                <c:pt idx="5">
                  <c:v>865.20461395008931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A38-5947-86DC-96393F36CF31}"/>
            </c:ext>
          </c:extLst>
        </c:ser>
        <c:ser>
          <c:idx val="0"/>
          <c:order val="5"/>
          <c:tx>
            <c:strRef>
              <c:f>'Energy Contents Cell'!$I$11</c:f>
              <c:strCache>
                <c:ptCount val="1"/>
                <c:pt idx="0">
                  <c:v>LIB-LFP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'Energy Contents Cell'!$L$11:$Q$11</c:f>
              <c:numCache>
                <c:formatCode>0</c:formatCode>
                <c:ptCount val="6"/>
                <c:pt idx="0">
                  <c:v>455.21601991625647</c:v>
                </c:pt>
                <c:pt idx="1">
                  <c:v>347.10650329877473</c:v>
                </c:pt>
                <c:pt idx="2">
                  <c:v>300.97105504582612</c:v>
                </c:pt>
                <c:pt idx="3">
                  <c:v>295.08784208134597</c:v>
                </c:pt>
                <c:pt idx="4">
                  <c:v>264.11813287450826</c:v>
                </c:pt>
                <c:pt idx="5">
                  <c:v>261.45688979578239</c:v>
                </c:pt>
              </c:numCache>
            </c:numRef>
          </c:xVal>
          <c:yVal>
            <c:numRef>
              <c:f>'Energy Contents Cell'!$V$11:$AA$11</c:f>
              <c:numCache>
                <c:formatCode>0</c:formatCode>
                <c:ptCount val="6"/>
                <c:pt idx="0">
                  <c:v>1350.3190644376975</c:v>
                </c:pt>
                <c:pt idx="1">
                  <c:v>1045.4769589733619</c:v>
                </c:pt>
                <c:pt idx="2">
                  <c:v>754.99239460029128</c:v>
                </c:pt>
                <c:pt idx="3">
                  <c:v>724.78528171062021</c:v>
                </c:pt>
                <c:pt idx="4">
                  <c:v>646.62492274337342</c:v>
                </c:pt>
                <c:pt idx="5">
                  <c:v>611.80429814928846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2E-F14D-BE74-0EA161D36910}"/>
            </c:ext>
          </c:extLst>
        </c:ser>
        <c:ser>
          <c:idx val="9"/>
          <c:order val="6"/>
          <c:tx>
            <c:strRef>
              <c:f>'Energy Contents Cell'!$I$12:$K$12</c:f>
              <c:strCache>
                <c:ptCount val="3"/>
                <c:pt idx="0">
                  <c:v>Li-DIB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'Energy Contents Cell'!$L$12:$Q$12</c:f>
              <c:numCache>
                <c:formatCode>0</c:formatCode>
                <c:ptCount val="6"/>
                <c:pt idx="0">
                  <c:v>457.71177987092477</c:v>
                </c:pt>
                <c:pt idx="1">
                  <c:v>453.6</c:v>
                </c:pt>
                <c:pt idx="2">
                  <c:v>195.82373995264248</c:v>
                </c:pt>
                <c:pt idx="3">
                  <c:v>175.83831522918263</c:v>
                </c:pt>
                <c:pt idx="4">
                  <c:v>152.90354899955108</c:v>
                </c:pt>
                <c:pt idx="5">
                  <c:v>149.76363593685821</c:v>
                </c:pt>
              </c:numCache>
            </c:numRef>
          </c:xVal>
          <c:yVal>
            <c:numRef>
              <c:f>'Energy Contents Cell'!$V$12:$AA$12</c:f>
              <c:numCache>
                <c:formatCode>0</c:formatCode>
                <c:ptCount val="6"/>
                <c:pt idx="0">
                  <c:v>1006.9659157160347</c:v>
                </c:pt>
                <c:pt idx="1">
                  <c:v>997.92000000000007</c:v>
                </c:pt>
                <c:pt idx="2">
                  <c:v>325.2058452596637</c:v>
                </c:pt>
                <c:pt idx="3">
                  <c:v>286.56959701700441</c:v>
                </c:pt>
                <c:pt idx="4">
                  <c:v>182.25779519383647</c:v>
                </c:pt>
                <c:pt idx="5">
                  <c:v>172.4432488585897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A38-5947-86DC-96393F36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51856"/>
        <c:axId val="264137024"/>
      </c:scatterChart>
      <c:valAx>
        <c:axId val="264051856"/>
        <c:scaling>
          <c:orientation val="minMax"/>
          <c:max val="6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Specific energy (Wh/kg)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137024"/>
        <c:crosses val="autoZero"/>
        <c:crossBetween val="midCat"/>
        <c:minorUnit val="50"/>
      </c:valAx>
      <c:valAx>
        <c:axId val="264137024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Energy density (Wh/l)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051856"/>
        <c:crosses val="autoZero"/>
        <c:crossBetween val="midCat"/>
        <c:majorUnit val="500"/>
        <c:minorUnit val="2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Racks (w.o. Cells)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'Mass and Cost System'!$A$34:$A$44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System'!$M$34:$M$44</c:f>
              <c:numCache>
                <c:formatCode>0</c:formatCode>
                <c:ptCount val="11"/>
                <c:pt idx="0">
                  <c:v>12038.090438911697</c:v>
                </c:pt>
                <c:pt idx="1">
                  <c:v>12903.870891252258</c:v>
                </c:pt>
                <c:pt idx="2">
                  <c:v>14410.749918204858</c:v>
                </c:pt>
                <c:pt idx="3">
                  <c:v>13005.454366112994</c:v>
                </c:pt>
                <c:pt idx="4">
                  <c:v>13347.24712861029</c:v>
                </c:pt>
                <c:pt idx="5">
                  <c:v>13716.994842381313</c:v>
                </c:pt>
                <c:pt idx="6">
                  <c:v>15198.678501160462</c:v>
                </c:pt>
                <c:pt idx="7">
                  <c:v>14987.924680963388</c:v>
                </c:pt>
                <c:pt idx="8">
                  <c:v>13434.990759909957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D-AB45-943F-4D6E7700162E}"/>
            </c:ext>
          </c:extLst>
        </c:ser>
        <c:ser>
          <c:idx val="1"/>
          <c:order val="1"/>
          <c:tx>
            <c:v>Cells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'Mass and Cost System'!$A$34:$A$44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System'!$N$34:$N$44</c:f>
              <c:numCache>
                <c:formatCode>0</c:formatCode>
                <c:ptCount val="11"/>
                <c:pt idx="0">
                  <c:v>16935.621960004573</c:v>
                </c:pt>
                <c:pt idx="1">
                  <c:v>19630.570412028708</c:v>
                </c:pt>
                <c:pt idx="2">
                  <c:v>18878.268699390203</c:v>
                </c:pt>
                <c:pt idx="3">
                  <c:v>38668.105031216241</c:v>
                </c:pt>
                <c:pt idx="4">
                  <c:v>35864.022997347405</c:v>
                </c:pt>
                <c:pt idx="5">
                  <c:v>41531.932717396339</c:v>
                </c:pt>
                <c:pt idx="6">
                  <c:v>30809.877217937097</c:v>
                </c:pt>
                <c:pt idx="7">
                  <c:v>29976.459048368437</c:v>
                </c:pt>
                <c:pt idx="8">
                  <c:v>15030.822679230052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7D-AB45-943F-4D6E7700162E}"/>
            </c:ext>
          </c:extLst>
        </c:ser>
        <c:ser>
          <c:idx val="2"/>
          <c:order val="2"/>
          <c:tx>
            <c:v>Structural BOS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'Mass and Cost System'!$A$34:$A$44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System'!$I$34:$I$44</c:f>
              <c:numCache>
                <c:formatCode>0</c:formatCode>
                <c:ptCount val="11"/>
                <c:pt idx="0">
                  <c:v>6200</c:v>
                </c:pt>
                <c:pt idx="1">
                  <c:v>6200</c:v>
                </c:pt>
                <c:pt idx="2">
                  <c:v>6200</c:v>
                </c:pt>
                <c:pt idx="3">
                  <c:v>6200</c:v>
                </c:pt>
                <c:pt idx="4">
                  <c:v>6200</c:v>
                </c:pt>
                <c:pt idx="5">
                  <c:v>6200</c:v>
                </c:pt>
                <c:pt idx="6">
                  <c:v>6200</c:v>
                </c:pt>
                <c:pt idx="7">
                  <c:v>6200</c:v>
                </c:pt>
                <c:pt idx="8">
                  <c:v>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D-AB45-943F-4D6E7700162E}"/>
            </c:ext>
          </c:extLst>
        </c:ser>
        <c:ser>
          <c:idx val="3"/>
          <c:order val="3"/>
          <c:tx>
            <c:v>Electrical BOS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'Mass and Cost System'!$A$34:$A$44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System'!$J$34:$J$44</c:f>
              <c:numCache>
                <c:formatCode>0</c:formatCode>
                <c:ptCount val="11"/>
                <c:pt idx="0">
                  <c:v>158.34168165598291</c:v>
                </c:pt>
                <c:pt idx="1">
                  <c:v>226.50287912446763</c:v>
                </c:pt>
                <c:pt idx="2">
                  <c:v>282.80446673550682</c:v>
                </c:pt>
                <c:pt idx="3">
                  <c:v>211.61179163564614</c:v>
                </c:pt>
                <c:pt idx="4">
                  <c:v>259.93251628292586</c:v>
                </c:pt>
                <c:pt idx="5">
                  <c:v>613.82826282367103</c:v>
                </c:pt>
                <c:pt idx="6">
                  <c:v>600.23599744221303</c:v>
                </c:pt>
                <c:pt idx="7">
                  <c:v>463.11727436005486</c:v>
                </c:pt>
                <c:pt idx="8">
                  <c:v>218.77063902837543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D-AB45-943F-4D6E7700162E}"/>
            </c:ext>
          </c:extLst>
        </c:ser>
        <c:ser>
          <c:idx val="4"/>
          <c:order val="4"/>
          <c:tx>
            <c:v>Power Conversion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'Mass and Cost System'!$A$34:$A$44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System'!$O$34:$O$44</c:f>
              <c:numCache>
                <c:formatCode>0</c:formatCode>
                <c:ptCount val="11"/>
                <c:pt idx="0">
                  <c:v>105.07592540161855</c:v>
                </c:pt>
                <c:pt idx="1">
                  <c:v>286.57071503750211</c:v>
                </c:pt>
                <c:pt idx="2">
                  <c:v>438.80015723924447</c:v>
                </c:pt>
                <c:pt idx="3">
                  <c:v>245.93505402135969</c:v>
                </c:pt>
                <c:pt idx="4">
                  <c:v>377.85702308478272</c:v>
                </c:pt>
                <c:pt idx="5">
                  <c:v>1330.8677862161605</c:v>
                </c:pt>
                <c:pt idx="6">
                  <c:v>1297.556369008717</c:v>
                </c:pt>
                <c:pt idx="7">
                  <c:v>925.26652602715171</c:v>
                </c:pt>
                <c:pt idx="8">
                  <c:v>265.75139683737905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7D-AB45-943F-4D6E77001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063648223"/>
        <c:axId val="2023462543"/>
      </c:barChart>
      <c:catAx>
        <c:axId val="206364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23462543"/>
        <c:crosses val="autoZero"/>
        <c:auto val="1"/>
        <c:lblAlgn val="ctr"/>
        <c:lblOffset val="100"/>
        <c:noMultiLvlLbl val="0"/>
      </c:catAx>
      <c:valAx>
        <c:axId val="2023462543"/>
        <c:scaling>
          <c:orientation val="minMax"/>
          <c:max val="7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63648223"/>
        <c:crosses val="autoZero"/>
        <c:crossBetween val="between"/>
        <c:majorUnit val="20000"/>
        <c:min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'Mass and Cost System'!$A$34:$A$42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System'!$C$34:$C$42</c:f>
              <c:numCache>
                <c:formatCode>0.0</c:formatCode>
                <c:ptCount val="9"/>
                <c:pt idx="0">
                  <c:v>5.2480659102354661</c:v>
                </c:pt>
                <c:pt idx="1">
                  <c:v>12.932100042432957</c:v>
                </c:pt>
                <c:pt idx="2">
                  <c:v>19.320285989249594</c:v>
                </c:pt>
                <c:pt idx="3">
                  <c:v>7.0038677817690038</c:v>
                </c:pt>
                <c:pt idx="4">
                  <c:v>11.233087778688583</c:v>
                </c:pt>
                <c:pt idx="5">
                  <c:v>35.310224393731751</c:v>
                </c:pt>
                <c:pt idx="6">
                  <c:v>41.234446635081277</c:v>
                </c:pt>
                <c:pt idx="7">
                  <c:v>30.145416931650455</c:v>
                </c:pt>
                <c:pt idx="8">
                  <c:v>13.707410334757203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7-6A42-AAEF-B26AD91E4ECD}"/>
            </c:ext>
          </c:extLst>
        </c:ser>
        <c:ser>
          <c:idx val="2"/>
          <c:order val="1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'Mass and Cost System'!$A$34:$A$42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System'!$B$34:$B$42</c:f>
              <c:numCache>
                <c:formatCode>0.0</c:formatCode>
                <c:ptCount val="9"/>
                <c:pt idx="0">
                  <c:v>2.130093425332384</c:v>
                </c:pt>
                <c:pt idx="1">
                  <c:v>5.8939661215450876</c:v>
                </c:pt>
                <c:pt idx="2">
                  <c:v>9.0096883586355663</c:v>
                </c:pt>
                <c:pt idx="3">
                  <c:v>5.0699250963832165</c:v>
                </c:pt>
                <c:pt idx="4">
                  <c:v>7.7438860380277603</c:v>
                </c:pt>
                <c:pt idx="5">
                  <c:v>27.328736681291375</c:v>
                </c:pt>
                <c:pt idx="6">
                  <c:v>26.576268165760755</c:v>
                </c:pt>
                <c:pt idx="7">
                  <c:v>18.988259863682547</c:v>
                </c:pt>
                <c:pt idx="8">
                  <c:v>5.4660580388573541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7-6A42-AAEF-B26AD91E4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07599"/>
        <c:axId val="1098513647"/>
      </c:lineChart>
      <c:catAx>
        <c:axId val="66207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98513647"/>
        <c:crosses val="autoZero"/>
        <c:auto val="1"/>
        <c:lblAlgn val="ctr"/>
        <c:lblOffset val="100"/>
        <c:noMultiLvlLbl val="0"/>
      </c:catAx>
      <c:valAx>
        <c:axId val="109851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racks per container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620759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CAPEX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System'!$P$91:$P$99</c:f>
              <c:numCache>
                <c:formatCode>0.000</c:formatCode>
                <c:ptCount val="9"/>
                <c:pt idx="0">
                  <c:v>6.6638398382219119E-2</c:v>
                </c:pt>
                <c:pt idx="1">
                  <c:v>3.758164913275916E-2</c:v>
                </c:pt>
                <c:pt idx="2">
                  <c:v>3.0240909547462506E-2</c:v>
                </c:pt>
                <c:pt idx="3">
                  <c:v>4.943503114660696E-2</c:v>
                </c:pt>
                <c:pt idx="4">
                  <c:v>5.9371974868366435E-2</c:v>
                </c:pt>
                <c:pt idx="5">
                  <c:v>2.5080796571033497E-2</c:v>
                </c:pt>
                <c:pt idx="6">
                  <c:v>2.9749192688798297E-2</c:v>
                </c:pt>
                <c:pt idx="7">
                  <c:v>2.9055774182066185E-2</c:v>
                </c:pt>
                <c:pt idx="8">
                  <c:v>4.8262065903282414E-2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5-C44C-A7A4-5D3EF8C5A404}"/>
            </c:ext>
          </c:extLst>
        </c:ser>
        <c:ser>
          <c:idx val="1"/>
          <c:order val="1"/>
          <c:tx>
            <c:v>OPEX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'Mass and Cost System'!$S$91:$S$99</c:f>
                <c:numCache>
                  <c:formatCode>General</c:formatCode>
                  <c:ptCount val="9"/>
                  <c:pt idx="0">
                    <c:v>1.8069429745565659E-2</c:v>
                  </c:pt>
                  <c:pt idx="1">
                    <c:v>1.8069429745565659E-2</c:v>
                  </c:pt>
                  <c:pt idx="2">
                    <c:v>1.8069429745565659E-2</c:v>
                  </c:pt>
                  <c:pt idx="3">
                    <c:v>4.0656216927522734E-2</c:v>
                  </c:pt>
                  <c:pt idx="4">
                    <c:v>2.5019210416937061E-2</c:v>
                  </c:pt>
                  <c:pt idx="5">
                    <c:v>2.3232123958584424E-2</c:v>
                  </c:pt>
                  <c:pt idx="6">
                    <c:v>1.7300517841499042E-2</c:v>
                  </c:pt>
                  <c:pt idx="7">
                    <c:v>1.6940090386467807E-2</c:v>
                  </c:pt>
                  <c:pt idx="8">
                    <c:v>1.6940090386467807E-2</c:v>
                  </c:pt>
                </c:numCache>
              </c:numRef>
            </c:plus>
            <c:minus>
              <c:numRef>
                <c:f>'Mass and Cost System'!$S$91:$S$99</c:f>
                <c:numCache>
                  <c:formatCode>General</c:formatCode>
                  <c:ptCount val="9"/>
                  <c:pt idx="0">
                    <c:v>1.8069429745565659E-2</c:v>
                  </c:pt>
                  <c:pt idx="1">
                    <c:v>1.8069429745565659E-2</c:v>
                  </c:pt>
                  <c:pt idx="2">
                    <c:v>1.8069429745565659E-2</c:v>
                  </c:pt>
                  <c:pt idx="3">
                    <c:v>4.0656216927522734E-2</c:v>
                  </c:pt>
                  <c:pt idx="4">
                    <c:v>2.5019210416937061E-2</c:v>
                  </c:pt>
                  <c:pt idx="5">
                    <c:v>2.3232123958584424E-2</c:v>
                  </c:pt>
                  <c:pt idx="6">
                    <c:v>1.7300517841499042E-2</c:v>
                  </c:pt>
                  <c:pt idx="7">
                    <c:v>1.6940090386467807E-2</c:v>
                  </c:pt>
                  <c:pt idx="8">
                    <c:v>1.6940090386467807E-2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System'!$O$91:$O$99</c:f>
              <c:numCache>
                <c:formatCode>0.000</c:formatCode>
                <c:ptCount val="9"/>
                <c:pt idx="0">
                  <c:v>4.3227900587021729E-2</c:v>
                </c:pt>
                <c:pt idx="1">
                  <c:v>4.3227900587021729E-2</c:v>
                </c:pt>
                <c:pt idx="2">
                  <c:v>4.3227900587021729E-2</c:v>
                </c:pt>
                <c:pt idx="3">
                  <c:v>8.8401474950935879E-2</c:v>
                </c:pt>
                <c:pt idx="4">
                  <c:v>5.7127461929764534E-2</c:v>
                </c:pt>
                <c:pt idx="5">
                  <c:v>5.3553289013059259E-2</c:v>
                </c:pt>
                <c:pt idx="6">
                  <c:v>4.1690076778888495E-2</c:v>
                </c:pt>
                <c:pt idx="7">
                  <c:v>4.0969221868826025E-2</c:v>
                </c:pt>
                <c:pt idx="8">
                  <c:v>4.0969221868826025E-2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15-C44C-A7A4-5D3EF8C5A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063648223"/>
        <c:axId val="2023462543"/>
      </c:barChart>
      <c:catAx>
        <c:axId val="206364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23462543"/>
        <c:crosses val="autoZero"/>
        <c:auto val="1"/>
        <c:lblAlgn val="ctr"/>
        <c:lblOffset val="100"/>
        <c:noMultiLvlLbl val="0"/>
      </c:catAx>
      <c:valAx>
        <c:axId val="2023462543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Levelised</a:t>
                </a:r>
                <a:r>
                  <a:rPr lang="en-US" baseline="0"/>
                  <a:t> c</a:t>
                </a:r>
                <a:r>
                  <a:rPr lang="en-US"/>
                  <a:t>ost</a:t>
                </a:r>
                <a:r>
                  <a:rPr lang="en-US" baseline="0"/>
                  <a:t> of storage</a:t>
                </a:r>
                <a:r>
                  <a:rPr lang="en-US"/>
                  <a:t> ($/kWh/cycle)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63648223"/>
        <c:crosses val="autoZero"/>
        <c:crossBetween val="between"/>
        <c:majorUnit val="5.000000000000001E-2"/>
        <c:minorUnit val="1.0000000000000002E-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4"/>
          <c:order val="0"/>
          <c:tx>
            <c:strRef>
              <c:f>'Energy Contents Cell'!$S$4</c:f>
              <c:strCache>
                <c:ptCount val="1"/>
                <c:pt idx="0">
                  <c:v>Al-gra</c:v>
                </c:pt>
              </c:strCache>
            </c:strRef>
          </c:tx>
          <c:spPr>
            <a:ln w="28575" cap="rnd">
              <a:solidFill>
                <a:srgbClr val="AB794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B7942"/>
              </a:solidFill>
              <a:ln w="38100">
                <a:solidFill>
                  <a:srgbClr val="AB7942"/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rgbClr val="AB7942"/>
                </a:solidFill>
                <a:ln w="38100">
                  <a:solidFill>
                    <a:srgbClr val="AB794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BE11-6844-AB0F-C29EC78A439D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rgbClr val="AB7942"/>
                </a:solidFill>
                <a:ln w="38100">
                  <a:solidFill>
                    <a:srgbClr val="AB794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BE11-6844-AB0F-C29EC78A439D}"/>
              </c:ext>
            </c:extLst>
          </c:dPt>
          <c:xVal>
            <c:numRef>
              <c:f>'Mass and Cost System'!$L$4:$N$4</c:f>
              <c:numCache>
                <c:formatCode>0</c:formatCode>
                <c:ptCount val="3"/>
                <c:pt idx="0">
                  <c:v>249.58899688979645</c:v>
                </c:pt>
                <c:pt idx="1">
                  <c:v>61.220172806355592</c:v>
                </c:pt>
                <c:pt idx="2">
                  <c:v>52.555193994147949</c:v>
                </c:pt>
              </c:numCache>
            </c:numRef>
          </c:xVal>
          <c:yVal>
            <c:numRef>
              <c:f>'Mass and Cost System'!$X$4:$Z$4</c:f>
              <c:numCache>
                <c:formatCode>0</c:formatCode>
                <c:ptCount val="3"/>
                <c:pt idx="0">
                  <c:v>556.89189897513006</c:v>
                </c:pt>
                <c:pt idx="1">
                  <c:v>82.857392545092779</c:v>
                </c:pt>
                <c:pt idx="2">
                  <c:v>67.120973895554044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11-6844-AB0F-C29EC78A439D}"/>
            </c:ext>
          </c:extLst>
        </c:ser>
        <c:ser>
          <c:idx val="6"/>
          <c:order val="1"/>
          <c:tx>
            <c:strRef>
              <c:f>'Energy Contents Cell'!$S$5</c:f>
              <c:strCache>
                <c:ptCount val="1"/>
                <c:pt idx="0">
                  <c:v>Al-PPQ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38100">
                <a:solidFill>
                  <a:srgbClr val="FFC000"/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rgbClr val="FFC000"/>
                </a:solidFill>
                <a:ln w="38100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BE11-6844-AB0F-C29EC78A439D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rgbClr val="FFC000"/>
                </a:solidFill>
                <a:ln w="38100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BE11-6844-AB0F-C29EC78A439D}"/>
              </c:ext>
            </c:extLst>
          </c:dPt>
          <c:xVal>
            <c:numRef>
              <c:f>'Mass and Cost System'!$L$5:$N$5</c:f>
              <c:numCache>
                <c:formatCode>0</c:formatCode>
                <c:ptCount val="3"/>
                <c:pt idx="0">
                  <c:v>217.97366914710932</c:v>
                </c:pt>
                <c:pt idx="1">
                  <c:v>147.29448432509344</c:v>
                </c:pt>
                <c:pt idx="2">
                  <c:v>123.65522124049309</c:v>
                </c:pt>
              </c:numCache>
            </c:numRef>
          </c:xVal>
          <c:yVal>
            <c:numRef>
              <c:f>'Mass and Cost System'!$X$5:$Z$5</c:f>
              <c:numCache>
                <c:formatCode>0</c:formatCode>
                <c:ptCount val="3"/>
                <c:pt idx="0">
                  <c:v>361.13804004214961</c:v>
                </c:pt>
                <c:pt idx="1">
                  <c:v>217.22446939188114</c:v>
                </c:pt>
                <c:pt idx="2">
                  <c:v>184.65671873466661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11-6844-AB0F-C29EC78A439D}"/>
            </c:ext>
          </c:extLst>
        </c:ser>
        <c:ser>
          <c:idx val="5"/>
          <c:order val="2"/>
          <c:tx>
            <c:strRef>
              <c:f>'Energy Contents Cell'!$S$6</c:f>
              <c:strCache>
                <c:ptCount val="1"/>
                <c:pt idx="0">
                  <c:v>Al-PBQS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38100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chemeClr val="accent6"/>
                </a:solidFill>
                <a:ln w="38100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BE11-6844-AB0F-C29EC78A439D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chemeClr val="accent6"/>
                </a:solidFill>
                <a:ln w="38100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BE11-6844-AB0F-C29EC78A439D}"/>
              </c:ext>
            </c:extLst>
          </c:dPt>
          <c:xVal>
            <c:numRef>
              <c:f>'Mass and Cost System'!$L$6:$N$6</c:f>
              <c:numCache>
                <c:formatCode>0</c:formatCode>
                <c:ptCount val="3"/>
                <c:pt idx="0">
                  <c:v>417.04459341299912</c:v>
                </c:pt>
                <c:pt idx="1">
                  <c:v>231.26417825285239</c:v>
                </c:pt>
                <c:pt idx="2">
                  <c:v>196.88751700393024</c:v>
                </c:pt>
              </c:numCache>
            </c:numRef>
          </c:xVal>
          <c:yVal>
            <c:numRef>
              <c:f>'Mass and Cost System'!$X$6:$Z$6</c:f>
              <c:numCache>
                <c:formatCode>0</c:formatCode>
                <c:ptCount val="3"/>
                <c:pt idx="0">
                  <c:v>704.9393410653804</c:v>
                </c:pt>
                <c:pt idx="1">
                  <c:v>330.7144222894326</c:v>
                </c:pt>
                <c:pt idx="2">
                  <c:v>285.18151019500465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E11-6844-AB0F-C29EC78A439D}"/>
            </c:ext>
          </c:extLst>
        </c:ser>
        <c:ser>
          <c:idx val="25"/>
          <c:order val="3"/>
          <c:tx>
            <c:v>Al-TiO2</c:v>
          </c:tx>
          <c:spPr>
            <a:ln w="28575" cap="rnd">
              <a:solidFill>
                <a:srgbClr val="FF4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40FF"/>
              </a:solidFill>
              <a:ln w="38100">
                <a:solidFill>
                  <a:srgbClr val="FF40FF"/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rgbClr val="FF40FF"/>
                </a:solidFill>
                <a:ln w="38100">
                  <a:solidFill>
                    <a:srgbClr val="FF40F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BE11-6844-AB0F-C29EC78A439D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rgbClr val="FF40FF"/>
                </a:solidFill>
                <a:ln w="38100">
                  <a:solidFill>
                    <a:srgbClr val="FF40F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BE11-6844-AB0F-C29EC78A439D}"/>
              </c:ext>
            </c:extLst>
          </c:dPt>
          <c:xVal>
            <c:numRef>
              <c:f>'Mass and Cost System'!$L$7:$N$7</c:f>
              <c:numCache>
                <c:formatCode>0</c:formatCode>
                <c:ptCount val="3"/>
                <c:pt idx="0">
                  <c:v>66.707692307692312</c:v>
                </c:pt>
                <c:pt idx="1">
                  <c:v>59.088633940368901</c:v>
                </c:pt>
                <c:pt idx="2">
                  <c:v>53.874234942674377</c:v>
                </c:pt>
              </c:numCache>
            </c:numRef>
          </c:xVal>
          <c:yVal>
            <c:numRef>
              <c:f>'Mass and Cost System'!$X$7:$Z$7</c:f>
              <c:numCache>
                <c:formatCode>0</c:formatCode>
                <c:ptCount val="3"/>
                <c:pt idx="0">
                  <c:v>274.02931069609508</c:v>
                </c:pt>
                <c:pt idx="1">
                  <c:v>190.11264622547904</c:v>
                </c:pt>
                <c:pt idx="2">
                  <c:v>158.72103684516335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E11-6844-AB0F-C29EC78A439D}"/>
            </c:ext>
          </c:extLst>
        </c:ser>
        <c:ser>
          <c:idx val="26"/>
          <c:order val="4"/>
          <c:tx>
            <c:v>Al-V2C</c:v>
          </c:tx>
          <c:spPr>
            <a:ln w="28575" cap="rnd">
              <a:solidFill>
                <a:srgbClr val="FF93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300"/>
              </a:solidFill>
              <a:ln w="38100">
                <a:solidFill>
                  <a:srgbClr val="FF9300"/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rgbClr val="FF9300"/>
                </a:solidFill>
                <a:ln w="38100">
                  <a:solidFill>
                    <a:srgbClr val="FF93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BE11-6844-AB0F-C29EC78A439D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rgbClr val="FF9300"/>
                </a:solidFill>
                <a:ln w="38100">
                  <a:solidFill>
                    <a:srgbClr val="FF93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BE11-6844-AB0F-C29EC78A439D}"/>
              </c:ext>
            </c:extLst>
          </c:dPt>
          <c:xVal>
            <c:numRef>
              <c:f>'Mass and Cost System'!$L$8:$N$8</c:f>
              <c:numCache>
                <c:formatCode>0</c:formatCode>
                <c:ptCount val="3"/>
                <c:pt idx="0">
                  <c:v>111.72281836831307</c:v>
                </c:pt>
                <c:pt idx="1">
                  <c:v>98.176178833193333</c:v>
                </c:pt>
                <c:pt idx="2">
                  <c:v>89.244624190709118</c:v>
                </c:pt>
              </c:numCache>
            </c:numRef>
          </c:xVal>
          <c:yVal>
            <c:numRef>
              <c:f>'Mass and Cost System'!$X$8:$Z$8</c:f>
              <c:numCache>
                <c:formatCode>0</c:formatCode>
                <c:ptCount val="3"/>
                <c:pt idx="0">
                  <c:v>424.55300855927419</c:v>
                </c:pt>
                <c:pt idx="1">
                  <c:v>295.45374948692358</c:v>
                </c:pt>
                <c:pt idx="2">
                  <c:v>248.19213824733237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E11-6844-AB0F-C29EC78A439D}"/>
            </c:ext>
          </c:extLst>
        </c:ser>
        <c:ser>
          <c:idx val="8"/>
          <c:order val="5"/>
          <c:tx>
            <c:strRef>
              <c:f>'Energy Contents Cell'!$S$9</c:f>
              <c:strCache>
                <c:ptCount val="1"/>
                <c:pt idx="0">
                  <c:v>Al-MnO2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38100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chemeClr val="accent3">
                    <a:lumMod val="60000"/>
                  </a:schemeClr>
                </a:solidFill>
                <a:ln w="38100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BE11-6844-AB0F-C29EC78A439D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chemeClr val="accent3">
                    <a:lumMod val="60000"/>
                  </a:schemeClr>
                </a:solidFill>
                <a:ln w="38100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BE11-6844-AB0F-C29EC78A439D}"/>
              </c:ext>
            </c:extLst>
          </c:dPt>
          <c:xVal>
            <c:numRef>
              <c:f>'Mass and Cost System'!$L$9:$N$9</c:f>
              <c:numCache>
                <c:formatCode>0</c:formatCode>
                <c:ptCount val="3"/>
                <c:pt idx="0">
                  <c:v>324.03124541587209</c:v>
                </c:pt>
                <c:pt idx="1">
                  <c:v>294.14144744243481</c:v>
                </c:pt>
                <c:pt idx="2">
                  <c:v>271.43530953310426</c:v>
                </c:pt>
              </c:numCache>
            </c:numRef>
          </c:xVal>
          <c:yVal>
            <c:numRef>
              <c:f>'Mass and Cost System'!$X$9:$Z$9</c:f>
              <c:numCache>
                <c:formatCode>0</c:formatCode>
                <c:ptCount val="3"/>
                <c:pt idx="0">
                  <c:v>1470.6972529727107</c:v>
                </c:pt>
                <c:pt idx="1">
                  <c:v>1062.3772460890279</c:v>
                </c:pt>
                <c:pt idx="2">
                  <c:v>895.29923881435298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E11-6844-AB0F-C29EC78A439D}"/>
            </c:ext>
          </c:extLst>
        </c:ser>
        <c:ser>
          <c:idx val="7"/>
          <c:order val="6"/>
          <c:tx>
            <c:strRef>
              <c:f>'Energy Contents Cell'!$S$10</c:f>
              <c:strCache>
                <c:ptCount val="1"/>
                <c:pt idx="0">
                  <c:v>LIB-NMC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38100">
                <a:solidFill>
                  <a:srgbClr val="FF0000"/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rgbClr val="FF0000"/>
                </a:solidFill>
                <a:ln w="3810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BE11-6844-AB0F-C29EC78A439D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rgbClr val="FF0000"/>
                </a:solidFill>
                <a:ln w="3810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BE11-6844-AB0F-C29EC78A439D}"/>
              </c:ext>
            </c:extLst>
          </c:dPt>
          <c:xVal>
            <c:numRef>
              <c:f>'Mass and Cost System'!$L$10:$N$10</c:f>
              <c:numCache>
                <c:formatCode>0</c:formatCode>
                <c:ptCount val="3"/>
                <c:pt idx="0">
                  <c:v>466.90355329949239</c:v>
                </c:pt>
                <c:pt idx="1">
                  <c:v>400.89535573609299</c:v>
                </c:pt>
                <c:pt idx="2">
                  <c:v>356.7383808838207</c:v>
                </c:pt>
              </c:numCache>
            </c:numRef>
          </c:xVal>
          <c:yVal>
            <c:numRef>
              <c:f>'Mass and Cost System'!$X$10:$Z$10</c:f>
              <c:numCache>
                <c:formatCode>0</c:formatCode>
                <c:ptCount val="3"/>
                <c:pt idx="0">
                  <c:v>1512.6684350132625</c:v>
                </c:pt>
                <c:pt idx="1">
                  <c:v>1047.1691579696123</c:v>
                </c:pt>
                <c:pt idx="2">
                  <c:v>865.20461395008931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E11-6844-AB0F-C29EC78A439D}"/>
            </c:ext>
          </c:extLst>
        </c:ser>
        <c:ser>
          <c:idx val="0"/>
          <c:order val="7"/>
          <c:tx>
            <c:strRef>
              <c:f>'Energy Contents Cell'!$I$11</c:f>
              <c:strCache>
                <c:ptCount val="1"/>
                <c:pt idx="0">
                  <c:v>LIB-LFP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38100">
                <a:solidFill>
                  <a:srgbClr val="7030A0"/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rgbClr val="7030A0"/>
                </a:solidFill>
                <a:ln w="38100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BE11-6844-AB0F-C29EC78A439D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rgbClr val="7030A0"/>
                </a:solidFill>
                <a:ln w="38100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BE11-6844-AB0F-C29EC78A439D}"/>
              </c:ext>
            </c:extLst>
          </c:dPt>
          <c:xVal>
            <c:numRef>
              <c:f>'Mass and Cost System'!$L$11:$N$11</c:f>
              <c:numCache>
                <c:formatCode>0</c:formatCode>
                <c:ptCount val="3"/>
                <c:pt idx="0">
                  <c:v>347.10650329877473</c:v>
                </c:pt>
                <c:pt idx="1">
                  <c:v>295.08784208134597</c:v>
                </c:pt>
                <c:pt idx="2">
                  <c:v>261.45688979578239</c:v>
                </c:pt>
              </c:numCache>
            </c:numRef>
          </c:xVal>
          <c:yVal>
            <c:numRef>
              <c:f>'Mass and Cost System'!$X$11:$Z$11</c:f>
              <c:numCache>
                <c:formatCode>0</c:formatCode>
                <c:ptCount val="3"/>
                <c:pt idx="0">
                  <c:v>1045.4769589733619</c:v>
                </c:pt>
                <c:pt idx="1">
                  <c:v>724.78528171062021</c:v>
                </c:pt>
                <c:pt idx="2">
                  <c:v>611.80429814928846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E11-6844-AB0F-C29EC78A439D}"/>
            </c:ext>
          </c:extLst>
        </c:ser>
        <c:ser>
          <c:idx val="9"/>
          <c:order val="8"/>
          <c:tx>
            <c:strRef>
              <c:f>'Energy Contents Cell'!$I$12:$K$12</c:f>
              <c:strCache>
                <c:ptCount val="3"/>
                <c:pt idx="0">
                  <c:v>Li-DIB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38100">
                <a:solidFill>
                  <a:srgbClr val="0070C0"/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rgbClr val="0070C0"/>
                </a:solidFill>
                <a:ln w="38100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BE11-6844-AB0F-C29EC78A439D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rgbClr val="0070C0"/>
                </a:solidFill>
                <a:ln w="38100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BE11-6844-AB0F-C29EC78A439D}"/>
              </c:ext>
            </c:extLst>
          </c:dPt>
          <c:xVal>
            <c:numRef>
              <c:f>'Mass and Cost System'!$L$12:$N$12</c:f>
              <c:numCache>
                <c:formatCode>0</c:formatCode>
                <c:ptCount val="3"/>
                <c:pt idx="0">
                  <c:v>453.6</c:v>
                </c:pt>
                <c:pt idx="1">
                  <c:v>175.83831522918263</c:v>
                </c:pt>
                <c:pt idx="2">
                  <c:v>149.76363593685821</c:v>
                </c:pt>
              </c:numCache>
            </c:numRef>
          </c:xVal>
          <c:yVal>
            <c:numRef>
              <c:f>'Mass and Cost System'!$X$12:$Z$12</c:f>
              <c:numCache>
                <c:formatCode>0</c:formatCode>
                <c:ptCount val="3"/>
                <c:pt idx="0">
                  <c:v>997.92000000000007</c:v>
                </c:pt>
                <c:pt idx="1">
                  <c:v>286.56959701700441</c:v>
                </c:pt>
                <c:pt idx="2">
                  <c:v>172.4432488585897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E11-6844-AB0F-C29EC78A439D}"/>
            </c:ext>
          </c:extLst>
        </c:ser>
        <c:ser>
          <c:idx val="16"/>
          <c:order val="9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19050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'Cell Properties'!$K$21</c:f>
              <c:numCache>
                <c:formatCode>0</c:formatCode>
                <c:ptCount val="1"/>
                <c:pt idx="0">
                  <c:v>71.546356077159601</c:v>
                </c:pt>
              </c:numCache>
            </c:numRef>
          </c:xVal>
          <c:yVal>
            <c:numRef>
              <c:f>'Cell Properties'!$L$21</c:f>
              <c:numCache>
                <c:formatCode>0</c:formatCode>
                <c:ptCount val="1"/>
                <c:pt idx="0">
                  <c:v>97.612952278175968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E11-6844-AB0F-C29EC78A439D}"/>
            </c:ext>
          </c:extLst>
        </c:ser>
        <c:ser>
          <c:idx val="17"/>
          <c:order val="10"/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19050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'Cell Properties'!$K$22</c:f>
              <c:numCache>
                <c:formatCode>0</c:formatCode>
                <c:ptCount val="1"/>
                <c:pt idx="0">
                  <c:v>159.33582574231045</c:v>
                </c:pt>
              </c:numCache>
            </c:numRef>
          </c:xVal>
          <c:yVal>
            <c:numRef>
              <c:f>'Cell Properties'!$L$22</c:f>
              <c:numCache>
                <c:formatCode>0</c:formatCode>
                <c:ptCount val="1"/>
                <c:pt idx="0">
                  <c:v>229.63728302528318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BE11-6844-AB0F-C29EC78A439D}"/>
            </c:ext>
          </c:extLst>
        </c:ser>
        <c:ser>
          <c:idx val="18"/>
          <c:order val="11"/>
          <c:spPr>
            <a:ln w="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'Cell Properties'!$K$23</c:f>
              <c:numCache>
                <c:formatCode>0</c:formatCode>
                <c:ptCount val="1"/>
                <c:pt idx="0">
                  <c:v>256.51492492672133</c:v>
                </c:pt>
              </c:numCache>
            </c:numRef>
          </c:xVal>
          <c:yVal>
            <c:numRef>
              <c:f>'Cell Properties'!$L$23</c:f>
              <c:numCache>
                <c:formatCode>0</c:formatCode>
                <c:ptCount val="1"/>
                <c:pt idx="0">
                  <c:v>355.28445423841941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BE11-6844-AB0F-C29EC78A439D}"/>
            </c:ext>
          </c:extLst>
        </c:ser>
        <c:ser>
          <c:idx val="19"/>
          <c:order val="12"/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x"/>
            <c:size val="6"/>
            <c:spPr>
              <a:noFill/>
              <a:ln w="19050">
                <a:solidFill>
                  <a:srgbClr val="942092"/>
                </a:solidFill>
              </a:ln>
              <a:effectLst/>
            </c:spPr>
          </c:marker>
          <c:xVal>
            <c:numRef>
              <c:f>'Cell Properties'!$K$24</c:f>
              <c:numCache>
                <c:formatCode>0</c:formatCode>
                <c:ptCount val="1"/>
                <c:pt idx="0">
                  <c:v>67.894661921708177</c:v>
                </c:pt>
              </c:numCache>
            </c:numRef>
          </c:xVal>
          <c:yVal>
            <c:numRef>
              <c:f>'Cell Properties'!$L$24</c:f>
              <c:numCache>
                <c:formatCode>0</c:formatCode>
                <c:ptCount val="1"/>
                <c:pt idx="0">
                  <c:v>281.51732093023259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BE11-6844-AB0F-C29EC78A439D}"/>
            </c:ext>
          </c:extLst>
        </c:ser>
        <c:ser>
          <c:idx val="20"/>
          <c:order val="13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19050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'Cell Properties'!$K$25</c:f>
              <c:numCache>
                <c:formatCode>0</c:formatCode>
                <c:ptCount val="1"/>
                <c:pt idx="0">
                  <c:v>113.97094333547972</c:v>
                </c:pt>
              </c:numCache>
            </c:numRef>
          </c:xVal>
          <c:yVal>
            <c:numRef>
              <c:f>'Cell Properties'!$L$25</c:f>
              <c:numCache>
                <c:formatCode>0</c:formatCode>
                <c:ptCount val="1"/>
                <c:pt idx="0">
                  <c:v>436.67606048358755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BE11-6844-AB0F-C29EC78A439D}"/>
            </c:ext>
          </c:extLst>
        </c:ser>
        <c:ser>
          <c:idx val="21"/>
          <c:order val="14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x"/>
              <c:size val="6"/>
              <c:spPr>
                <a:noFill/>
                <a:ln w="19050">
                  <a:solidFill>
                    <a:schemeClr val="bg2">
                      <a:lumMod val="2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E11-6844-AB0F-C29EC78A439D}"/>
              </c:ext>
            </c:extLst>
          </c:dPt>
          <c:xVal>
            <c:numRef>
              <c:f>'Cell Properties'!$K$26</c:f>
              <c:numCache>
                <c:formatCode>0</c:formatCode>
                <c:ptCount val="1"/>
                <c:pt idx="0">
                  <c:v>338.1691671769749</c:v>
                </c:pt>
              </c:numCache>
            </c:numRef>
          </c:xVal>
          <c:yVal>
            <c:numRef>
              <c:f>'Cell Properties'!$L$26</c:f>
              <c:numCache>
                <c:formatCode>0</c:formatCode>
                <c:ptCount val="1"/>
                <c:pt idx="0">
                  <c:v>1576.5270254997863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BE11-6844-AB0F-C29EC78A439D}"/>
            </c:ext>
          </c:extLst>
        </c:ser>
        <c:ser>
          <c:idx val="22"/>
          <c:order val="15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xVal>
            <c:numRef>
              <c:f>'Cell Properties'!$K$27</c:f>
              <c:numCache>
                <c:formatCode>0</c:formatCode>
                <c:ptCount val="1"/>
                <c:pt idx="0">
                  <c:v>489.92783505154637</c:v>
                </c:pt>
              </c:numCache>
            </c:numRef>
          </c:xVal>
          <c:yVal>
            <c:numRef>
              <c:f>'Cell Properties'!$L$27</c:f>
              <c:numCache>
                <c:formatCode>0</c:formatCode>
                <c:ptCount val="1"/>
                <c:pt idx="0">
                  <c:v>1625.1388601036272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BE11-6844-AB0F-C29EC78A439D}"/>
            </c:ext>
          </c:extLst>
        </c:ser>
        <c:ser>
          <c:idx val="23"/>
          <c:order val="16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19050">
                <a:solidFill>
                  <a:srgbClr val="7030A0"/>
                </a:solidFill>
              </a:ln>
              <a:effectLst/>
            </c:spPr>
          </c:marker>
          <c:xVal>
            <c:numRef>
              <c:f>'Cell Properties'!$K$28</c:f>
              <c:numCache>
                <c:formatCode>0</c:formatCode>
                <c:ptCount val="1"/>
                <c:pt idx="0">
                  <c:v>369.20300751879699</c:v>
                </c:pt>
              </c:numCache>
            </c:numRef>
          </c:xVal>
          <c:yVal>
            <c:numRef>
              <c:f>'Cell Properties'!$L$28</c:f>
              <c:numCache>
                <c:formatCode>0</c:formatCode>
                <c:ptCount val="1"/>
                <c:pt idx="0">
                  <c:v>1124.6580718767825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BE11-6844-AB0F-C29EC78A439D}"/>
            </c:ext>
          </c:extLst>
        </c:ser>
        <c:ser>
          <c:idx val="24"/>
          <c:order val="17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xVal>
            <c:numRef>
              <c:f>'Cell Properties'!$K$29</c:f>
              <c:numCache>
                <c:formatCode>0</c:formatCode>
                <c:ptCount val="1"/>
                <c:pt idx="0">
                  <c:v>222.74943602327144</c:v>
                </c:pt>
              </c:numCache>
            </c:numRef>
          </c:xVal>
          <c:yVal>
            <c:numRef>
              <c:f>'Cell Properties'!$L$29</c:f>
              <c:numCache>
                <c:formatCode>0</c:formatCode>
                <c:ptCount val="1"/>
                <c:pt idx="0">
                  <c:v>357.85961599599233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BE11-6844-AB0F-C29EC78A4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51856"/>
        <c:axId val="264137024"/>
      </c:scatterChart>
      <c:valAx>
        <c:axId val="264051856"/>
        <c:scaling>
          <c:orientation val="minMax"/>
          <c:max val="6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Specific energy (Wh/kg)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137024"/>
        <c:crosses val="autoZero"/>
        <c:crossBetween val="midCat"/>
        <c:majorUnit val="200"/>
        <c:minorUnit val="100"/>
      </c:valAx>
      <c:valAx>
        <c:axId val="264137024"/>
        <c:scaling>
          <c:orientation val="minMax"/>
          <c:max val="1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Energy density (Wh/l)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051856"/>
        <c:crosses val="autoZero"/>
        <c:crossBetween val="midCat"/>
        <c:majorUnit val="600"/>
        <c:minorUnit val="2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4"/>
          <c:order val="0"/>
          <c:tx>
            <c:strRef>
              <c:f>'Energy Contents Cell'!$S$4</c:f>
              <c:strCache>
                <c:ptCount val="1"/>
                <c:pt idx="0">
                  <c:v>Al-gra</c:v>
                </c:pt>
              </c:strCache>
            </c:strRef>
          </c:tx>
          <c:spPr>
            <a:ln w="28575" cap="rnd">
              <a:solidFill>
                <a:srgbClr val="AB794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B7942"/>
              </a:solidFill>
              <a:ln w="38100">
                <a:solidFill>
                  <a:srgbClr val="AB7942"/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rgbClr val="AB7942"/>
                </a:solidFill>
                <a:ln w="38100">
                  <a:solidFill>
                    <a:srgbClr val="AB794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786-2C4D-9640-6A7E3C664307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rgbClr val="AB7942"/>
                </a:solidFill>
                <a:ln w="38100">
                  <a:solidFill>
                    <a:srgbClr val="AB794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786-2C4D-9640-6A7E3C664307}"/>
              </c:ext>
            </c:extLst>
          </c:dPt>
          <c:xVal>
            <c:numRef>
              <c:f>'Mass and Cost System'!$L$4:$N$4</c:f>
              <c:numCache>
                <c:formatCode>0</c:formatCode>
                <c:ptCount val="3"/>
                <c:pt idx="0">
                  <c:v>249.58899688979645</c:v>
                </c:pt>
                <c:pt idx="1">
                  <c:v>61.220172806355592</c:v>
                </c:pt>
                <c:pt idx="2">
                  <c:v>52.555193994147949</c:v>
                </c:pt>
              </c:numCache>
            </c:numRef>
          </c:xVal>
          <c:yVal>
            <c:numRef>
              <c:f>'Mass and Cost System'!$X$4:$Z$4</c:f>
              <c:numCache>
                <c:formatCode>0</c:formatCode>
                <c:ptCount val="3"/>
                <c:pt idx="0">
                  <c:v>556.89189897513006</c:v>
                </c:pt>
                <c:pt idx="1">
                  <c:v>82.857392545092779</c:v>
                </c:pt>
                <c:pt idx="2">
                  <c:v>67.120973895554044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86-2C4D-9640-6A7E3C664307}"/>
            </c:ext>
          </c:extLst>
        </c:ser>
        <c:ser>
          <c:idx val="6"/>
          <c:order val="1"/>
          <c:tx>
            <c:strRef>
              <c:f>'Energy Contents Cell'!$S$5</c:f>
              <c:strCache>
                <c:ptCount val="1"/>
                <c:pt idx="0">
                  <c:v>Al-PPQ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38100">
                <a:solidFill>
                  <a:srgbClr val="FFC000"/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rgbClr val="FFC000"/>
                </a:solidFill>
                <a:ln w="38100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786-2C4D-9640-6A7E3C664307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rgbClr val="FFC000"/>
                </a:solidFill>
                <a:ln w="38100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786-2C4D-9640-6A7E3C664307}"/>
              </c:ext>
            </c:extLst>
          </c:dPt>
          <c:xVal>
            <c:numRef>
              <c:f>'Mass and Cost System'!$L$5:$N$5</c:f>
              <c:numCache>
                <c:formatCode>0</c:formatCode>
                <c:ptCount val="3"/>
                <c:pt idx="0">
                  <c:v>217.97366914710932</c:v>
                </c:pt>
                <c:pt idx="1">
                  <c:v>147.29448432509344</c:v>
                </c:pt>
                <c:pt idx="2">
                  <c:v>123.65522124049309</c:v>
                </c:pt>
              </c:numCache>
            </c:numRef>
          </c:xVal>
          <c:yVal>
            <c:numRef>
              <c:f>'Mass and Cost System'!$X$5:$Z$5</c:f>
              <c:numCache>
                <c:formatCode>0</c:formatCode>
                <c:ptCount val="3"/>
                <c:pt idx="0">
                  <c:v>361.13804004214961</c:v>
                </c:pt>
                <c:pt idx="1">
                  <c:v>217.22446939188114</c:v>
                </c:pt>
                <c:pt idx="2">
                  <c:v>184.65671873466661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786-2C4D-9640-6A7E3C664307}"/>
            </c:ext>
          </c:extLst>
        </c:ser>
        <c:ser>
          <c:idx val="5"/>
          <c:order val="2"/>
          <c:tx>
            <c:strRef>
              <c:f>'Energy Contents Cell'!$S$6</c:f>
              <c:strCache>
                <c:ptCount val="1"/>
                <c:pt idx="0">
                  <c:v>Al-PBQS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38100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chemeClr val="accent6"/>
                </a:solidFill>
                <a:ln w="38100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C786-2C4D-9640-6A7E3C664307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chemeClr val="accent6"/>
                </a:solidFill>
                <a:ln w="38100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786-2C4D-9640-6A7E3C664307}"/>
              </c:ext>
            </c:extLst>
          </c:dPt>
          <c:xVal>
            <c:numRef>
              <c:f>'Mass and Cost System'!$L$6:$N$6</c:f>
              <c:numCache>
                <c:formatCode>0</c:formatCode>
                <c:ptCount val="3"/>
                <c:pt idx="0">
                  <c:v>417.04459341299912</c:v>
                </c:pt>
                <c:pt idx="1">
                  <c:v>231.26417825285239</c:v>
                </c:pt>
                <c:pt idx="2">
                  <c:v>196.88751700393024</c:v>
                </c:pt>
              </c:numCache>
            </c:numRef>
          </c:xVal>
          <c:yVal>
            <c:numRef>
              <c:f>'Mass and Cost System'!$X$6:$Z$6</c:f>
              <c:numCache>
                <c:formatCode>0</c:formatCode>
                <c:ptCount val="3"/>
                <c:pt idx="0">
                  <c:v>704.9393410653804</c:v>
                </c:pt>
                <c:pt idx="1">
                  <c:v>330.7144222894326</c:v>
                </c:pt>
                <c:pt idx="2">
                  <c:v>285.18151019500465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786-2C4D-9640-6A7E3C664307}"/>
            </c:ext>
          </c:extLst>
        </c:ser>
        <c:ser>
          <c:idx val="25"/>
          <c:order val="3"/>
          <c:tx>
            <c:v>Al-TiO2</c:v>
          </c:tx>
          <c:spPr>
            <a:ln w="28575" cap="rnd">
              <a:solidFill>
                <a:srgbClr val="FF4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40FF"/>
              </a:solidFill>
              <a:ln w="38100">
                <a:solidFill>
                  <a:srgbClr val="FF40FF"/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rgbClr val="FF40FF"/>
                </a:solidFill>
                <a:ln w="38100">
                  <a:solidFill>
                    <a:srgbClr val="FF40F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C786-2C4D-9640-6A7E3C664307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rgbClr val="FF40FF"/>
                </a:solidFill>
                <a:ln w="38100">
                  <a:solidFill>
                    <a:srgbClr val="FF40F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C786-2C4D-9640-6A7E3C664307}"/>
              </c:ext>
            </c:extLst>
          </c:dPt>
          <c:xVal>
            <c:numRef>
              <c:f>'Mass and Cost System'!$L$7:$N$7</c:f>
              <c:numCache>
                <c:formatCode>0</c:formatCode>
                <c:ptCount val="3"/>
                <c:pt idx="0">
                  <c:v>66.707692307692312</c:v>
                </c:pt>
                <c:pt idx="1">
                  <c:v>59.088633940368901</c:v>
                </c:pt>
                <c:pt idx="2">
                  <c:v>53.874234942674377</c:v>
                </c:pt>
              </c:numCache>
            </c:numRef>
          </c:xVal>
          <c:yVal>
            <c:numRef>
              <c:f>'Mass and Cost System'!$X$7:$Z$7</c:f>
              <c:numCache>
                <c:formatCode>0</c:formatCode>
                <c:ptCount val="3"/>
                <c:pt idx="0">
                  <c:v>274.02931069609508</c:v>
                </c:pt>
                <c:pt idx="1">
                  <c:v>190.11264622547904</c:v>
                </c:pt>
                <c:pt idx="2">
                  <c:v>158.72103684516335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786-2C4D-9640-6A7E3C664307}"/>
            </c:ext>
          </c:extLst>
        </c:ser>
        <c:ser>
          <c:idx val="26"/>
          <c:order val="4"/>
          <c:tx>
            <c:v>Al-V2C</c:v>
          </c:tx>
          <c:spPr>
            <a:ln w="28575" cap="rnd">
              <a:solidFill>
                <a:srgbClr val="FF93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9300"/>
              </a:solidFill>
              <a:ln w="38100">
                <a:solidFill>
                  <a:srgbClr val="FF9300"/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rgbClr val="FF9300"/>
                </a:solidFill>
                <a:ln w="38100">
                  <a:solidFill>
                    <a:srgbClr val="FF93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786-2C4D-9640-6A7E3C664307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rgbClr val="FF9300"/>
                </a:solidFill>
                <a:ln w="38100">
                  <a:solidFill>
                    <a:srgbClr val="FF93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786-2C4D-9640-6A7E3C664307}"/>
              </c:ext>
            </c:extLst>
          </c:dPt>
          <c:xVal>
            <c:numRef>
              <c:f>'Mass and Cost System'!$L$8:$N$8</c:f>
              <c:numCache>
                <c:formatCode>0</c:formatCode>
                <c:ptCount val="3"/>
                <c:pt idx="0">
                  <c:v>111.72281836831307</c:v>
                </c:pt>
                <c:pt idx="1">
                  <c:v>98.176178833193333</c:v>
                </c:pt>
                <c:pt idx="2">
                  <c:v>89.244624190709118</c:v>
                </c:pt>
              </c:numCache>
            </c:numRef>
          </c:xVal>
          <c:yVal>
            <c:numRef>
              <c:f>'Mass and Cost System'!$X$8:$Z$8</c:f>
              <c:numCache>
                <c:formatCode>0</c:formatCode>
                <c:ptCount val="3"/>
                <c:pt idx="0">
                  <c:v>424.55300855927419</c:v>
                </c:pt>
                <c:pt idx="1">
                  <c:v>295.45374948692358</c:v>
                </c:pt>
                <c:pt idx="2">
                  <c:v>248.19213824733237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786-2C4D-9640-6A7E3C664307}"/>
            </c:ext>
          </c:extLst>
        </c:ser>
        <c:ser>
          <c:idx val="8"/>
          <c:order val="5"/>
          <c:tx>
            <c:strRef>
              <c:f>'Energy Contents Cell'!$S$9</c:f>
              <c:strCache>
                <c:ptCount val="1"/>
                <c:pt idx="0">
                  <c:v>Al-MnO2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38100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chemeClr val="accent3">
                    <a:lumMod val="60000"/>
                  </a:schemeClr>
                </a:solidFill>
                <a:ln w="38100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786-2C4D-9640-6A7E3C664307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chemeClr val="accent3">
                    <a:lumMod val="60000"/>
                  </a:schemeClr>
                </a:solidFill>
                <a:ln w="38100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786-2C4D-9640-6A7E3C664307}"/>
              </c:ext>
            </c:extLst>
          </c:dPt>
          <c:xVal>
            <c:numRef>
              <c:f>'Mass and Cost System'!$L$9:$N$9</c:f>
              <c:numCache>
                <c:formatCode>0</c:formatCode>
                <c:ptCount val="3"/>
                <c:pt idx="0">
                  <c:v>324.03124541587209</c:v>
                </c:pt>
                <c:pt idx="1">
                  <c:v>294.14144744243481</c:v>
                </c:pt>
                <c:pt idx="2">
                  <c:v>271.43530953310426</c:v>
                </c:pt>
              </c:numCache>
            </c:numRef>
          </c:xVal>
          <c:yVal>
            <c:numRef>
              <c:f>'Mass and Cost System'!$X$9:$Z$9</c:f>
              <c:numCache>
                <c:formatCode>0</c:formatCode>
                <c:ptCount val="3"/>
                <c:pt idx="0">
                  <c:v>1470.6972529727107</c:v>
                </c:pt>
                <c:pt idx="1">
                  <c:v>1062.3772460890279</c:v>
                </c:pt>
                <c:pt idx="2">
                  <c:v>895.29923881435298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786-2C4D-9640-6A7E3C664307}"/>
            </c:ext>
          </c:extLst>
        </c:ser>
        <c:ser>
          <c:idx val="7"/>
          <c:order val="6"/>
          <c:tx>
            <c:strRef>
              <c:f>'Energy Contents Cell'!$S$10</c:f>
              <c:strCache>
                <c:ptCount val="1"/>
                <c:pt idx="0">
                  <c:v>LIB-NMC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38100">
                <a:solidFill>
                  <a:srgbClr val="FF0000"/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rgbClr val="FF0000"/>
                </a:solidFill>
                <a:ln w="3810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786-2C4D-9640-6A7E3C664307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rgbClr val="FF0000"/>
                </a:solidFill>
                <a:ln w="3810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786-2C4D-9640-6A7E3C664307}"/>
              </c:ext>
            </c:extLst>
          </c:dPt>
          <c:xVal>
            <c:numRef>
              <c:f>'Mass and Cost System'!$L$10:$N$10</c:f>
              <c:numCache>
                <c:formatCode>0</c:formatCode>
                <c:ptCount val="3"/>
                <c:pt idx="0">
                  <c:v>466.90355329949239</c:v>
                </c:pt>
                <c:pt idx="1">
                  <c:v>400.89535573609299</c:v>
                </c:pt>
                <c:pt idx="2">
                  <c:v>356.7383808838207</c:v>
                </c:pt>
              </c:numCache>
            </c:numRef>
          </c:xVal>
          <c:yVal>
            <c:numRef>
              <c:f>'Mass and Cost System'!$X$10:$Z$10</c:f>
              <c:numCache>
                <c:formatCode>0</c:formatCode>
                <c:ptCount val="3"/>
                <c:pt idx="0">
                  <c:v>1512.6684350132625</c:v>
                </c:pt>
                <c:pt idx="1">
                  <c:v>1047.1691579696123</c:v>
                </c:pt>
                <c:pt idx="2">
                  <c:v>865.20461395008931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C786-2C4D-9640-6A7E3C664307}"/>
            </c:ext>
          </c:extLst>
        </c:ser>
        <c:ser>
          <c:idx val="0"/>
          <c:order val="7"/>
          <c:tx>
            <c:strRef>
              <c:f>'Energy Contents Cell'!$I$11</c:f>
              <c:strCache>
                <c:ptCount val="1"/>
                <c:pt idx="0">
                  <c:v>LIB-LFP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38100">
                <a:solidFill>
                  <a:srgbClr val="7030A0"/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rgbClr val="7030A0"/>
                </a:solidFill>
                <a:ln w="38100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786-2C4D-9640-6A7E3C664307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rgbClr val="7030A0"/>
                </a:solidFill>
                <a:ln w="38100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786-2C4D-9640-6A7E3C664307}"/>
              </c:ext>
            </c:extLst>
          </c:dPt>
          <c:xVal>
            <c:numRef>
              <c:f>'Mass and Cost System'!$L$11:$N$11</c:f>
              <c:numCache>
                <c:formatCode>0</c:formatCode>
                <c:ptCount val="3"/>
                <c:pt idx="0">
                  <c:v>347.10650329877473</c:v>
                </c:pt>
                <c:pt idx="1">
                  <c:v>295.08784208134597</c:v>
                </c:pt>
                <c:pt idx="2">
                  <c:v>261.45688979578239</c:v>
                </c:pt>
              </c:numCache>
            </c:numRef>
          </c:xVal>
          <c:yVal>
            <c:numRef>
              <c:f>'Mass and Cost System'!$X$11:$Z$11</c:f>
              <c:numCache>
                <c:formatCode>0</c:formatCode>
                <c:ptCount val="3"/>
                <c:pt idx="0">
                  <c:v>1045.4769589733619</c:v>
                </c:pt>
                <c:pt idx="1">
                  <c:v>724.78528171062021</c:v>
                </c:pt>
                <c:pt idx="2">
                  <c:v>611.80429814928846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C786-2C4D-9640-6A7E3C664307}"/>
            </c:ext>
          </c:extLst>
        </c:ser>
        <c:ser>
          <c:idx val="9"/>
          <c:order val="8"/>
          <c:tx>
            <c:strRef>
              <c:f>'Energy Contents Cell'!$I$12:$K$12</c:f>
              <c:strCache>
                <c:ptCount val="3"/>
                <c:pt idx="0">
                  <c:v>Li-DIB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38100">
                <a:solidFill>
                  <a:srgbClr val="0070C0"/>
                </a:solidFill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solidFill>
                  <a:srgbClr val="0070C0"/>
                </a:solidFill>
                <a:ln w="38100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C786-2C4D-9640-6A7E3C664307}"/>
              </c:ext>
            </c:extLst>
          </c:dPt>
          <c:dPt>
            <c:idx val="1"/>
            <c:marker>
              <c:symbol val="triangle"/>
              <c:size val="5"/>
              <c:spPr>
                <a:solidFill>
                  <a:srgbClr val="0070C0"/>
                </a:solidFill>
                <a:ln w="38100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C786-2C4D-9640-6A7E3C664307}"/>
              </c:ext>
            </c:extLst>
          </c:dPt>
          <c:xVal>
            <c:numRef>
              <c:f>'Mass and Cost System'!$L$12:$N$12</c:f>
              <c:numCache>
                <c:formatCode>0</c:formatCode>
                <c:ptCount val="3"/>
                <c:pt idx="0">
                  <c:v>453.6</c:v>
                </c:pt>
                <c:pt idx="1">
                  <c:v>175.83831522918263</c:v>
                </c:pt>
                <c:pt idx="2">
                  <c:v>149.76363593685821</c:v>
                </c:pt>
              </c:numCache>
            </c:numRef>
          </c:xVal>
          <c:yVal>
            <c:numRef>
              <c:f>'Mass and Cost System'!$X$12:$Z$12</c:f>
              <c:numCache>
                <c:formatCode>0</c:formatCode>
                <c:ptCount val="3"/>
                <c:pt idx="0">
                  <c:v>997.92000000000007</c:v>
                </c:pt>
                <c:pt idx="1">
                  <c:v>286.56959701700441</c:v>
                </c:pt>
                <c:pt idx="2">
                  <c:v>172.4432488585897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C786-2C4D-9640-6A7E3C664307}"/>
            </c:ext>
          </c:extLst>
        </c:ser>
        <c:ser>
          <c:idx val="1"/>
          <c:order val="9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x"/>
            <c:size val="5"/>
            <c:spPr>
              <a:noFill/>
              <a:ln w="19050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'Cell Properties'!$I$21</c:f>
              <c:numCache>
                <c:formatCode>0</c:formatCode>
                <c:ptCount val="1"/>
                <c:pt idx="0">
                  <c:v>258.30231065468547</c:v>
                </c:pt>
              </c:numCache>
            </c:numRef>
          </c:xVal>
          <c:yVal>
            <c:numRef>
              <c:f>'Cell Properties'!$J$21</c:f>
              <c:numCache>
                <c:formatCode>0</c:formatCode>
                <c:ptCount val="1"/>
                <c:pt idx="0">
                  <c:v>572.86120996441286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C786-2C4D-9640-6A7E3C664307}"/>
            </c:ext>
          </c:extLst>
        </c:ser>
        <c:ser>
          <c:idx val="2"/>
          <c:order val="1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x"/>
            <c:size val="5"/>
            <c:spPr>
              <a:noFill/>
              <a:ln w="19050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'Cell Properties'!$I$22</c:f>
              <c:numCache>
                <c:formatCode>0</c:formatCode>
                <c:ptCount val="1"/>
                <c:pt idx="0">
                  <c:v>225.15963186290065</c:v>
                </c:pt>
              </c:numCache>
            </c:numRef>
          </c:xVal>
          <c:yVal>
            <c:numRef>
              <c:f>'Cell Properties'!$J$22</c:f>
              <c:numCache>
                <c:formatCode>0</c:formatCode>
                <c:ptCount val="1"/>
                <c:pt idx="0">
                  <c:v>368.35181655389573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C786-2C4D-9640-6A7E3C664307}"/>
            </c:ext>
          </c:extLst>
        </c:ser>
        <c:ser>
          <c:idx val="3"/>
          <c:order val="11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5"/>
            <c:spPr>
              <a:noFill/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'Cell Properties'!$I$23</c:f>
              <c:numCache>
                <c:formatCode>0</c:formatCode>
                <c:ptCount val="1"/>
                <c:pt idx="0">
                  <c:v>436.11094178604083</c:v>
                </c:pt>
              </c:numCache>
            </c:numRef>
          </c:xVal>
          <c:yVal>
            <c:numRef>
              <c:f>'Cell Properties'!$J$23</c:f>
              <c:numCache>
                <c:formatCode>0</c:formatCode>
                <c:ptCount val="1"/>
                <c:pt idx="0">
                  <c:v>724.77653100707039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C786-2C4D-9640-6A7E3C664307}"/>
            </c:ext>
          </c:extLst>
        </c:ser>
        <c:ser>
          <c:idx val="10"/>
          <c:order val="12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x"/>
            <c:size val="5"/>
            <c:spPr>
              <a:noFill/>
              <a:ln w="19050">
                <a:solidFill>
                  <a:srgbClr val="942092"/>
                </a:solidFill>
              </a:ln>
              <a:effectLst/>
            </c:spPr>
          </c:marker>
          <c:xVal>
            <c:numRef>
              <c:f>'Cell Properties'!$I$24</c:f>
              <c:numCache>
                <c:formatCode>0</c:formatCode>
                <c:ptCount val="1"/>
                <c:pt idx="0">
                  <c:v>67.894661921708177</c:v>
                </c:pt>
              </c:numCache>
            </c:numRef>
          </c:xVal>
          <c:yVal>
            <c:numRef>
              <c:f>'Cell Properties'!$J$24</c:f>
              <c:numCache>
                <c:formatCode>0</c:formatCode>
                <c:ptCount val="1"/>
                <c:pt idx="0">
                  <c:v>281.51732093023259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C786-2C4D-9640-6A7E3C664307}"/>
            </c:ext>
          </c:extLst>
        </c:ser>
        <c:ser>
          <c:idx val="11"/>
          <c:order val="13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x"/>
            <c:size val="5"/>
            <c:spPr>
              <a:noFill/>
              <a:ln w="19050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'Cell Properties'!$I$25</c:f>
              <c:numCache>
                <c:formatCode>0</c:formatCode>
                <c:ptCount val="1"/>
                <c:pt idx="0">
                  <c:v>113.97094333547972</c:v>
                </c:pt>
              </c:numCache>
            </c:numRef>
          </c:xVal>
          <c:yVal>
            <c:numRef>
              <c:f>'Cell Properties'!$J$25</c:f>
              <c:numCache>
                <c:formatCode>0</c:formatCode>
                <c:ptCount val="1"/>
                <c:pt idx="0">
                  <c:v>436.67606048358755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C786-2C4D-9640-6A7E3C664307}"/>
            </c:ext>
          </c:extLst>
        </c:ser>
        <c:ser>
          <c:idx val="12"/>
          <c:order val="14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x"/>
            <c:size val="5"/>
            <c:spPr>
              <a:noFill/>
              <a:ln w="19050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xVal>
            <c:numRef>
              <c:f>'Cell Properties'!$I$26</c:f>
              <c:numCache>
                <c:formatCode>0</c:formatCode>
                <c:ptCount val="1"/>
                <c:pt idx="0">
                  <c:v>338.1691671769749</c:v>
                </c:pt>
              </c:numCache>
            </c:numRef>
          </c:xVal>
          <c:yVal>
            <c:numRef>
              <c:f>'Cell Properties'!$J$26</c:f>
              <c:numCache>
                <c:formatCode>0</c:formatCode>
                <c:ptCount val="1"/>
                <c:pt idx="0">
                  <c:v>1576.5270254997863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C786-2C4D-9640-6A7E3C664307}"/>
            </c:ext>
          </c:extLst>
        </c:ser>
        <c:ser>
          <c:idx val="13"/>
          <c:order val="15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x"/>
            <c:size val="5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xVal>
            <c:numRef>
              <c:f>'Cell Properties'!$I$27</c:f>
              <c:numCache>
                <c:formatCode>0</c:formatCode>
                <c:ptCount val="1"/>
                <c:pt idx="0">
                  <c:v>489.92783505154637</c:v>
                </c:pt>
              </c:numCache>
            </c:numRef>
          </c:xVal>
          <c:yVal>
            <c:numRef>
              <c:f>'Cell Properties'!$J$27</c:f>
              <c:numCache>
                <c:formatCode>0</c:formatCode>
                <c:ptCount val="1"/>
                <c:pt idx="0">
                  <c:v>1625.1388601036272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C786-2C4D-9640-6A7E3C664307}"/>
            </c:ext>
          </c:extLst>
        </c:ser>
        <c:ser>
          <c:idx val="14"/>
          <c:order val="16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x"/>
            <c:size val="5"/>
            <c:spPr>
              <a:noFill/>
              <a:ln w="19050">
                <a:solidFill>
                  <a:srgbClr val="7030A0"/>
                </a:solidFill>
              </a:ln>
              <a:effectLst/>
            </c:spPr>
          </c:marker>
          <c:xVal>
            <c:numRef>
              <c:f>'Cell Properties'!$I$28</c:f>
              <c:numCache>
                <c:formatCode>0</c:formatCode>
                <c:ptCount val="1"/>
                <c:pt idx="0">
                  <c:v>369.20300751879699</c:v>
                </c:pt>
              </c:numCache>
            </c:numRef>
          </c:xVal>
          <c:yVal>
            <c:numRef>
              <c:f>'Cell Properties'!$J$28</c:f>
              <c:numCache>
                <c:formatCode>0</c:formatCode>
                <c:ptCount val="1"/>
                <c:pt idx="0">
                  <c:v>1124.6580718767825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C786-2C4D-9640-6A7E3C664307}"/>
            </c:ext>
          </c:extLst>
        </c:ser>
        <c:ser>
          <c:idx val="15"/>
          <c:order val="17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x"/>
            <c:size val="5"/>
            <c:spPr>
              <a:noFill/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xVal>
            <c:numRef>
              <c:f>'Cell Properties'!$I$29</c:f>
              <c:numCache>
                <c:formatCode>0</c:formatCode>
                <c:ptCount val="1"/>
                <c:pt idx="0">
                  <c:v>457.734375</c:v>
                </c:pt>
              </c:numCache>
            </c:numRef>
          </c:xVal>
          <c:yVal>
            <c:numRef>
              <c:f>'Cell Properties'!$J$29</c:f>
              <c:numCache>
                <c:formatCode>0</c:formatCode>
                <c:ptCount val="1"/>
                <c:pt idx="0">
                  <c:v>1007.015625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C786-2C4D-9640-6A7E3C664307}"/>
            </c:ext>
          </c:extLst>
        </c:ser>
        <c:ser>
          <c:idx val="16"/>
          <c:order val="18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plus"/>
            <c:size val="7"/>
            <c:spPr>
              <a:noFill/>
              <a:ln w="19050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'Cell Properties'!$K$21</c:f>
              <c:numCache>
                <c:formatCode>0</c:formatCode>
                <c:ptCount val="1"/>
                <c:pt idx="0">
                  <c:v>71.546356077159601</c:v>
                </c:pt>
              </c:numCache>
            </c:numRef>
          </c:xVal>
          <c:yVal>
            <c:numRef>
              <c:f>'Cell Properties'!$L$21</c:f>
              <c:numCache>
                <c:formatCode>0</c:formatCode>
                <c:ptCount val="1"/>
                <c:pt idx="0">
                  <c:v>97.612952278175968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C786-2C4D-9640-6A7E3C664307}"/>
            </c:ext>
          </c:extLst>
        </c:ser>
        <c:ser>
          <c:idx val="17"/>
          <c:order val="19"/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plus"/>
            <c:size val="7"/>
            <c:spPr>
              <a:noFill/>
              <a:ln w="19050">
                <a:solidFill>
                  <a:schemeClr val="accent4">
                    <a:lumMod val="75000"/>
                  </a:schemeClr>
                </a:solidFill>
              </a:ln>
              <a:effectLst/>
            </c:spPr>
          </c:marker>
          <c:xVal>
            <c:numRef>
              <c:f>'Cell Properties'!$K$22</c:f>
              <c:numCache>
                <c:formatCode>0</c:formatCode>
                <c:ptCount val="1"/>
                <c:pt idx="0">
                  <c:v>159.33582574231045</c:v>
                </c:pt>
              </c:numCache>
            </c:numRef>
          </c:xVal>
          <c:yVal>
            <c:numRef>
              <c:f>'Cell Properties'!$L$22</c:f>
              <c:numCache>
                <c:formatCode>0</c:formatCode>
                <c:ptCount val="1"/>
                <c:pt idx="0">
                  <c:v>229.63728302528318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C786-2C4D-9640-6A7E3C664307}"/>
            </c:ext>
          </c:extLst>
        </c:ser>
        <c:ser>
          <c:idx val="18"/>
          <c:order val="20"/>
          <c:spPr>
            <a:ln w="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plus"/>
            <c:size val="7"/>
            <c:spPr>
              <a:noFill/>
              <a:ln w="19050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'Cell Properties'!$K$23</c:f>
              <c:numCache>
                <c:formatCode>0</c:formatCode>
                <c:ptCount val="1"/>
                <c:pt idx="0">
                  <c:v>256.51492492672133</c:v>
                </c:pt>
              </c:numCache>
            </c:numRef>
          </c:xVal>
          <c:yVal>
            <c:numRef>
              <c:f>'Cell Properties'!$L$23</c:f>
              <c:numCache>
                <c:formatCode>0</c:formatCode>
                <c:ptCount val="1"/>
                <c:pt idx="0">
                  <c:v>355.28445423841941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C786-2C4D-9640-6A7E3C664307}"/>
            </c:ext>
          </c:extLst>
        </c:ser>
        <c:ser>
          <c:idx val="19"/>
          <c:order val="21"/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plus"/>
            <c:size val="7"/>
            <c:spPr>
              <a:noFill/>
              <a:ln w="19050">
                <a:solidFill>
                  <a:srgbClr val="942092"/>
                </a:solidFill>
              </a:ln>
              <a:effectLst/>
            </c:spPr>
          </c:marker>
          <c:xVal>
            <c:numRef>
              <c:f>'Cell Properties'!$K$24</c:f>
              <c:numCache>
                <c:formatCode>0</c:formatCode>
                <c:ptCount val="1"/>
                <c:pt idx="0">
                  <c:v>67.894661921708177</c:v>
                </c:pt>
              </c:numCache>
            </c:numRef>
          </c:xVal>
          <c:yVal>
            <c:numRef>
              <c:f>'Cell Properties'!$L$24</c:f>
              <c:numCache>
                <c:formatCode>0</c:formatCode>
                <c:ptCount val="1"/>
                <c:pt idx="0">
                  <c:v>281.51732093023259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C786-2C4D-9640-6A7E3C664307}"/>
            </c:ext>
          </c:extLst>
        </c:ser>
        <c:ser>
          <c:idx val="20"/>
          <c:order val="22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plus"/>
            <c:size val="7"/>
            <c:spPr>
              <a:noFill/>
              <a:ln w="19050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'Cell Properties'!$K$25</c:f>
              <c:numCache>
                <c:formatCode>0</c:formatCode>
                <c:ptCount val="1"/>
                <c:pt idx="0">
                  <c:v>113.97094333547972</c:v>
                </c:pt>
              </c:numCache>
            </c:numRef>
          </c:xVal>
          <c:yVal>
            <c:numRef>
              <c:f>'Cell Properties'!$L$25</c:f>
              <c:numCache>
                <c:formatCode>0</c:formatCode>
                <c:ptCount val="1"/>
                <c:pt idx="0">
                  <c:v>436.67606048358755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C786-2C4D-9640-6A7E3C664307}"/>
            </c:ext>
          </c:extLst>
        </c:ser>
        <c:ser>
          <c:idx val="21"/>
          <c:order val="23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plus"/>
            <c:size val="7"/>
            <c:spPr>
              <a:noFill/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plus"/>
              <c:size val="7"/>
              <c:spPr>
                <a:noFill/>
                <a:ln w="19050">
                  <a:solidFill>
                    <a:schemeClr val="bg2">
                      <a:lumMod val="2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C786-2C4D-9640-6A7E3C664307}"/>
              </c:ext>
            </c:extLst>
          </c:dPt>
          <c:xVal>
            <c:numRef>
              <c:f>'Cell Properties'!$K$26</c:f>
              <c:numCache>
                <c:formatCode>0</c:formatCode>
                <c:ptCount val="1"/>
                <c:pt idx="0">
                  <c:v>338.1691671769749</c:v>
                </c:pt>
              </c:numCache>
            </c:numRef>
          </c:xVal>
          <c:yVal>
            <c:numRef>
              <c:f>'Cell Properties'!$L$26</c:f>
              <c:numCache>
                <c:formatCode>0</c:formatCode>
                <c:ptCount val="1"/>
                <c:pt idx="0">
                  <c:v>1576.5270254997863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C786-2C4D-9640-6A7E3C664307}"/>
            </c:ext>
          </c:extLst>
        </c:ser>
        <c:ser>
          <c:idx val="22"/>
          <c:order val="24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plus"/>
            <c:size val="7"/>
            <c:spPr>
              <a:noFill/>
              <a:ln w="19050">
                <a:solidFill>
                  <a:srgbClr val="C00000"/>
                </a:solidFill>
              </a:ln>
              <a:effectLst/>
            </c:spPr>
          </c:marker>
          <c:xVal>
            <c:numRef>
              <c:f>'Cell Properties'!$K$27</c:f>
              <c:numCache>
                <c:formatCode>0</c:formatCode>
                <c:ptCount val="1"/>
                <c:pt idx="0">
                  <c:v>489.92783505154637</c:v>
                </c:pt>
              </c:numCache>
            </c:numRef>
          </c:xVal>
          <c:yVal>
            <c:numRef>
              <c:f>'Cell Properties'!$L$27</c:f>
              <c:numCache>
                <c:formatCode>0</c:formatCode>
                <c:ptCount val="1"/>
                <c:pt idx="0">
                  <c:v>1625.1388601036272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C786-2C4D-9640-6A7E3C664307}"/>
            </c:ext>
          </c:extLst>
        </c:ser>
        <c:ser>
          <c:idx val="23"/>
          <c:order val="25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plus"/>
            <c:size val="7"/>
            <c:spPr>
              <a:noFill/>
              <a:ln w="19050">
                <a:solidFill>
                  <a:srgbClr val="7030A0"/>
                </a:solidFill>
              </a:ln>
              <a:effectLst/>
            </c:spPr>
          </c:marker>
          <c:xVal>
            <c:numRef>
              <c:f>'Cell Properties'!$K$28</c:f>
              <c:numCache>
                <c:formatCode>0</c:formatCode>
                <c:ptCount val="1"/>
                <c:pt idx="0">
                  <c:v>369.20300751879699</c:v>
                </c:pt>
              </c:numCache>
            </c:numRef>
          </c:xVal>
          <c:yVal>
            <c:numRef>
              <c:f>'Cell Properties'!$L$28</c:f>
              <c:numCache>
                <c:formatCode>0</c:formatCode>
                <c:ptCount val="1"/>
                <c:pt idx="0">
                  <c:v>1124.6580718767825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C786-2C4D-9640-6A7E3C664307}"/>
            </c:ext>
          </c:extLst>
        </c:ser>
        <c:ser>
          <c:idx val="24"/>
          <c:order val="26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plus"/>
            <c:size val="7"/>
            <c:spPr>
              <a:noFill/>
              <a:ln w="19050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xVal>
            <c:numRef>
              <c:f>'Cell Properties'!$K$29</c:f>
              <c:numCache>
                <c:formatCode>0</c:formatCode>
                <c:ptCount val="1"/>
                <c:pt idx="0">
                  <c:v>222.74943602327144</c:v>
                </c:pt>
              </c:numCache>
            </c:numRef>
          </c:xVal>
          <c:yVal>
            <c:numRef>
              <c:f>'Cell Properties'!$L$29</c:f>
              <c:numCache>
                <c:formatCode>0</c:formatCode>
                <c:ptCount val="1"/>
                <c:pt idx="0">
                  <c:v>357.85961599599233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C786-2C4D-9640-6A7E3C664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51856"/>
        <c:axId val="264137024"/>
      </c:scatterChart>
      <c:valAx>
        <c:axId val="264051856"/>
        <c:scaling>
          <c:orientation val="minMax"/>
          <c:max val="6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Specific energy (Wh/kg)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137024"/>
        <c:crosses val="autoZero"/>
        <c:crossBetween val="midCat"/>
        <c:majorUnit val="200"/>
        <c:minorUnit val="100"/>
      </c:valAx>
      <c:valAx>
        <c:axId val="264137024"/>
        <c:scaling>
          <c:orientation val="minMax"/>
          <c:max val="1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Energy density (Wh/l)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051856"/>
        <c:crosses val="autoZero"/>
        <c:crossBetween val="midCat"/>
        <c:majorUnit val="600"/>
        <c:minorUnit val="2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Cathode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Cell'!$C$97:$C$105</c:f>
              <c:numCache>
                <c:formatCode>0.00</c:formatCode>
                <c:ptCount val="9"/>
                <c:pt idx="0">
                  <c:v>635.43936092955721</c:v>
                </c:pt>
                <c:pt idx="1">
                  <c:v>768.93502499038857</c:v>
                </c:pt>
                <c:pt idx="2">
                  <c:v>381.26361655773434</c:v>
                </c:pt>
                <c:pt idx="3">
                  <c:v>769.27361853832417</c:v>
                </c:pt>
                <c:pt idx="4">
                  <c:v>17786.323393623377</c:v>
                </c:pt>
                <c:pt idx="5">
                  <c:v>760.76771221184754</c:v>
                </c:pt>
                <c:pt idx="6">
                  <c:v>6590.6350073074173</c:v>
                </c:pt>
                <c:pt idx="7">
                  <c:v>2142.3992482486988</c:v>
                </c:pt>
                <c:pt idx="8">
                  <c:v>272.33115468409585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B-1546-8A28-C9A035CDC52F}"/>
            </c:ext>
          </c:extLst>
        </c:ser>
        <c:ser>
          <c:idx val="1"/>
          <c:order val="1"/>
          <c:tx>
            <c:v>Anode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Cell'!$D$97:$D$105</c:f>
              <c:numCache>
                <c:formatCode>0.00</c:formatCode>
                <c:ptCount val="9"/>
                <c:pt idx="0">
                  <c:v>1.2445548896180221</c:v>
                </c:pt>
                <c:pt idx="1">
                  <c:v>1.586204951779369</c:v>
                </c:pt>
                <c:pt idx="2">
                  <c:v>1.2922549566420323</c:v>
                </c:pt>
                <c:pt idx="3">
                  <c:v>3.2306373916050788</c:v>
                </c:pt>
                <c:pt idx="4">
                  <c:v>2.1764294006602634</c:v>
                </c:pt>
                <c:pt idx="5">
                  <c:v>1.5904676389440393</c:v>
                </c:pt>
                <c:pt idx="6">
                  <c:v>147.54147192265401</c:v>
                </c:pt>
                <c:pt idx="7">
                  <c:v>163.18980985384457</c:v>
                </c:pt>
                <c:pt idx="8">
                  <c:v>108.79320656922971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B-1546-8A28-C9A035CDC52F}"/>
            </c:ext>
          </c:extLst>
        </c:ser>
        <c:ser>
          <c:idx val="2"/>
          <c:order val="2"/>
          <c:tx>
            <c:v>Separator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Cell'!$E$97:$E$105</c:f>
              <c:numCache>
                <c:formatCode>0.00</c:formatCode>
                <c:ptCount val="9"/>
                <c:pt idx="0">
                  <c:v>294.7305427736618</c:v>
                </c:pt>
                <c:pt idx="1">
                  <c:v>23.129755875724186</c:v>
                </c:pt>
                <c:pt idx="2">
                  <c:v>14.160590495865929</c:v>
                </c:pt>
                <c:pt idx="3">
                  <c:v>29.366175943785002</c:v>
                </c:pt>
                <c:pt idx="4">
                  <c:v>18.763313275749116</c:v>
                </c:pt>
                <c:pt idx="5">
                  <c:v>4.7643737910349833</c:v>
                </c:pt>
                <c:pt idx="6">
                  <c:v>3.2120547214691464</c:v>
                </c:pt>
                <c:pt idx="7">
                  <c:v>4.6320391406439834</c:v>
                </c:pt>
                <c:pt idx="8">
                  <c:v>58.234444253525147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B-1546-8A28-C9A035CDC52F}"/>
            </c:ext>
          </c:extLst>
        </c:ser>
        <c:ser>
          <c:idx val="3"/>
          <c:order val="3"/>
          <c:tx>
            <c:v>Electrolyte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Cell'!$F$97:$F$105</c:f>
              <c:numCache>
                <c:formatCode>0.00</c:formatCode>
                <c:ptCount val="9"/>
                <c:pt idx="0">
                  <c:v>5669.3138063935276</c:v>
                </c:pt>
                <c:pt idx="1">
                  <c:v>1012.3774654274152</c:v>
                </c:pt>
                <c:pt idx="2">
                  <c:v>885.83028224898806</c:v>
                </c:pt>
                <c:pt idx="3">
                  <c:v>888.92043616456738</c:v>
                </c:pt>
                <c:pt idx="4">
                  <c:v>567.96951202974901</c:v>
                </c:pt>
                <c:pt idx="5">
                  <c:v>144.21861520155363</c:v>
                </c:pt>
                <c:pt idx="6">
                  <c:v>72.171127278128807</c:v>
                </c:pt>
                <c:pt idx="7">
                  <c:v>103.93669973544601</c:v>
                </c:pt>
                <c:pt idx="8">
                  <c:v>1776.718744895396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DB-1546-8A28-C9A035CDC52F}"/>
            </c:ext>
          </c:extLst>
        </c:ser>
        <c:ser>
          <c:idx val="4"/>
          <c:order val="4"/>
          <c:tx>
            <c:v>Positive CC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Cell'!$G$97:$G$105</c:f>
              <c:numCache>
                <c:formatCode>0.00</c:formatCode>
                <c:ptCount val="9"/>
                <c:pt idx="0">
                  <c:v>110.72479234369152</c:v>
                </c:pt>
                <c:pt idx="1">
                  <c:v>141.12050449957317</c:v>
                </c:pt>
                <c:pt idx="2">
                  <c:v>88.947775611489462</c:v>
                </c:pt>
                <c:pt idx="3">
                  <c:v>180.33052861951964</c:v>
                </c:pt>
                <c:pt idx="4">
                  <c:v>115.2209333672397</c:v>
                </c:pt>
                <c:pt idx="5">
                  <c:v>29.256858159639087</c:v>
                </c:pt>
                <c:pt idx="6">
                  <c:v>9.7981721242357794E-2</c:v>
                </c:pt>
                <c:pt idx="7">
                  <c:v>9.9914391200938285E-2</c:v>
                </c:pt>
                <c:pt idx="8">
                  <c:v>4.6982457388448529E-2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B-1546-8A28-C9A035CDC52F}"/>
            </c:ext>
          </c:extLst>
        </c:ser>
        <c:ser>
          <c:idx val="5"/>
          <c:order val="5"/>
          <c:tx>
            <c:v>Negative CC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Cell'!$H$97:$H$105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1009.8249229601246</c:v>
                </c:pt>
                <c:pt idx="7">
                  <c:v>1456.2480947428107</c:v>
                </c:pt>
                <c:pt idx="8">
                  <c:v>2429.4579108883395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DB-1546-8A28-C9A035CDC52F}"/>
            </c:ext>
          </c:extLst>
        </c:ser>
        <c:ser>
          <c:idx val="6"/>
          <c:order val="6"/>
          <c:tx>
            <c:v>Pouch cell foil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Cell'!$I$97:$I$105</c:f>
              <c:numCache>
                <c:formatCode>0.00</c:formatCode>
                <c:ptCount val="9"/>
                <c:pt idx="0">
                  <c:v>1.4155079908308177</c:v>
                </c:pt>
                <c:pt idx="1">
                  <c:v>0.51452379069956178</c:v>
                </c:pt>
                <c:pt idx="2">
                  <c:v>0.33315720516570752</c:v>
                </c:pt>
                <c:pt idx="3">
                  <c:v>0.59859913209985216</c:v>
                </c:pt>
                <c:pt idx="4">
                  <c:v>0.38280936524597842</c:v>
                </c:pt>
                <c:pt idx="5">
                  <c:v>0.10612125061931894</c:v>
                </c:pt>
                <c:pt idx="6">
                  <c:v>0.10981249217769921</c:v>
                </c:pt>
                <c:pt idx="7">
                  <c:v>0.15529520663537355</c:v>
                </c:pt>
                <c:pt idx="8">
                  <c:v>0.55096546562640802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DB-1546-8A28-C9A035CDC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27371631"/>
        <c:axId val="1928219215"/>
      </c:barChart>
      <c:catAx>
        <c:axId val="192737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8219215"/>
        <c:crosses val="autoZero"/>
        <c:auto val="1"/>
        <c:lblAlgn val="ctr"/>
        <c:lblOffset val="100"/>
        <c:noMultiLvlLbl val="0"/>
      </c:catAx>
      <c:valAx>
        <c:axId val="1928219215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Crustal scarcity potential (kg</a:t>
                </a:r>
                <a:r>
                  <a:rPr lang="en-US" baseline="0"/>
                  <a:t> Si eq.</a:t>
                </a:r>
                <a:r>
                  <a:rPr lang="en-US"/>
                  <a:t>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7371631"/>
        <c:crosses val="autoZero"/>
        <c:crossBetween val="between"/>
        <c:majorUnit val="5000"/>
        <c:minorUnit val="25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Cathode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Cell'!$C$135:$C$143</c:f>
              <c:numCache>
                <c:formatCode>0.00</c:formatCode>
                <c:ptCount val="9"/>
                <c:pt idx="0">
                  <c:v>10.741247403354111</c:v>
                </c:pt>
                <c:pt idx="1">
                  <c:v>25.358378645575879</c:v>
                </c:pt>
                <c:pt idx="2">
                  <c:v>12.573529411764712</c:v>
                </c:pt>
                <c:pt idx="3">
                  <c:v>168.49929398541687</c:v>
                </c:pt>
                <c:pt idx="4">
                  <c:v>130.68547241095754</c:v>
                </c:pt>
                <c:pt idx="5">
                  <c:v>20.585846636778115</c:v>
                </c:pt>
                <c:pt idx="6">
                  <c:v>22.715935689344231</c:v>
                </c:pt>
                <c:pt idx="7">
                  <c:v>25.64727860612231</c:v>
                </c:pt>
                <c:pt idx="8">
                  <c:v>4.6033917442946173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5-0E42-945D-925C3376FFD6}"/>
            </c:ext>
          </c:extLst>
        </c:ser>
        <c:ser>
          <c:idx val="1"/>
          <c:order val="1"/>
          <c:tx>
            <c:v>Anode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Cell'!$D$135:$D$143</c:f>
              <c:numCache>
                <c:formatCode>0.00</c:formatCode>
                <c:ptCount val="9"/>
                <c:pt idx="0">
                  <c:v>2.7123975682557484</c:v>
                </c:pt>
                <c:pt idx="1">
                  <c:v>3.4569937331426837</c:v>
                </c:pt>
                <c:pt idx="2">
                  <c:v>2.8163556555051348</c:v>
                </c:pt>
                <c:pt idx="3">
                  <c:v>7.0408891387628323</c:v>
                </c:pt>
                <c:pt idx="4">
                  <c:v>4.7433358408507509</c:v>
                </c:pt>
                <c:pt idx="5">
                  <c:v>3.4662838836986269</c:v>
                </c:pt>
                <c:pt idx="6">
                  <c:v>4.7550508665358207</c:v>
                </c:pt>
                <c:pt idx="7">
                  <c:v>5.2593744432896194</c:v>
                </c:pt>
                <c:pt idx="8">
                  <c:v>3.5062496288597464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A5-0E42-945D-925C3376FFD6}"/>
            </c:ext>
          </c:extLst>
        </c:ser>
        <c:ser>
          <c:idx val="2"/>
          <c:order val="2"/>
          <c:tx>
            <c:v>Separator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Cell'!$E$135:$E$143</c:f>
              <c:numCache>
                <c:formatCode>0.00</c:formatCode>
                <c:ptCount val="9"/>
                <c:pt idx="0">
                  <c:v>4.9773372274531651</c:v>
                </c:pt>
                <c:pt idx="1">
                  <c:v>0.39060965279921972</c:v>
                </c:pt>
                <c:pt idx="2">
                  <c:v>0.23914058439447058</c:v>
                </c:pt>
                <c:pt idx="3">
                  <c:v>0.49592878762208348</c:v>
                </c:pt>
                <c:pt idx="4">
                  <c:v>0.31687023950372228</c:v>
                </c:pt>
                <c:pt idx="5">
                  <c:v>8.0459577797580575E-2</c:v>
                </c:pt>
                <c:pt idx="6">
                  <c:v>5.4244393510524867E-2</c:v>
                </c:pt>
                <c:pt idx="7">
                  <c:v>7.8224742630263203E-2</c:v>
                </c:pt>
                <c:pt idx="8">
                  <c:v>0.98344903305698073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A5-0E42-945D-925C3376FFD6}"/>
            </c:ext>
          </c:extLst>
        </c:ser>
        <c:ser>
          <c:idx val="3"/>
          <c:order val="3"/>
          <c:tx>
            <c:v>Electrolyte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Cell'!$F$135:$F$143</c:f>
              <c:numCache>
                <c:formatCode>0.00</c:formatCode>
                <c:ptCount val="9"/>
                <c:pt idx="0">
                  <c:v>44.033552924579134</c:v>
                </c:pt>
                <c:pt idx="1">
                  <c:v>7.8631344508177019</c:v>
                </c:pt>
                <c:pt idx="2">
                  <c:v>6.8802426444654881</c:v>
                </c:pt>
                <c:pt idx="3">
                  <c:v>6.9042438658890202</c:v>
                </c:pt>
                <c:pt idx="4">
                  <c:v>4.4114184576103037</c:v>
                </c:pt>
                <c:pt idx="5">
                  <c:v>1.1201457957796306</c:v>
                </c:pt>
                <c:pt idx="6">
                  <c:v>1.9275251748098876</c:v>
                </c:pt>
                <c:pt idx="7">
                  <c:v>2.7759107122529438</c:v>
                </c:pt>
                <c:pt idx="8">
                  <c:v>19.034705724705397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A5-0E42-945D-925C3376FFD6}"/>
            </c:ext>
          </c:extLst>
        </c:ser>
        <c:ser>
          <c:idx val="4"/>
          <c:order val="4"/>
          <c:tx>
            <c:v>Positive CC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Cell'!$G$135:$G$143</c:f>
              <c:numCache>
                <c:formatCode>0.00</c:formatCode>
                <c:ptCount val="9"/>
                <c:pt idx="0">
                  <c:v>3.9773567935309688</c:v>
                </c:pt>
                <c:pt idx="1">
                  <c:v>5.0692043344335422</c:v>
                </c:pt>
                <c:pt idx="2">
                  <c:v>3.1951023082499557</c:v>
                </c:pt>
                <c:pt idx="3">
                  <c:v>6.4776716930708362</c:v>
                </c:pt>
                <c:pt idx="4">
                  <c:v>4.1388631433390062</c:v>
                </c:pt>
                <c:pt idx="5">
                  <c:v>1.0509386479354486</c:v>
                </c:pt>
                <c:pt idx="6">
                  <c:v>0.47036429965872173</c:v>
                </c:pt>
                <c:pt idx="7">
                  <c:v>0.67830284204631131</c:v>
                </c:pt>
                <c:pt idx="8">
                  <c:v>1.1316122654762981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A5-0E42-945D-925C3376FFD6}"/>
            </c:ext>
          </c:extLst>
        </c:ser>
        <c:ser>
          <c:idx val="5"/>
          <c:order val="5"/>
          <c:tx>
            <c:v>Negative CC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Cell'!$H$135:$H$143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0.44720818016805519</c:v>
                </c:pt>
                <c:pt idx="7">
                  <c:v>0.64490987052895909</c:v>
                </c:pt>
                <c:pt idx="8">
                  <c:v>1.0759027891076933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A5-0E42-945D-925C3376FFD6}"/>
            </c:ext>
          </c:extLst>
        </c:ser>
        <c:ser>
          <c:idx val="6"/>
          <c:order val="6"/>
          <c:tx>
            <c:v>Pouch cell foil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Cell'!$I$135:$I$143</c:f>
              <c:numCache>
                <c:formatCode>0.00</c:formatCode>
                <c:ptCount val="9"/>
                <c:pt idx="0">
                  <c:v>3.0849747682518704</c:v>
                </c:pt>
                <c:pt idx="1">
                  <c:v>1.1213592026716919</c:v>
                </c:pt>
                <c:pt idx="2">
                  <c:v>0.72608673243467436</c:v>
                </c:pt>
                <c:pt idx="3">
                  <c:v>1.3045939908411484</c:v>
                </c:pt>
                <c:pt idx="4">
                  <c:v>0.83429923425667651</c:v>
                </c:pt>
                <c:pt idx="5">
                  <c:v>0.23128190208504512</c:v>
                </c:pt>
                <c:pt idx="6">
                  <c:v>0.23932663736375034</c:v>
                </c:pt>
                <c:pt idx="7">
                  <c:v>0.33845220034356416</c:v>
                </c:pt>
                <c:pt idx="8">
                  <c:v>1.2007806177328482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A5-0E42-945D-925C3376FFD6}"/>
            </c:ext>
          </c:extLst>
        </c:ser>
        <c:ser>
          <c:idx val="7"/>
          <c:order val="7"/>
          <c:tx>
            <c:strRef>
              <c:f>'Env. Impacts Cell'!$J$129:$J$133</c:f>
              <c:strCache>
                <c:ptCount val="5"/>
                <c:pt idx="0">
                  <c:v>Assembly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'Env. Impacts Cell'!$J$135:$J$143</c:f>
              <c:numCache>
                <c:formatCode>0.00</c:formatCode>
                <c:ptCount val="9"/>
                <c:pt idx="0">
                  <c:v>32.712415346097366</c:v>
                </c:pt>
                <c:pt idx="1">
                  <c:v>13.586826703835163</c:v>
                </c:pt>
                <c:pt idx="2">
                  <c:v>8.561060250088806</c:v>
                </c:pt>
                <c:pt idx="3">
                  <c:v>31.273439654381921</c:v>
                </c:pt>
                <c:pt idx="4">
                  <c:v>18.874020264946601</c:v>
                </c:pt>
                <c:pt idx="5">
                  <c:v>6.2254329809123927</c:v>
                </c:pt>
                <c:pt idx="6">
                  <c:v>7.5846041177341936</c:v>
                </c:pt>
                <c:pt idx="7">
                  <c:v>10.334831762832918</c:v>
                </c:pt>
                <c:pt idx="8">
                  <c:v>18.176618343583467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A5-0E42-945D-925C3376F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27371631"/>
        <c:axId val="1928219215"/>
      </c:barChart>
      <c:catAx>
        <c:axId val="192737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8219215"/>
        <c:crosses val="autoZero"/>
        <c:auto val="1"/>
        <c:lblAlgn val="ctr"/>
        <c:lblOffset val="100"/>
        <c:noMultiLvlLbl val="0"/>
      </c:catAx>
      <c:valAx>
        <c:axId val="1928219215"/>
        <c:scaling>
          <c:orientation val="minMax"/>
          <c:max val="2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Global warming potential (kg CO2</a:t>
                </a:r>
                <a:r>
                  <a:rPr lang="en-US" baseline="0"/>
                  <a:t> eq.</a:t>
                </a:r>
                <a:r>
                  <a:rPr lang="en-US"/>
                  <a:t>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7371631"/>
        <c:crosses val="autoZero"/>
        <c:crossBetween val="between"/>
        <c:majorUnit val="60"/>
        <c:minorUnit val="3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Pouch cells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System'!$B$119:$B$127</c:f>
              <c:numCache>
                <c:formatCode>0.00</c:formatCode>
                <c:ptCount val="9"/>
                <c:pt idx="0">
                  <c:v>102.23928203152235</c:v>
                </c:pt>
                <c:pt idx="1">
                  <c:v>56.846506723275887</c:v>
                </c:pt>
                <c:pt idx="2">
                  <c:v>34.991517586903242</c:v>
                </c:pt>
                <c:pt idx="3">
                  <c:v>221.9960611159847</c:v>
                </c:pt>
                <c:pt idx="4">
                  <c:v>164.00427959146461</c:v>
                </c:pt>
                <c:pt idx="5">
                  <c:v>32.76038942498684</c:v>
                </c:pt>
                <c:pt idx="6">
                  <c:v>38.194259359125184</c:v>
                </c:pt>
                <c:pt idx="7">
                  <c:v>45.757285180046892</c:v>
                </c:pt>
                <c:pt idx="8">
                  <c:v>49.712710146817052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9-CE4F-8DC3-6B1785B1E130}"/>
            </c:ext>
          </c:extLst>
        </c:ser>
        <c:ser>
          <c:idx val="1"/>
          <c:order val="1"/>
          <c:tx>
            <c:v>Al in packs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System'!$C$119:$C$127</c:f>
              <c:numCache>
                <c:formatCode>0.00</c:formatCode>
                <c:ptCount val="9"/>
                <c:pt idx="0">
                  <c:v>34.596817603545695</c:v>
                </c:pt>
                <c:pt idx="1">
                  <c:v>12.768762099116762</c:v>
                </c:pt>
                <c:pt idx="2">
                  <c:v>8.4100714536695911</c:v>
                </c:pt>
                <c:pt idx="3">
                  <c:v>13.957819117110738</c:v>
                </c:pt>
                <c:pt idx="4">
                  <c:v>9.6868830086758368</c:v>
                </c:pt>
                <c:pt idx="5">
                  <c:v>2.7808231564085375</c:v>
                </c:pt>
                <c:pt idx="6">
                  <c:v>2.767515532998448</c:v>
                </c:pt>
                <c:pt idx="7">
                  <c:v>3.8557547890420154</c:v>
                </c:pt>
                <c:pt idx="8">
                  <c:v>13.218430619258184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D9-CE4F-8DC3-6B1785B1E130}"/>
            </c:ext>
          </c:extLst>
        </c:ser>
        <c:ser>
          <c:idx val="2"/>
          <c:order val="2"/>
          <c:tx>
            <c:v>Cu in packs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System'!$D$119:$D$127</c:f>
              <c:numCache>
                <c:formatCode>0.00</c:formatCode>
                <c:ptCount val="9"/>
                <c:pt idx="0">
                  <c:v>2.4367681349368837</c:v>
                </c:pt>
                <c:pt idx="1">
                  <c:v>0.83937924793086049</c:v>
                </c:pt>
                <c:pt idx="2">
                  <c:v>0.54661409515728931</c:v>
                </c:pt>
                <c:pt idx="3">
                  <c:v>0.91969880518745872</c:v>
                </c:pt>
                <c:pt idx="4">
                  <c:v>0.66591229870080404</c:v>
                </c:pt>
                <c:pt idx="5">
                  <c:v>0.12145510466233654</c:v>
                </c:pt>
                <c:pt idx="6">
                  <c:v>0.32279640360374678</c:v>
                </c:pt>
                <c:pt idx="7">
                  <c:v>0.46324818334663342</c:v>
                </c:pt>
                <c:pt idx="8">
                  <c:v>1.664419730289256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D9-CE4F-8DC3-6B1785B1E130}"/>
            </c:ext>
          </c:extLst>
        </c:ser>
        <c:ser>
          <c:idx val="3"/>
          <c:order val="3"/>
          <c:tx>
            <c:v>Electronics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System'!$E$119:$E$127</c:f>
              <c:numCache>
                <c:formatCode>0.00</c:formatCode>
                <c:ptCount val="9"/>
                <c:pt idx="0">
                  <c:v>4.7534573989793998</c:v>
                </c:pt>
                <c:pt idx="1">
                  <c:v>4.7564156495646941</c:v>
                </c:pt>
                <c:pt idx="2">
                  <c:v>4.7560682550984428</c:v>
                </c:pt>
                <c:pt idx="3">
                  <c:v>4.7568931503399607</c:v>
                </c:pt>
                <c:pt idx="4">
                  <c:v>4.7556842335261216</c:v>
                </c:pt>
                <c:pt idx="5">
                  <c:v>4.7560879825424314</c:v>
                </c:pt>
                <c:pt idx="6">
                  <c:v>4.7555596091838899</c:v>
                </c:pt>
                <c:pt idx="7">
                  <c:v>4.7559618650809306</c:v>
                </c:pt>
                <c:pt idx="8">
                  <c:v>4.7564264932115661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CE4F-8DC3-6B1785B1E130}"/>
            </c:ext>
          </c:extLst>
        </c:ser>
        <c:ser>
          <c:idx val="4"/>
          <c:order val="4"/>
          <c:tx>
            <c:v>Steel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System'!$F$119:$F$127</c:f>
              <c:numCache>
                <c:formatCode>General</c:formatCode>
                <c:ptCount val="9"/>
                <c:pt idx="0">
                  <c:v>43.996163985592133</c:v>
                </c:pt>
                <c:pt idx="1">
                  <c:v>17.567343170067609</c:v>
                </c:pt>
                <c:pt idx="2">
                  <c:v>12.445425214913248</c:v>
                </c:pt>
                <c:pt idx="3">
                  <c:v>20.315414673117285</c:v>
                </c:pt>
                <c:pt idx="4">
                  <c:v>13.421568679339275</c:v>
                </c:pt>
                <c:pt idx="5">
                  <c:v>3.8972083777135795</c:v>
                </c:pt>
                <c:pt idx="6">
                  <c:v>4.3816765064504439</c:v>
                </c:pt>
                <c:pt idx="7">
                  <c:v>6.0891216744606327</c:v>
                </c:pt>
                <c:pt idx="8">
                  <c:v>19.119853156001582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D9-CE4F-8DC3-6B1785B1E130}"/>
            </c:ext>
          </c:extLst>
        </c:ser>
        <c:ser>
          <c:idx val="5"/>
          <c:order val="5"/>
          <c:tx>
            <c:v>Cu in BOS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System'!$G$119:$G$127</c:f>
              <c:numCache>
                <c:formatCode>0.00</c:formatCode>
                <c:ptCount val="9"/>
                <c:pt idx="0">
                  <c:v>0.6488155155656854</c:v>
                </c:pt>
                <c:pt idx="1">
                  <c:v>0.33968894587118609</c:v>
                </c:pt>
                <c:pt idx="2">
                  <c:v>0.27687262513867356</c:v>
                </c:pt>
                <c:pt idx="3">
                  <c:v>0.36984799310364574</c:v>
                </c:pt>
                <c:pt idx="4">
                  <c:v>0.29556625029653849</c:v>
                </c:pt>
                <c:pt idx="5">
                  <c:v>0.1979643497839407</c:v>
                </c:pt>
                <c:pt idx="6">
                  <c:v>0.19855225646045263</c:v>
                </c:pt>
                <c:pt idx="7">
                  <c:v>0.21488476565115888</c:v>
                </c:pt>
                <c:pt idx="8">
                  <c:v>0.35382172055091771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0D9-CE4F-8DC3-6B1785B1E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063648223"/>
        <c:axId val="2023462543"/>
      </c:barChart>
      <c:catAx>
        <c:axId val="206364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23462543"/>
        <c:crosses val="autoZero"/>
        <c:auto val="1"/>
        <c:lblAlgn val="ctr"/>
        <c:lblOffset val="100"/>
        <c:noMultiLvlLbl val="0"/>
      </c:catAx>
      <c:valAx>
        <c:axId val="2023462543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Global warming potential (CO2</a:t>
                </a:r>
                <a:r>
                  <a:rPr lang="en-US" baseline="0"/>
                  <a:t> eq.</a:t>
                </a:r>
                <a:r>
                  <a:rPr lang="en-US"/>
                  <a:t>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63648223"/>
        <c:crosses val="autoZero"/>
        <c:crossBetween val="between"/>
        <c:majorUnit val="100"/>
        <c:minorUnit val="2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Pouch cells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System'!$B$103:$B$111</c:f>
              <c:numCache>
                <c:formatCode>0.00</c:formatCode>
                <c:ptCount val="9"/>
                <c:pt idx="0">
                  <c:v>6712.8685653208868</c:v>
                </c:pt>
                <c:pt idx="1">
                  <c:v>1947.6634795355799</c:v>
                </c:pt>
                <c:pt idx="2">
                  <c:v>1371.8276770758855</c:v>
                </c:pt>
                <c:pt idx="3">
                  <c:v>1871.7199957899011</c:v>
                </c:pt>
                <c:pt idx="4">
                  <c:v>18490.836391062017</c:v>
                </c:pt>
                <c:pt idx="5">
                  <c:v>940.70414825363855</c:v>
                </c:pt>
                <c:pt idx="6">
                  <c:v>7823.592378403212</c:v>
                </c:pt>
                <c:pt idx="7">
                  <c:v>3870.6611013192801</c:v>
                </c:pt>
                <c:pt idx="8">
                  <c:v>4646.1334092136012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E-7E46-AAFA-D6D667B353E1}"/>
            </c:ext>
          </c:extLst>
        </c:ser>
        <c:ser>
          <c:idx val="1"/>
          <c:order val="1"/>
          <c:tx>
            <c:v>Al in packs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System'!$C$103:$C$111</c:f>
              <c:numCache>
                <c:formatCode>0.00</c:formatCode>
                <c:ptCount val="9"/>
                <c:pt idx="0">
                  <c:v>15.87438324589141</c:v>
                </c:pt>
                <c:pt idx="1">
                  <c:v>5.8588112195677446</c:v>
                </c:pt>
                <c:pt idx="2">
                  <c:v>3.8588721919671536</c:v>
                </c:pt>
                <c:pt idx="3">
                  <c:v>6.4043974356513509</c:v>
                </c:pt>
                <c:pt idx="4">
                  <c:v>4.4447236477055121</c:v>
                </c:pt>
                <c:pt idx="5">
                  <c:v>1.2759512458554692</c:v>
                </c:pt>
                <c:pt idx="6">
                  <c:v>1.2698451838319464</c:v>
                </c:pt>
                <c:pt idx="7">
                  <c:v>1.7691722378870245</c:v>
                </c:pt>
                <c:pt idx="8">
                  <c:v>6.0651368563397874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E-7E46-AAFA-D6D667B353E1}"/>
            </c:ext>
          </c:extLst>
        </c:ser>
        <c:ser>
          <c:idx val="2"/>
          <c:order val="2"/>
          <c:tx>
            <c:v>Cu in packs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System'!$D$103:$D$111</c:f>
              <c:numCache>
                <c:formatCode>0.00</c:formatCode>
                <c:ptCount val="9"/>
                <c:pt idx="0">
                  <c:v>5502.3796595348986</c:v>
                </c:pt>
                <c:pt idx="1">
                  <c:v>1895.3724953277494</c:v>
                </c:pt>
                <c:pt idx="2">
                  <c:v>1234.2898922906534</c:v>
                </c:pt>
                <c:pt idx="3">
                  <c:v>2076.7392375200679</c:v>
                </c:pt>
                <c:pt idx="4">
                  <c:v>1503.6729325502026</c:v>
                </c:pt>
                <c:pt idx="5">
                  <c:v>274.25346214075989</c:v>
                </c:pt>
                <c:pt idx="6">
                  <c:v>728.8951049116863</c:v>
                </c:pt>
                <c:pt idx="7">
                  <c:v>1046.044284976269</c:v>
                </c:pt>
                <c:pt idx="8">
                  <c:v>3758.3671329112231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E-7E46-AAFA-D6D667B353E1}"/>
            </c:ext>
          </c:extLst>
        </c:ser>
        <c:ser>
          <c:idx val="3"/>
          <c:order val="3"/>
          <c:tx>
            <c:v>Electronics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System'!$E$103:$E$111</c:f>
              <c:numCache>
                <c:formatCode>0.00</c:formatCode>
                <c:ptCount val="9"/>
                <c:pt idx="0">
                  <c:v>1147.1929182396002</c:v>
                </c:pt>
                <c:pt idx="1">
                  <c:v>1147.9470268397422</c:v>
                </c:pt>
                <c:pt idx="2">
                  <c:v>1147.8584700569115</c:v>
                </c:pt>
                <c:pt idx="3">
                  <c:v>1148.068749942915</c:v>
                </c:pt>
                <c:pt idx="4">
                  <c:v>1147.7605763991642</c:v>
                </c:pt>
                <c:pt idx="5">
                  <c:v>1147.8634989193224</c:v>
                </c:pt>
                <c:pt idx="6">
                  <c:v>1147.7288075257864</c:v>
                </c:pt>
                <c:pt idx="7">
                  <c:v>1147.8313494243409</c:v>
                </c:pt>
                <c:pt idx="8">
                  <c:v>1147.9497910705361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AE-7E46-AAFA-D6D667B353E1}"/>
            </c:ext>
          </c:extLst>
        </c:ser>
        <c:ser>
          <c:idx val="4"/>
          <c:order val="4"/>
          <c:tx>
            <c:v>Steel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System'!$F$103:$F$111</c:f>
              <c:numCache>
                <c:formatCode>General</c:formatCode>
                <c:ptCount val="9"/>
                <c:pt idx="0">
                  <c:v>1944.896430936974</c:v>
                </c:pt>
                <c:pt idx="1">
                  <c:v>874.43922522998423</c:v>
                </c:pt>
                <c:pt idx="2">
                  <c:v>678.53300118004245</c:v>
                </c:pt>
                <c:pt idx="3">
                  <c:v>1018.6640244081474</c:v>
                </c:pt>
                <c:pt idx="4">
                  <c:v>670.14034475664153</c:v>
                </c:pt>
                <c:pt idx="5">
                  <c:v>192.46547550615725</c:v>
                </c:pt>
                <c:pt idx="6">
                  <c:v>240.55278828619572</c:v>
                </c:pt>
                <c:pt idx="7">
                  <c:v>335.35771729628755</c:v>
                </c:pt>
                <c:pt idx="8">
                  <c:v>953.56880172445426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AE-7E46-AAFA-D6D667B353E1}"/>
            </c:ext>
          </c:extLst>
        </c:ser>
        <c:ser>
          <c:idx val="5"/>
          <c:order val="5"/>
          <c:tx>
            <c:v>Cu in BOS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'Env. Impacts System'!$G$103:$G$111</c:f>
              <c:numCache>
                <c:formatCode>0.00</c:formatCode>
                <c:ptCount val="9"/>
                <c:pt idx="0">
                  <c:v>1465.067293212838</c:v>
                </c:pt>
                <c:pt idx="1">
                  <c:v>767.03955519300087</c:v>
                </c:pt>
                <c:pt idx="2">
                  <c:v>625.19625031313376</c:v>
                </c:pt>
                <c:pt idx="3">
                  <c:v>835.14062958887757</c:v>
                </c:pt>
                <c:pt idx="4">
                  <c:v>667.40766195992558</c:v>
                </c:pt>
                <c:pt idx="5">
                  <c:v>447.01627370567252</c:v>
                </c:pt>
                <c:pt idx="6">
                  <c:v>448.34380491069942</c:v>
                </c:pt>
                <c:pt idx="7">
                  <c:v>485.2236643735846</c:v>
                </c:pt>
                <c:pt idx="8">
                  <c:v>798.95227221174969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AE-7E46-AAFA-D6D667B35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063648223"/>
        <c:axId val="2023462543"/>
      </c:barChart>
      <c:catAx>
        <c:axId val="206364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23462543"/>
        <c:crosses val="autoZero"/>
        <c:auto val="1"/>
        <c:lblAlgn val="ctr"/>
        <c:lblOffset val="100"/>
        <c:noMultiLvlLbl val="0"/>
      </c:catAx>
      <c:valAx>
        <c:axId val="2023462543"/>
        <c:scaling>
          <c:orientation val="minMax"/>
          <c:max val="2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Crustal scarcity potential (kg Si</a:t>
                </a:r>
                <a:r>
                  <a:rPr lang="en-US" baseline="0"/>
                  <a:t> eq.</a:t>
                </a:r>
                <a:r>
                  <a:rPr lang="en-US"/>
                  <a:t>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63648223"/>
        <c:crosses val="autoZero"/>
        <c:crossBetween val="between"/>
        <c:majorUnit val="6000"/>
        <c:minorUnit val="2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tx>
            <c:v>Pack level items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'BatPac Manufacturing Costs'!$F$551:$N$551</c:f>
              <c:numCache>
                <c:formatCode>0</c:formatCode>
                <c:ptCount val="9"/>
                <c:pt idx="0">
                  <c:v>9840</c:v>
                </c:pt>
                <c:pt idx="1">
                  <c:v>3600</c:v>
                </c:pt>
                <c:pt idx="2">
                  <c:v>2400</c:v>
                </c:pt>
                <c:pt idx="3">
                  <c:v>4212</c:v>
                </c:pt>
                <c:pt idx="4">
                  <c:v>2850</c:v>
                </c:pt>
                <c:pt idx="5">
                  <c:v>775</c:v>
                </c:pt>
                <c:pt idx="6" formatCode="General">
                  <c:v>792</c:v>
                </c:pt>
                <c:pt idx="7" formatCode="General">
                  <c:v>1104</c:v>
                </c:pt>
                <c:pt idx="8" formatCode="General">
                  <c:v>4032</c:v>
                </c:pt>
              </c:numCache>
            </c:numRef>
          </c:xVal>
          <c:yVal>
            <c:numRef>
              <c:f>'BatPac Manufacturing Costs'!$F$559:$N$559</c:f>
              <c:numCache>
                <c:formatCode>0.0</c:formatCode>
                <c:ptCount val="9"/>
                <c:pt idx="0">
                  <c:v>24.599051292130959</c:v>
                </c:pt>
                <c:pt idx="1">
                  <c:v>9.7614046583488143</c:v>
                </c:pt>
                <c:pt idx="2">
                  <c:v>6.9368730873592188</c:v>
                </c:pt>
                <c:pt idx="3">
                  <c:v>11.185718429680033</c:v>
                </c:pt>
                <c:pt idx="4">
                  <c:v>7.7136045497971724</c:v>
                </c:pt>
                <c:pt idx="5">
                  <c:v>2.6318167047266563</c:v>
                </c:pt>
                <c:pt idx="6">
                  <c:v>2.777085082798342</c:v>
                </c:pt>
                <c:pt idx="7">
                  <c:v>3.6646337528729251</c:v>
                </c:pt>
                <c:pt idx="8">
                  <c:v>10.631129506672293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EB-0A4C-8237-D4E2E420AE19}"/>
            </c:ext>
          </c:extLst>
        </c:ser>
        <c:ser>
          <c:idx val="7"/>
          <c:order val="1"/>
          <c:tx>
            <c:v>Depreciation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'BatPac Manufacturing Costs'!$F$551:$N$551</c:f>
              <c:numCache>
                <c:formatCode>0</c:formatCode>
                <c:ptCount val="9"/>
                <c:pt idx="0">
                  <c:v>9840</c:v>
                </c:pt>
                <c:pt idx="1">
                  <c:v>3600</c:v>
                </c:pt>
                <c:pt idx="2">
                  <c:v>2400</c:v>
                </c:pt>
                <c:pt idx="3">
                  <c:v>4212</c:v>
                </c:pt>
                <c:pt idx="4">
                  <c:v>2850</c:v>
                </c:pt>
                <c:pt idx="5">
                  <c:v>775</c:v>
                </c:pt>
                <c:pt idx="6" formatCode="General">
                  <c:v>792</c:v>
                </c:pt>
                <c:pt idx="7" formatCode="General">
                  <c:v>1104</c:v>
                </c:pt>
                <c:pt idx="8" formatCode="General">
                  <c:v>4032</c:v>
                </c:pt>
              </c:numCache>
            </c:numRef>
          </c:xVal>
          <c:yVal>
            <c:numRef>
              <c:f>'BatPac Manufacturing Costs'!$F$565:$N$565</c:f>
              <c:numCache>
                <c:formatCode>0.0</c:formatCode>
                <c:ptCount val="9"/>
                <c:pt idx="0">
                  <c:v>20.381595014791777</c:v>
                </c:pt>
                <c:pt idx="1">
                  <c:v>16.339953418491746</c:v>
                </c:pt>
                <c:pt idx="2">
                  <c:v>12.918080244474167</c:v>
                </c:pt>
                <c:pt idx="3">
                  <c:v>23.44506841401904</c:v>
                </c:pt>
                <c:pt idx="4">
                  <c:v>17.199943981739896</c:v>
                </c:pt>
                <c:pt idx="5">
                  <c:v>10.193541361484206</c:v>
                </c:pt>
                <c:pt idx="6">
                  <c:v>8.9587016600393774</c:v>
                </c:pt>
                <c:pt idx="7">
                  <c:v>9.9745991618482126</c:v>
                </c:pt>
                <c:pt idx="8">
                  <c:v>12.643211435013157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CEB-0A4C-8237-D4E2E420AE19}"/>
            </c:ext>
          </c:extLst>
        </c:ser>
        <c:ser>
          <c:idx val="1"/>
          <c:order val="2"/>
          <c:tx>
            <c:v>Pack module items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'BatPac Manufacturing Costs'!$F$551:$N$551</c:f>
              <c:numCache>
                <c:formatCode>0</c:formatCode>
                <c:ptCount val="9"/>
                <c:pt idx="0">
                  <c:v>9840</c:v>
                </c:pt>
                <c:pt idx="1">
                  <c:v>3600</c:v>
                </c:pt>
                <c:pt idx="2">
                  <c:v>2400</c:v>
                </c:pt>
                <c:pt idx="3">
                  <c:v>4212</c:v>
                </c:pt>
                <c:pt idx="4">
                  <c:v>2850</c:v>
                </c:pt>
                <c:pt idx="5">
                  <c:v>775</c:v>
                </c:pt>
                <c:pt idx="6" formatCode="General">
                  <c:v>792</c:v>
                </c:pt>
                <c:pt idx="7" formatCode="General">
                  <c:v>1104</c:v>
                </c:pt>
                <c:pt idx="8" formatCode="General">
                  <c:v>4032</c:v>
                </c:pt>
              </c:numCache>
            </c:numRef>
          </c:xVal>
          <c:yVal>
            <c:numRef>
              <c:f>'BatPac Manufacturing Costs'!$F$558:$N$558</c:f>
              <c:numCache>
                <c:formatCode>0.0</c:formatCode>
                <c:ptCount val="9"/>
                <c:pt idx="0">
                  <c:v>22.224777892322997</c:v>
                </c:pt>
                <c:pt idx="1">
                  <c:v>10.574179093455236</c:v>
                </c:pt>
                <c:pt idx="2">
                  <c:v>8.9570210329309514</c:v>
                </c:pt>
                <c:pt idx="3">
                  <c:v>17.66999982652931</c:v>
                </c:pt>
                <c:pt idx="4">
                  <c:v>11.946263662010816</c:v>
                </c:pt>
                <c:pt idx="5">
                  <c:v>6.9282736361556454</c:v>
                </c:pt>
                <c:pt idx="6">
                  <c:v>3.6271319757504372</c:v>
                </c:pt>
                <c:pt idx="7">
                  <c:v>4.3546905647541223</c:v>
                </c:pt>
                <c:pt idx="8">
                  <c:v>9.8502553400706958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CEB-0A4C-8237-D4E2E420A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45775"/>
        <c:axId val="1487115327"/>
      </c:scatterChart>
      <c:valAx>
        <c:axId val="155345775"/>
        <c:scaling>
          <c:orientation val="minMax"/>
          <c:max val="1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cells per pack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487115327"/>
        <c:crosses val="autoZero"/>
        <c:crossBetween val="midCat"/>
        <c:majorUnit val="2000"/>
        <c:minorUnit val="1000"/>
      </c:valAx>
      <c:valAx>
        <c:axId val="1487115327"/>
        <c:scaling>
          <c:orientation val="minMax"/>
          <c:max val="3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Pack costs ($/kWh)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5345775"/>
        <c:crosses val="autoZero"/>
        <c:crossBetween val="midCat"/>
        <c:majorUnit val="10"/>
        <c:minorUnit val="2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4"/>
          <c:order val="0"/>
          <c:tx>
            <c:strRef>
              <c:f>'Energy Contents Cell'!$S$4</c:f>
              <c:strCache>
                <c:ptCount val="1"/>
                <c:pt idx="0">
                  <c:v>Al-gra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'Energy Contents Cell'!$L$4:$Q$4</c:f>
              <c:numCache>
                <c:formatCode>0</c:formatCode>
                <c:ptCount val="6"/>
                <c:pt idx="0">
                  <c:v>270</c:v>
                </c:pt>
                <c:pt idx="1">
                  <c:v>249.58899688979645</c:v>
                </c:pt>
                <c:pt idx="2">
                  <c:v>109.37076540677818</c:v>
                </c:pt>
                <c:pt idx="3">
                  <c:v>61.220172806355592</c:v>
                </c:pt>
                <c:pt idx="4">
                  <c:v>53.548122541616657</c:v>
                </c:pt>
                <c:pt idx="5">
                  <c:v>52.555193994147949</c:v>
                </c:pt>
              </c:numCache>
            </c:numRef>
          </c:xVal>
          <c:yVal>
            <c:numRef>
              <c:f>'Energy Contents Cell'!$V$4:$AA$4</c:f>
              <c:numCache>
                <c:formatCode>0</c:formatCode>
                <c:ptCount val="6"/>
                <c:pt idx="0">
                  <c:v>594.00000000000011</c:v>
                </c:pt>
                <c:pt idx="1">
                  <c:v>556.89189897513006</c:v>
                </c:pt>
                <c:pt idx="2">
                  <c:v>164.57652152944684</c:v>
                </c:pt>
                <c:pt idx="3">
                  <c:v>82.857392545092779</c:v>
                </c:pt>
                <c:pt idx="4">
                  <c:v>70.941140313927519</c:v>
                </c:pt>
                <c:pt idx="5">
                  <c:v>67.120973895554044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4C-7C4A-8452-896DA5D9C84B}"/>
            </c:ext>
          </c:extLst>
        </c:ser>
        <c:ser>
          <c:idx val="6"/>
          <c:order val="1"/>
          <c:tx>
            <c:strRef>
              <c:f>'Energy Contents Cell'!$S$5</c:f>
              <c:strCache>
                <c:ptCount val="1"/>
                <c:pt idx="0">
                  <c:v>Al-PPQ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'Energy Contents Cell'!$L$5:$Q$5</c:f>
              <c:numCache>
                <c:formatCode>0</c:formatCode>
                <c:ptCount val="6"/>
                <c:pt idx="0">
                  <c:v>313.81394260761073</c:v>
                </c:pt>
                <c:pt idx="1">
                  <c:v>217.97366914710932</c:v>
                </c:pt>
                <c:pt idx="2">
                  <c:v>181.65421691255372</c:v>
                </c:pt>
                <c:pt idx="3">
                  <c:v>147.29448432509344</c:v>
                </c:pt>
                <c:pt idx="4">
                  <c:v>125.65022816382346</c:v>
                </c:pt>
                <c:pt idx="5">
                  <c:v>123.65522124049309</c:v>
                </c:pt>
              </c:numCache>
            </c:numRef>
          </c:xVal>
          <c:yVal>
            <c:numRef>
              <c:f>'Energy Contents Cell'!$V$5:$AA$5</c:f>
              <c:numCache>
                <c:formatCode>0</c:formatCode>
                <c:ptCount val="6"/>
                <c:pt idx="0">
                  <c:v>516.88108744514602</c:v>
                </c:pt>
                <c:pt idx="1">
                  <c:v>361.13804004214961</c:v>
                </c:pt>
                <c:pt idx="2">
                  <c:v>283.01329690398273</c:v>
                </c:pt>
                <c:pt idx="3">
                  <c:v>217.22446939188114</c:v>
                </c:pt>
                <c:pt idx="4">
                  <c:v>195.16639037523163</c:v>
                </c:pt>
                <c:pt idx="5">
                  <c:v>184.65671873466661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4C-7C4A-8452-896DA5D9C84B}"/>
            </c:ext>
          </c:extLst>
        </c:ser>
        <c:ser>
          <c:idx val="5"/>
          <c:order val="2"/>
          <c:tx>
            <c:strRef>
              <c:f>'Energy Contents Cell'!$S$6</c:f>
              <c:strCache>
                <c:ptCount val="1"/>
                <c:pt idx="0">
                  <c:v>Al-PBQS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'Energy Contents Cell'!$L$6:$Q$6</c:f>
              <c:numCache>
                <c:formatCode>0</c:formatCode>
                <c:ptCount val="6"/>
                <c:pt idx="0">
                  <c:v>583.63538141881861</c:v>
                </c:pt>
                <c:pt idx="1">
                  <c:v>417.04459341299912</c:v>
                </c:pt>
                <c:pt idx="2">
                  <c:v>312.4587305965884</c:v>
                </c:pt>
                <c:pt idx="3">
                  <c:v>231.26417825285239</c:v>
                </c:pt>
                <c:pt idx="4">
                  <c:v>200.1627961681551</c:v>
                </c:pt>
                <c:pt idx="5">
                  <c:v>196.88751700393024</c:v>
                </c:pt>
              </c:numCache>
            </c:numRef>
          </c:xVal>
          <c:yVal>
            <c:numRef>
              <c:f>'Energy Contents Cell'!$V$6:$AA$6</c:f>
              <c:numCache>
                <c:formatCode>0</c:formatCode>
                <c:ptCount val="6"/>
                <c:pt idx="0">
                  <c:v>979.78845746582851</c:v>
                </c:pt>
                <c:pt idx="1">
                  <c:v>704.9393410653804</c:v>
                </c:pt>
                <c:pt idx="2">
                  <c:v>479.06645949650465</c:v>
                </c:pt>
                <c:pt idx="3">
                  <c:v>330.7144222894326</c:v>
                </c:pt>
                <c:pt idx="4">
                  <c:v>301.41251468077462</c:v>
                </c:pt>
                <c:pt idx="5">
                  <c:v>285.18151019500465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14C-7C4A-8452-896DA5D9C84B}"/>
            </c:ext>
          </c:extLst>
        </c:ser>
        <c:ser>
          <c:idx val="8"/>
          <c:order val="3"/>
          <c:tx>
            <c:strRef>
              <c:f>'Energy Contents Cell'!$S$9</c:f>
              <c:strCache>
                <c:ptCount val="1"/>
                <c:pt idx="0">
                  <c:v>Al-MnO2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'Energy Contents Cell'!$L$9:$Q$9</c:f>
              <c:numCache>
                <c:formatCode>0</c:formatCode>
                <c:ptCount val="6"/>
                <c:pt idx="0">
                  <c:v>600.00958466453665</c:v>
                </c:pt>
                <c:pt idx="1">
                  <c:v>324.03124541587209</c:v>
                </c:pt>
                <c:pt idx="2">
                  <c:v>297.72358908255711</c:v>
                </c:pt>
                <c:pt idx="3">
                  <c:v>294.14144744243481</c:v>
                </c:pt>
                <c:pt idx="4">
                  <c:v>273.398047816043</c:v>
                </c:pt>
                <c:pt idx="5">
                  <c:v>271.43530953310426</c:v>
                </c:pt>
              </c:numCache>
            </c:numRef>
          </c:xVal>
          <c:yVal>
            <c:numRef>
              <c:f>'Energy Contents Cell'!$V$9:$AA$9</c:f>
              <c:numCache>
                <c:formatCode>0</c:formatCode>
                <c:ptCount val="6"/>
                <c:pt idx="0">
                  <c:v>2704.8364119368798</c:v>
                </c:pt>
                <c:pt idx="1">
                  <c:v>1470.6972529727107</c:v>
                </c:pt>
                <c:pt idx="2">
                  <c:v>1102.2952420921349</c:v>
                </c:pt>
                <c:pt idx="3">
                  <c:v>1062.3772460890279</c:v>
                </c:pt>
                <c:pt idx="4">
                  <c:v>946.25487738771506</c:v>
                </c:pt>
                <c:pt idx="5">
                  <c:v>895.29923881435298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14C-7C4A-8452-896DA5D9C84B}"/>
            </c:ext>
          </c:extLst>
        </c:ser>
        <c:ser>
          <c:idx val="7"/>
          <c:order val="4"/>
          <c:tx>
            <c:strRef>
              <c:f>'Energy Contents Cell'!$S$10</c:f>
              <c:strCache>
                <c:ptCount val="1"/>
                <c:pt idx="0">
                  <c:v>LIB-NMC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'Energy Contents Cell'!$L$10:$Q$10</c:f>
              <c:numCache>
                <c:formatCode>0</c:formatCode>
                <c:ptCount val="6"/>
                <c:pt idx="0">
                  <c:v>621.65734785789266</c:v>
                </c:pt>
                <c:pt idx="1">
                  <c:v>466.90355329949239</c:v>
                </c:pt>
                <c:pt idx="2">
                  <c:v>408.42680139297107</c:v>
                </c:pt>
                <c:pt idx="3">
                  <c:v>400.89535573609299</c:v>
                </c:pt>
                <c:pt idx="4">
                  <c:v>360.23512700547917</c:v>
                </c:pt>
                <c:pt idx="5">
                  <c:v>356.7383808838207</c:v>
                </c:pt>
              </c:numCache>
            </c:numRef>
          </c:xVal>
          <c:yVal>
            <c:numRef>
              <c:f>'Energy Contents Cell'!$V$10:$AA$10</c:f>
              <c:numCache>
                <c:formatCode>0</c:formatCode>
                <c:ptCount val="6"/>
                <c:pt idx="0">
                  <c:v>1956.7879318273235</c:v>
                </c:pt>
                <c:pt idx="1">
                  <c:v>1512.6684350132625</c:v>
                </c:pt>
                <c:pt idx="2">
                  <c:v>1090.9593924446456</c:v>
                </c:pt>
                <c:pt idx="3">
                  <c:v>1047.1691579696123</c:v>
                </c:pt>
                <c:pt idx="4">
                  <c:v>914.44742762524731</c:v>
                </c:pt>
                <c:pt idx="5">
                  <c:v>865.20461395008931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14C-7C4A-8452-896DA5D9C84B}"/>
            </c:ext>
          </c:extLst>
        </c:ser>
        <c:ser>
          <c:idx val="0"/>
          <c:order val="5"/>
          <c:tx>
            <c:strRef>
              <c:f>'Energy Contents Cell'!$I$11</c:f>
              <c:strCache>
                <c:ptCount val="1"/>
                <c:pt idx="0">
                  <c:v>LIB-LFP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'Energy Contents Cell'!$L$11:$Q$11</c:f>
              <c:numCache>
                <c:formatCode>0</c:formatCode>
                <c:ptCount val="6"/>
                <c:pt idx="0">
                  <c:v>455.21601991625647</c:v>
                </c:pt>
                <c:pt idx="1">
                  <c:v>347.10650329877473</c:v>
                </c:pt>
                <c:pt idx="2">
                  <c:v>300.97105504582612</c:v>
                </c:pt>
                <c:pt idx="3">
                  <c:v>295.08784208134597</c:v>
                </c:pt>
                <c:pt idx="4">
                  <c:v>264.11813287450826</c:v>
                </c:pt>
                <c:pt idx="5">
                  <c:v>261.45688979578239</c:v>
                </c:pt>
              </c:numCache>
            </c:numRef>
          </c:xVal>
          <c:yVal>
            <c:numRef>
              <c:f>'Energy Contents Cell'!$V$11:$AA$11</c:f>
              <c:numCache>
                <c:formatCode>0</c:formatCode>
                <c:ptCount val="6"/>
                <c:pt idx="0">
                  <c:v>1350.3190644376975</c:v>
                </c:pt>
                <c:pt idx="1">
                  <c:v>1045.4769589733619</c:v>
                </c:pt>
                <c:pt idx="2">
                  <c:v>754.99239460029128</c:v>
                </c:pt>
                <c:pt idx="3">
                  <c:v>724.78528171062021</c:v>
                </c:pt>
                <c:pt idx="4">
                  <c:v>646.62492274337342</c:v>
                </c:pt>
                <c:pt idx="5">
                  <c:v>611.80429814928846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14C-7C4A-8452-896DA5D9C84B}"/>
            </c:ext>
          </c:extLst>
        </c:ser>
        <c:ser>
          <c:idx val="9"/>
          <c:order val="6"/>
          <c:tx>
            <c:strRef>
              <c:f>'Energy Contents Cell'!$I$12:$K$12</c:f>
              <c:strCache>
                <c:ptCount val="3"/>
                <c:pt idx="0">
                  <c:v>Li-DIB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'Energy Contents Cell'!$L$12:$Q$12</c:f>
              <c:numCache>
                <c:formatCode>0</c:formatCode>
                <c:ptCount val="6"/>
                <c:pt idx="0">
                  <c:v>457.71177987092477</c:v>
                </c:pt>
                <c:pt idx="1">
                  <c:v>453.6</c:v>
                </c:pt>
                <c:pt idx="2">
                  <c:v>195.82373995264248</c:v>
                </c:pt>
                <c:pt idx="3">
                  <c:v>175.83831522918263</c:v>
                </c:pt>
                <c:pt idx="4">
                  <c:v>152.90354899955108</c:v>
                </c:pt>
                <c:pt idx="5">
                  <c:v>149.76363593685821</c:v>
                </c:pt>
              </c:numCache>
            </c:numRef>
          </c:xVal>
          <c:yVal>
            <c:numRef>
              <c:f>'Energy Contents Cell'!$V$12:$AA$12</c:f>
              <c:numCache>
                <c:formatCode>0</c:formatCode>
                <c:ptCount val="6"/>
                <c:pt idx="0">
                  <c:v>1006.9659157160347</c:v>
                </c:pt>
                <c:pt idx="1">
                  <c:v>997.92000000000007</c:v>
                </c:pt>
                <c:pt idx="2">
                  <c:v>325.2058452596637</c:v>
                </c:pt>
                <c:pt idx="3">
                  <c:v>286.56959701700441</c:v>
                </c:pt>
                <c:pt idx="4">
                  <c:v>182.25779519383647</c:v>
                </c:pt>
                <c:pt idx="5">
                  <c:v>172.4432488585897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14C-7C4A-8452-896DA5D9C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51856"/>
        <c:axId val="264137024"/>
      </c:scatterChart>
      <c:valAx>
        <c:axId val="264051856"/>
        <c:scaling>
          <c:orientation val="minMax"/>
          <c:max val="4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Specific energy (Wh/kg)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137024"/>
        <c:crosses val="autoZero"/>
        <c:crossBetween val="midCat"/>
        <c:minorUnit val="50"/>
      </c:valAx>
      <c:valAx>
        <c:axId val="264137024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Energy density (Wh/l)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051856"/>
        <c:crosses val="autoZero"/>
        <c:crossBetween val="midCat"/>
        <c:majorUnit val="4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'Energy Contents Cell'!$S$10</c:f>
              <c:strCache>
                <c:ptCount val="1"/>
                <c:pt idx="0">
                  <c:v>LIB-NMC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BA-634E-A525-A890DF0A4104}"/>
            </c:ext>
          </c:extLst>
        </c:ser>
        <c:ser>
          <c:idx val="4"/>
          <c:order val="1"/>
          <c:tx>
            <c:strRef>
              <c:f>'Energy Contents Cell'!$S$4</c:f>
              <c:strCache>
                <c:ptCount val="1"/>
                <c:pt idx="0">
                  <c:v>Al-gra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BA-634E-A525-A890DF0A4104}"/>
            </c:ext>
          </c:extLst>
        </c:ser>
        <c:ser>
          <c:idx val="6"/>
          <c:order val="2"/>
          <c:tx>
            <c:strRef>
              <c:f>'Energy Contents Cell'!$S$5</c:f>
              <c:strCache>
                <c:ptCount val="1"/>
                <c:pt idx="0">
                  <c:v>Al-PPQ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BA-634E-A525-A890DF0A4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51856"/>
        <c:axId val="264137024"/>
      </c:scatterChart>
      <c:valAx>
        <c:axId val="264051856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Areal capacity (mA/cm2)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137024"/>
        <c:crosses val="autoZero"/>
        <c:crossBetween val="midCat"/>
        <c:majorUnit val="1"/>
        <c:minorUnit val="1"/>
      </c:valAx>
      <c:valAx>
        <c:axId val="264137024"/>
        <c:scaling>
          <c:orientation val="minMax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Specific energy (Wh/kg)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051856"/>
        <c:crosses val="autoZero"/>
        <c:crossBetween val="midCat"/>
        <c:majorUnit val="50"/>
        <c:minorUnit val="5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'Energy Contents Cell'!$S$10</c:f>
              <c:strCache>
                <c:ptCount val="1"/>
                <c:pt idx="0">
                  <c:v>LIB-NMC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FC-7448-BA62-A65E8431DB41}"/>
            </c:ext>
          </c:extLst>
        </c:ser>
        <c:ser>
          <c:idx val="4"/>
          <c:order val="1"/>
          <c:tx>
            <c:strRef>
              <c:f>'Energy Contents Cell'!$S$4</c:f>
              <c:strCache>
                <c:ptCount val="1"/>
                <c:pt idx="0">
                  <c:v>Al-gra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FC-7448-BA62-A65E8431DB41}"/>
            </c:ext>
          </c:extLst>
        </c:ser>
        <c:ser>
          <c:idx val="6"/>
          <c:order val="2"/>
          <c:tx>
            <c:strRef>
              <c:f>'Energy Contents Cell'!$S$5</c:f>
              <c:strCache>
                <c:ptCount val="1"/>
                <c:pt idx="0">
                  <c:v>Al-PPQ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6FC-7448-BA62-A65E8431D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51856"/>
        <c:axId val="264137024"/>
      </c:scatterChart>
      <c:valAx>
        <c:axId val="264051856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Areal capacity (mA/cm2)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137024"/>
        <c:crosses val="autoZero"/>
        <c:crossBetween val="midCat"/>
        <c:majorUnit val="1"/>
        <c:minorUnit val="1"/>
      </c:valAx>
      <c:valAx>
        <c:axId val="264137024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Energy density (Wh/l)</a:t>
                </a:r>
                <a:endParaRPr lang="sv-SE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051856"/>
        <c:crosses val="autoZero"/>
        <c:crossBetween val="midCat"/>
        <c:majorUnit val="100"/>
        <c:minorUnit val="5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D22-694C-8E0A-003BFEB5AB14}"/>
              </c:ext>
            </c:extLst>
          </c:dPt>
          <c:xVal>
            <c:numRef>
              <c:f>'Sensitivity Energy Density'!$Q$4:$Q$12</c:f>
              <c:numCache>
                <c:formatCode>0</c:formatCode>
                <c:ptCount val="9"/>
                <c:pt idx="0">
                  <c:v>192.45206607937843</c:v>
                </c:pt>
                <c:pt idx="1">
                  <c:v>180.42381194941728</c:v>
                </c:pt>
                <c:pt idx="2">
                  <c:v>204.48032020933954</c:v>
                </c:pt>
                <c:pt idx="3">
                  <c:v>181.19582661993235</c:v>
                </c:pt>
                <c:pt idx="4">
                  <c:v>202.74971171195671</c:v>
                </c:pt>
                <c:pt idx="5">
                  <c:v>190.24657837327149</c:v>
                </c:pt>
                <c:pt idx="6">
                  <c:v>194.28763014978605</c:v>
                </c:pt>
                <c:pt idx="7">
                  <c:v>89.924898118219645</c:v>
                </c:pt>
                <c:pt idx="8">
                  <c:v>208.96498119053555</c:v>
                </c:pt>
              </c:numCache>
            </c:numRef>
          </c:xVal>
          <c:yVal>
            <c:numRef>
              <c:f>'Sensitivity Energy Density'!$AA$4:$AA$12</c:f>
              <c:numCache>
                <c:formatCode>0.0</c:formatCode>
                <c:ptCount val="9"/>
                <c:pt idx="0">
                  <c:v>287.78714180294099</c:v>
                </c:pt>
                <c:pt idx="1">
                  <c:v>269.80044544025719</c:v>
                </c:pt>
                <c:pt idx="2">
                  <c:v>305.7738381656248</c:v>
                </c:pt>
                <c:pt idx="3">
                  <c:v>276.28724781284348</c:v>
                </c:pt>
                <c:pt idx="4">
                  <c:v>297.93330576686168</c:v>
                </c:pt>
                <c:pt idx="5">
                  <c:v>277.19145133542861</c:v>
                </c:pt>
                <c:pt idx="6">
                  <c:v>297.07830728742886</c:v>
                </c:pt>
                <c:pt idx="7">
                  <c:v>103.89826993430731</c:v>
                </c:pt>
                <c:pt idx="8">
                  <c:v>304.2658482902749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22-694C-8E0A-003BFEB5A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889008"/>
        <c:axId val="621120256"/>
      </c:scatterChart>
      <c:valAx>
        <c:axId val="646889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1120256"/>
        <c:crosses val="autoZero"/>
        <c:crossBetween val="midCat"/>
      </c:valAx>
      <c:valAx>
        <c:axId val="62112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46889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'Energy Contents Cell'!$S$10</c:f>
              <c:strCache>
                <c:ptCount val="1"/>
                <c:pt idx="0">
                  <c:v>LIB-NMC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62-F146-B4E5-1B322DF8B74D}"/>
            </c:ext>
          </c:extLst>
        </c:ser>
        <c:ser>
          <c:idx val="4"/>
          <c:order val="1"/>
          <c:tx>
            <c:strRef>
              <c:f>'Energy Contents Cell'!$S$4</c:f>
              <c:strCache>
                <c:ptCount val="1"/>
                <c:pt idx="0">
                  <c:v>Al-gra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62-F146-B4E5-1B322DF8B74D}"/>
            </c:ext>
          </c:extLst>
        </c:ser>
        <c:ser>
          <c:idx val="6"/>
          <c:order val="2"/>
          <c:tx>
            <c:strRef>
              <c:f>'Energy Contents Cell'!$S$5</c:f>
              <c:strCache>
                <c:ptCount val="1"/>
                <c:pt idx="0">
                  <c:v>Al-PPQ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862-F146-B4E5-1B322DF8B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51856"/>
        <c:axId val="264137024"/>
      </c:scatterChart>
      <c:valAx>
        <c:axId val="264051856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Areal capacity (mA/cm2)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137024"/>
        <c:crosses val="autoZero"/>
        <c:crossBetween val="midCat"/>
        <c:majorUnit val="1"/>
        <c:minorUnit val="1"/>
      </c:valAx>
      <c:valAx>
        <c:axId val="264137024"/>
        <c:scaling>
          <c:orientation val="minMax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Specific energy (Wh/kg)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051856"/>
        <c:crosses val="autoZero"/>
        <c:crossBetween val="midCat"/>
        <c:majorUnit val="50"/>
        <c:minorUnit val="5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'Energy Contents Cell'!$S$10</c:f>
              <c:strCache>
                <c:ptCount val="1"/>
                <c:pt idx="0">
                  <c:v>LIB-NMC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2C-4041-AF74-5FB82858996D}"/>
            </c:ext>
          </c:extLst>
        </c:ser>
        <c:ser>
          <c:idx val="4"/>
          <c:order val="1"/>
          <c:tx>
            <c:strRef>
              <c:f>'Energy Contents Cell'!$S$4</c:f>
              <c:strCache>
                <c:ptCount val="1"/>
                <c:pt idx="0">
                  <c:v>Al-gra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2C-4041-AF74-5FB82858996D}"/>
            </c:ext>
          </c:extLst>
        </c:ser>
        <c:ser>
          <c:idx val="6"/>
          <c:order val="2"/>
          <c:tx>
            <c:strRef>
              <c:f>'Energy Contents Cell'!$S$5</c:f>
              <c:strCache>
                <c:ptCount val="1"/>
                <c:pt idx="0">
                  <c:v>Al-PPQ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12C-4041-AF74-5FB828589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51856"/>
        <c:axId val="264137024"/>
      </c:scatterChart>
      <c:valAx>
        <c:axId val="264051856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Areal capacity (mA/cm2)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137024"/>
        <c:crosses val="autoZero"/>
        <c:crossBetween val="midCat"/>
        <c:majorUnit val="1"/>
        <c:minorUnit val="1"/>
      </c:valAx>
      <c:valAx>
        <c:axId val="264137024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baseline="0">
                    <a:effectLst/>
                  </a:rPr>
                  <a:t>Energy density (Wh/l)</a:t>
                </a:r>
                <a:endParaRPr lang="sv-SE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051856"/>
        <c:crosses val="autoZero"/>
        <c:crossBetween val="midCat"/>
        <c:majorUnit val="100"/>
        <c:minorUnit val="5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Standard 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'Sensitivity Energy Density'!$Q$5:$Q$10</c:f>
              <c:numCache>
                <c:formatCode>0</c:formatCode>
                <c:ptCount val="6"/>
                <c:pt idx="0">
                  <c:v>180.42381194941728</c:v>
                </c:pt>
                <c:pt idx="1">
                  <c:v>204.48032020933954</c:v>
                </c:pt>
                <c:pt idx="2">
                  <c:v>181.19582661993235</c:v>
                </c:pt>
                <c:pt idx="3">
                  <c:v>202.74971171195671</c:v>
                </c:pt>
                <c:pt idx="4">
                  <c:v>190.24657837327149</c:v>
                </c:pt>
                <c:pt idx="5">
                  <c:v>194.28763014978605</c:v>
                </c:pt>
              </c:numCache>
            </c:numRef>
          </c:xVal>
          <c:yVal>
            <c:numRef>
              <c:f>'Sensitivity Energy Density'!$AA$5:$AA$10</c:f>
              <c:numCache>
                <c:formatCode>0.0</c:formatCode>
                <c:ptCount val="6"/>
                <c:pt idx="0">
                  <c:v>269.80044544025719</c:v>
                </c:pt>
                <c:pt idx="1">
                  <c:v>305.7738381656248</c:v>
                </c:pt>
                <c:pt idx="2">
                  <c:v>276.28724781284348</c:v>
                </c:pt>
                <c:pt idx="3">
                  <c:v>297.93330576686168</c:v>
                </c:pt>
                <c:pt idx="4">
                  <c:v>277.19145133542861</c:v>
                </c:pt>
                <c:pt idx="5">
                  <c:v>297.07830728742886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E99-1F42-9D16-30D8EE4D6266}"/>
            </c:ext>
          </c:extLst>
        </c:ser>
        <c:ser>
          <c:idx val="3"/>
          <c:order val="1"/>
          <c:tx>
            <c:v>Active species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'Sensitivity Energy Density'!$Q$11:$Q$12</c:f>
              <c:numCache>
                <c:formatCode>0</c:formatCode>
                <c:ptCount val="2"/>
                <c:pt idx="0">
                  <c:v>89.924898118219645</c:v>
                </c:pt>
                <c:pt idx="1">
                  <c:v>208.96498119053555</c:v>
                </c:pt>
              </c:numCache>
            </c:numRef>
          </c:xVal>
          <c:yVal>
            <c:numRef>
              <c:f>'Sensitivity Energy Density'!$AA$11:$AA$12</c:f>
              <c:numCache>
                <c:formatCode>0.0</c:formatCode>
                <c:ptCount val="2"/>
                <c:pt idx="0">
                  <c:v>103.89826993430731</c:v>
                </c:pt>
                <c:pt idx="1">
                  <c:v>304.2658482902749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E99-1F42-9D16-30D8EE4D6266}"/>
            </c:ext>
          </c:extLst>
        </c:ser>
        <c:ser>
          <c:idx val="4"/>
          <c:order val="2"/>
          <c:tx>
            <c:v>Baseline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'Sensitivity Energy Density'!$Q$4</c:f>
              <c:numCache>
                <c:formatCode>0</c:formatCode>
                <c:ptCount val="1"/>
                <c:pt idx="0">
                  <c:v>192.45206607937843</c:v>
                </c:pt>
              </c:numCache>
            </c:numRef>
          </c:xVal>
          <c:yVal>
            <c:numRef>
              <c:f>'Sensitivity Energy Density'!$AA$4</c:f>
              <c:numCache>
                <c:formatCode>0.0</c:formatCode>
                <c:ptCount val="1"/>
                <c:pt idx="0">
                  <c:v>287.78714180294099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E99-1F42-9D16-30D8EE4D6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6889008"/>
        <c:axId val="621120256"/>
      </c:scatterChart>
      <c:valAx>
        <c:axId val="646889008"/>
        <c:scaling>
          <c:orientation val="minMax"/>
          <c:max val="210"/>
          <c:min val="17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Specific</a:t>
                </a:r>
                <a:r>
                  <a:rPr lang="en-US" baseline="0"/>
                  <a:t> energy (Wh/kg)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1120256"/>
        <c:crosses val="autoZero"/>
        <c:crossBetween val="midCat"/>
        <c:majorUnit val="5"/>
        <c:minorUnit val="5"/>
      </c:valAx>
      <c:valAx>
        <c:axId val="621120256"/>
        <c:scaling>
          <c:orientation val="minMax"/>
          <c:max val="315"/>
          <c:min val="2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Energy density (Wh/L)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46889008"/>
        <c:crosses val="autoZero"/>
        <c:crossBetween val="midCat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'Utility System Costs'!$A$31</c:f>
              <c:strCache>
                <c:ptCount val="1"/>
                <c:pt idx="0">
                  <c:v>Battery Central Inverter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'Utility System Costs'!$C$29:$G$29</c:f>
              <c:numCache>
                <c:formatCode>General</c:formatCode>
                <c:ptCount val="5"/>
                <c:pt idx="0">
                  <c:v>240</c:v>
                </c:pt>
                <c:pt idx="1">
                  <c:v>120</c:v>
                </c:pt>
                <c:pt idx="2">
                  <c:v>60</c:v>
                </c:pt>
                <c:pt idx="3">
                  <c:v>30</c:v>
                </c:pt>
                <c:pt idx="4">
                  <c:v>0</c:v>
                </c:pt>
              </c:numCache>
            </c:numRef>
          </c:xVal>
          <c:yVal>
            <c:numRef>
              <c:f>'Utility System Costs'!$C$31:$G$31</c:f>
              <c:numCache>
                <c:formatCode>_("$"* #\ ##0_);_("$"* \(#\ ##0\);_("$"* "-"??_);_(@_)</c:formatCode>
                <c:ptCount val="5"/>
                <c:pt idx="0">
                  <c:v>4599139.3534425478</c:v>
                </c:pt>
                <c:pt idx="1">
                  <c:v>4599139.3534425478</c:v>
                </c:pt>
                <c:pt idx="2">
                  <c:v>4599139.3534425478</c:v>
                </c:pt>
                <c:pt idx="3">
                  <c:v>4599139.3534425478</c:v>
                </c:pt>
                <c:pt idx="4" formatCode="_-[$$-409]* #\ ##0.00_ ;_-[$$-409]* \-#\ ##0.00\ ;_-[$$-409]* &quot;-&quot;??_ ;_-@_ ">
                  <c:v>4599139.3534425478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79-964C-8E9D-BDAC983E7C74}"/>
            </c:ext>
          </c:extLst>
        </c:ser>
        <c:ser>
          <c:idx val="1"/>
          <c:order val="1"/>
          <c:tx>
            <c:strRef>
              <c:f>'Utility System Costs'!$A$32</c:f>
              <c:strCache>
                <c:ptCount val="1"/>
                <c:pt idx="0">
                  <c:v>Structural BOS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'Utility System Costs'!$C$29:$G$29</c:f>
              <c:numCache>
                <c:formatCode>General</c:formatCode>
                <c:ptCount val="5"/>
                <c:pt idx="0">
                  <c:v>240</c:v>
                </c:pt>
                <c:pt idx="1">
                  <c:v>120</c:v>
                </c:pt>
                <c:pt idx="2">
                  <c:v>60</c:v>
                </c:pt>
                <c:pt idx="3">
                  <c:v>30</c:v>
                </c:pt>
                <c:pt idx="4">
                  <c:v>0</c:v>
                </c:pt>
              </c:numCache>
            </c:numRef>
          </c:xVal>
          <c:yVal>
            <c:numRef>
              <c:f>'Utility System Costs'!$C$32:$G$32</c:f>
              <c:numCache>
                <c:formatCode>_("$"* #\ ##0_);_("$"* \(#\ ##0\);_("$"* "-"??_);_(@_)</c:formatCode>
                <c:ptCount val="5"/>
                <c:pt idx="0">
                  <c:v>782283.39825860015</c:v>
                </c:pt>
                <c:pt idx="1">
                  <c:v>627920.11802608811</c:v>
                </c:pt>
                <c:pt idx="2">
                  <c:v>550738.47790983075</c:v>
                </c:pt>
                <c:pt idx="3">
                  <c:v>512147.65785169927</c:v>
                </c:pt>
                <c:pt idx="4" formatCode="_-[$$-409]* #\ ##0.00_ ;_-[$$-409]* \-#\ ##0.00\ ;_-[$$-409]* &quot;-&quot;??_ ;_-@_ ">
                  <c:v>473556.8377935678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79-964C-8E9D-BDAC983E7C74}"/>
            </c:ext>
          </c:extLst>
        </c:ser>
        <c:ser>
          <c:idx val="2"/>
          <c:order val="2"/>
          <c:tx>
            <c:strRef>
              <c:f>'Utility System Costs'!$A$33</c:f>
              <c:strCache>
                <c:ptCount val="1"/>
                <c:pt idx="0">
                  <c:v>Electrical BOS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'Utility System Costs'!$C$29:$G$29</c:f>
              <c:numCache>
                <c:formatCode>General</c:formatCode>
                <c:ptCount val="5"/>
                <c:pt idx="0">
                  <c:v>240</c:v>
                </c:pt>
                <c:pt idx="1">
                  <c:v>120</c:v>
                </c:pt>
                <c:pt idx="2">
                  <c:v>60</c:v>
                </c:pt>
                <c:pt idx="3">
                  <c:v>30</c:v>
                </c:pt>
                <c:pt idx="4">
                  <c:v>0</c:v>
                </c:pt>
              </c:numCache>
            </c:numRef>
          </c:xVal>
          <c:yVal>
            <c:numRef>
              <c:f>'Utility System Costs'!$C$33:$G$33</c:f>
              <c:numCache>
                <c:formatCode>_("$"* #\ ##0_);_("$"* \(#\ ##0\);_("$"* "-"??_);_(@_)</c:formatCode>
                <c:ptCount val="5"/>
                <c:pt idx="0">
                  <c:v>9190374.9686514791</c:v>
                </c:pt>
                <c:pt idx="1">
                  <c:v>6134559.3630249333</c:v>
                </c:pt>
                <c:pt idx="2">
                  <c:v>4606651.5602116724</c:v>
                </c:pt>
                <c:pt idx="3">
                  <c:v>3842697.6588050248</c:v>
                </c:pt>
                <c:pt idx="4" formatCode="_-[$$-409]* #\ ##0.00_ ;_-[$$-409]* \-#\ ##0.00\ ;_-[$$-409]* &quot;-&quot;??_ ;_-@_ ">
                  <c:v>3078743.7573983772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879-964C-8E9D-BDAC983E7C74}"/>
            </c:ext>
          </c:extLst>
        </c:ser>
        <c:ser>
          <c:idx val="3"/>
          <c:order val="3"/>
          <c:tx>
            <c:strRef>
              <c:f>'Utility System Costs'!$A$34</c:f>
              <c:strCache>
                <c:ptCount val="1"/>
                <c:pt idx="0">
                  <c:v>Installation Labor &amp; Equipment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'Utility System Costs'!$C$29:$G$29</c:f>
              <c:numCache>
                <c:formatCode>General</c:formatCode>
                <c:ptCount val="5"/>
                <c:pt idx="0">
                  <c:v>240</c:v>
                </c:pt>
                <c:pt idx="1">
                  <c:v>120</c:v>
                </c:pt>
                <c:pt idx="2">
                  <c:v>60</c:v>
                </c:pt>
                <c:pt idx="3">
                  <c:v>30</c:v>
                </c:pt>
                <c:pt idx="4">
                  <c:v>0</c:v>
                </c:pt>
              </c:numCache>
            </c:numRef>
          </c:xVal>
          <c:yVal>
            <c:numRef>
              <c:f>'Utility System Costs'!$C$34:$G$34</c:f>
              <c:numCache>
                <c:formatCode>_("$"* #\ ##0_);_("$"* \(#\ ##0\);_("$"* "-"??_);_(@_)</c:formatCode>
                <c:ptCount val="5"/>
                <c:pt idx="0">
                  <c:v>4106513.2494734982</c:v>
                </c:pt>
                <c:pt idx="1">
                  <c:v>3056830.1238237014</c:v>
                </c:pt>
                <c:pt idx="2">
                  <c:v>2531988.5609988146</c:v>
                </c:pt>
                <c:pt idx="3">
                  <c:v>2269567.7795863654</c:v>
                </c:pt>
                <c:pt idx="4" formatCode="_-[$$-409]* #\ ##0.00_ ;_-[$$-409]* \-#\ ##0.00\ ;_-[$$-409]* &quot;-&quot;??_ ;_-@_ ">
                  <c:v>2007146.9981739162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879-964C-8E9D-BDAC983E7C74}"/>
            </c:ext>
          </c:extLst>
        </c:ser>
        <c:ser>
          <c:idx val="4"/>
          <c:order val="4"/>
          <c:tx>
            <c:strRef>
              <c:f>'Utility System Costs'!$A$35</c:f>
              <c:strCache>
                <c:ptCount val="1"/>
                <c:pt idx="0">
                  <c:v>EPC Overhead  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'Utility System Costs'!$C$29:$G$29</c:f>
              <c:numCache>
                <c:formatCode>General</c:formatCode>
                <c:ptCount val="5"/>
                <c:pt idx="0">
                  <c:v>240</c:v>
                </c:pt>
                <c:pt idx="1">
                  <c:v>120</c:v>
                </c:pt>
                <c:pt idx="2">
                  <c:v>60</c:v>
                </c:pt>
                <c:pt idx="3">
                  <c:v>30</c:v>
                </c:pt>
                <c:pt idx="4">
                  <c:v>0</c:v>
                </c:pt>
              </c:numCache>
            </c:numRef>
          </c:xVal>
          <c:yVal>
            <c:numRef>
              <c:f>'Utility System Costs'!$C$35:$G$35</c:f>
              <c:numCache>
                <c:formatCode>_("$"* #\ ##0_);_("$"* \(#\ ##0\);_("$"* "-"??_);_(@_)</c:formatCode>
                <c:ptCount val="5"/>
                <c:pt idx="0">
                  <c:v>2555432.3069870123</c:v>
                </c:pt>
                <c:pt idx="1">
                  <c:v>1784638.7964720419</c:v>
                </c:pt>
                <c:pt idx="2">
                  <c:v>1399242.0412145625</c:v>
                </c:pt>
                <c:pt idx="3">
                  <c:v>1206543.6635858258</c:v>
                </c:pt>
                <c:pt idx="4" formatCode="_-[$$-409]* #\ ##0.00_ ;_-[$$-409]* \-#\ ##0.00\ ;_-[$$-409]* &quot;-&quot;??_ ;_-@_ ">
                  <c:v>1013845.2859570892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879-964C-8E9D-BDAC983E7C74}"/>
            </c:ext>
          </c:extLst>
        </c:ser>
        <c:ser>
          <c:idx val="5"/>
          <c:order val="5"/>
          <c:tx>
            <c:strRef>
              <c:f>'Utility System Costs'!$A$36</c:f>
              <c:strCache>
                <c:ptCount val="1"/>
                <c:pt idx="0">
                  <c:v>Sale Tax 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'Utility System Costs'!$C$29:$G$29</c:f>
              <c:numCache>
                <c:formatCode>General</c:formatCode>
                <c:ptCount val="5"/>
                <c:pt idx="0">
                  <c:v>240</c:v>
                </c:pt>
                <c:pt idx="1">
                  <c:v>120</c:v>
                </c:pt>
                <c:pt idx="2">
                  <c:v>60</c:v>
                </c:pt>
                <c:pt idx="3">
                  <c:v>30</c:v>
                </c:pt>
                <c:pt idx="4">
                  <c:v>0</c:v>
                </c:pt>
              </c:numCache>
            </c:numRef>
          </c:xVal>
          <c:yVal>
            <c:numRef>
              <c:f>'Utility System Costs'!$C$36:$G$36</c:f>
              <c:numCache>
                <c:formatCode>_("$"* #\ ##0_);_("$"* \(#\ ##0\);_("$"* "-"??_);_(@_)</c:formatCode>
                <c:ptCount val="5"/>
                <c:pt idx="0">
                  <c:v>3959795.1602981556</c:v>
                </c:pt>
                <c:pt idx="1">
                  <c:v>2235908.6329358155</c:v>
                </c:pt>
                <c:pt idx="2">
                  <c:v>1538461.2534627742</c:v>
                </c:pt>
                <c:pt idx="3">
                  <c:v>1038579.1836431086</c:v>
                </c:pt>
                <c:pt idx="4" formatCode="_-[$$-409]* #\ ##0.00_ ;_-[$$-409]* \-#\ ##0.00\ ;_-[$$-409]* &quot;-&quot;??_ ;_-@_ ">
                  <c:v>538697.11382344295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879-964C-8E9D-BDAC983E7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80848"/>
        <c:axId val="91716880"/>
      </c:scatterChart>
      <c:valAx>
        <c:axId val="54180848"/>
        <c:scaling>
          <c:orientation val="minMax"/>
          <c:max val="1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1716880"/>
        <c:crosses val="autoZero"/>
        <c:crossBetween val="midCat"/>
      </c:valAx>
      <c:valAx>
        <c:axId val="91716880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\ ##0_);_(&quot;$&quot;* \(#\ 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180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'Utility System Costs'!$A$31</c:f>
              <c:strCache>
                <c:ptCount val="1"/>
                <c:pt idx="0">
                  <c:v>Battery Central Inverter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'Utility System Costs'!$C$26:$G$26</c:f>
              <c:numCache>
                <c:formatCode>General</c:formatCode>
                <c:ptCount val="5"/>
                <c:pt idx="0">
                  <c:v>48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xVal>
          <c:yVal>
            <c:numRef>
              <c:f>'Utility System Costs'!$C$31:$G$31</c:f>
              <c:numCache>
                <c:formatCode>_("$"* #\ ##0_);_("$"* \(#\ ##0\);_("$"* "-"??_);_(@_)</c:formatCode>
                <c:ptCount val="5"/>
                <c:pt idx="0">
                  <c:v>4599139.3534425478</c:v>
                </c:pt>
                <c:pt idx="1">
                  <c:v>4599139.3534425478</c:v>
                </c:pt>
                <c:pt idx="2">
                  <c:v>4599139.3534425478</c:v>
                </c:pt>
                <c:pt idx="3">
                  <c:v>4599139.3534425478</c:v>
                </c:pt>
                <c:pt idx="4" formatCode="_-[$$-409]* #\ ##0.00_ ;_-[$$-409]* \-#\ ##0.00\ ;_-[$$-409]* &quot;-&quot;??_ ;_-@_ ">
                  <c:v>4599139.3534425478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20-FB47-8271-261EEE65E115}"/>
            </c:ext>
          </c:extLst>
        </c:ser>
        <c:ser>
          <c:idx val="1"/>
          <c:order val="1"/>
          <c:tx>
            <c:strRef>
              <c:f>'Utility System Costs'!$A$32</c:f>
              <c:strCache>
                <c:ptCount val="1"/>
                <c:pt idx="0">
                  <c:v>Structural BOS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'Utility System Costs'!$C$26:$G$26</c:f>
              <c:numCache>
                <c:formatCode>General</c:formatCode>
                <c:ptCount val="5"/>
                <c:pt idx="0">
                  <c:v>48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xVal>
          <c:yVal>
            <c:numRef>
              <c:f>'Utility System Costs'!$C$32:$G$32</c:f>
              <c:numCache>
                <c:formatCode>_("$"* #\ ##0_);_("$"* \(#\ ##0\);_("$"* "-"??_);_(@_)</c:formatCode>
                <c:ptCount val="5"/>
                <c:pt idx="0">
                  <c:v>782283.39825860015</c:v>
                </c:pt>
                <c:pt idx="1">
                  <c:v>627920.11802608811</c:v>
                </c:pt>
                <c:pt idx="2">
                  <c:v>550738.47790983075</c:v>
                </c:pt>
                <c:pt idx="3">
                  <c:v>512147.65785169927</c:v>
                </c:pt>
                <c:pt idx="4" formatCode="_-[$$-409]* #\ ##0.00_ ;_-[$$-409]* \-#\ ##0.00\ ;_-[$$-409]* &quot;-&quot;??_ ;_-@_ ">
                  <c:v>473556.8377935678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20-FB47-8271-261EEE65E115}"/>
            </c:ext>
          </c:extLst>
        </c:ser>
        <c:ser>
          <c:idx val="2"/>
          <c:order val="2"/>
          <c:tx>
            <c:strRef>
              <c:f>'Utility System Costs'!$A$33</c:f>
              <c:strCache>
                <c:ptCount val="1"/>
                <c:pt idx="0">
                  <c:v>Electrical BOS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'Utility System Costs'!$C$26:$G$26</c:f>
              <c:numCache>
                <c:formatCode>General</c:formatCode>
                <c:ptCount val="5"/>
                <c:pt idx="0">
                  <c:v>48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xVal>
          <c:yVal>
            <c:numRef>
              <c:f>'Utility System Costs'!$C$33:$G$33</c:f>
              <c:numCache>
                <c:formatCode>_("$"* #\ ##0_);_("$"* \(#\ ##0\);_("$"* "-"??_);_(@_)</c:formatCode>
                <c:ptCount val="5"/>
                <c:pt idx="0">
                  <c:v>9190374.9686514791</c:v>
                </c:pt>
                <c:pt idx="1">
                  <c:v>6134559.3630249333</c:v>
                </c:pt>
                <c:pt idx="2">
                  <c:v>4606651.5602116724</c:v>
                </c:pt>
                <c:pt idx="3">
                  <c:v>3842697.6588050248</c:v>
                </c:pt>
                <c:pt idx="4" formatCode="_-[$$-409]* #\ ##0.00_ ;_-[$$-409]* \-#\ ##0.00\ ;_-[$$-409]* &quot;-&quot;??_ ;_-@_ ">
                  <c:v>3078743.7573983772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20-FB47-8271-261EEE65E115}"/>
            </c:ext>
          </c:extLst>
        </c:ser>
        <c:ser>
          <c:idx val="3"/>
          <c:order val="3"/>
          <c:tx>
            <c:strRef>
              <c:f>'Utility System Costs'!$A$34</c:f>
              <c:strCache>
                <c:ptCount val="1"/>
                <c:pt idx="0">
                  <c:v>Installation Labor &amp; Equipment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'Utility System Costs'!$C$26:$G$26</c:f>
              <c:numCache>
                <c:formatCode>General</c:formatCode>
                <c:ptCount val="5"/>
                <c:pt idx="0">
                  <c:v>48</c:v>
                </c:pt>
                <c:pt idx="1">
                  <c:v>24</c:v>
                </c:pt>
                <c:pt idx="2">
                  <c:v>12</c:v>
                </c:pt>
                <c:pt idx="3">
                  <c:v>6</c:v>
                </c:pt>
                <c:pt idx="4">
                  <c:v>0</c:v>
                </c:pt>
              </c:numCache>
            </c:numRef>
          </c:xVal>
          <c:yVal>
            <c:numRef>
              <c:f>'Utility System Costs'!$C$34:$G$34</c:f>
              <c:numCache>
                <c:formatCode>_("$"* #\ ##0_);_("$"* \(#\ ##0\);_("$"* "-"??_);_(@_)</c:formatCode>
                <c:ptCount val="5"/>
                <c:pt idx="0">
                  <c:v>4106513.2494734982</c:v>
                </c:pt>
                <c:pt idx="1">
                  <c:v>3056830.1238237014</c:v>
                </c:pt>
                <c:pt idx="2">
                  <c:v>2531988.5609988146</c:v>
                </c:pt>
                <c:pt idx="3">
                  <c:v>2269567.7795863654</c:v>
                </c:pt>
                <c:pt idx="4" formatCode="_-[$$-409]* #\ ##0.00_ ;_-[$$-409]* \-#\ ##0.00\ ;_-[$$-409]* &quot;-&quot;??_ ;_-@_ ">
                  <c:v>2007146.9981739162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820-FB47-8271-261EEE65E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80848"/>
        <c:axId val="91716880"/>
      </c:scatterChart>
      <c:valAx>
        <c:axId val="54180848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BESS-containers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1716880"/>
        <c:crosses val="autoZero"/>
        <c:crossBetween val="midCat"/>
      </c:valAx>
      <c:valAx>
        <c:axId val="91716880"/>
        <c:scaling>
          <c:orientation val="minMax"/>
          <c:max val="1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_(&quot;$&quot;* #\ ##0_);_(&quot;$&quot;* \(#\ 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180848"/>
        <c:crosses val="autoZero"/>
        <c:crossBetween val="midCat"/>
        <c:majorUnit val="200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4"/>
          <c:order val="0"/>
          <c:tx>
            <c:strRef>
              <c:f>'Energy Contents Cell'!$S$4</c:f>
              <c:strCache>
                <c:ptCount val="1"/>
                <c:pt idx="0">
                  <c:v>Al-gra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'Energy Contents Cell'!$L$4:$Q$4</c:f>
              <c:numCache>
                <c:formatCode>0</c:formatCode>
                <c:ptCount val="6"/>
                <c:pt idx="0">
                  <c:v>270</c:v>
                </c:pt>
                <c:pt idx="1">
                  <c:v>249.58899688979645</c:v>
                </c:pt>
                <c:pt idx="2">
                  <c:v>109.37076540677818</c:v>
                </c:pt>
                <c:pt idx="3">
                  <c:v>61.220172806355592</c:v>
                </c:pt>
                <c:pt idx="4">
                  <c:v>53.548122541616657</c:v>
                </c:pt>
                <c:pt idx="5">
                  <c:v>52.555193994147949</c:v>
                </c:pt>
              </c:numCache>
            </c:numRef>
          </c:xVal>
          <c:yVal>
            <c:numRef>
              <c:f>'Energy Contents Cell'!$V$4:$AA$4</c:f>
              <c:numCache>
                <c:formatCode>0</c:formatCode>
                <c:ptCount val="6"/>
                <c:pt idx="0">
                  <c:v>594.00000000000011</c:v>
                </c:pt>
                <c:pt idx="1">
                  <c:v>556.89189897513006</c:v>
                </c:pt>
                <c:pt idx="2">
                  <c:v>164.57652152944684</c:v>
                </c:pt>
                <c:pt idx="3">
                  <c:v>82.857392545092779</c:v>
                </c:pt>
                <c:pt idx="4">
                  <c:v>70.941140313927519</c:v>
                </c:pt>
                <c:pt idx="5">
                  <c:v>67.120973895554044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A3-1340-A013-FE10DE8C5FDF}"/>
            </c:ext>
          </c:extLst>
        </c:ser>
        <c:ser>
          <c:idx val="6"/>
          <c:order val="1"/>
          <c:tx>
            <c:strRef>
              <c:f>'Energy Contents Cell'!$S$5</c:f>
              <c:strCache>
                <c:ptCount val="1"/>
                <c:pt idx="0">
                  <c:v>Al-PPQ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xVal>
            <c:numRef>
              <c:f>'Energy Contents Cell'!$L$5:$Q$5</c:f>
              <c:numCache>
                <c:formatCode>0</c:formatCode>
                <c:ptCount val="6"/>
                <c:pt idx="0">
                  <c:v>313.81394260761073</c:v>
                </c:pt>
                <c:pt idx="1">
                  <c:v>217.97366914710932</c:v>
                </c:pt>
                <c:pt idx="2">
                  <c:v>181.65421691255372</c:v>
                </c:pt>
                <c:pt idx="3">
                  <c:v>147.29448432509344</c:v>
                </c:pt>
                <c:pt idx="4">
                  <c:v>125.65022816382346</c:v>
                </c:pt>
                <c:pt idx="5">
                  <c:v>123.65522124049309</c:v>
                </c:pt>
              </c:numCache>
            </c:numRef>
          </c:xVal>
          <c:yVal>
            <c:numRef>
              <c:f>'Energy Contents Cell'!$V$5:$AA$5</c:f>
              <c:numCache>
                <c:formatCode>0</c:formatCode>
                <c:ptCount val="6"/>
                <c:pt idx="0">
                  <c:v>516.88108744514602</c:v>
                </c:pt>
                <c:pt idx="1">
                  <c:v>361.13804004214961</c:v>
                </c:pt>
                <c:pt idx="2">
                  <c:v>283.01329690398273</c:v>
                </c:pt>
                <c:pt idx="3">
                  <c:v>217.22446939188114</c:v>
                </c:pt>
                <c:pt idx="4">
                  <c:v>195.16639037523163</c:v>
                </c:pt>
                <c:pt idx="5">
                  <c:v>184.65671873466661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A3-1340-A013-FE10DE8C5FDF}"/>
            </c:ext>
          </c:extLst>
        </c:ser>
        <c:ser>
          <c:idx val="5"/>
          <c:order val="2"/>
          <c:tx>
            <c:strRef>
              <c:f>'Energy Contents Cell'!$S$6</c:f>
              <c:strCache>
                <c:ptCount val="1"/>
                <c:pt idx="0">
                  <c:v>Al-PBQS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'Energy Contents Cell'!$L$6:$Q$6</c:f>
              <c:numCache>
                <c:formatCode>0</c:formatCode>
                <c:ptCount val="6"/>
                <c:pt idx="0">
                  <c:v>583.63538141881861</c:v>
                </c:pt>
                <c:pt idx="1">
                  <c:v>417.04459341299912</c:v>
                </c:pt>
                <c:pt idx="2">
                  <c:v>312.4587305965884</c:v>
                </c:pt>
                <c:pt idx="3">
                  <c:v>231.26417825285239</c:v>
                </c:pt>
                <c:pt idx="4">
                  <c:v>200.1627961681551</c:v>
                </c:pt>
                <c:pt idx="5">
                  <c:v>196.88751700393024</c:v>
                </c:pt>
              </c:numCache>
            </c:numRef>
          </c:xVal>
          <c:yVal>
            <c:numRef>
              <c:f>'Energy Contents Cell'!$V$6:$AA$6</c:f>
              <c:numCache>
                <c:formatCode>0</c:formatCode>
                <c:ptCount val="6"/>
                <c:pt idx="0">
                  <c:v>979.78845746582851</c:v>
                </c:pt>
                <c:pt idx="1">
                  <c:v>704.9393410653804</c:v>
                </c:pt>
                <c:pt idx="2">
                  <c:v>479.06645949650465</c:v>
                </c:pt>
                <c:pt idx="3">
                  <c:v>330.7144222894326</c:v>
                </c:pt>
                <c:pt idx="4">
                  <c:v>301.41251468077462</c:v>
                </c:pt>
                <c:pt idx="5">
                  <c:v>285.18151019500465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9A3-1340-A013-FE10DE8C5FDF}"/>
            </c:ext>
          </c:extLst>
        </c:ser>
        <c:ser>
          <c:idx val="0"/>
          <c:order val="3"/>
          <c:tx>
            <c:strRef>
              <c:f>'Energy Contents Cell'!$J$13</c:f>
              <c:strCache>
                <c:ptCount val="1"/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'Energy Contents Cell'!$L$13:$Q$13</c:f>
              <c:numCache>
                <c:formatCode>0</c:formatCode>
                <c:ptCount val="6"/>
              </c:numCache>
            </c:numRef>
          </c:xVal>
          <c:yVal>
            <c:numRef>
              <c:f>'Energy Contents Cell'!$V$13:$AA$13</c:f>
              <c:numCache>
                <c:formatCode>0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9A3-1340-A013-FE10DE8C5FDF}"/>
            </c:ext>
          </c:extLst>
        </c:ser>
        <c:ser>
          <c:idx val="1"/>
          <c:order val="4"/>
          <c:tx>
            <c:strRef>
              <c:f>'Energy Contents Cell'!$J$14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'Energy Contents Cell'!$L$14:$Q$14</c:f>
              <c:numCache>
                <c:formatCode>0</c:formatCode>
                <c:ptCount val="6"/>
              </c:numCache>
            </c:numRef>
          </c:xVal>
          <c:yVal>
            <c:numRef>
              <c:f>'Energy Contents Cell'!$V$14:$AA$14</c:f>
              <c:numCache>
                <c:formatCode>0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9A3-1340-A013-FE10DE8C5FDF}"/>
            </c:ext>
          </c:extLst>
        </c:ser>
        <c:ser>
          <c:idx val="2"/>
          <c:order val="5"/>
          <c:tx>
            <c:strRef>
              <c:f>'Energy Contents Cell'!#REF!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'Energy Contents Cell'!#REF!</c:f>
            </c:numRef>
          </c:xVal>
          <c:yVal>
            <c:numRef>
              <c:f>'Energy Contents Cell'!#REF!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9A3-1340-A013-FE10DE8C5FDF}"/>
            </c:ext>
          </c:extLst>
        </c:ser>
        <c:ser>
          <c:idx val="3"/>
          <c:order val="6"/>
          <c:tx>
            <c:strRef>
              <c:f>'Energy Contents Cell'!#REF!</c:f>
              <c:strCache>
                <c:ptCount val="1"/>
                <c:pt idx="0">
                  <c:v>Al-ion-organic (pPQ)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'Energy Contents Cell'!#REF!</c:f>
            </c:numRef>
          </c:xVal>
          <c:yVal>
            <c:numRef>
              <c:f>'Energy Contents Cell'!#REF!</c:f>
              <c:numCache>
                <c:formatCode>0</c:formatCode>
                <c:ptCount val="6"/>
                <c:pt idx="0">
                  <c:v>516.88108744514614</c:v>
                </c:pt>
                <c:pt idx="1">
                  <c:v>359.22867052023122</c:v>
                </c:pt>
                <c:pt idx="2">
                  <c:v>232.91683740268044</c:v>
                </c:pt>
                <c:pt idx="3">
                  <c:v>221.24758981642259</c:v>
                </c:pt>
                <c:pt idx="4">
                  <c:v>183.7969735948636</c:v>
                </c:pt>
                <c:pt idx="5">
                  <c:v>173.89954280620279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9A3-1340-A013-FE10DE8C5FDF}"/>
            </c:ext>
          </c:extLst>
        </c:ser>
        <c:ser>
          <c:idx val="7"/>
          <c:order val="7"/>
          <c:tx>
            <c:strRef>
              <c:f>'Energy Contents Cell'!$J$15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'Energy Contents Cell'!$L$15:$Q$15</c:f>
              <c:numCache>
                <c:formatCode>0</c:formatCode>
                <c:ptCount val="6"/>
              </c:numCache>
            </c:numRef>
          </c:xVal>
          <c:yVal>
            <c:numRef>
              <c:f>'Energy Contents Cell'!$V$15:$AA$15</c:f>
              <c:numCache>
                <c:formatCode>0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9A3-1340-A013-FE10DE8C5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051856"/>
        <c:axId val="264137024"/>
      </c:scatterChart>
      <c:valAx>
        <c:axId val="264051856"/>
        <c:scaling>
          <c:orientation val="minMax"/>
          <c:max val="2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Specific energy (Wh/kg)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137024"/>
        <c:crosses val="autoZero"/>
        <c:crossBetween val="midCat"/>
        <c:minorUnit val="50"/>
      </c:valAx>
      <c:valAx>
        <c:axId val="264137024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Energy density (Wh/l)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64051856"/>
        <c:crosses val="autoZero"/>
        <c:crossBetween val="midCat"/>
        <c:majorUnit val="100"/>
        <c:minorUnit val="1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Cathode AM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Cell'!$A$57:$A$67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Cell'!$L$57:$L$67</c:f>
              <c:numCache>
                <c:formatCode>0.00</c:formatCode>
                <c:ptCount val="11"/>
                <c:pt idx="0">
                  <c:v>19.951232751894178</c:v>
                </c:pt>
                <c:pt idx="1">
                  <c:v>53.749725959836184</c:v>
                </c:pt>
                <c:pt idx="2">
                  <c:v>42.458442920024567</c:v>
                </c:pt>
                <c:pt idx="3">
                  <c:v>77.912017969081504</c:v>
                </c:pt>
                <c:pt idx="4">
                  <c:v>76.596179595720955</c:v>
                </c:pt>
                <c:pt idx="5">
                  <c:v>74.388177781984808</c:v>
                </c:pt>
                <c:pt idx="6">
                  <c:v>46.997407306650906</c:v>
                </c:pt>
                <c:pt idx="7">
                  <c:v>51.635998606941982</c:v>
                </c:pt>
                <c:pt idx="8">
                  <c:v>24.270404603103341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E-5446-A79C-39E51AFD5AB8}"/>
            </c:ext>
          </c:extLst>
        </c:ser>
        <c:ser>
          <c:idx val="1"/>
          <c:order val="1"/>
          <c:tx>
            <c:v>Anode AM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'Mass and Cost Cell'!$A$57:$A$67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Cell'!$M$57:$M$67</c:f>
              <c:numCache>
                <c:formatCode>0.00</c:formatCode>
                <c:ptCount val="11"/>
                <c:pt idx="0">
                  <c:v>1.6315810345241846</c:v>
                </c:pt>
                <c:pt idx="1">
                  <c:v>4.9382560725599483</c:v>
                </c:pt>
                <c:pt idx="2">
                  <c:v>6.4093590452905254</c:v>
                </c:pt>
                <c:pt idx="3">
                  <c:v>4.3124733193218541</c:v>
                </c:pt>
                <c:pt idx="4">
                  <c:v>4.8177737920824137</c:v>
                </c:pt>
                <c:pt idx="5">
                  <c:v>10.667878564843511</c:v>
                </c:pt>
                <c:pt idx="6">
                  <c:v>30.156669688434334</c:v>
                </c:pt>
                <c:pt idx="7">
                  <c:v>24.45538267356558</c:v>
                </c:pt>
                <c:pt idx="8">
                  <c:v>9.4384906789846337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E-5446-A79C-39E51AFD5AB8}"/>
            </c:ext>
          </c:extLst>
        </c:ser>
        <c:ser>
          <c:idx val="2"/>
          <c:order val="2"/>
          <c:tx>
            <c:v>Electrolyte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Cell'!$A$57:$A$67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Cell'!$N$57:$N$67</c:f>
              <c:numCache>
                <c:formatCode>0.00</c:formatCode>
                <c:ptCount val="11"/>
                <c:pt idx="0">
                  <c:v>66.408326977761135</c:v>
                </c:pt>
                <c:pt idx="1">
                  <c:v>28.161398900340274</c:v>
                </c:pt>
                <c:pt idx="2">
                  <c:v>39.256752194254268</c:v>
                </c:pt>
                <c:pt idx="3">
                  <c:v>10.602262340030496</c:v>
                </c:pt>
                <c:pt idx="4">
                  <c:v>11.233738089842296</c:v>
                </c:pt>
                <c:pt idx="5">
                  <c:v>8.6431489432360316</c:v>
                </c:pt>
                <c:pt idx="6">
                  <c:v>12.703568360781611</c:v>
                </c:pt>
                <c:pt idx="7">
                  <c:v>13.413537326643862</c:v>
                </c:pt>
                <c:pt idx="8">
                  <c:v>53.248005323028103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DE-5446-A79C-39E51AFD5AB8}"/>
            </c:ext>
          </c:extLst>
        </c:ser>
        <c:ser>
          <c:idx val="3"/>
          <c:order val="3"/>
          <c:tx>
            <c:v>Separator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Cell'!$A$57:$A$67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Cell'!$O$57:$O$67</c:f>
              <c:numCache>
                <c:formatCode>0.00</c:formatCode>
                <c:ptCount val="11"/>
                <c:pt idx="0">
                  <c:v>9.3836244522110324</c:v>
                </c:pt>
                <c:pt idx="1">
                  <c:v>1.7487842591066149</c:v>
                </c:pt>
                <c:pt idx="2">
                  <c:v>1.7056842507877081</c:v>
                </c:pt>
                <c:pt idx="3">
                  <c:v>0.95199898138270045</c:v>
                </c:pt>
                <c:pt idx="4">
                  <c:v>1.0087004901087129</c:v>
                </c:pt>
                <c:pt idx="5">
                  <c:v>0.77608615274803694</c:v>
                </c:pt>
                <c:pt idx="6">
                  <c:v>0.68388167968871061</c:v>
                </c:pt>
                <c:pt idx="7">
                  <c:v>0.72307344795836936</c:v>
                </c:pt>
                <c:pt idx="8">
                  <c:v>5.2627104498648922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DE-5446-A79C-39E51AFD5AB8}"/>
            </c:ext>
          </c:extLst>
        </c:ser>
        <c:ser>
          <c:idx val="4"/>
          <c:order val="4"/>
          <c:tx>
            <c:v>Positive CC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'Mass and Cost Cell'!$A$57:$A$67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Cell'!$P$57:$P$67</c:f>
              <c:numCache>
                <c:formatCode>0.00</c:formatCode>
                <c:ptCount val="11"/>
                <c:pt idx="0">
                  <c:v>1.7939334189472085</c:v>
                </c:pt>
                <c:pt idx="1">
                  <c:v>5.4296430348418401</c:v>
                </c:pt>
                <c:pt idx="2">
                  <c:v>5.452156820751294</c:v>
                </c:pt>
                <c:pt idx="3">
                  <c:v>2.9749133081383614</c:v>
                </c:pt>
                <c:pt idx="4">
                  <c:v>3.1521005490905951</c:v>
                </c:pt>
                <c:pt idx="5">
                  <c:v>2.4252011496049182</c:v>
                </c:pt>
                <c:pt idx="6">
                  <c:v>1.9436637212205459</c:v>
                </c:pt>
                <c:pt idx="7">
                  <c:v>2.0550508520922075</c:v>
                </c:pt>
                <c:pt idx="8">
                  <c:v>1.9847962450787571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DE-5446-A79C-39E51AFD5AB8}"/>
            </c:ext>
          </c:extLst>
        </c:ser>
        <c:ser>
          <c:idx val="5"/>
          <c:order val="5"/>
          <c:tx>
            <c:v>Negative CC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'Mass and Cost Cell'!$A$57:$A$67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Cell'!$Q$57:$Q$67</c:f>
              <c:numCache>
                <c:formatCode>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4.3000560350953316</c:v>
                </c:pt>
                <c:pt idx="7">
                  <c:v>4.5464828727768349</c:v>
                </c:pt>
                <c:pt idx="8">
                  <c:v>4.3910553965199171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DE-5446-A79C-39E51AFD5AB8}"/>
            </c:ext>
          </c:extLst>
        </c:ser>
        <c:ser>
          <c:idx val="6"/>
          <c:order val="6"/>
          <c:tx>
            <c:v>Binder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'Mass and Cost Cell'!$A$57:$A$67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Cell'!$R$57:$R$67</c:f>
              <c:numCache>
                <c:formatCode>0.00</c:formatCode>
                <c:ptCount val="11"/>
                <c:pt idx="0">
                  <c:v>0.62347602349669307</c:v>
                </c:pt>
                <c:pt idx="1">
                  <c:v>2.9860958866575662</c:v>
                </c:pt>
                <c:pt idx="2">
                  <c:v>2.3588023844458097</c:v>
                </c:pt>
                <c:pt idx="3">
                  <c:v>1.6231670410225314</c:v>
                </c:pt>
                <c:pt idx="4">
                  <c:v>1.59575374157752</c:v>
                </c:pt>
                <c:pt idx="5">
                  <c:v>1.5497537037913505</c:v>
                </c:pt>
                <c:pt idx="6">
                  <c:v>1.921508579985467</c:v>
                </c:pt>
                <c:pt idx="7">
                  <c:v>1.8399806795268825</c:v>
                </c:pt>
                <c:pt idx="8">
                  <c:v>1.0534029775652494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DE-5446-A79C-39E51AFD5AB8}"/>
            </c:ext>
          </c:extLst>
        </c:ser>
        <c:ser>
          <c:idx val="7"/>
          <c:order val="7"/>
          <c:tx>
            <c:v>Cond. additive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Cell'!$A$57:$A$67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Cell'!$S$57:$S$67</c:f>
              <c:numCache>
                <c:formatCode>0.00</c:formatCode>
                <c:ptCount val="11"/>
                <c:pt idx="0">
                  <c:v>0.20782534116556439</c:v>
                </c:pt>
                <c:pt idx="1">
                  <c:v>2.9860958866575662</c:v>
                </c:pt>
                <c:pt idx="2">
                  <c:v>2.3588023844458097</c:v>
                </c:pt>
                <c:pt idx="3">
                  <c:v>1.6231670410225314</c:v>
                </c:pt>
                <c:pt idx="4">
                  <c:v>1.59575374157752</c:v>
                </c:pt>
                <c:pt idx="5">
                  <c:v>1.5497537037913505</c:v>
                </c:pt>
                <c:pt idx="6">
                  <c:v>1.2932446281430849</c:v>
                </c:pt>
                <c:pt idx="7">
                  <c:v>1.3304935404942662</c:v>
                </c:pt>
                <c:pt idx="8">
                  <c:v>0.35113432585508308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EDE-5446-A79C-39E51AFD5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27371631"/>
        <c:axId val="1928219215"/>
      </c:barChart>
      <c:catAx>
        <c:axId val="1927371631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8219215"/>
        <c:crosses val="autoZero"/>
        <c:auto val="1"/>
        <c:lblAlgn val="ctr"/>
        <c:lblOffset val="100"/>
        <c:noMultiLvlLbl val="0"/>
      </c:catAx>
      <c:valAx>
        <c:axId val="192821921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fraction in stack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7371631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Cathode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Cell'!$I$38:$I$46</c:f>
              <c:numCache>
                <c:formatCode>0.00</c:formatCode>
                <c:ptCount val="9"/>
                <c:pt idx="0">
                  <c:v>23.456790123456795</c:v>
                </c:pt>
                <c:pt idx="1">
                  <c:v>14.499917614104467</c:v>
                </c:pt>
                <c:pt idx="2">
                  <c:v>7.1895424836601327</c:v>
                </c:pt>
                <c:pt idx="3">
                  <c:v>42.613636363636367</c:v>
                </c:pt>
                <c:pt idx="4">
                  <c:v>156.45776981152574</c:v>
                </c:pt>
                <c:pt idx="5">
                  <c:v>16.988171786933396</c:v>
                </c:pt>
                <c:pt idx="6">
                  <c:v>40.443574690150044</c:v>
                </c:pt>
                <c:pt idx="7">
                  <c:v>23.805416594790408</c:v>
                </c:pt>
                <c:pt idx="8">
                  <c:v>10.052910052910054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C-7C41-AD4D-0713323DD4D2}"/>
            </c:ext>
          </c:extLst>
        </c:ser>
        <c:ser>
          <c:idx val="1"/>
          <c:order val="1"/>
          <c:tx>
            <c:v>Anode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Cell'!$J$38:$J$46</c:f>
              <c:numCache>
                <c:formatCode>0.00</c:formatCode>
                <c:ptCount val="9"/>
                <c:pt idx="0">
                  <c:v>1.7596698618448177</c:v>
                </c:pt>
                <c:pt idx="1">
                  <c:v>2.2427271562219655</c:v>
                </c:pt>
                <c:pt idx="2">
                  <c:v>1.8271127452807505</c:v>
                </c:pt>
                <c:pt idx="3">
                  <c:v>4.5677818632018754</c:v>
                </c:pt>
                <c:pt idx="4">
                  <c:v>3.0772425183675791</c:v>
                </c:pt>
                <c:pt idx="5">
                  <c:v>2.2487541480378468</c:v>
                </c:pt>
                <c:pt idx="6">
                  <c:v>10.226221386575942</c:v>
                </c:pt>
                <c:pt idx="7">
                  <c:v>11.310820624546116</c:v>
                </c:pt>
                <c:pt idx="8">
                  <c:v>7.5405470830307424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C-7C41-AD4D-0713323DD4D2}"/>
            </c:ext>
          </c:extLst>
        </c:ser>
        <c:ser>
          <c:idx val="2"/>
          <c:order val="2"/>
          <c:tx>
            <c:v>Separator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Cell'!$L$38:$L$46</c:f>
              <c:numCache>
                <c:formatCode>0.00</c:formatCode>
                <c:ptCount val="9"/>
                <c:pt idx="0">
                  <c:v>53.435226536320862</c:v>
                </c:pt>
                <c:pt idx="1">
                  <c:v>4.1934701891356516</c:v>
                </c:pt>
                <c:pt idx="2">
                  <c:v>2.5673428817852653</c:v>
                </c:pt>
                <c:pt idx="3">
                  <c:v>5.3241454017429959</c:v>
                </c:pt>
                <c:pt idx="4">
                  <c:v>3.4018255659087715</c:v>
                </c:pt>
                <c:pt idx="5">
                  <c:v>0.86379033008185058</c:v>
                </c:pt>
                <c:pt idx="6">
                  <c:v>0.58235183253664824</c:v>
                </c:pt>
                <c:pt idx="7">
                  <c:v>0.83979779793468745</c:v>
                </c:pt>
                <c:pt idx="8">
                  <c:v>10.558019171068906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C-7C41-AD4D-0713323DD4D2}"/>
            </c:ext>
          </c:extLst>
        </c:ser>
        <c:ser>
          <c:idx val="3"/>
          <c:order val="3"/>
          <c:tx>
            <c:v>Electrolyte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Cell'!$K$38:$K$46</c:f>
              <c:numCache>
                <c:formatCode>0.00</c:formatCode>
                <c:ptCount val="9"/>
                <c:pt idx="0">
                  <c:v>34.074823529411752</c:v>
                </c:pt>
                <c:pt idx="1">
                  <c:v>6.0847899159663843</c:v>
                </c:pt>
                <c:pt idx="2">
                  <c:v>5.3241911764705856</c:v>
                </c:pt>
                <c:pt idx="3">
                  <c:v>5.3427642265694057</c:v>
                </c:pt>
                <c:pt idx="4">
                  <c:v>3.4137219341561384</c:v>
                </c:pt>
                <c:pt idx="5">
                  <c:v>0.86681105164916084</c:v>
                </c:pt>
                <c:pt idx="6">
                  <c:v>4.9785398774402232</c:v>
                </c:pt>
                <c:pt idx="7">
                  <c:v>7.1698063183677165</c:v>
                </c:pt>
                <c:pt idx="8">
                  <c:v>78.252860041072495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C-7C41-AD4D-0713323DD4D2}"/>
            </c:ext>
          </c:extLst>
        </c:ser>
        <c:ser>
          <c:idx val="4"/>
          <c:order val="4"/>
          <c:tx>
            <c:v>Positive CC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Cell'!$M$38:$M$46</c:f>
              <c:numCache>
                <c:formatCode>0.00</c:formatCode>
                <c:ptCount val="9"/>
                <c:pt idx="0">
                  <c:v>7.6596157779455734</c:v>
                </c:pt>
                <c:pt idx="1">
                  <c:v>9.7623018293983321</c:v>
                </c:pt>
                <c:pt idx="2">
                  <c:v>6.1531457505211939</c:v>
                </c:pt>
                <c:pt idx="3">
                  <c:v>12.474736082338975</c:v>
                </c:pt>
                <c:pt idx="4">
                  <c:v>7.9706456023857939</c:v>
                </c:pt>
                <c:pt idx="5">
                  <c:v>2.0239034784286507</c:v>
                </c:pt>
                <c:pt idx="6">
                  <c:v>0.31346648650220532</c:v>
                </c:pt>
                <c:pt idx="7">
                  <c:v>0.45204367940974732</c:v>
                </c:pt>
                <c:pt idx="8">
                  <c:v>0.75414422650492186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C-7C41-AD4D-0713323DD4D2}"/>
            </c:ext>
          </c:extLst>
        </c:ser>
        <c:ser>
          <c:idx val="5"/>
          <c:order val="5"/>
          <c:tx>
            <c:v>Negative CC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Cell'!$N$38:$N$46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1.8807989190132322</c:v>
                </c:pt>
                <c:pt idx="7">
                  <c:v>2.7122620764584844</c:v>
                </c:pt>
                <c:pt idx="8">
                  <c:v>4.5248653590295316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C-7C41-AD4D-0713323DD4D2}"/>
            </c:ext>
          </c:extLst>
        </c:ser>
        <c:ser>
          <c:idx val="6"/>
          <c:order val="6"/>
          <c:tx>
            <c:v>Pouch cell foil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'Mass and Cost Cell'!$A$38:$A$46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Cell'!$O$38:$O$46</c:f>
              <c:numCache>
                <c:formatCode>0.00</c:formatCode>
                <c:ptCount val="9"/>
                <c:pt idx="0">
                  <c:v>1.9363994402610361</c:v>
                </c:pt>
                <c:pt idx="1">
                  <c:v>0.70386291477368235</c:v>
                </c:pt>
                <c:pt idx="2">
                  <c:v>0.45575541062340291</c:v>
                </c:pt>
                <c:pt idx="3">
                  <c:v>0.81887706169610464</c:v>
                </c:pt>
                <c:pt idx="4">
                  <c:v>0.52367902222432083</c:v>
                </c:pt>
                <c:pt idx="5">
                  <c:v>0.14517270946555261</c:v>
                </c:pt>
                <c:pt idx="6">
                  <c:v>0.15022228752079239</c:v>
                </c:pt>
                <c:pt idx="7">
                  <c:v>0.21244214314004589</c:v>
                </c:pt>
                <c:pt idx="8">
                  <c:v>0.75371472725910826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3C-7C41-AD4D-0713323DD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27371631"/>
        <c:axId val="1928219215"/>
      </c:barChart>
      <c:catAx>
        <c:axId val="192737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8219215"/>
        <c:crosses val="autoZero"/>
        <c:auto val="1"/>
        <c:lblAlgn val="ctr"/>
        <c:lblOffset val="100"/>
        <c:noMultiLvlLbl val="0"/>
      </c:catAx>
      <c:valAx>
        <c:axId val="1928219215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Pouch cell cost ($/kWh)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7371631"/>
        <c:crosses val="autoZero"/>
        <c:crossBetween val="between"/>
        <c:majorUnit val="50"/>
        <c:minorUnit val="25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Cathode AM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Cell'!$A$57:$A$65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Cell'!$B$57:$B$65</c:f>
              <c:numCache>
                <c:formatCode>0.00</c:formatCode>
                <c:ptCount val="9"/>
                <c:pt idx="0">
                  <c:v>24.762022521527939</c:v>
                </c:pt>
                <c:pt idx="1">
                  <c:v>22.040816326530617</c:v>
                </c:pt>
                <c:pt idx="2">
                  <c:v>17.338775510204087</c:v>
                </c:pt>
                <c:pt idx="3">
                  <c:v>58.311315336013791</c:v>
                </c:pt>
                <c:pt idx="4">
                  <c:v>54.104046242774572</c:v>
                </c:pt>
                <c:pt idx="5">
                  <c:v>68.293418819536129</c:v>
                </c:pt>
                <c:pt idx="6">
                  <c:v>48.964102564102575</c:v>
                </c:pt>
                <c:pt idx="7">
                  <c:v>50.880929332042591</c:v>
                </c:pt>
                <c:pt idx="8">
                  <c:v>24.762022521527939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1-D54D-985D-8E40390A00EB}"/>
            </c:ext>
          </c:extLst>
        </c:ser>
        <c:ser>
          <c:idx val="1"/>
          <c:order val="1"/>
          <c:tx>
            <c:v>Anode AM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'Mass and Cost Cell'!$A$57:$A$65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Cell'!$C$57:$C$65</c:f>
              <c:numCache>
                <c:formatCode>0.00</c:formatCode>
                <c:ptCount val="9"/>
                <c:pt idx="0">
                  <c:v>2.0249999999999999</c:v>
                </c:pt>
                <c:pt idx="1">
                  <c:v>2.0249999999999999</c:v>
                </c:pt>
                <c:pt idx="2">
                  <c:v>2.6173931498127603</c:v>
                </c:pt>
                <c:pt idx="3">
                  <c:v>3.2275635794841584</c:v>
                </c:pt>
                <c:pt idx="4">
                  <c:v>3.4030555754848142</c:v>
                </c:pt>
                <c:pt idx="5">
                  <c:v>9.7938398340663184</c:v>
                </c:pt>
                <c:pt idx="6">
                  <c:v>31.418632478632489</c:v>
                </c:pt>
                <c:pt idx="7">
                  <c:v>24.097773475314618</c:v>
                </c:pt>
                <c:pt idx="8">
                  <c:v>9.6296754250386432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1-D54D-985D-8E40390A00EB}"/>
            </c:ext>
          </c:extLst>
        </c:ser>
        <c:ser>
          <c:idx val="2"/>
          <c:order val="2"/>
          <c:tx>
            <c:v>Electrolyte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Cell'!$A$57:$A$65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Cell'!$D$57:$D$65</c:f>
              <c:numCache>
                <c:formatCode>0.00</c:formatCode>
                <c:ptCount val="9"/>
                <c:pt idx="0">
                  <c:v>82.421197160571054</c:v>
                </c:pt>
                <c:pt idx="1">
                  <c:v>11.547969958477031</c:v>
                </c:pt>
                <c:pt idx="2">
                  <c:v>16.031299471768111</c:v>
                </c:pt>
                <c:pt idx="3">
                  <c:v>7.9350000000000005</c:v>
                </c:pt>
                <c:pt idx="4">
                  <c:v>7.9350000000000005</c:v>
                </c:pt>
                <c:pt idx="5">
                  <c:v>7.9350000000000005</c:v>
                </c:pt>
                <c:pt idx="6">
                  <c:v>13.235173167932889</c:v>
                </c:pt>
                <c:pt idx="7">
                  <c:v>13.217392191925709</c:v>
                </c:pt>
                <c:pt idx="8">
                  <c:v>54.326589465536458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21-D54D-985D-8E40390A00EB}"/>
            </c:ext>
          </c:extLst>
        </c:ser>
        <c:ser>
          <c:idx val="3"/>
          <c:order val="3"/>
          <c:tx>
            <c:v>Separator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Cell'!$A$57:$A$65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Cell'!$E$57:$E$65</c:f>
              <c:numCache>
                <c:formatCode>0.00</c:formatCode>
                <c:ptCount val="9"/>
                <c:pt idx="0">
                  <c:v>11.646273837246961</c:v>
                </c:pt>
                <c:pt idx="1">
                  <c:v>0.71711310079048263</c:v>
                </c:pt>
                <c:pt idx="2">
                  <c:v>0.69655112815619957</c:v>
                </c:pt>
                <c:pt idx="3">
                  <c:v>0.71250000000000002</c:v>
                </c:pt>
                <c:pt idx="4">
                  <c:v>0.71250000000000002</c:v>
                </c:pt>
                <c:pt idx="5">
                  <c:v>0.71250000000000002</c:v>
                </c:pt>
                <c:pt idx="6">
                  <c:v>0.71250000000000002</c:v>
                </c:pt>
                <c:pt idx="7">
                  <c:v>0.71250000000000002</c:v>
                </c:pt>
                <c:pt idx="8">
                  <c:v>5.3693111760968373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21-D54D-985D-8E40390A00EB}"/>
            </c:ext>
          </c:extLst>
        </c:ser>
        <c:ser>
          <c:idx val="4"/>
          <c:order val="4"/>
          <c:tx>
            <c:v>Cathode CC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'Mass and Cost Cell'!$A$57:$A$65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Cell'!$F$57:$F$65</c:f>
              <c:numCache>
                <c:formatCode>0.00</c:formatCode>
                <c:ptCount val="9"/>
                <c:pt idx="0">
                  <c:v>2.2265000000000001</c:v>
                </c:pt>
                <c:pt idx="1">
                  <c:v>2.2265000000000001</c:v>
                </c:pt>
                <c:pt idx="2">
                  <c:v>2.2265000000000001</c:v>
                </c:pt>
                <c:pt idx="3">
                  <c:v>2.2265000000000001</c:v>
                </c:pt>
                <c:pt idx="4">
                  <c:v>2.2265000000000001</c:v>
                </c:pt>
                <c:pt idx="5">
                  <c:v>2.2265000000000001</c:v>
                </c:pt>
                <c:pt idx="6">
                  <c:v>2.0249999999999999</c:v>
                </c:pt>
                <c:pt idx="7">
                  <c:v>2.0249999999999999</c:v>
                </c:pt>
                <c:pt idx="8">
                  <c:v>2.0249999999999999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21-D54D-985D-8E40390A00EB}"/>
            </c:ext>
          </c:extLst>
        </c:ser>
        <c:ser>
          <c:idx val="5"/>
          <c:order val="5"/>
          <c:tx>
            <c:v>Anode CC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'Mass and Cost Cell'!$A$57:$A$65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Cell'!$G$57:$G$65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4.4800000000000004</c:v>
                </c:pt>
                <c:pt idx="7">
                  <c:v>4.4800000000000004</c:v>
                </c:pt>
                <c:pt idx="8">
                  <c:v>4.4800000000000004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21-D54D-985D-8E40390A00EB}"/>
            </c:ext>
          </c:extLst>
        </c:ser>
        <c:ser>
          <c:idx val="6"/>
          <c:order val="6"/>
          <c:tx>
            <c:v>Binder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'Mass and Cost Cell'!$A$57:$A$65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Cell'!$H$57:$H$65</c:f>
              <c:numCache>
                <c:formatCode>0.00</c:formatCode>
                <c:ptCount val="9"/>
                <c:pt idx="0">
                  <c:v>0.77381320379774809</c:v>
                </c:pt>
                <c:pt idx="1">
                  <c:v>1.2244897959183678</c:v>
                </c:pt>
                <c:pt idx="2">
                  <c:v>0.96326530612244943</c:v>
                </c:pt>
                <c:pt idx="3">
                  <c:v>1.2148190695002874</c:v>
                </c:pt>
                <c:pt idx="4">
                  <c:v>1.1271676300578037</c:v>
                </c:pt>
                <c:pt idx="5">
                  <c:v>1.4227795587403362</c:v>
                </c:pt>
                <c:pt idx="6">
                  <c:v>2.0019177350427357</c:v>
                </c:pt>
                <c:pt idx="7">
                  <c:v>1.8130747821878024</c:v>
                </c:pt>
                <c:pt idx="8">
                  <c:v>1.0747405608302056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21-D54D-985D-8E40390A00EB}"/>
            </c:ext>
          </c:extLst>
        </c:ser>
        <c:ser>
          <c:idx val="7"/>
          <c:order val="7"/>
          <c:tx>
            <c:v>Cond. additive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Cell'!$A$57:$A$65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Cell'!$I$57:$I$65</c:f>
              <c:numCache>
                <c:formatCode>0.00</c:formatCode>
                <c:ptCount val="9"/>
                <c:pt idx="0">
                  <c:v>0.2579377345992494</c:v>
                </c:pt>
                <c:pt idx="1">
                  <c:v>1.2244897959183678</c:v>
                </c:pt>
                <c:pt idx="2">
                  <c:v>0.96326530612244943</c:v>
                </c:pt>
                <c:pt idx="3">
                  <c:v>1.2148190695002874</c:v>
                </c:pt>
                <c:pt idx="4">
                  <c:v>1.1271676300578037</c:v>
                </c:pt>
                <c:pt idx="5">
                  <c:v>1.4227795587403362</c:v>
                </c:pt>
                <c:pt idx="6">
                  <c:v>1.3473628917378919</c:v>
                </c:pt>
                <c:pt idx="7">
                  <c:v>1.3110378347854146</c:v>
                </c:pt>
                <c:pt idx="8">
                  <c:v>0.35824685361006858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21-D54D-985D-8E40390A0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27371631"/>
        <c:axId val="1928219215"/>
      </c:barChart>
      <c:catAx>
        <c:axId val="192737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8219215"/>
        <c:crosses val="autoZero"/>
        <c:auto val="1"/>
        <c:lblAlgn val="ctr"/>
        <c:lblOffset val="100"/>
        <c:noMultiLvlLbl val="0"/>
      </c:catAx>
      <c:valAx>
        <c:axId val="1928219215"/>
        <c:scaling>
          <c:orientation val="minMax"/>
          <c:max val="1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in stack (mg/cm2)</a:t>
                </a:r>
              </a:p>
            </c:rich>
          </c:tx>
          <c:layout>
            <c:manualLayout>
              <c:xMode val="edge"/>
              <c:yMode val="edge"/>
              <c:x val="1.7973856209150325E-2"/>
              <c:y val="0.300222006633125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7371631"/>
        <c:crosses val="autoZero"/>
        <c:crossBetween val="between"/>
        <c:majorUnit val="40"/>
        <c:min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Cathode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Cell'!$A$76:$A$84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Cell'!$E$76:$E$84</c:f>
              <c:numCache>
                <c:formatCode>0.00</c:formatCode>
                <c:ptCount val="9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154</c:v>
                </c:pt>
                <c:pt idx="7">
                  <c:v>200</c:v>
                </c:pt>
                <c:pt idx="8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3-8649-8C2E-E193C08EB68E}"/>
            </c:ext>
          </c:extLst>
        </c:ser>
        <c:ser>
          <c:idx val="1"/>
          <c:order val="1"/>
          <c:tx>
            <c:v>Anode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'Mass and Cost Cell'!$A$76:$A$84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Cell'!$F$76:$F$84</c:f>
              <c:numCache>
                <c:formatCode>0.00</c:formatCode>
                <c:ptCount val="9"/>
                <c:pt idx="0">
                  <c:v>7.5</c:v>
                </c:pt>
                <c:pt idx="1">
                  <c:v>7.5</c:v>
                </c:pt>
                <c:pt idx="2">
                  <c:v>9.6940487030102229</c:v>
                </c:pt>
                <c:pt idx="3">
                  <c:v>11.953939183274661</c:v>
                </c:pt>
                <c:pt idx="4">
                  <c:v>12.603909538832646</c:v>
                </c:pt>
                <c:pt idx="5">
                  <c:v>36.273480866912294</c:v>
                </c:pt>
                <c:pt idx="6">
                  <c:v>199.62820776617073</c:v>
                </c:pt>
                <c:pt idx="7">
                  <c:v>153.11281715726696</c:v>
                </c:pt>
                <c:pt idx="8">
                  <c:v>61.185185185185198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E3-8649-8C2E-E193C08EB68E}"/>
            </c:ext>
          </c:extLst>
        </c:ser>
        <c:ser>
          <c:idx val="3"/>
          <c:order val="2"/>
          <c:tx>
            <c:v>Separator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Cell'!$A$76:$A$84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Cell'!$H$76:$H$84</c:f>
              <c:numCache>
                <c:formatCode>0.00</c:formatCode>
                <c:ptCount val="9"/>
                <c:pt idx="0">
                  <c:v>612.96178090773492</c:v>
                </c:pt>
                <c:pt idx="1">
                  <c:v>37.742794778446459</c:v>
                </c:pt>
                <c:pt idx="2">
                  <c:v>36.660585692431567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282.59532505772836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E3-8649-8C2E-E193C08EB68E}"/>
            </c:ext>
          </c:extLst>
        </c:ser>
        <c:ser>
          <c:idx val="2"/>
          <c:order val="3"/>
          <c:tx>
            <c:v>Electrolyte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Cell'!$A$76:$A$84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Cell'!$G$76:$G$84</c:f>
              <c:numCache>
                <c:formatCode>0.00</c:formatCode>
                <c:ptCount val="9"/>
                <c:pt idx="0">
                  <c:v>114.47388494523757</c:v>
                </c:pt>
                <c:pt idx="1">
                  <c:v>16.038847164551431</c:v>
                </c:pt>
                <c:pt idx="2">
                  <c:v>22.265693710789041</c:v>
                </c:pt>
                <c:pt idx="3">
                  <c:v>8.6249999999999982</c:v>
                </c:pt>
                <c:pt idx="4">
                  <c:v>8.6249999999999982</c:v>
                </c:pt>
                <c:pt idx="5">
                  <c:v>8.6249999999999982</c:v>
                </c:pt>
                <c:pt idx="6">
                  <c:v>14.386057791231401</c:v>
                </c:pt>
                <c:pt idx="7">
                  <c:v>14.366730643397503</c:v>
                </c:pt>
                <c:pt idx="8">
                  <c:v>64.674511268495749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E3-8649-8C2E-E193C08EB68E}"/>
            </c:ext>
          </c:extLst>
        </c:ser>
        <c:ser>
          <c:idx val="4"/>
          <c:order val="4"/>
          <c:tx>
            <c:v>Positive CC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'Mass and Cost Cell'!$A$76:$A$84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Cell'!$I$76:$I$84</c:f>
              <c:numCache>
                <c:formatCode>0.00</c:formatCode>
                <c:ptCount val="9"/>
                <c:pt idx="0">
                  <c:v>7.5</c:v>
                </c:pt>
                <c:pt idx="1">
                  <c:v>7.5</c:v>
                </c:pt>
                <c:pt idx="2">
                  <c:v>7.5</c:v>
                </c:pt>
                <c:pt idx="3">
                  <c:v>7.5</c:v>
                </c:pt>
                <c:pt idx="4">
                  <c:v>7.5</c:v>
                </c:pt>
                <c:pt idx="5">
                  <c:v>7.5</c:v>
                </c:pt>
                <c:pt idx="6">
                  <c:v>7.5</c:v>
                </c:pt>
                <c:pt idx="7">
                  <c:v>7.5</c:v>
                </c:pt>
                <c:pt idx="8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E3-8649-8C2E-E193C08EB68E}"/>
            </c:ext>
          </c:extLst>
        </c:ser>
        <c:ser>
          <c:idx val="5"/>
          <c:order val="5"/>
          <c:tx>
            <c:v>Negative CC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'Mass and Cost Cell'!$A$76:$A$84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Cell'!$J$76:$J$84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E3-8649-8C2E-E193C08EB68E}"/>
            </c:ext>
          </c:extLst>
        </c:ser>
        <c:ser>
          <c:idx val="6"/>
          <c:order val="6"/>
          <c:tx>
            <c:v>Expansion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'Mass and Cost Cell'!$A$76:$A$84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Cell'!$K$76:$K$84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1.6307072111502254</c:v>
                </c:pt>
                <c:pt idx="4">
                  <c:v>1.1973936407782357</c:v>
                </c:pt>
                <c:pt idx="5">
                  <c:v>0</c:v>
                </c:pt>
                <c:pt idx="6">
                  <c:v>14.908285609370083</c:v>
                </c:pt>
                <c:pt idx="7">
                  <c:v>7.5040936111681535</c:v>
                </c:pt>
                <c:pt idx="8">
                  <c:v>234.97951736367506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E3-8649-8C2E-E193C08EB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27371631"/>
        <c:axId val="1928219215"/>
      </c:barChart>
      <c:catAx>
        <c:axId val="192737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8219215"/>
        <c:crosses val="autoZero"/>
        <c:auto val="1"/>
        <c:lblAlgn val="ctr"/>
        <c:lblOffset val="100"/>
        <c:noMultiLvlLbl val="0"/>
      </c:catAx>
      <c:valAx>
        <c:axId val="1928219215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Thickness per stack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7371631"/>
        <c:crosses val="autoZero"/>
        <c:crossBetween val="between"/>
        <c:majorUnit val="200"/>
        <c:minorUnit val="1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Cathode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Cell'!$A$96:$A$104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Cell'!$C$96:$C$104</c:f>
              <c:numCache>
                <c:formatCode>0.00</c:formatCode>
                <c:ptCount val="9"/>
                <c:pt idx="0">
                  <c:v>159.85841525678546</c:v>
                </c:pt>
                <c:pt idx="1">
                  <c:v>532.17920303625249</c:v>
                </c:pt>
                <c:pt idx="2">
                  <c:v>407.52088327487695</c:v>
                </c:pt>
                <c:pt idx="3">
                  <c:v>1449.7824923707078</c:v>
                </c:pt>
                <c:pt idx="4">
                  <c:v>1343.9880911470996</c:v>
                </c:pt>
                <c:pt idx="5">
                  <c:v>1553.8926810183782</c:v>
                </c:pt>
                <c:pt idx="6">
                  <c:v>725.85134475885297</c:v>
                </c:pt>
                <c:pt idx="7">
                  <c:v>769.14443808233466</c:v>
                </c:pt>
                <c:pt idx="8">
                  <c:v>176.01377813626988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8-F046-B971-8D1358061DFA}"/>
            </c:ext>
          </c:extLst>
        </c:ser>
        <c:ser>
          <c:idx val="1"/>
          <c:order val="1"/>
          <c:tx>
            <c:v>Anode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'Mass and Cost Cell'!$A$96:$A$104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Cell'!$D$96:$D$104</c:f>
              <c:numCache>
                <c:formatCode>0.00</c:formatCode>
                <c:ptCount val="9"/>
                <c:pt idx="0">
                  <c:v>12.892126688566448</c:v>
                </c:pt>
                <c:pt idx="1">
                  <c:v>45.203980123674967</c:v>
                </c:pt>
                <c:pt idx="2">
                  <c:v>56.875055185486659</c:v>
                </c:pt>
                <c:pt idx="3">
                  <c:v>79.136158963229747</c:v>
                </c:pt>
                <c:pt idx="4">
                  <c:v>83.365213077729692</c:v>
                </c:pt>
                <c:pt idx="5">
                  <c:v>219.75831281421921</c:v>
                </c:pt>
                <c:pt idx="6">
                  <c:v>478.44947221640604</c:v>
                </c:pt>
                <c:pt idx="7">
                  <c:v>374.20423769871149</c:v>
                </c:pt>
                <c:pt idx="8">
                  <c:v>70.315507405029521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8-F046-B971-8D1358061DFA}"/>
            </c:ext>
          </c:extLst>
        </c:ser>
        <c:ser>
          <c:idx val="3"/>
          <c:order val="2"/>
          <c:tx>
            <c:v>Separator</c:v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Cell'!$A$96:$A$104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Cell'!$E$96:$E$104</c:f>
              <c:numCache>
                <c:formatCode>0.00</c:formatCode>
                <c:ptCount val="9"/>
                <c:pt idx="0">
                  <c:v>74.145796424456663</c:v>
                </c:pt>
                <c:pt idx="1">
                  <c:v>16.008082150399954</c:v>
                </c:pt>
                <c:pt idx="2">
                  <c:v>15.135817046144124</c:v>
                </c:pt>
                <c:pt idx="3">
                  <c:v>17.469683206151679</c:v>
                </c:pt>
                <c:pt idx="4">
                  <c:v>17.454229882631388</c:v>
                </c:pt>
                <c:pt idx="5">
                  <c:v>15.987375792638566</c:v>
                </c:pt>
                <c:pt idx="6">
                  <c:v>10.416094310234151</c:v>
                </c:pt>
                <c:pt idx="7">
                  <c:v>10.621549698278793</c:v>
                </c:pt>
                <c:pt idx="8">
                  <c:v>37.638237030276706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8-F046-B971-8D1358061DFA}"/>
            </c:ext>
          </c:extLst>
        </c:ser>
        <c:ser>
          <c:idx val="2"/>
          <c:order val="3"/>
          <c:tx>
            <c:v>Electrolyte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'Mass and Cost Cell'!$A$96:$A$104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Cell'!$F$96:$F$104</c:f>
              <c:numCache>
                <c:formatCode>0.00</c:formatCode>
                <c:ptCount val="9"/>
                <c:pt idx="0">
                  <c:v>524.73309413204709</c:v>
                </c:pt>
                <c:pt idx="1">
                  <c:v>257.78479233174886</c:v>
                </c:pt>
                <c:pt idx="2">
                  <c:v>348.3546375969924</c:v>
                </c:pt>
                <c:pt idx="3">
                  <c:v>194.55710349587869</c:v>
                </c:pt>
                <c:pt idx="4">
                  <c:v>194.38500227183169</c:v>
                </c:pt>
                <c:pt idx="5">
                  <c:v>178.0488798801222</c:v>
                </c:pt>
                <c:pt idx="6">
                  <c:v>193.4860518308343</c:v>
                </c:pt>
                <c:pt idx="7">
                  <c:v>197.03745690972772</c:v>
                </c:pt>
                <c:pt idx="8">
                  <c:v>380.82297417465179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E8-F046-B971-8D1358061DFA}"/>
            </c:ext>
          </c:extLst>
        </c:ser>
        <c:ser>
          <c:idx val="4"/>
          <c:order val="4"/>
          <c:tx>
            <c:v>Positive CC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'Mass and Cost Cell'!$A$96:$A$104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Cell'!$G$96:$G$104</c:f>
              <c:numCache>
                <c:formatCode>0.00</c:formatCode>
                <c:ptCount val="9"/>
                <c:pt idx="0">
                  <c:v>13.798863594821562</c:v>
                </c:pt>
                <c:pt idx="1">
                  <c:v>48.383293985375502</c:v>
                </c:pt>
                <c:pt idx="2">
                  <c:v>47.097369792334909</c:v>
                </c:pt>
                <c:pt idx="3">
                  <c:v>53.142740352128094</c:v>
                </c:pt>
                <c:pt idx="4">
                  <c:v>53.095731373789732</c:v>
                </c:pt>
                <c:pt idx="5">
                  <c:v>48.633564251520689</c:v>
                </c:pt>
                <c:pt idx="6">
                  <c:v>28.818153306575823</c:v>
                </c:pt>
                <c:pt idx="7">
                  <c:v>29.38658564733479</c:v>
                </c:pt>
                <c:pt idx="8">
                  <c:v>13.818369820131922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E8-F046-B971-8D1358061DFA}"/>
            </c:ext>
          </c:extLst>
        </c:ser>
        <c:ser>
          <c:idx val="5"/>
          <c:order val="5"/>
          <c:tx>
            <c:v>Negative CC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'Mass and Cost Cell'!$A$96:$A$104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Cell'!$H$96:$H$104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65.493477206805608</c:v>
                </c:pt>
                <c:pt idx="7">
                  <c:v>66.785323015142467</c:v>
                </c:pt>
                <c:pt idx="8">
                  <c:v>31.404270746367072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E8-F046-B971-8D1358061DFA}"/>
            </c:ext>
          </c:extLst>
        </c:ser>
        <c:ser>
          <c:idx val="6"/>
          <c:order val="6"/>
          <c:tx>
            <c:v>Pouch cell foil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'Mass and Cost Cell'!$A$96:$A$104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Cell'!$I$96:$I$104</c:f>
              <c:numCache>
                <c:formatCode>0.00</c:formatCode>
                <c:ptCount val="9"/>
                <c:pt idx="0">
                  <c:v>14.662999999999998</c:v>
                </c:pt>
                <c:pt idx="1">
                  <c:v>14.662999999999998</c:v>
                </c:pt>
                <c:pt idx="2">
                  <c:v>14.662999999999998</c:v>
                </c:pt>
                <c:pt idx="3">
                  <c:v>14.662999999999998</c:v>
                </c:pt>
                <c:pt idx="4">
                  <c:v>14.662999999999998</c:v>
                </c:pt>
                <c:pt idx="5">
                  <c:v>14.662999999999998</c:v>
                </c:pt>
                <c:pt idx="6">
                  <c:v>14.662999999999998</c:v>
                </c:pt>
                <c:pt idx="7">
                  <c:v>14.662999999999998</c:v>
                </c:pt>
                <c:pt idx="8">
                  <c:v>14.662999999999998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E8-F046-B971-8D135806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27371631"/>
        <c:axId val="1928219215"/>
      </c:barChart>
      <c:catAx>
        <c:axId val="192737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8219215"/>
        <c:crosses val="autoZero"/>
        <c:auto val="1"/>
        <c:lblAlgn val="ctr"/>
        <c:lblOffset val="100"/>
        <c:noMultiLvlLbl val="0"/>
      </c:catAx>
      <c:valAx>
        <c:axId val="1928219215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per pouch cell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27371631"/>
        <c:crosses val="autoZero"/>
        <c:crossBetween val="between"/>
        <c:majorUnit val="400"/>
        <c:minorUnit val="2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Packs (w.o. cells)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System'!$P$53:$P$61</c:f>
              <c:numCache>
                <c:formatCode>0.0</c:formatCode>
                <c:ptCount val="9"/>
                <c:pt idx="0">
                  <c:v>128.36677738447628</c:v>
                </c:pt>
                <c:pt idx="1">
                  <c:v>83.707769846052059</c:v>
                </c:pt>
                <c:pt idx="2">
                  <c:v>62.635147135003479</c:v>
                </c:pt>
                <c:pt idx="3">
                  <c:v>119.29226052369042</c:v>
                </c:pt>
                <c:pt idx="4">
                  <c:v>91.271400509898726</c:v>
                </c:pt>
                <c:pt idx="5">
                  <c:v>44.596833143401881</c:v>
                </c:pt>
                <c:pt idx="6">
                  <c:v>38.175372005280174</c:v>
                </c:pt>
                <c:pt idx="7">
                  <c:v>43.023542518828755</c:v>
                </c:pt>
                <c:pt idx="8">
                  <c:v>73.051360187877719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64-F344-9E28-0E4C36D18DC2}"/>
            </c:ext>
          </c:extLst>
        </c:ser>
        <c:ser>
          <c:idx val="1"/>
          <c:order val="1"/>
          <c:tx>
            <c:v>Cell materials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System'!$Q$53:$Q$61</c:f>
              <c:numCache>
                <c:formatCode>0.0</c:formatCode>
                <c:ptCount val="9"/>
                <c:pt idx="0">
                  <c:v>122.27456848429999</c:v>
                </c:pt>
                <c:pt idx="1">
                  <c:v>38.126519438582775</c:v>
                </c:pt>
                <c:pt idx="2">
                  <c:v>23.903728716651433</c:v>
                </c:pt>
                <c:pt idx="3">
                  <c:v>71.696743145472126</c:v>
                </c:pt>
                <c:pt idx="4">
                  <c:v>174.48371452424314</c:v>
                </c:pt>
                <c:pt idx="5">
                  <c:v>23.101660337706722</c:v>
                </c:pt>
                <c:pt idx="6">
                  <c:v>58.592963305683675</c:v>
                </c:pt>
                <c:pt idx="7">
                  <c:v>46.665317529856786</c:v>
                </c:pt>
                <c:pt idx="8">
                  <c:v>113.26638748853473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64-F344-9E28-0E4C36D18DC2}"/>
            </c:ext>
          </c:extLst>
        </c:ser>
        <c:ser>
          <c:idx val="2"/>
          <c:order val="2"/>
          <c:tx>
            <c:v>Structural BOS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System'!$N$53:$N$61</c:f>
              <c:numCache>
                <c:formatCode>0.0</c:formatCode>
                <c:ptCount val="9"/>
                <c:pt idx="0">
                  <c:v>10.474682422859489</c:v>
                </c:pt>
                <c:pt idx="1">
                  <c:v>5.0903806636779674</c:v>
                </c:pt>
                <c:pt idx="2">
                  <c:v>4.008945878586025</c:v>
                </c:pt>
                <c:pt idx="3">
                  <c:v>5.6054377270606848</c:v>
                </c:pt>
                <c:pt idx="4">
                  <c:v>4.3372911547600754</c:v>
                </c:pt>
                <c:pt idx="5">
                  <c:v>2.6443742004187847</c:v>
                </c:pt>
                <c:pt idx="6">
                  <c:v>2.6616060630416407</c:v>
                </c:pt>
                <c:pt idx="7">
                  <c:v>2.9386115450384485</c:v>
                </c:pt>
                <c:pt idx="8">
                  <c:v>5.3345883900960285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4-F344-9E28-0E4C36D18DC2}"/>
            </c:ext>
          </c:extLst>
        </c:ser>
        <c:ser>
          <c:idx val="3"/>
          <c:order val="3"/>
          <c:tx>
            <c:v>Electrical BOS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System'!$O$53:$O$61</c:f>
              <c:numCache>
                <c:formatCode>0.0</c:formatCode>
                <c:ptCount val="9"/>
                <c:pt idx="0">
                  <c:v>38.293229036047826</c:v>
                </c:pt>
                <c:pt idx="1">
                  <c:v>38.293229036047826</c:v>
                </c:pt>
                <c:pt idx="2">
                  <c:v>38.293229036047826</c:v>
                </c:pt>
                <c:pt idx="3">
                  <c:v>38.293229036047826</c:v>
                </c:pt>
                <c:pt idx="4">
                  <c:v>38.293229036047826</c:v>
                </c:pt>
                <c:pt idx="5">
                  <c:v>38.293229036047826</c:v>
                </c:pt>
                <c:pt idx="6">
                  <c:v>38.293229036047826</c:v>
                </c:pt>
                <c:pt idx="7">
                  <c:v>38.293229036047826</c:v>
                </c:pt>
                <c:pt idx="8">
                  <c:v>38.293229036047826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64-F344-9E28-0E4C36D18DC2}"/>
            </c:ext>
          </c:extLst>
        </c:ser>
        <c:ser>
          <c:idx val="4"/>
          <c:order val="4"/>
          <c:tx>
            <c:v>Installation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System'!$R$53:$R$61</c:f>
              <c:numCache>
                <c:formatCode>0.0</c:formatCode>
                <c:ptCount val="9"/>
                <c:pt idx="0">
                  <c:v>66.174215293248238</c:v>
                </c:pt>
                <c:pt idx="1">
                  <c:v>29.560516157637419</c:v>
                </c:pt>
                <c:pt idx="2">
                  <c:v>22.206669804464358</c:v>
                </c:pt>
                <c:pt idx="3">
                  <c:v>33.062946964790534</c:v>
                </c:pt>
                <c:pt idx="4">
                  <c:v>24.439444951944797</c:v>
                </c:pt>
                <c:pt idx="5">
                  <c:v>12.927469063496652</c:v>
                </c:pt>
                <c:pt idx="6">
                  <c:v>13.044647160460396</c:v>
                </c:pt>
                <c:pt idx="7">
                  <c:v>14.928307443699744</c:v>
                </c:pt>
                <c:pt idx="8">
                  <c:v>31.221148979045566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64-F344-9E28-0E4C36D18DC2}"/>
            </c:ext>
          </c:extLst>
        </c:ser>
        <c:ser>
          <c:idx val="5"/>
          <c:order val="5"/>
          <c:tx>
            <c:v>Power conversion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System'!$S$53:$S$61</c:f>
              <c:numCache>
                <c:formatCode>0.0</c:formatCode>
                <c:ptCount val="9"/>
                <c:pt idx="0">
                  <c:v>19.163080639343949</c:v>
                </c:pt>
                <c:pt idx="1">
                  <c:v>19.163080639343949</c:v>
                </c:pt>
                <c:pt idx="2">
                  <c:v>19.163080639343949</c:v>
                </c:pt>
                <c:pt idx="3">
                  <c:v>19.163080639343949</c:v>
                </c:pt>
                <c:pt idx="4">
                  <c:v>19.163080639343949</c:v>
                </c:pt>
                <c:pt idx="5">
                  <c:v>19.163080639343949</c:v>
                </c:pt>
                <c:pt idx="6">
                  <c:v>19.163080639343949</c:v>
                </c:pt>
                <c:pt idx="7">
                  <c:v>19.163080639343949</c:v>
                </c:pt>
                <c:pt idx="8">
                  <c:v>19.163080639343949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64-F344-9E28-0E4C36D18DC2}"/>
            </c:ext>
          </c:extLst>
        </c:ser>
        <c:ser>
          <c:idx val="6"/>
          <c:order val="6"/>
          <c:tx>
            <c:v>Overhead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'Mass and Cost System'!$A$53:$A$63</c:f>
              <c:strCache>
                <c:ptCount val="9"/>
                <c:pt idx="0">
                  <c:v>Al-gra</c:v>
                </c:pt>
                <c:pt idx="1">
                  <c:v>Al-PPQ</c:v>
                </c:pt>
                <c:pt idx="2">
                  <c:v>Al-PBQS</c:v>
                </c:pt>
                <c:pt idx="3">
                  <c:v>Al-TiO2</c:v>
                </c:pt>
                <c:pt idx="4">
                  <c:v>Al-V2C</c:v>
                </c:pt>
                <c:pt idx="5">
                  <c:v>Al-MnO2</c:v>
                </c:pt>
                <c:pt idx="6">
                  <c:v>LIB-NMC</c:v>
                </c:pt>
                <c:pt idx="7">
                  <c:v>LIB-LFP</c:v>
                </c:pt>
                <c:pt idx="8">
                  <c:v>Li-DIB</c:v>
                </c:pt>
              </c:strCache>
            </c:strRef>
          </c:cat>
          <c:val>
            <c:numRef>
              <c:f>'Mass and Cost System'!$T$53:$T$61</c:f>
              <c:numCache>
                <c:formatCode>0.0</c:formatCode>
                <c:ptCount val="9"/>
                <c:pt idx="0">
                  <c:v>101.71375492992379</c:v>
                </c:pt>
                <c:pt idx="1">
                  <c:v>60.404542887799849</c:v>
                </c:pt>
                <c:pt idx="2">
                  <c:v>50.547838486379248</c:v>
                </c:pt>
                <c:pt idx="3">
                  <c:v>73.76202933382524</c:v>
                </c:pt>
                <c:pt idx="4">
                  <c:v>81.427255722836378</c:v>
                </c:pt>
                <c:pt idx="5">
                  <c:v>42.363168548128691</c:v>
                </c:pt>
                <c:pt idx="6">
                  <c:v>47.238208418369872</c:v>
                </c:pt>
                <c:pt idx="7">
                  <c:v>47.095062816267628</c:v>
                </c:pt>
                <c:pt idx="8">
                  <c:v>71.983286373015801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64-F344-9E28-0E4C36D18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063648223"/>
        <c:axId val="2023462543"/>
      </c:barChart>
      <c:catAx>
        <c:axId val="2063648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23462543"/>
        <c:crosses val="autoZero"/>
        <c:auto val="1"/>
        <c:lblAlgn val="ctr"/>
        <c:lblOffset val="100"/>
        <c:noMultiLvlLbl val="0"/>
      </c:catAx>
      <c:valAx>
        <c:axId val="2023462543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Costs ($/kWh)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63648223"/>
        <c:crosses val="autoZero"/>
        <c:crossBetween val="between"/>
        <c:majorUnit val="100"/>
        <c:minorUnit val="5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503620</xdr:colOff>
      <xdr:row>86</xdr:row>
      <xdr:rowOff>635000</xdr:rowOff>
    </xdr:from>
    <xdr:to>
      <xdr:col>21</xdr:col>
      <xdr:colOff>1435585</xdr:colOff>
      <xdr:row>107</xdr:row>
      <xdr:rowOff>70235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CE159CA-F0E0-B943-B6D3-F15DA7CA7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262759</xdr:colOff>
      <xdr:row>86</xdr:row>
      <xdr:rowOff>635000</xdr:rowOff>
    </xdr:from>
    <xdr:to>
      <xdr:col>15</xdr:col>
      <xdr:colOff>997654</xdr:colOff>
      <xdr:row>107</xdr:row>
      <xdr:rowOff>70235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F8C0E57-3887-E04E-A5CF-B4979F864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0</xdr:colOff>
      <xdr:row>140</xdr:row>
      <xdr:rowOff>0</xdr:rowOff>
    </xdr:from>
    <xdr:to>
      <xdr:col>37</xdr:col>
      <xdr:colOff>254000</xdr:colOff>
      <xdr:row>162</xdr:row>
      <xdr:rowOff>135925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5EF991F-CB0E-9945-A179-F4D6A89C7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41981</xdr:colOff>
      <xdr:row>134</xdr:row>
      <xdr:rowOff>193971</xdr:rowOff>
    </xdr:from>
    <xdr:to>
      <xdr:col>6</xdr:col>
      <xdr:colOff>990718</xdr:colOff>
      <xdr:row>156</xdr:row>
      <xdr:rowOff>94252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2F37A5-15B6-3148-B4CF-A42438D74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23519</xdr:colOff>
      <xdr:row>111</xdr:row>
      <xdr:rowOff>23518</xdr:rowOff>
    </xdr:from>
    <xdr:to>
      <xdr:col>18</xdr:col>
      <xdr:colOff>900140</xdr:colOff>
      <xdr:row>132</xdr:row>
      <xdr:rowOff>188619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DA6117B-42CE-A648-AAF1-A9157D16D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291042</xdr:colOff>
      <xdr:row>135</xdr:row>
      <xdr:rowOff>36748</xdr:rowOff>
    </xdr:from>
    <xdr:to>
      <xdr:col>12</xdr:col>
      <xdr:colOff>1226549</xdr:colOff>
      <xdr:row>157</xdr:row>
      <xdr:rowOff>3410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17D7A88-291F-7649-B3EF-D5E026DFB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70556</xdr:colOff>
      <xdr:row>110</xdr:row>
      <xdr:rowOff>188149</xdr:rowOff>
    </xdr:from>
    <xdr:to>
      <xdr:col>12</xdr:col>
      <xdr:colOff>972256</xdr:colOff>
      <xdr:row>132</xdr:row>
      <xdr:rowOff>141583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76AF460-BBE6-8842-93B4-274780208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111</xdr:row>
      <xdr:rowOff>0</xdr:rowOff>
    </xdr:from>
    <xdr:to>
      <xdr:col>6</xdr:col>
      <xdr:colOff>931582</xdr:colOff>
      <xdr:row>132</xdr:row>
      <xdr:rowOff>165101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B29B24E-862C-E24A-B427-A906B029D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1149477</xdr:colOff>
      <xdr:row>102</xdr:row>
      <xdr:rowOff>88206</xdr:rowOff>
    </xdr:from>
    <xdr:to>
      <xdr:col>15</xdr:col>
      <xdr:colOff>917385</xdr:colOff>
      <xdr:row>122</xdr:row>
      <xdr:rowOff>85965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CCB138-C288-374E-A1CA-A1279324C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684399</xdr:colOff>
      <xdr:row>102</xdr:row>
      <xdr:rowOff>116556</xdr:rowOff>
    </xdr:from>
    <xdr:to>
      <xdr:col>9</xdr:col>
      <xdr:colOff>321417</xdr:colOff>
      <xdr:row>122</xdr:row>
      <xdr:rowOff>157784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CAAD55-326B-DB4F-9192-5C6CBF2C9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605779</xdr:colOff>
      <xdr:row>102</xdr:row>
      <xdr:rowOff>124510</xdr:rowOff>
    </xdr:from>
    <xdr:to>
      <xdr:col>3</xdr:col>
      <xdr:colOff>62781</xdr:colOff>
      <xdr:row>115</xdr:row>
      <xdr:rowOff>58817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5A73BF3-DAC8-E944-9B40-74CC660D0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40147</xdr:colOff>
      <xdr:row>101</xdr:row>
      <xdr:rowOff>195489</xdr:rowOff>
    </xdr:from>
    <xdr:to>
      <xdr:col>21</xdr:col>
      <xdr:colOff>1330651</xdr:colOff>
      <xdr:row>123</xdr:row>
      <xdr:rowOff>22930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2A079DB-B971-0B41-ABC1-A37CDAC7A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384874</xdr:colOff>
      <xdr:row>33</xdr:row>
      <xdr:rowOff>116531</xdr:rowOff>
    </xdr:from>
    <xdr:to>
      <xdr:col>27</xdr:col>
      <xdr:colOff>536129</xdr:colOff>
      <xdr:row>55</xdr:row>
      <xdr:rowOff>76387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FA2534C-0BC0-A244-81FD-CAEE9C9EC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373529</xdr:colOff>
      <xdr:row>58</xdr:row>
      <xdr:rowOff>99608</xdr:rowOff>
    </xdr:from>
    <xdr:to>
      <xdr:col>27</xdr:col>
      <xdr:colOff>518177</xdr:colOff>
      <xdr:row>79</xdr:row>
      <xdr:rowOff>142301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C0DFE662-6095-9841-B95B-3B06A7884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541288</xdr:colOff>
      <xdr:row>145</xdr:row>
      <xdr:rowOff>123925</xdr:rowOff>
    </xdr:from>
    <xdr:to>
      <xdr:col>5</xdr:col>
      <xdr:colOff>488201</xdr:colOff>
      <xdr:row>168</xdr:row>
      <xdr:rowOff>15947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996C514-B78C-964D-B2F3-15CF954AE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1071684</xdr:colOff>
      <xdr:row>145</xdr:row>
      <xdr:rowOff>188619</xdr:rowOff>
    </xdr:from>
    <xdr:to>
      <xdr:col>11</xdr:col>
      <xdr:colOff>563351</xdr:colOff>
      <xdr:row>168</xdr:row>
      <xdr:rowOff>72826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E05EFAC-26FA-3F4C-A57B-9C9B5E227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688814</xdr:colOff>
      <xdr:row>129</xdr:row>
      <xdr:rowOff>150678</xdr:rowOff>
    </xdr:from>
    <xdr:to>
      <xdr:col>5</xdr:col>
      <xdr:colOff>1054213</xdr:colOff>
      <xdr:row>149</xdr:row>
      <xdr:rowOff>161718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FC0701-0413-3B49-8C73-142E3FA9B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645763</xdr:colOff>
      <xdr:row>129</xdr:row>
      <xdr:rowOff>129152</xdr:rowOff>
    </xdr:from>
    <xdr:to>
      <xdr:col>13</xdr:col>
      <xdr:colOff>584528</xdr:colOff>
      <xdr:row>149</xdr:row>
      <xdr:rowOff>140192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1374FE-FD4A-1645-8419-C01506EB8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572</xdr:row>
      <xdr:rowOff>0</xdr:rowOff>
    </xdr:from>
    <xdr:to>
      <xdr:col>11</xdr:col>
      <xdr:colOff>597584</xdr:colOff>
      <xdr:row>591</xdr:row>
      <xdr:rowOff>95592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7323AF2-38ED-9348-A7E2-FF2158AC1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635000</xdr:colOff>
      <xdr:row>81</xdr:row>
      <xdr:rowOff>393700</xdr:rowOff>
    </xdr:from>
    <xdr:to>
      <xdr:col>12</xdr:col>
      <xdr:colOff>1238078</xdr:colOff>
      <xdr:row>102</xdr:row>
      <xdr:rowOff>117732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8510BB-8CB8-9141-A6CF-89B221BE6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660400</xdr:colOff>
      <xdr:row>81</xdr:row>
      <xdr:rowOff>431800</xdr:rowOff>
    </xdr:from>
    <xdr:to>
      <xdr:col>19</xdr:col>
      <xdr:colOff>31578</xdr:colOff>
      <xdr:row>102</xdr:row>
      <xdr:rowOff>155832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7B570D-5645-994C-9A3A-916A72782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97946</xdr:colOff>
      <xdr:row>2</xdr:row>
      <xdr:rowOff>12700</xdr:rowOff>
    </xdr:from>
    <xdr:to>
      <xdr:col>34</xdr:col>
      <xdr:colOff>525745</xdr:colOff>
      <xdr:row>15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FF8D5EF-592E-234E-959E-C2CC1A046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635000</xdr:colOff>
      <xdr:row>81</xdr:row>
      <xdr:rowOff>393700</xdr:rowOff>
    </xdr:from>
    <xdr:to>
      <xdr:col>12</xdr:col>
      <xdr:colOff>1238078</xdr:colOff>
      <xdr:row>102</xdr:row>
      <xdr:rowOff>117732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7A43D5F-1591-7D4E-AF95-3158A8A30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660400</xdr:colOff>
      <xdr:row>81</xdr:row>
      <xdr:rowOff>431800</xdr:rowOff>
    </xdr:from>
    <xdr:to>
      <xdr:col>19</xdr:col>
      <xdr:colOff>31578</xdr:colOff>
      <xdr:row>102</xdr:row>
      <xdr:rowOff>155832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DFE7E1A-FAE7-394F-B903-5730A96FF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1013333</xdr:colOff>
      <xdr:row>16</xdr:row>
      <xdr:rowOff>499776</xdr:rowOff>
    </xdr:from>
    <xdr:to>
      <xdr:col>34</xdr:col>
      <xdr:colOff>381528</xdr:colOff>
      <xdr:row>27</xdr:row>
      <xdr:rowOff>8517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7DAB7E1-6462-2F48-BD48-9543D0F60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1</xdr:row>
      <xdr:rowOff>190500</xdr:rowOff>
    </xdr:from>
    <xdr:to>
      <xdr:col>12</xdr:col>
      <xdr:colOff>12700</xdr:colOff>
      <xdr:row>24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251B304-FD0F-6745-9778-09B2D87ED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355600</xdr:colOff>
      <xdr:row>17</xdr:row>
      <xdr:rowOff>165100</xdr:rowOff>
    </xdr:from>
    <xdr:to>
      <xdr:col>19</xdr:col>
      <xdr:colOff>723900</xdr:colOff>
      <xdr:row>40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70346A-0336-7748-A75E-55B621067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tPac/BatPaC%205.0%20Mn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atPac/BatPaC%205.0%20LiDIB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out BatPaC"/>
      <sheetName val="Dashboard"/>
      <sheetName val="Summary of Results"/>
      <sheetName val="Chem"/>
      <sheetName val="Battery Design"/>
      <sheetName val="BMS"/>
      <sheetName val="Manufacturing Costs"/>
      <sheetName val="Cost Input"/>
      <sheetName val="Cost Breakdown"/>
      <sheetName val="Recycle"/>
      <sheetName val="Thermal"/>
      <sheetName val="USABC Data"/>
      <sheetName val="Tool-Generate Chem Couple"/>
      <sheetName val="EV Charging"/>
      <sheetName val="Vehicle Considerations"/>
      <sheetName val="Default Vehicle Configurations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0">
          <cell r="F80">
            <v>320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out BatPaC"/>
      <sheetName val="Dashboard"/>
      <sheetName val="Summary of Results"/>
      <sheetName val="Chem"/>
      <sheetName val="Battery Design"/>
      <sheetName val="BMS"/>
      <sheetName val="Manufacturing Costs"/>
      <sheetName val="Cost Input"/>
      <sheetName val="Cost Breakdown"/>
      <sheetName val="Recycle"/>
      <sheetName val="Thermal"/>
      <sheetName val="USABC Data"/>
      <sheetName val="Tool-Generate Chem Couple"/>
      <sheetName val="EV Charging"/>
      <sheetName val="Vehicle Considerations"/>
      <sheetName val="Default Vehicle Configurations"/>
      <sheetName val="Lists"/>
    </sheetNames>
    <sheetDataSet>
      <sheetData sheetId="0" refreshError="1"/>
      <sheetData sheetId="1" refreshError="1"/>
      <sheetData sheetId="2" refreshError="1"/>
      <sheetData sheetId="3">
        <row r="14">
          <cell r="C14" t="str">
            <v>NMP</v>
          </cell>
        </row>
        <row r="43">
          <cell r="B43" t="str">
            <v>Binder solvent for negative electrode</v>
          </cell>
          <cell r="C43" t="str">
            <v>Water</v>
          </cell>
        </row>
        <row r="73">
          <cell r="C73" t="str">
            <v>None</v>
          </cell>
        </row>
        <row r="79">
          <cell r="C79" t="str">
            <v>None</v>
          </cell>
        </row>
        <row r="85">
          <cell r="C85" t="str">
            <v>None</v>
          </cell>
        </row>
      </sheetData>
      <sheetData sheetId="4" refreshError="1"/>
      <sheetData sheetId="5" refreshError="1"/>
      <sheetData sheetId="6" refreshError="1"/>
      <sheetData sheetId="7">
        <row r="85">
          <cell r="F85">
            <v>5</v>
          </cell>
        </row>
        <row r="86">
          <cell r="F86">
            <v>10</v>
          </cell>
        </row>
        <row r="87">
          <cell r="F87">
            <v>15</v>
          </cell>
        </row>
        <row r="91">
          <cell r="F91">
            <v>25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3"/>
  <sheetViews>
    <sheetView tabSelected="1" zoomScale="58" zoomScaleNormal="58" workbookViewId="0">
      <pane xSplit="1" topLeftCell="B1" activePane="topRight" state="frozen"/>
      <selection pane="topRight" activeCell="D4" sqref="D4"/>
    </sheetView>
  </sheetViews>
  <sheetFormatPr baseColWidth="10" defaultColWidth="11.5" defaultRowHeight="16"/>
  <cols>
    <col min="1" max="1" width="30.6640625" style="1" customWidth="1"/>
    <col min="2" max="2" width="18.5" style="1" customWidth="1"/>
    <col min="3" max="3" width="17.6640625" style="1" customWidth="1"/>
    <col min="4" max="4" width="16.1640625" style="1" customWidth="1"/>
    <col min="5" max="5" width="19.1640625" style="1" customWidth="1"/>
    <col min="6" max="6" width="18.6640625" style="1" customWidth="1"/>
    <col min="7" max="7" width="17.33203125" style="1" customWidth="1"/>
    <col min="8" max="11" width="18.1640625" style="1" customWidth="1"/>
    <col min="12" max="12" width="17.5" style="1" customWidth="1"/>
    <col min="13" max="13" width="17.83203125" style="1" customWidth="1"/>
    <col min="14" max="14" width="18.83203125" style="1" customWidth="1"/>
    <col min="15" max="15" width="16.5" style="1" customWidth="1"/>
    <col min="16" max="16" width="19.1640625" style="1" customWidth="1"/>
    <col min="17" max="17" width="18.83203125" style="1" customWidth="1"/>
    <col min="18" max="18" width="17" style="1" customWidth="1"/>
    <col min="19" max="19" width="16" style="1" customWidth="1"/>
    <col min="20" max="20" width="16.83203125" style="1" customWidth="1"/>
    <col min="21" max="21" width="17.1640625" style="1" customWidth="1"/>
    <col min="22" max="22" width="18.83203125" style="1" customWidth="1"/>
    <col min="23" max="23" width="18" style="1" customWidth="1"/>
    <col min="24" max="24" width="16.1640625" style="1" customWidth="1"/>
    <col min="25" max="25" width="22.5" style="1" customWidth="1"/>
    <col min="26" max="26" width="22.83203125" style="1" customWidth="1"/>
    <col min="27" max="27" width="16.1640625" style="1" customWidth="1"/>
    <col min="28" max="28" width="19" style="1" customWidth="1"/>
    <col min="29" max="29" width="14.83203125" style="1" customWidth="1"/>
    <col min="30" max="30" width="13.6640625" style="1" bestFit="1" customWidth="1"/>
    <col min="31" max="31" width="15.33203125" style="1" bestFit="1" customWidth="1"/>
    <col min="32" max="32" width="16.1640625" style="1" customWidth="1"/>
    <col min="33" max="36" width="11.5" style="1"/>
    <col min="37" max="37" width="18.1640625" style="1" customWidth="1"/>
    <col min="38" max="39" width="11.5" style="1"/>
    <col min="40" max="40" width="12.5" style="1" customWidth="1"/>
    <col min="41" max="41" width="13.5" style="1" customWidth="1"/>
    <col min="42" max="42" width="19.6640625" style="1" customWidth="1"/>
    <col min="43" max="43" width="22.1640625" style="1" customWidth="1"/>
    <col min="44" max="44" width="19" style="1" customWidth="1"/>
    <col min="45" max="16384" width="11.5" style="1"/>
  </cols>
  <sheetData>
    <row r="1" spans="1:27" ht="18" customHeight="1">
      <c r="A1" s="516" t="s">
        <v>42</v>
      </c>
      <c r="B1" s="545" t="s">
        <v>0</v>
      </c>
      <c r="C1" s="532" t="s">
        <v>49</v>
      </c>
      <c r="D1" s="542" t="s">
        <v>52</v>
      </c>
      <c r="E1" s="491" t="s">
        <v>50</v>
      </c>
      <c r="F1" s="547" t="s">
        <v>142</v>
      </c>
      <c r="G1" s="540" t="s">
        <v>1</v>
      </c>
      <c r="I1" s="534" t="s">
        <v>36</v>
      </c>
      <c r="J1" s="535"/>
      <c r="K1" s="536"/>
      <c r="L1" s="48" t="s">
        <v>738</v>
      </c>
      <c r="M1" s="49" t="s">
        <v>739</v>
      </c>
      <c r="N1" s="50" t="s">
        <v>740</v>
      </c>
      <c r="O1" s="51" t="s">
        <v>63</v>
      </c>
      <c r="P1" s="52" t="s">
        <v>729</v>
      </c>
      <c r="Q1" s="53" t="s">
        <v>56</v>
      </c>
      <c r="S1" s="534" t="s">
        <v>24</v>
      </c>
      <c r="T1" s="535"/>
      <c r="U1" s="536"/>
      <c r="V1" s="48" t="s">
        <v>738</v>
      </c>
      <c r="W1" s="49" t="s">
        <v>739</v>
      </c>
      <c r="X1" s="50" t="s">
        <v>740</v>
      </c>
      <c r="Y1" s="51" t="s">
        <v>63</v>
      </c>
      <c r="Z1" s="52" t="s">
        <v>729</v>
      </c>
      <c r="AA1" s="53" t="s">
        <v>56</v>
      </c>
    </row>
    <row r="2" spans="1:27" ht="36" customHeight="1">
      <c r="A2" s="517"/>
      <c r="B2" s="546"/>
      <c r="C2" s="533"/>
      <c r="D2" s="543"/>
      <c r="E2" s="492"/>
      <c r="F2" s="548"/>
      <c r="G2" s="541"/>
      <c r="I2" s="537"/>
      <c r="J2" s="538"/>
      <c r="K2" s="539"/>
      <c r="L2" s="34" t="s">
        <v>133</v>
      </c>
      <c r="M2" s="35" t="s">
        <v>53</v>
      </c>
      <c r="N2" s="36" t="s">
        <v>55</v>
      </c>
      <c r="O2" s="33" t="s">
        <v>57</v>
      </c>
      <c r="P2" s="37" t="s">
        <v>59</v>
      </c>
      <c r="Q2" s="54" t="s">
        <v>243</v>
      </c>
      <c r="S2" s="537"/>
      <c r="T2" s="538"/>
      <c r="U2" s="539"/>
      <c r="V2" s="34" t="s">
        <v>134</v>
      </c>
      <c r="W2" s="40" t="s">
        <v>53</v>
      </c>
      <c r="X2" s="36" t="s">
        <v>55</v>
      </c>
      <c r="Y2" s="33" t="s">
        <v>57</v>
      </c>
      <c r="Z2" s="37" t="s">
        <v>59</v>
      </c>
      <c r="AA2" s="54" t="s">
        <v>243</v>
      </c>
    </row>
    <row r="3" spans="1:27" ht="18.75" customHeight="1">
      <c r="A3" s="518"/>
      <c r="B3" s="964"/>
      <c r="C3" s="46" t="s">
        <v>73</v>
      </c>
      <c r="D3" s="47" t="s">
        <v>73</v>
      </c>
      <c r="E3" s="58" t="s">
        <v>51</v>
      </c>
      <c r="F3" s="549"/>
      <c r="G3" s="60"/>
      <c r="I3" s="561"/>
      <c r="J3" s="562"/>
      <c r="K3" s="563"/>
      <c r="L3" s="963" t="s">
        <v>77</v>
      </c>
      <c r="M3" s="42" t="s">
        <v>76</v>
      </c>
      <c r="N3" s="43" t="s">
        <v>76</v>
      </c>
      <c r="O3" s="44" t="s">
        <v>76</v>
      </c>
      <c r="P3" s="45" t="s">
        <v>77</v>
      </c>
      <c r="Q3" s="55" t="s">
        <v>77</v>
      </c>
      <c r="S3" s="561"/>
      <c r="T3" s="562"/>
      <c r="U3" s="563"/>
      <c r="V3" s="963" t="s">
        <v>64</v>
      </c>
      <c r="W3" s="42" t="s">
        <v>74</v>
      </c>
      <c r="X3" s="43" t="s">
        <v>74</v>
      </c>
      <c r="Y3" s="44" t="s">
        <v>75</v>
      </c>
      <c r="Z3" s="45" t="s">
        <v>64</v>
      </c>
      <c r="AA3" s="55" t="s">
        <v>65</v>
      </c>
    </row>
    <row r="4" spans="1:27">
      <c r="A4" s="89" t="s">
        <v>686</v>
      </c>
      <c r="B4" s="90" t="s">
        <v>685</v>
      </c>
      <c r="C4" s="91">
        <f>1*96485.33289/(96.0805*3.6)</f>
        <v>278.94818780432377</v>
      </c>
      <c r="D4" s="91">
        <v>210</v>
      </c>
      <c r="E4" s="92">
        <v>4.6500000000000004</v>
      </c>
      <c r="F4" s="100">
        <v>-0.05</v>
      </c>
      <c r="G4" s="93">
        <v>0.25</v>
      </c>
      <c r="I4" s="571" t="str">
        <f>A19</f>
        <v>Al-gra</v>
      </c>
      <c r="J4" s="572"/>
      <c r="K4" s="975"/>
      <c r="L4" s="23">
        <f>C7*G38*L19/(G38+L38)</f>
        <v>270</v>
      </c>
      <c r="M4" s="24">
        <f t="shared" ref="M4:M6" si="0">I38*M19/(G38+M38)*1000</f>
        <v>249.58899688979645</v>
      </c>
      <c r="N4" s="25">
        <f>I38*M19/(G38+M38+P78)*1000</f>
        <v>109.37076540677818</v>
      </c>
      <c r="O4" s="26">
        <f t="shared" ref="O4:O6" si="1">I38*M19/(G38+M38+R58)*1000</f>
        <v>61.220172806355592</v>
      </c>
      <c r="P4" s="27">
        <f t="shared" ref="P4:P6" si="2">I38*M19/S38*1000</f>
        <v>53.548122541616657</v>
      </c>
      <c r="Q4" s="28">
        <f t="shared" ref="Q4:Q6" si="3">U38-(U38*T19/(T19+V19))</f>
        <v>52.555193994147949</v>
      </c>
      <c r="R4" s="12"/>
      <c r="S4" s="571" t="str">
        <f>A19</f>
        <v>Al-gra</v>
      </c>
      <c r="T4" s="572"/>
      <c r="U4" s="975"/>
      <c r="V4" s="23">
        <f>C7*G38*L19/(G38/E7+L38/E14)</f>
        <v>594.00000000000011</v>
      </c>
      <c r="W4" s="24">
        <f>D7*G38*M19/(G38/E7+M38/E14)</f>
        <v>556.89189897513006</v>
      </c>
      <c r="X4" s="25">
        <f>D7*G38*M19/(G38/E7+M38/E$14+R78)</f>
        <v>164.57652152944684</v>
      </c>
      <c r="Y4" s="26">
        <f>D7*G38*M19/(G38/E7+M38/E$14+P58)</f>
        <v>82.857392545092779</v>
      </c>
      <c r="Z4" s="27">
        <f t="shared" ref="Z4:Z6" si="4">I38*M19/R38*10000</f>
        <v>70.941140313927519</v>
      </c>
      <c r="AA4" s="28">
        <f t="shared" ref="AA4:AA6" si="5">T38-(T38*(U19-S19)/U19)</f>
        <v>67.120973895554044</v>
      </c>
    </row>
    <row r="5" spans="1:27">
      <c r="A5" s="691" t="s">
        <v>143</v>
      </c>
      <c r="B5" s="10" t="s">
        <v>144</v>
      </c>
      <c r="C5" s="80">
        <v>200</v>
      </c>
      <c r="D5" s="80">
        <v>155</v>
      </c>
      <c r="E5" s="38">
        <v>3.65</v>
      </c>
      <c r="F5" s="99">
        <v>-0.05</v>
      </c>
      <c r="G5" s="57">
        <v>0.25</v>
      </c>
      <c r="I5" s="569" t="str">
        <f>A20</f>
        <v>Al-PPQ</v>
      </c>
      <c r="J5" s="556"/>
      <c r="K5" s="967"/>
      <c r="L5" s="23">
        <f>C9*G39*L20/(G39+L39)</f>
        <v>313.81394260761073</v>
      </c>
      <c r="M5" s="24">
        <f t="shared" si="0"/>
        <v>217.97366914710932</v>
      </c>
      <c r="N5" s="25">
        <f>I39*M20/(G39+M39+P79)*1000</f>
        <v>181.65421691255372</v>
      </c>
      <c r="O5" s="26">
        <f>I39*M20/(G39+M39+R59)*1000</f>
        <v>147.29448432509344</v>
      </c>
      <c r="P5" s="27">
        <f t="shared" si="2"/>
        <v>125.65022816382346</v>
      </c>
      <c r="Q5" s="28">
        <f t="shared" si="3"/>
        <v>123.65522124049309</v>
      </c>
      <c r="S5" s="569" t="str">
        <f>A20</f>
        <v>Al-PPQ</v>
      </c>
      <c r="T5" s="556"/>
      <c r="U5" s="967"/>
      <c r="V5" s="23">
        <f>C9*G39*L20/(G39/E9+L39/E14)</f>
        <v>516.88108744514602</v>
      </c>
      <c r="W5" s="24">
        <f>D9*G39*M20/(G39/E9+M39/E14)</f>
        <v>361.13804004214961</v>
      </c>
      <c r="X5" s="25">
        <f>D9*G39*M20/(G39/E9+M39/E$14+R79)</f>
        <v>283.01329690398273</v>
      </c>
      <c r="Y5" s="26">
        <f>D9*G39*M20/(G39/E9+M39/E$14+P59)</f>
        <v>217.22446939188114</v>
      </c>
      <c r="Z5" s="27">
        <f t="shared" si="4"/>
        <v>195.16639037523163</v>
      </c>
      <c r="AA5" s="28">
        <f t="shared" si="5"/>
        <v>184.65671873466661</v>
      </c>
    </row>
    <row r="6" spans="1:27">
      <c r="A6" s="120" t="s">
        <v>2</v>
      </c>
      <c r="B6" s="121" t="s">
        <v>35</v>
      </c>
      <c r="C6" s="91">
        <v>140</v>
      </c>
      <c r="D6" s="91">
        <v>140</v>
      </c>
      <c r="E6" s="92">
        <v>2.2000000000000002</v>
      </c>
      <c r="F6" s="100">
        <v>1.31</v>
      </c>
      <c r="G6" s="93">
        <v>0.41</v>
      </c>
      <c r="I6" s="571" t="str">
        <f>A21</f>
        <v>Al-PBQS</v>
      </c>
      <c r="J6" s="572"/>
      <c r="K6" s="975"/>
      <c r="L6" s="23">
        <f>C10*G40*L21/(G40+L40)</f>
        <v>583.63538141881861</v>
      </c>
      <c r="M6" s="24">
        <f t="shared" si="0"/>
        <v>417.04459341299912</v>
      </c>
      <c r="N6" s="25">
        <f>I40*M21/(G40+M40+P80)*1000</f>
        <v>312.4587305965884</v>
      </c>
      <c r="O6" s="26">
        <f t="shared" si="1"/>
        <v>231.26417825285239</v>
      </c>
      <c r="P6" s="27">
        <f t="shared" si="2"/>
        <v>200.1627961681551</v>
      </c>
      <c r="Q6" s="28">
        <f t="shared" si="3"/>
        <v>196.88751700393024</v>
      </c>
      <c r="S6" s="571" t="str">
        <f>A21</f>
        <v>Al-PBQS</v>
      </c>
      <c r="T6" s="572"/>
      <c r="U6" s="975"/>
      <c r="V6" s="23">
        <f>C10*G40*L21/(G40/E10+L40/E14)</f>
        <v>979.78845746582851</v>
      </c>
      <c r="W6" s="24">
        <f>D10*G40*M21/(G40/E10+M40/E14)</f>
        <v>704.9393410653804</v>
      </c>
      <c r="X6" s="25">
        <f>D10*G40*M21/(G40/E10+M40/E$14+R80)</f>
        <v>479.06645949650465</v>
      </c>
      <c r="Y6" s="26">
        <f>D10*G40*M21/(G40/E10+M40/E$14+P60)</f>
        <v>330.7144222894326</v>
      </c>
      <c r="Z6" s="27">
        <f t="shared" si="4"/>
        <v>301.41251468077462</v>
      </c>
      <c r="AA6" s="28">
        <f t="shared" si="5"/>
        <v>285.18151019500465</v>
      </c>
    </row>
    <row r="7" spans="1:27">
      <c r="A7" s="297" t="s">
        <v>148</v>
      </c>
      <c r="B7" s="96" t="s">
        <v>35</v>
      </c>
      <c r="C7" s="80">
        <v>135</v>
      </c>
      <c r="D7" s="80">
        <v>135</v>
      </c>
      <c r="E7" s="38">
        <v>2.2000000000000002</v>
      </c>
      <c r="F7" s="99">
        <v>0.8</v>
      </c>
      <c r="G7" s="57">
        <v>0.41</v>
      </c>
      <c r="I7" s="569" t="str">
        <f>A22</f>
        <v>Al-TiO2</v>
      </c>
      <c r="J7" s="556"/>
      <c r="K7" s="967"/>
      <c r="L7" s="23">
        <f>C15*G41*L22/(G41+L41)</f>
        <v>206.16787173844708</v>
      </c>
      <c r="M7" s="24">
        <f t="shared" ref="M7:M12" si="6">I41*M22/(G41+M41)*1000</f>
        <v>66.707692307692312</v>
      </c>
      <c r="N7" s="25">
        <f>I41*M22/(G41+M41+Q61)*1000</f>
        <v>59.982230344889089</v>
      </c>
      <c r="O7" s="26">
        <f t="shared" ref="O7:O12" si="7">I41*M22/(G41+M41+R61)*1000</f>
        <v>59.088633940368901</v>
      </c>
      <c r="P7" s="27">
        <f t="shared" ref="P7:P12" si="8">I41*M22/S41*1000</f>
        <v>54.311487427787682</v>
      </c>
      <c r="Q7" s="28">
        <f t="shared" ref="Q7:Q12" si="9">U41-(U41*T22/(T22+V22))</f>
        <v>53.874234942674377</v>
      </c>
      <c r="S7" s="569" t="str">
        <f>A22</f>
        <v>Al-TiO2</v>
      </c>
      <c r="T7" s="556"/>
      <c r="U7" s="967"/>
      <c r="V7" s="23">
        <f>C15*G41*L22/(G41/E15+L41/E14)</f>
        <v>842.08800971364985</v>
      </c>
      <c r="W7" s="24">
        <f>D15*G41*M22/(G41/E15+M41/E14)</f>
        <v>274.02931069609508</v>
      </c>
      <c r="X7" s="25">
        <f>D15*G41*M22/(G41/E15+M41/E$14+O61)</f>
        <v>198.0223235289404</v>
      </c>
      <c r="Y7" s="26">
        <f>D15*G41*M22/(G41/E15+M41/E$14+P61)</f>
        <v>190.11264622547904</v>
      </c>
      <c r="Z7" s="27">
        <f t="shared" ref="Z7:Z12" si="10">I41*M22/R41*10000</f>
        <v>167.75458835156476</v>
      </c>
      <c r="AA7" s="28">
        <f t="shared" ref="AA7:AA12" si="11">T41-(T41*(U22-S22)/U22)</f>
        <v>158.72103684516335</v>
      </c>
    </row>
    <row r="8" spans="1:27">
      <c r="A8" s="968" t="s">
        <v>988</v>
      </c>
      <c r="B8" s="969" t="s">
        <v>989</v>
      </c>
      <c r="C8" s="91">
        <v>160</v>
      </c>
      <c r="D8" s="91">
        <v>110</v>
      </c>
      <c r="E8" s="92">
        <v>4.2300000000000004</v>
      </c>
      <c r="F8" s="100">
        <v>-0.05</v>
      </c>
      <c r="G8" s="93">
        <v>0.25</v>
      </c>
      <c r="I8" s="571" t="str">
        <f>A23</f>
        <v>Al-V2C</v>
      </c>
      <c r="J8" s="572"/>
      <c r="K8" s="975"/>
      <c r="L8" s="23">
        <f>C11*G42*L23/(G42+L42)</f>
        <v>276.78737233054784</v>
      </c>
      <c r="M8" s="24">
        <f t="shared" si="6"/>
        <v>111.72281836831307</v>
      </c>
      <c r="N8" s="25">
        <f>I42*M23/(G42+M42+Q62)*1000</f>
        <v>99.753836299897529</v>
      </c>
      <c r="O8" s="26">
        <f t="shared" si="7"/>
        <v>98.176178833193333</v>
      </c>
      <c r="P8" s="27">
        <f t="shared" si="8"/>
        <v>90.012204868614575</v>
      </c>
      <c r="Q8" s="28">
        <f t="shared" si="9"/>
        <v>89.244624190709118</v>
      </c>
      <c r="S8" s="571" t="str">
        <f>A23</f>
        <v>Al-V2C</v>
      </c>
      <c r="T8" s="572"/>
      <c r="U8" s="975"/>
      <c r="V8" s="23">
        <f>C11*G42*L23/(G42/E11+L42/E14)</f>
        <v>1043.582898367632</v>
      </c>
      <c r="W8" s="24">
        <f>D11*G42*M23/(G42/E11+M42/E14)</f>
        <v>424.55300855927419</v>
      </c>
      <c r="X8" s="25">
        <f>D11*G42*M23/(G42/E11+M42/E$14+O62)</f>
        <v>307.65631299835911</v>
      </c>
      <c r="Y8" s="26">
        <f>D11*G42*M23/(G42/E11+M42/E$14+P62)</f>
        <v>295.45374948692358</v>
      </c>
      <c r="Z8" s="27">
        <f t="shared" si="10"/>
        <v>262.31790575052958</v>
      </c>
      <c r="AA8" s="28">
        <f t="shared" si="11"/>
        <v>248.19213824733237</v>
      </c>
    </row>
    <row r="9" spans="1:27">
      <c r="A9" s="297" t="s">
        <v>413</v>
      </c>
      <c r="B9" s="13" t="s">
        <v>1500</v>
      </c>
      <c r="C9" s="80">
        <v>225</v>
      </c>
      <c r="D9" s="80">
        <v>170</v>
      </c>
      <c r="E9" s="38">
        <v>1.6</v>
      </c>
      <c r="F9" s="99">
        <v>0.1</v>
      </c>
      <c r="G9" s="57">
        <v>0.25</v>
      </c>
      <c r="I9" s="569" t="str">
        <f>A24</f>
        <v>Al-MnO2</v>
      </c>
      <c r="J9" s="556"/>
      <c r="K9" s="967"/>
      <c r="L9" s="23">
        <f>C12*G43*L24/(G43+L43)</f>
        <v>600.00958466453665</v>
      </c>
      <c r="M9" s="24">
        <f t="shared" si="6"/>
        <v>324.03124541587209</v>
      </c>
      <c r="N9" s="25">
        <f>I43*M24/(G43+M43+Q63)*1000</f>
        <v>297.72358908255711</v>
      </c>
      <c r="O9" s="26">
        <f t="shared" si="7"/>
        <v>294.14144744243481</v>
      </c>
      <c r="P9" s="27">
        <f t="shared" si="8"/>
        <v>273.398047816043</v>
      </c>
      <c r="Q9" s="28">
        <f t="shared" si="9"/>
        <v>271.43530953310426</v>
      </c>
      <c r="S9" s="569" t="str">
        <f>A24</f>
        <v>Al-MnO2</v>
      </c>
      <c r="T9" s="556"/>
      <c r="U9" s="967"/>
      <c r="V9" s="23">
        <f>C12*G43*L24/(G43/E12+L43/E14)</f>
        <v>2704.8364119368798</v>
      </c>
      <c r="W9" s="24">
        <f>D12*G43*M24/(G43/E12+M43/E14)</f>
        <v>1470.6972529727107</v>
      </c>
      <c r="X9" s="25">
        <f>D12*G43*M24/(G43/E12+M43/E$14+O63)</f>
        <v>1102.2952420921349</v>
      </c>
      <c r="Y9" s="26">
        <f>D12*G43*M24/(G43/E12+M43/E$14+P63)</f>
        <v>1062.3772460890279</v>
      </c>
      <c r="Z9" s="27">
        <f t="shared" si="10"/>
        <v>946.25487738771506</v>
      </c>
      <c r="AA9" s="28">
        <f t="shared" si="11"/>
        <v>895.29923881435298</v>
      </c>
    </row>
    <row r="10" spans="1:27">
      <c r="A10" s="120" t="s">
        <v>150</v>
      </c>
      <c r="B10" s="90" t="s">
        <v>151</v>
      </c>
      <c r="C10" s="91">
        <v>388</v>
      </c>
      <c r="D10" s="91">
        <v>300</v>
      </c>
      <c r="E10" s="92">
        <v>1.6</v>
      </c>
      <c r="F10" s="100">
        <v>0.1</v>
      </c>
      <c r="G10" s="93">
        <v>0.41</v>
      </c>
      <c r="I10" s="571" t="str">
        <f>A25</f>
        <v>LIB-NMC</v>
      </c>
      <c r="J10" s="572"/>
      <c r="K10" s="975"/>
      <c r="L10" s="23">
        <f>C4*G44*L25/(G44+L44)</f>
        <v>621.65734785789266</v>
      </c>
      <c r="M10" s="24">
        <f t="shared" si="6"/>
        <v>466.90355329949239</v>
      </c>
      <c r="N10" s="25">
        <f>I44*M25/(G44+M44+Q64)*1000</f>
        <v>408.42680139297107</v>
      </c>
      <c r="O10" s="26">
        <f t="shared" si="7"/>
        <v>400.89535573609299</v>
      </c>
      <c r="P10" s="27">
        <f t="shared" si="8"/>
        <v>360.23512700547917</v>
      </c>
      <c r="Q10" s="28">
        <f t="shared" si="9"/>
        <v>356.7383808838207</v>
      </c>
      <c r="S10" s="571" t="str">
        <f>A25</f>
        <v>LIB-NMC</v>
      </c>
      <c r="T10" s="572"/>
      <c r="U10" s="975"/>
      <c r="V10" s="23">
        <f>C4*G44*L25/(G44/E4+L44/E13)</f>
        <v>1956.7879318273235</v>
      </c>
      <c r="W10" s="24">
        <f>D4*G44*M25/(G44/E4+M44/E13)</f>
        <v>1512.6684350132625</v>
      </c>
      <c r="X10" s="25">
        <f>D4*G44*M25/(G44/E4+M44/E13+O64)</f>
        <v>1090.9593924446456</v>
      </c>
      <c r="Y10" s="26">
        <f>D4*G44*M25/(G44/E4+M44/E13+P64)</f>
        <v>1047.1691579696123</v>
      </c>
      <c r="Z10" s="27">
        <f t="shared" si="10"/>
        <v>914.44742762524731</v>
      </c>
      <c r="AA10" s="28">
        <f t="shared" si="11"/>
        <v>865.20461395008931</v>
      </c>
    </row>
    <row r="11" spans="1:27">
      <c r="A11" s="359" t="s">
        <v>955</v>
      </c>
      <c r="B11" s="359" t="s">
        <v>956</v>
      </c>
      <c r="C11" s="66">
        <v>250</v>
      </c>
      <c r="D11" s="66">
        <v>125</v>
      </c>
      <c r="E11" s="66">
        <v>3.9</v>
      </c>
      <c r="F11" s="167">
        <v>0.05</v>
      </c>
      <c r="G11" s="71">
        <v>0.25</v>
      </c>
      <c r="I11" s="569" t="str">
        <f>A26</f>
        <v>LIB-LFP</v>
      </c>
      <c r="J11" s="556"/>
      <c r="K11" s="967"/>
      <c r="L11" s="23">
        <f>C5*G45*L26/(G45+L45)</f>
        <v>455.21601991625647</v>
      </c>
      <c r="M11" s="24">
        <f t="shared" si="6"/>
        <v>347.10650329877473</v>
      </c>
      <c r="N11" s="25">
        <f>I45*M26/(G45+M45+Q65)*1000</f>
        <v>300.97105504582612</v>
      </c>
      <c r="O11" s="26">
        <f t="shared" si="7"/>
        <v>295.08784208134597</v>
      </c>
      <c r="P11" s="27">
        <f t="shared" si="8"/>
        <v>264.11813287450826</v>
      </c>
      <c r="Q11" s="28">
        <f t="shared" si="9"/>
        <v>261.45688979578239</v>
      </c>
      <c r="S11" s="569" t="str">
        <f>A26</f>
        <v>LIB-LFP</v>
      </c>
      <c r="T11" s="556"/>
      <c r="U11" s="967"/>
      <c r="V11" s="23">
        <f>C5*G45*L26/(G45/E5+L45/E13)</f>
        <v>1350.3190644376975</v>
      </c>
      <c r="W11" s="24">
        <f>D5*G45*M26/(G45/E5+M45/E13)</f>
        <v>1045.4769589733619</v>
      </c>
      <c r="X11" s="25">
        <f>D5*G45*M26/(G45/E5+M45/E13+O65)</f>
        <v>754.99239460029128</v>
      </c>
      <c r="Y11" s="26">
        <f>D5*G45*M26/(G45/E5+M45/E13+P65)</f>
        <v>724.78528171062021</v>
      </c>
      <c r="Z11" s="27">
        <f t="shared" si="10"/>
        <v>646.62492274337342</v>
      </c>
      <c r="AA11" s="28">
        <f t="shared" si="11"/>
        <v>611.80429814928846</v>
      </c>
    </row>
    <row r="12" spans="1:27" ht="17" thickBot="1">
      <c r="A12" s="970" t="s">
        <v>244</v>
      </c>
      <c r="B12" s="971" t="s">
        <v>246</v>
      </c>
      <c r="C12" s="972">
        <f>3*154</f>
        <v>462</v>
      </c>
      <c r="D12" s="972">
        <f>285</f>
        <v>285</v>
      </c>
      <c r="E12" s="972">
        <v>5.03</v>
      </c>
      <c r="F12" s="973">
        <v>0.05</v>
      </c>
      <c r="G12" s="974">
        <v>0.25</v>
      </c>
      <c r="I12" s="976" t="str">
        <f>A27</f>
        <v>Li-DIB</v>
      </c>
      <c r="J12" s="977"/>
      <c r="K12" s="978"/>
      <c r="L12" s="29">
        <f>C6*G46*L27/(G46+L46)</f>
        <v>457.71177987092477</v>
      </c>
      <c r="M12" s="30">
        <f t="shared" si="6"/>
        <v>453.6</v>
      </c>
      <c r="N12" s="835">
        <f>I46*M27/(G46+M46+P81)*1000</f>
        <v>195.82373995264248</v>
      </c>
      <c r="O12" s="831">
        <f t="shared" si="7"/>
        <v>175.83831522918263</v>
      </c>
      <c r="P12" s="950">
        <f t="shared" si="8"/>
        <v>152.90354899955108</v>
      </c>
      <c r="Q12" s="951">
        <f t="shared" si="9"/>
        <v>149.76363593685821</v>
      </c>
      <c r="S12" s="976" t="str">
        <f>A27</f>
        <v>Li-DIB</v>
      </c>
      <c r="T12" s="977"/>
      <c r="U12" s="978"/>
      <c r="V12" s="29">
        <f>C6*G46*L27/(G46/E6+L46/E13)</f>
        <v>1006.9659157160347</v>
      </c>
      <c r="W12" s="30">
        <f>D6*G46*M27/(G46/E6+M46/E13)</f>
        <v>997.92000000000007</v>
      </c>
      <c r="X12" s="835">
        <f>D6*G46*M27/(G46/E6+M46/E13+R81)</f>
        <v>325.2058452596637</v>
      </c>
      <c r="Y12" s="831">
        <f>D6*G46*M27/(G46/E6+M46/E13+P66)</f>
        <v>286.56959701700441</v>
      </c>
      <c r="Z12" s="950">
        <f t="shared" si="10"/>
        <v>182.25779519383647</v>
      </c>
      <c r="AA12" s="951">
        <f t="shared" si="11"/>
        <v>172.4432488585897</v>
      </c>
    </row>
    <row r="13" spans="1:27" s="12" customFormat="1">
      <c r="A13" s="98" t="s">
        <v>3</v>
      </c>
      <c r="B13" s="13" t="s">
        <v>4</v>
      </c>
      <c r="C13" s="80">
        <f>1*96485.33289/(72.06*3.6)</f>
        <v>371.93285259968548</v>
      </c>
      <c r="D13" s="80">
        <v>360</v>
      </c>
      <c r="E13" s="38">
        <v>2.2000000000000002</v>
      </c>
      <c r="F13" s="99">
        <v>0.128</v>
      </c>
      <c r="G13" s="57">
        <v>0.25</v>
      </c>
      <c r="H13" s="131"/>
      <c r="I13" s="131"/>
      <c r="J13" s="482"/>
      <c r="K13" s="482"/>
      <c r="L13" s="83"/>
      <c r="M13" s="84"/>
      <c r="N13" s="84"/>
      <c r="O13" s="85"/>
      <c r="P13" s="83"/>
      <c r="Q13" s="86"/>
      <c r="R13" s="131"/>
      <c r="S13" s="131"/>
      <c r="T13" s="490"/>
      <c r="U13" s="490"/>
      <c r="V13" s="83"/>
      <c r="W13" s="84"/>
      <c r="X13" s="84"/>
      <c r="Y13" s="85"/>
      <c r="Z13" s="83"/>
      <c r="AA13" s="86"/>
    </row>
    <row r="14" spans="1:27" s="12" customFormat="1">
      <c r="A14" s="141" t="s">
        <v>145</v>
      </c>
      <c r="B14" s="90" t="s">
        <v>38</v>
      </c>
      <c r="C14" s="91">
        <v>2981</v>
      </c>
      <c r="D14" s="91">
        <v>2981</v>
      </c>
      <c r="E14" s="92">
        <v>2.7</v>
      </c>
      <c r="F14" s="100">
        <v>-1</v>
      </c>
      <c r="G14" s="93">
        <v>0</v>
      </c>
      <c r="H14" s="131"/>
      <c r="I14" s="131"/>
      <c r="J14" s="482"/>
      <c r="K14" s="482"/>
      <c r="L14" s="83"/>
      <c r="M14" s="84"/>
      <c r="N14" s="84"/>
      <c r="O14" s="85"/>
      <c r="P14" s="83"/>
      <c r="Q14" s="86"/>
      <c r="R14" s="131"/>
      <c r="S14" s="482"/>
      <c r="T14" s="482"/>
      <c r="U14" s="482"/>
      <c r="V14" s="83"/>
      <c r="W14" s="84"/>
      <c r="X14" s="84"/>
      <c r="Y14" s="85"/>
      <c r="Z14" s="83"/>
      <c r="AA14" s="86"/>
    </row>
    <row r="15" spans="1:27" s="12" customFormat="1" ht="17" thickBot="1">
      <c r="A15" s="948" t="s">
        <v>958</v>
      </c>
      <c r="B15" s="949" t="s">
        <v>959</v>
      </c>
      <c r="C15" s="707">
        <v>200</v>
      </c>
      <c r="D15" s="707">
        <v>110</v>
      </c>
      <c r="E15" s="39">
        <v>4.2300000000000004</v>
      </c>
      <c r="F15" s="938">
        <v>0.05</v>
      </c>
      <c r="G15" s="939">
        <v>0.25</v>
      </c>
      <c r="H15" s="131"/>
      <c r="I15" s="131"/>
      <c r="J15" s="482"/>
      <c r="K15" s="482"/>
      <c r="L15" s="83"/>
      <c r="M15" s="84"/>
      <c r="N15" s="84"/>
      <c r="O15" s="85"/>
      <c r="P15" s="83"/>
      <c r="Q15" s="86"/>
      <c r="R15" s="131"/>
      <c r="S15" s="482"/>
      <c r="T15" s="482"/>
      <c r="U15" s="482"/>
      <c r="V15" s="83"/>
      <c r="W15" s="84"/>
      <c r="X15" s="84"/>
      <c r="Y15" s="85"/>
      <c r="Z15" s="83"/>
      <c r="AA15" s="86"/>
    </row>
    <row r="16" spans="1:27" ht="16.5" customHeight="1" thickBot="1"/>
    <row r="17" spans="1:40" ht="82.5" customHeight="1">
      <c r="A17" s="516" t="s">
        <v>41</v>
      </c>
      <c r="B17" s="461" t="s">
        <v>39</v>
      </c>
      <c r="C17" s="461" t="s">
        <v>5</v>
      </c>
      <c r="D17" s="461" t="s">
        <v>6</v>
      </c>
      <c r="E17" s="461" t="s">
        <v>7</v>
      </c>
      <c r="F17" s="461" t="s">
        <v>8</v>
      </c>
      <c r="G17" s="461" t="s">
        <v>9</v>
      </c>
      <c r="H17" s="32" t="s">
        <v>45</v>
      </c>
      <c r="I17" s="478" t="s">
        <v>47</v>
      </c>
      <c r="J17" s="463" t="s">
        <v>89</v>
      </c>
      <c r="K17" s="467" t="s">
        <v>88</v>
      </c>
      <c r="L17" s="463" t="s">
        <v>78</v>
      </c>
      <c r="M17" s="467" t="s">
        <v>80</v>
      </c>
      <c r="N17" s="31" t="s">
        <v>46</v>
      </c>
      <c r="O17" s="467" t="s">
        <v>48</v>
      </c>
      <c r="P17" s="461" t="s">
        <v>81</v>
      </c>
      <c r="Q17" s="461" t="s">
        <v>82</v>
      </c>
      <c r="R17" s="461" t="s">
        <v>83</v>
      </c>
      <c r="S17" s="461" t="s">
        <v>237</v>
      </c>
      <c r="T17" s="461" t="s">
        <v>85</v>
      </c>
      <c r="U17" s="461" t="s">
        <v>240</v>
      </c>
      <c r="V17" s="469" t="s">
        <v>241</v>
      </c>
      <c r="X17" s="505" t="s">
        <v>26</v>
      </c>
      <c r="Y17" s="506"/>
      <c r="Z17" s="102" t="s">
        <v>67</v>
      </c>
      <c r="AA17" s="102" t="s">
        <v>69</v>
      </c>
      <c r="AB17" s="102" t="s">
        <v>70</v>
      </c>
      <c r="AC17" s="103" t="s">
        <v>10</v>
      </c>
    </row>
    <row r="18" spans="1:40" ht="18" customHeight="1">
      <c r="A18" s="518"/>
      <c r="B18" s="462"/>
      <c r="C18" s="462"/>
      <c r="D18" s="462"/>
      <c r="E18" s="462"/>
      <c r="F18" s="462"/>
      <c r="G18" s="462"/>
      <c r="H18" s="464"/>
      <c r="I18" s="468"/>
      <c r="J18" s="464" t="s">
        <v>87</v>
      </c>
      <c r="K18" s="468" t="s">
        <v>87</v>
      </c>
      <c r="L18" s="464" t="s">
        <v>79</v>
      </c>
      <c r="M18" s="468" t="s">
        <v>79</v>
      </c>
      <c r="N18" s="464"/>
      <c r="O18" s="468"/>
      <c r="P18" s="462" t="s">
        <v>68</v>
      </c>
      <c r="Q18" s="462" t="s">
        <v>68</v>
      </c>
      <c r="R18" s="462" t="s">
        <v>68</v>
      </c>
      <c r="S18" s="462" t="s">
        <v>84</v>
      </c>
      <c r="T18" s="462" t="s">
        <v>86</v>
      </c>
      <c r="U18" s="462" t="s">
        <v>84</v>
      </c>
      <c r="V18" s="470" t="s">
        <v>108</v>
      </c>
      <c r="X18" s="81"/>
      <c r="Y18" s="82"/>
      <c r="Z18" s="61" t="s">
        <v>68</v>
      </c>
      <c r="AA18" s="61" t="s">
        <v>71</v>
      </c>
      <c r="AB18" s="61" t="s">
        <v>72</v>
      </c>
      <c r="AC18" s="62"/>
    </row>
    <row r="19" spans="1:40" ht="18" customHeight="1">
      <c r="A19" s="145" t="s">
        <v>728</v>
      </c>
      <c r="B19" s="979">
        <f>1-C19-D19</f>
        <v>0.96</v>
      </c>
      <c r="C19" s="980">
        <v>0.03</v>
      </c>
      <c r="D19" s="980">
        <v>0.01</v>
      </c>
      <c r="E19" s="980">
        <v>1</v>
      </c>
      <c r="F19" s="980">
        <v>0</v>
      </c>
      <c r="G19" s="980">
        <v>0</v>
      </c>
      <c r="H19" s="980">
        <v>0</v>
      </c>
      <c r="I19" s="980">
        <v>0.2</v>
      </c>
      <c r="J19" s="981"/>
      <c r="K19" s="981"/>
      <c r="L19" s="981">
        <v>2</v>
      </c>
      <c r="M19" s="981">
        <v>2</v>
      </c>
      <c r="N19" s="980">
        <v>0</v>
      </c>
      <c r="O19" s="980">
        <f>K38/I38</f>
        <v>1.8057894891713739</v>
      </c>
      <c r="P19" s="981">
        <f>P27</f>
        <v>200</v>
      </c>
      <c r="Q19" s="982">
        <f>M78</f>
        <v>612.96178090773492</v>
      </c>
      <c r="R19" s="983">
        <v>1.2</v>
      </c>
      <c r="S19" s="983">
        <f>Z$39*AA$39*Z$42</f>
        <v>584.08000000000004</v>
      </c>
      <c r="T19" s="983">
        <f>AB$41</f>
        <v>14.662999999999998</v>
      </c>
      <c r="U19" s="983">
        <f t="shared" ref="U19:U27" si="12">Z$43*AA$43*(Z$42+2*Z$40)</f>
        <v>617.32270600000004</v>
      </c>
      <c r="V19" s="984">
        <f t="shared" ref="V19:V24" si="13">T38/U38*S19+(M38+D58)*(Z$38*AA$38-Z$39*AA$39)/1000*V38</f>
        <v>776.10499919731421</v>
      </c>
      <c r="X19" s="111" t="s">
        <v>11</v>
      </c>
      <c r="Y19" s="112"/>
      <c r="Z19" s="64"/>
      <c r="AA19" s="64"/>
      <c r="AB19" s="64">
        <v>1.8</v>
      </c>
      <c r="AC19" s="65"/>
    </row>
    <row r="20" spans="1:40" ht="18" customHeight="1">
      <c r="A20" s="314" t="s">
        <v>1395</v>
      </c>
      <c r="B20" s="962">
        <f>1-C20-D20</f>
        <v>0.89999999999999991</v>
      </c>
      <c r="C20" s="298">
        <v>0.05</v>
      </c>
      <c r="D20" s="298">
        <v>0.05</v>
      </c>
      <c r="E20" s="298">
        <v>1</v>
      </c>
      <c r="F20" s="298">
        <v>0</v>
      </c>
      <c r="G20" s="298">
        <v>0</v>
      </c>
      <c r="H20" s="298">
        <v>0</v>
      </c>
      <c r="I20" s="298">
        <v>0.2</v>
      </c>
      <c r="J20" s="38"/>
      <c r="K20" s="38"/>
      <c r="L20" s="38">
        <v>1.5</v>
      </c>
      <c r="M20" s="38">
        <v>1.4</v>
      </c>
      <c r="N20" s="298">
        <v>1</v>
      </c>
      <c r="O20" s="298">
        <f>K39/I39</f>
        <v>1.611055147058823</v>
      </c>
      <c r="P20" s="38">
        <v>200</v>
      </c>
      <c r="Q20" s="940">
        <f>M79</f>
        <v>37.742794778446459</v>
      </c>
      <c r="R20" s="207">
        <v>1.2</v>
      </c>
      <c r="S20" s="207">
        <f>Z$39*AA$39*Z$42</f>
        <v>584.08000000000004</v>
      </c>
      <c r="T20" s="207">
        <f>AB$41</f>
        <v>14.662999999999998</v>
      </c>
      <c r="U20" s="207">
        <f t="shared" si="12"/>
        <v>617.32270600000004</v>
      </c>
      <c r="V20" s="15">
        <f t="shared" si="13"/>
        <v>908.84722646604143</v>
      </c>
      <c r="X20" s="113" t="s">
        <v>12</v>
      </c>
      <c r="Y20" s="114"/>
      <c r="Z20" s="66" t="s">
        <v>13</v>
      </c>
      <c r="AA20" s="67"/>
      <c r="AB20" s="66">
        <v>2.25</v>
      </c>
      <c r="AC20" s="68"/>
    </row>
    <row r="21" spans="1:40" ht="18" customHeight="1">
      <c r="A21" s="145" t="s">
        <v>688</v>
      </c>
      <c r="B21" s="985">
        <f>1-C21-D21</f>
        <v>0.89999999999999991</v>
      </c>
      <c r="C21" s="142">
        <v>0.05</v>
      </c>
      <c r="D21" s="142">
        <v>0.05</v>
      </c>
      <c r="E21" s="142">
        <v>1</v>
      </c>
      <c r="F21" s="142">
        <v>0</v>
      </c>
      <c r="G21" s="142">
        <v>0</v>
      </c>
      <c r="H21" s="142">
        <v>0</v>
      </c>
      <c r="I21" s="142">
        <v>0.2</v>
      </c>
      <c r="J21" s="92"/>
      <c r="K21" s="92"/>
      <c r="L21" s="92">
        <v>1.7</v>
      </c>
      <c r="M21" s="92">
        <v>1.6</v>
      </c>
      <c r="N21" s="142">
        <v>1</v>
      </c>
      <c r="O21" s="142">
        <f>K40/I40</f>
        <v>1.5</v>
      </c>
      <c r="P21" s="92">
        <v>200</v>
      </c>
      <c r="Q21" s="143">
        <f>M80</f>
        <v>36.660585692431567</v>
      </c>
      <c r="R21" s="144">
        <v>1.2</v>
      </c>
      <c r="S21" s="144">
        <f t="shared" ref="S21:S22" si="14">Z$39*AA$39*Z$42</f>
        <v>584.08000000000004</v>
      </c>
      <c r="T21" s="144">
        <f t="shared" ref="T21:T22" si="15">AB$41</f>
        <v>14.662999999999998</v>
      </c>
      <c r="U21" s="144">
        <f t="shared" si="12"/>
        <v>617.32270600000004</v>
      </c>
      <c r="V21" s="307">
        <f t="shared" si="13"/>
        <v>881.43987644237325</v>
      </c>
      <c r="X21" s="111" t="s">
        <v>14</v>
      </c>
      <c r="Y21" s="112"/>
      <c r="Z21" s="64">
        <v>7.5</v>
      </c>
      <c r="AA21" s="69">
        <f>Z21*AB21/10</f>
        <v>2.0249999999999999</v>
      </c>
      <c r="AB21" s="64">
        <v>2.7</v>
      </c>
      <c r="AC21" s="65"/>
    </row>
    <row r="22" spans="1:40">
      <c r="A22" s="766" t="s">
        <v>1394</v>
      </c>
      <c r="B22" s="962">
        <v>0.96</v>
      </c>
      <c r="C22" s="298">
        <v>0.02</v>
      </c>
      <c r="D22" s="298">
        <v>0.02</v>
      </c>
      <c r="E22" s="298">
        <f t="shared" ref="E22:E27" si="16">1-F22-G22</f>
        <v>1</v>
      </c>
      <c r="F22" s="298">
        <v>0</v>
      </c>
      <c r="G22" s="298">
        <v>0</v>
      </c>
      <c r="H22" s="298">
        <v>0</v>
      </c>
      <c r="I22" s="298">
        <v>0.15</v>
      </c>
      <c r="J22" s="38"/>
      <c r="K22" s="38"/>
      <c r="L22" s="38">
        <v>1.1000000000000001</v>
      </c>
      <c r="M22" s="38">
        <v>0.64</v>
      </c>
      <c r="N22" s="298">
        <v>1</v>
      </c>
      <c r="O22" s="298">
        <v>1.5</v>
      </c>
      <c r="P22" s="38">
        <v>200</v>
      </c>
      <c r="Q22" s="38">
        <v>15</v>
      </c>
      <c r="R22" s="207">
        <v>1.2</v>
      </c>
      <c r="S22" s="207">
        <f t="shared" si="14"/>
        <v>584.08000000000004</v>
      </c>
      <c r="T22" s="207">
        <f t="shared" si="15"/>
        <v>14.662999999999998</v>
      </c>
      <c r="U22" s="207">
        <f t="shared" si="12"/>
        <v>617.32270600000004</v>
      </c>
      <c r="V22" s="15">
        <f t="shared" si="13"/>
        <v>1806.6401766927154</v>
      </c>
      <c r="X22" s="113" t="s">
        <v>15</v>
      </c>
      <c r="Y22" s="114"/>
      <c r="Z22" s="66">
        <v>5</v>
      </c>
      <c r="AA22" s="70">
        <f>AB22*Z22/10</f>
        <v>4.4800000000000004</v>
      </c>
      <c r="AB22" s="66">
        <v>8.9600000000000009</v>
      </c>
      <c r="AC22" s="68"/>
    </row>
    <row r="23" spans="1:40">
      <c r="A23" s="986" t="s">
        <v>1393</v>
      </c>
      <c r="B23" s="985">
        <v>0.96</v>
      </c>
      <c r="C23" s="142">
        <v>0.02</v>
      </c>
      <c r="D23" s="142">
        <v>0.02</v>
      </c>
      <c r="E23" s="142">
        <f t="shared" si="16"/>
        <v>1</v>
      </c>
      <c r="F23" s="142">
        <v>0</v>
      </c>
      <c r="G23" s="142">
        <v>0</v>
      </c>
      <c r="H23" s="142">
        <v>0</v>
      </c>
      <c r="I23" s="142">
        <v>0.15</v>
      </c>
      <c r="J23" s="92"/>
      <c r="K23" s="92"/>
      <c r="L23" s="92">
        <v>1.2</v>
      </c>
      <c r="M23" s="92">
        <v>0.95</v>
      </c>
      <c r="N23" s="142">
        <v>1</v>
      </c>
      <c r="O23" s="142">
        <v>1.5</v>
      </c>
      <c r="P23" s="92">
        <v>200</v>
      </c>
      <c r="Q23" s="92">
        <v>15</v>
      </c>
      <c r="R23" s="144">
        <v>1.2</v>
      </c>
      <c r="S23" s="144">
        <f t="shared" ref="S23:S27" si="17">Z$39*AA$39*Z$42</f>
        <v>584.08000000000004</v>
      </c>
      <c r="T23" s="144">
        <f t="shared" ref="T23:T27" si="18">AB$41</f>
        <v>14.662999999999998</v>
      </c>
      <c r="U23" s="144">
        <f t="shared" ref="U23" si="19">Z$43*AA$43*(Z$42+2*Z$40)</f>
        <v>617.32270600000004</v>
      </c>
      <c r="V23" s="307">
        <f t="shared" si="13"/>
        <v>1704.829162817399</v>
      </c>
      <c r="X23" s="111" t="s">
        <v>16</v>
      </c>
      <c r="Y23" s="112"/>
      <c r="Z23" s="64"/>
      <c r="AA23" s="69"/>
      <c r="AB23" s="64">
        <v>1.2</v>
      </c>
      <c r="AC23" s="65"/>
    </row>
    <row r="24" spans="1:40">
      <c r="A24" s="314" t="s">
        <v>1392</v>
      </c>
      <c r="B24" s="962">
        <v>0.96</v>
      </c>
      <c r="C24" s="298">
        <v>0.02</v>
      </c>
      <c r="D24" s="298">
        <v>0.02</v>
      </c>
      <c r="E24" s="298">
        <f t="shared" si="16"/>
        <v>1</v>
      </c>
      <c r="F24" s="298">
        <v>0</v>
      </c>
      <c r="G24" s="298">
        <v>0</v>
      </c>
      <c r="H24" s="298">
        <v>0</v>
      </c>
      <c r="I24" s="298">
        <v>0.15</v>
      </c>
      <c r="J24" s="38"/>
      <c r="K24" s="38"/>
      <c r="L24" s="38">
        <v>1.5</v>
      </c>
      <c r="M24" s="38">
        <v>1.3</v>
      </c>
      <c r="N24" s="298">
        <v>1</v>
      </c>
      <c r="O24" s="298">
        <v>1.5</v>
      </c>
      <c r="P24" s="38">
        <v>200</v>
      </c>
      <c r="Q24" s="38">
        <v>15</v>
      </c>
      <c r="R24" s="207">
        <v>1.2</v>
      </c>
      <c r="S24" s="207">
        <f t="shared" si="17"/>
        <v>584.08000000000004</v>
      </c>
      <c r="T24" s="207">
        <f t="shared" si="18"/>
        <v>14.662999999999998</v>
      </c>
      <c r="U24" s="207">
        <f t="shared" si="12"/>
        <v>617.32270600000004</v>
      </c>
      <c r="V24" s="15">
        <f t="shared" si="13"/>
        <v>2027.8077715612328</v>
      </c>
      <c r="X24" s="113" t="s">
        <v>209</v>
      </c>
      <c r="Y24" s="114"/>
      <c r="Z24" s="66">
        <v>7.5</v>
      </c>
      <c r="AA24" s="70">
        <f>'Mass and Cost Cell'!L9</f>
        <v>2.9686666666666666</v>
      </c>
      <c r="AB24" s="66"/>
      <c r="AC24" s="68"/>
    </row>
    <row r="25" spans="1:40">
      <c r="A25" s="145" t="s">
        <v>687</v>
      </c>
      <c r="B25" s="985">
        <v>0.96</v>
      </c>
      <c r="C25" s="142">
        <v>0.02</v>
      </c>
      <c r="D25" s="142">
        <v>0.02</v>
      </c>
      <c r="E25" s="142">
        <f t="shared" si="16"/>
        <v>0.96</v>
      </c>
      <c r="F25" s="142">
        <v>0.03</v>
      </c>
      <c r="G25" s="142">
        <v>0.01</v>
      </c>
      <c r="H25" s="142">
        <v>0</v>
      </c>
      <c r="I25" s="142">
        <v>0.15</v>
      </c>
      <c r="J25" s="92"/>
      <c r="K25" s="92"/>
      <c r="L25" s="92">
        <v>3.9</v>
      </c>
      <c r="M25" s="92">
        <v>3.65</v>
      </c>
      <c r="N25" s="142">
        <v>1</v>
      </c>
      <c r="O25" s="142">
        <v>1.1000000000000001</v>
      </c>
      <c r="P25" s="92">
        <v>154</v>
      </c>
      <c r="Q25" s="92">
        <v>15</v>
      </c>
      <c r="R25" s="144">
        <f>AB23</f>
        <v>1.2</v>
      </c>
      <c r="S25" s="144">
        <f t="shared" si="17"/>
        <v>584.08000000000004</v>
      </c>
      <c r="T25" s="144">
        <f t="shared" si="18"/>
        <v>14.662999999999998</v>
      </c>
      <c r="U25" s="144">
        <f t="shared" si="12"/>
        <v>617.32270600000004</v>
      </c>
      <c r="V25" s="307">
        <f>T44/U44*S25+(M44+AA$21+D64)*(Z$38*AA$38-Z$39*AA$39)/1000*V44</f>
        <v>1495.9206922401547</v>
      </c>
      <c r="X25" s="358" t="s">
        <v>952</v>
      </c>
      <c r="Y25" s="112"/>
      <c r="Z25" s="64"/>
      <c r="AA25" s="69"/>
      <c r="AB25" s="64">
        <v>1.1000000000000001</v>
      </c>
      <c r="AC25" s="65"/>
      <c r="AL25" s="4"/>
      <c r="AM25" s="4"/>
    </row>
    <row r="26" spans="1:40">
      <c r="A26" s="314" t="s">
        <v>489</v>
      </c>
      <c r="B26" s="962">
        <v>0.96</v>
      </c>
      <c r="C26" s="298">
        <v>0.02</v>
      </c>
      <c r="D26" s="298">
        <v>0.02</v>
      </c>
      <c r="E26" s="298">
        <f t="shared" si="16"/>
        <v>0.96</v>
      </c>
      <c r="F26" s="298">
        <v>0.03</v>
      </c>
      <c r="G26" s="298">
        <v>0.01</v>
      </c>
      <c r="H26" s="298">
        <v>0</v>
      </c>
      <c r="I26" s="298">
        <v>0.15</v>
      </c>
      <c r="J26" s="38"/>
      <c r="K26" s="38"/>
      <c r="L26" s="38">
        <v>3.5</v>
      </c>
      <c r="M26" s="38">
        <v>3.3</v>
      </c>
      <c r="N26" s="298">
        <v>1</v>
      </c>
      <c r="O26" s="298">
        <v>1.1000000000000001</v>
      </c>
      <c r="P26" s="38">
        <v>200</v>
      </c>
      <c r="Q26" s="38">
        <v>15</v>
      </c>
      <c r="R26" s="207">
        <f>AB23</f>
        <v>1.2</v>
      </c>
      <c r="S26" s="207">
        <f t="shared" si="17"/>
        <v>584.08000000000004</v>
      </c>
      <c r="T26" s="207">
        <f t="shared" si="18"/>
        <v>14.662999999999998</v>
      </c>
      <c r="U26" s="207">
        <f t="shared" si="12"/>
        <v>617.32270600000004</v>
      </c>
      <c r="V26" s="15">
        <f>T45/U45*S26+(M45+AA$21+D65)*(Z$38*AA$38-Z$39*AA$39)/1000*V45</f>
        <v>1440.5833145129488</v>
      </c>
      <c r="X26" s="113" t="s">
        <v>18</v>
      </c>
      <c r="Y26" s="114"/>
      <c r="Z26" s="66"/>
      <c r="AA26" s="67"/>
      <c r="AB26" s="66">
        <v>1.4</v>
      </c>
      <c r="AC26" s="68"/>
    </row>
    <row r="27" spans="1:40" ht="17" thickBot="1">
      <c r="A27" s="987" t="s">
        <v>378</v>
      </c>
      <c r="B27" s="988">
        <f>1-C27-D27</f>
        <v>0.96</v>
      </c>
      <c r="C27" s="305">
        <v>0.03</v>
      </c>
      <c r="D27" s="305">
        <v>0.01</v>
      </c>
      <c r="E27" s="305">
        <f t="shared" si="16"/>
        <v>0.96</v>
      </c>
      <c r="F27" s="305">
        <v>0.03</v>
      </c>
      <c r="G27" s="305">
        <v>0.01</v>
      </c>
      <c r="H27" s="305">
        <v>0</v>
      </c>
      <c r="I27" s="305">
        <v>0.2</v>
      </c>
      <c r="J27" s="95">
        <f>1/(12.011*4*16)*1000</f>
        <v>1.3008908500541172</v>
      </c>
      <c r="K27" s="95">
        <f>J27*(1+I27)</f>
        <v>1.5610690200649406</v>
      </c>
      <c r="L27" s="95">
        <v>4.5</v>
      </c>
      <c r="M27" s="95">
        <v>4.5</v>
      </c>
      <c r="N27" s="305">
        <v>1</v>
      </c>
      <c r="O27" s="305">
        <v>1</v>
      </c>
      <c r="P27" s="95">
        <v>200</v>
      </c>
      <c r="Q27" s="306">
        <f>L81</f>
        <v>282.59532505772836</v>
      </c>
      <c r="R27" s="989">
        <v>1.4</v>
      </c>
      <c r="S27" s="989">
        <f t="shared" si="17"/>
        <v>584.08000000000004</v>
      </c>
      <c r="T27" s="989">
        <f t="shared" si="18"/>
        <v>14.662999999999998</v>
      </c>
      <c r="U27" s="989">
        <f t="shared" si="12"/>
        <v>617.32270600000004</v>
      </c>
      <c r="V27" s="122">
        <f>T46/U46*S27+(M46+AA$21+D66)*(Z$38*AA$38-Z$39*AA$39)/1000*V46</f>
        <v>699.37738717479704</v>
      </c>
      <c r="X27" s="111" t="s">
        <v>152</v>
      </c>
      <c r="Y27" s="112"/>
      <c r="Z27" s="64"/>
      <c r="AA27" s="69"/>
      <c r="AB27" s="64">
        <v>1.2</v>
      </c>
      <c r="AC27" s="65"/>
    </row>
    <row r="28" spans="1:40" ht="18" customHeight="1">
      <c r="A28" s="98"/>
      <c r="B28" s="298"/>
      <c r="C28" s="298"/>
      <c r="D28" s="298"/>
      <c r="E28" s="298"/>
      <c r="F28" s="298"/>
      <c r="G28" s="298"/>
      <c r="H28" s="298"/>
      <c r="I28" s="298"/>
      <c r="J28" s="38"/>
      <c r="K28" s="38"/>
      <c r="L28" s="38"/>
      <c r="M28" s="38"/>
      <c r="N28" s="298"/>
      <c r="O28" s="298"/>
      <c r="P28" s="38"/>
      <c r="Q28" s="38"/>
      <c r="R28" s="207"/>
      <c r="S28" s="207"/>
      <c r="T28" s="207"/>
      <c r="U28" s="207"/>
      <c r="V28" s="13"/>
      <c r="X28" s="365" t="s">
        <v>1052</v>
      </c>
      <c r="Y28" s="114"/>
      <c r="Z28" s="66"/>
      <c r="AA28" s="70"/>
      <c r="AB28" s="70">
        <v>0.95</v>
      </c>
      <c r="AC28" s="71">
        <v>0.5</v>
      </c>
    </row>
    <row r="29" spans="1:40" ht="18" customHeight="1" thickBot="1">
      <c r="A29" s="98"/>
      <c r="B29" s="298"/>
      <c r="C29" s="298"/>
      <c r="D29" s="298"/>
      <c r="E29" s="298"/>
      <c r="F29" s="298"/>
      <c r="G29" s="298"/>
      <c r="H29" s="298"/>
      <c r="I29" s="298"/>
      <c r="J29" s="38"/>
      <c r="K29" s="38"/>
      <c r="L29" s="38"/>
      <c r="M29" s="38"/>
      <c r="N29" s="298"/>
      <c r="O29" s="298"/>
      <c r="P29" s="38"/>
      <c r="Q29" s="940"/>
      <c r="R29" s="207"/>
      <c r="S29" s="207"/>
      <c r="T29" s="207"/>
      <c r="U29" s="207"/>
      <c r="V29" s="13"/>
      <c r="X29" s="366" t="s">
        <v>1053</v>
      </c>
      <c r="Y29" s="116"/>
      <c r="Z29" s="72"/>
      <c r="AA29" s="73"/>
      <c r="AB29" s="73">
        <f>AB28</f>
        <v>0.95</v>
      </c>
      <c r="AC29" s="74">
        <v>0.8</v>
      </c>
    </row>
    <row r="30" spans="1:40" ht="18" customHeight="1">
      <c r="A30" s="363"/>
      <c r="B30" s="298"/>
      <c r="C30" s="298"/>
      <c r="D30" s="298"/>
      <c r="E30" s="298"/>
      <c r="F30" s="298"/>
      <c r="G30" s="298"/>
      <c r="H30" s="298"/>
      <c r="I30" s="298"/>
      <c r="J30" s="131"/>
      <c r="K30" s="131"/>
      <c r="L30" s="38"/>
      <c r="M30" s="38"/>
      <c r="N30" s="298"/>
      <c r="O30" s="298"/>
      <c r="P30" s="38"/>
      <c r="Q30" s="38"/>
      <c r="R30" s="207"/>
      <c r="S30" s="207"/>
      <c r="T30" s="207"/>
      <c r="U30" s="207"/>
      <c r="V30" s="13"/>
    </row>
    <row r="31" spans="1:40" ht="15.75" customHeight="1" thickBo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AM31" s="2"/>
      <c r="AN31" s="2"/>
    </row>
    <row r="32" spans="1:40" ht="15.75" customHeight="1">
      <c r="A32" s="516" t="s">
        <v>43</v>
      </c>
      <c r="B32" s="491" t="s">
        <v>90</v>
      </c>
      <c r="C32" s="491" t="s">
        <v>94</v>
      </c>
      <c r="D32" s="491" t="s">
        <v>95</v>
      </c>
      <c r="E32" s="532" t="s">
        <v>129</v>
      </c>
      <c r="F32" s="522" t="s">
        <v>93</v>
      </c>
      <c r="G32" s="491" t="s">
        <v>130</v>
      </c>
      <c r="H32" s="532" t="s">
        <v>97</v>
      </c>
      <c r="I32" s="522" t="s">
        <v>132</v>
      </c>
      <c r="J32" s="532" t="s">
        <v>98</v>
      </c>
      <c r="K32" s="522" t="s">
        <v>99</v>
      </c>
      <c r="L32" s="532" t="s">
        <v>100</v>
      </c>
      <c r="M32" s="522" t="s">
        <v>101</v>
      </c>
      <c r="N32" s="532" t="s">
        <v>102</v>
      </c>
      <c r="O32" s="522" t="s">
        <v>103</v>
      </c>
      <c r="P32" s="522" t="s">
        <v>161</v>
      </c>
      <c r="Q32" s="522" t="s">
        <v>160</v>
      </c>
      <c r="R32" s="522" t="s">
        <v>104</v>
      </c>
      <c r="S32" s="522" t="s">
        <v>105</v>
      </c>
      <c r="T32" s="522" t="s">
        <v>106</v>
      </c>
      <c r="U32" s="522" t="s">
        <v>107</v>
      </c>
      <c r="V32" s="577" t="s">
        <v>242</v>
      </c>
    </row>
    <row r="33" spans="1:29" ht="15.75" customHeight="1">
      <c r="A33" s="517"/>
      <c r="B33" s="492"/>
      <c r="C33" s="492"/>
      <c r="D33" s="492"/>
      <c r="E33" s="533"/>
      <c r="F33" s="523"/>
      <c r="G33" s="492"/>
      <c r="H33" s="533"/>
      <c r="I33" s="523"/>
      <c r="J33" s="533"/>
      <c r="K33" s="523"/>
      <c r="L33" s="533"/>
      <c r="M33" s="523"/>
      <c r="N33" s="533"/>
      <c r="O33" s="523"/>
      <c r="P33" s="523"/>
      <c r="Q33" s="523"/>
      <c r="R33" s="523"/>
      <c r="S33" s="523"/>
      <c r="T33" s="523"/>
      <c r="U33" s="523"/>
      <c r="V33" s="578"/>
    </row>
    <row r="34" spans="1:29" ht="15.75" customHeight="1" thickBot="1">
      <c r="A34" s="517"/>
      <c r="B34" s="492"/>
      <c r="C34" s="492"/>
      <c r="D34" s="492"/>
      <c r="E34" s="533"/>
      <c r="F34" s="523"/>
      <c r="G34" s="492"/>
      <c r="H34" s="533"/>
      <c r="I34" s="523"/>
      <c r="J34" s="533"/>
      <c r="K34" s="523"/>
      <c r="L34" s="533"/>
      <c r="M34" s="523"/>
      <c r="N34" s="533"/>
      <c r="O34" s="523"/>
      <c r="P34" s="523"/>
      <c r="Q34" s="523"/>
      <c r="R34" s="523"/>
      <c r="S34" s="523"/>
      <c r="T34" s="523"/>
      <c r="U34" s="523"/>
      <c r="V34" s="578"/>
      <c r="X34" s="117"/>
      <c r="Y34" s="117"/>
      <c r="Z34" s="118"/>
      <c r="AA34" s="119"/>
      <c r="AB34" s="117"/>
      <c r="AC34" s="110"/>
    </row>
    <row r="35" spans="1:29" ht="15.75" customHeight="1">
      <c r="A35" s="517"/>
      <c r="B35" s="492"/>
      <c r="C35" s="492"/>
      <c r="D35" s="492"/>
      <c r="E35" s="533"/>
      <c r="F35" s="523"/>
      <c r="G35" s="492"/>
      <c r="H35" s="533"/>
      <c r="I35" s="523"/>
      <c r="J35" s="533"/>
      <c r="K35" s="523"/>
      <c r="L35" s="533"/>
      <c r="M35" s="523"/>
      <c r="N35" s="533"/>
      <c r="O35" s="523"/>
      <c r="P35" s="523"/>
      <c r="Q35" s="523"/>
      <c r="R35" s="523"/>
      <c r="S35" s="523"/>
      <c r="T35" s="523"/>
      <c r="U35" s="523"/>
      <c r="V35" s="578"/>
      <c r="X35" s="510" t="s">
        <v>226</v>
      </c>
      <c r="Y35" s="511"/>
      <c r="Z35" s="103" t="s">
        <v>235</v>
      </c>
      <c r="AA35" s="103" t="s">
        <v>236</v>
      </c>
      <c r="AB35" s="103" t="s">
        <v>131</v>
      </c>
    </row>
    <row r="36" spans="1:29" ht="16.5" customHeight="1">
      <c r="A36" s="517"/>
      <c r="B36" s="492"/>
      <c r="C36" s="492"/>
      <c r="D36" s="492"/>
      <c r="E36" s="533"/>
      <c r="F36" s="523"/>
      <c r="G36" s="492"/>
      <c r="H36" s="533"/>
      <c r="I36" s="523"/>
      <c r="J36" s="533"/>
      <c r="K36" s="523"/>
      <c r="L36" s="533"/>
      <c r="M36" s="523"/>
      <c r="N36" s="533"/>
      <c r="O36" s="523"/>
      <c r="P36" s="523"/>
      <c r="Q36" s="523"/>
      <c r="R36" s="523"/>
      <c r="S36" s="523"/>
      <c r="T36" s="523"/>
      <c r="U36" s="523"/>
      <c r="V36" s="578"/>
      <c r="X36" s="512"/>
      <c r="Y36" s="513"/>
      <c r="Z36" s="104"/>
      <c r="AA36" s="104"/>
      <c r="AB36" s="104"/>
    </row>
    <row r="37" spans="1:29" ht="17.25" customHeight="1">
      <c r="A37" s="518"/>
      <c r="B37" s="462" t="s">
        <v>91</v>
      </c>
      <c r="C37" s="462" t="s">
        <v>91</v>
      </c>
      <c r="D37" s="462" t="s">
        <v>91</v>
      </c>
      <c r="E37" s="464" t="s">
        <v>92</v>
      </c>
      <c r="F37" s="479" t="s">
        <v>92</v>
      </c>
      <c r="G37" s="462" t="s">
        <v>71</v>
      </c>
      <c r="H37" s="464" t="s">
        <v>96</v>
      </c>
      <c r="I37" s="479" t="s">
        <v>96</v>
      </c>
      <c r="J37" s="464" t="s">
        <v>96</v>
      </c>
      <c r="K37" s="479" t="s">
        <v>96</v>
      </c>
      <c r="L37" s="464" t="s">
        <v>71</v>
      </c>
      <c r="M37" s="479" t="s">
        <v>71</v>
      </c>
      <c r="N37" s="464" t="s">
        <v>68</v>
      </c>
      <c r="O37" s="479" t="s">
        <v>68</v>
      </c>
      <c r="P37" s="479" t="s">
        <v>68</v>
      </c>
      <c r="Q37" s="479" t="s">
        <v>68</v>
      </c>
      <c r="R37" s="479" t="s">
        <v>68</v>
      </c>
      <c r="S37" s="479" t="s">
        <v>71</v>
      </c>
      <c r="T37" s="459" t="s">
        <v>74</v>
      </c>
      <c r="U37" s="479" t="s">
        <v>76</v>
      </c>
      <c r="V37" s="952"/>
      <c r="X37" s="514"/>
      <c r="Y37" s="515"/>
      <c r="Z37" s="63" t="s">
        <v>234</v>
      </c>
      <c r="AA37" s="63" t="s">
        <v>234</v>
      </c>
      <c r="AB37" s="63" t="s">
        <v>108</v>
      </c>
      <c r="AC37" s="119"/>
    </row>
    <row r="38" spans="1:29" ht="16.5" customHeight="1">
      <c r="A38" s="145" t="str">
        <f t="shared" ref="A38:A40" si="20">A19</f>
        <v>Al-gra</v>
      </c>
      <c r="B38" s="990">
        <f>1/(B19/E7+C19/$AB$19+D19/$AB$20)</f>
        <v>2.1859130050783842</v>
      </c>
      <c r="C38" s="991">
        <f>1/(E19/E14+F19/$AB$19+G19/$AB$20)</f>
        <v>2.7</v>
      </c>
      <c r="D38" s="991">
        <f>B19*B38*(1-G7)</f>
        <v>1.2381011260763968</v>
      </c>
      <c r="E38" s="991">
        <f>D38*C7</f>
        <v>167.14365202031357</v>
      </c>
      <c r="F38" s="991">
        <f>D38*D7</f>
        <v>167.14365202031357</v>
      </c>
      <c r="G38" s="991">
        <f t="shared" ref="G38:G40" si="21">D38*0.1*P19</f>
        <v>24.762022521527939</v>
      </c>
      <c r="H38" s="991">
        <f>C7*G38/1000</f>
        <v>3.3428730404062716</v>
      </c>
      <c r="I38" s="991">
        <f>D7*G38/1000</f>
        <v>3.3428730404062716</v>
      </c>
      <c r="J38" s="991">
        <f t="shared" ref="J38:J40" si="22">H38*N19</f>
        <v>0</v>
      </c>
      <c r="K38" s="991">
        <f>MAX(I38*1,AA$21*D$14/1000)</f>
        <v>6.0365249999999993</v>
      </c>
      <c r="L38" s="991">
        <f>J38/C14*1000</f>
        <v>0</v>
      </c>
      <c r="M38" s="991">
        <f>MAX(K38/D$14*1000,AA$21)</f>
        <v>2.0249999999999999</v>
      </c>
      <c r="N38" s="991">
        <f>L38/E19/(C38*1000)*10000/(1-G14)</f>
        <v>0</v>
      </c>
      <c r="O38" s="991">
        <f>MAX(M38/E19/(C38*1000)*10000/(1-G$14),Z$21)</f>
        <v>7.5</v>
      </c>
      <c r="P38" s="991">
        <f>((O38*(1-F14))-O38)/O19</f>
        <v>4.1533080378275651</v>
      </c>
      <c r="Q38" s="991">
        <f>P19*F7*B19</f>
        <v>153.6</v>
      </c>
      <c r="R38" s="991">
        <f>P19+O38+$Z$24+$Q19+V58+MAX(P38+Q38+I90,0)</f>
        <v>942.43566585297253</v>
      </c>
      <c r="S38" s="991">
        <f>G38/B19+M38/$E$19+$AA$24+$D$58+R58</f>
        <v>124.85491112440963</v>
      </c>
      <c r="T38" s="991">
        <f t="shared" ref="T38:T40" si="23">I38*M19/R38*10000</f>
        <v>70.941140313927519</v>
      </c>
      <c r="U38" s="991">
        <f t="shared" ref="U38:U40" si="24">I38*M19/S38*1000</f>
        <v>53.548122541616657</v>
      </c>
      <c r="V38" s="984">
        <f t="shared" ref="V38:V40" si="25">10000*Z$42/R38</f>
        <v>21.221607717804854</v>
      </c>
      <c r="X38" s="495" t="s">
        <v>230</v>
      </c>
      <c r="Y38" s="496"/>
      <c r="Z38" s="148">
        <v>10</v>
      </c>
      <c r="AA38" s="148">
        <v>30</v>
      </c>
      <c r="AB38" s="148"/>
      <c r="AC38" s="117"/>
    </row>
    <row r="39" spans="1:29" ht="16.5" customHeight="1">
      <c r="A39" s="314" t="str">
        <f t="shared" si="20"/>
        <v>Al-PPQ</v>
      </c>
      <c r="B39" s="722">
        <f>1/(B20/E9+C20/$AB$19+D20/$AB$20)</f>
        <v>1.6326530612244901</v>
      </c>
      <c r="C39" s="13">
        <f>1/(E20/E14+F20/$AB$19+G20/$AB$20)</f>
        <v>2.7</v>
      </c>
      <c r="D39" s="13">
        <f>B20*B39*(1-G9)</f>
        <v>1.1020408163265307</v>
      </c>
      <c r="E39" s="13">
        <f>D39*C9</f>
        <v>247.95918367346943</v>
      </c>
      <c r="F39" s="13">
        <f>D39*D9</f>
        <v>187.34693877551021</v>
      </c>
      <c r="G39" s="13">
        <f t="shared" si="21"/>
        <v>22.040816326530617</v>
      </c>
      <c r="H39" s="13">
        <f>C9*G39/1000</f>
        <v>4.959183673469389</v>
      </c>
      <c r="I39" s="13">
        <f>D9*G39/1000</f>
        <v>3.7469387755102046</v>
      </c>
      <c r="J39" s="13">
        <f t="shared" si="22"/>
        <v>4.959183673469389</v>
      </c>
      <c r="K39" s="13">
        <f>MAX(I39*1.5,AA$21*D$14/1000)</f>
        <v>6.0365249999999993</v>
      </c>
      <c r="L39" s="13">
        <f>J39/C14*1000</f>
        <v>1.6635973409826867</v>
      </c>
      <c r="M39" s="13">
        <f>MAX(K39/D$14*1000,AA$21)</f>
        <v>2.0249999999999999</v>
      </c>
      <c r="N39" s="13">
        <f>L39/E20/(C39*1000)*10000/(1-G14)</f>
        <v>6.1614716332692101</v>
      </c>
      <c r="O39" s="13">
        <f>MAX(M39/E20/(C39*1000)*10000/(1-G$14),Z$21)</f>
        <v>7.5</v>
      </c>
      <c r="P39" s="13">
        <f>((O39*(1+F14))-O39)/O20</f>
        <v>-4.6553341229145149</v>
      </c>
      <c r="Q39" s="13">
        <f>P20*F9*B20</f>
        <v>18</v>
      </c>
      <c r="R39" s="13">
        <f>P20+O39+$Z$24+$Q20+V59+MAX(P39+Q39+I91,0)</f>
        <v>268.78164194299791</v>
      </c>
      <c r="S39" s="13">
        <f>G39/B20+M39/E20+$AA$24+$D$59+R59</f>
        <v>41.748545644301537</v>
      </c>
      <c r="T39" s="13">
        <f t="shared" si="23"/>
        <v>195.16639037523163</v>
      </c>
      <c r="U39" s="13">
        <f t="shared" si="24"/>
        <v>125.65022816382346</v>
      </c>
      <c r="V39" s="15">
        <f t="shared" si="25"/>
        <v>74.409843824979376</v>
      </c>
      <c r="X39" s="497" t="s">
        <v>231</v>
      </c>
      <c r="Y39" s="498"/>
      <c r="Z39" s="75">
        <f>Z38-0.2</f>
        <v>9.8000000000000007</v>
      </c>
      <c r="AA39" s="75">
        <f>AA38-0.2</f>
        <v>29.8</v>
      </c>
      <c r="AB39" s="75"/>
      <c r="AC39" s="117"/>
    </row>
    <row r="40" spans="1:29" ht="16.5" customHeight="1">
      <c r="A40" s="145" t="str">
        <f t="shared" si="20"/>
        <v>Al-PBQS</v>
      </c>
      <c r="B40" s="992">
        <f>1/(B21/E10+C21/$AB$19+D21/$AB$20)</f>
        <v>1.6326530612244901</v>
      </c>
      <c r="C40" s="90">
        <f>1/(E21/E14+F21/$AB$19+G21/$AB$20)</f>
        <v>2.7</v>
      </c>
      <c r="D40" s="90">
        <f>B21*B40*(1-G10)</f>
        <v>0.86693877551020426</v>
      </c>
      <c r="E40" s="90">
        <f>D40*C10</f>
        <v>336.37224489795926</v>
      </c>
      <c r="F40" s="90">
        <f>D40*D10</f>
        <v>260.08163265306126</v>
      </c>
      <c r="G40" s="90">
        <f t="shared" si="21"/>
        <v>17.338775510204087</v>
      </c>
      <c r="H40" s="90">
        <f>C10*G40/1000</f>
        <v>6.7274448979591863</v>
      </c>
      <c r="I40" s="90">
        <f>D10*G40/1000</f>
        <v>5.2016326530612256</v>
      </c>
      <c r="J40" s="90">
        <f t="shared" si="22"/>
        <v>6.7274448979591863</v>
      </c>
      <c r="K40" s="90">
        <f>MAX(I40*1.5,AA$21*D$14/1000)</f>
        <v>7.8024489795918388</v>
      </c>
      <c r="L40" s="90">
        <f>J40/C14*1000</f>
        <v>2.2567745380607804</v>
      </c>
      <c r="M40" s="90">
        <f>MAX(K40/D$14*1000,AA$21)</f>
        <v>2.6173931498127603</v>
      </c>
      <c r="N40" s="90">
        <f>L40/E21/(C40*1000)*10000/(1-G14)</f>
        <v>8.3584242150399284</v>
      </c>
      <c r="O40" s="90">
        <f>MAX(M40/E21/(C40*1000)*10000/(1-G$14),Z$21)</f>
        <v>9.6940487030102229</v>
      </c>
      <c r="P40" s="90">
        <f>((O40*(1+F14))-O40)/O21</f>
        <v>-6.4626991353401486</v>
      </c>
      <c r="Q40" s="90">
        <f>P21*F10*B21</f>
        <v>18</v>
      </c>
      <c r="R40" s="90">
        <f>P21+O40+$Z$24+$Q21+V60+MAX(P40+Q40+I92,0)</f>
        <v>276.12032810623083</v>
      </c>
      <c r="S40" s="90">
        <f>G40/B21+M40/E21+$AA$24+$D$60+R60</f>
        <v>41.57921653885272</v>
      </c>
      <c r="T40" s="90">
        <f t="shared" si="23"/>
        <v>301.41251468077462</v>
      </c>
      <c r="U40" s="90">
        <f t="shared" si="24"/>
        <v>200.1627961681551</v>
      </c>
      <c r="V40" s="307">
        <f t="shared" si="25"/>
        <v>72.432189752814821</v>
      </c>
      <c r="X40" s="495" t="s">
        <v>233</v>
      </c>
      <c r="Y40" s="496"/>
      <c r="Z40" s="149">
        <v>1.5299999999999999E-2</v>
      </c>
      <c r="AA40" s="150"/>
      <c r="AB40" s="151">
        <v>2.1499999999999998E-2</v>
      </c>
    </row>
    <row r="41" spans="1:29">
      <c r="A41" s="314" t="str">
        <f t="shared" ref="A41:A46" si="26">A22</f>
        <v>Al-TiO2</v>
      </c>
      <c r="B41" s="722">
        <f>1/(B22/E15+C22/$AB$19+D22/$AB$20)</f>
        <v>4.0493968983342912</v>
      </c>
      <c r="C41" s="13">
        <f>1/(E22/E14+F22/$AB$19+G22/$AB$20)</f>
        <v>2.7</v>
      </c>
      <c r="D41" s="13">
        <f>B22*B41*(1-G15)</f>
        <v>2.9155657668006896</v>
      </c>
      <c r="E41" s="13">
        <f>D41*C15</f>
        <v>583.11315336013786</v>
      </c>
      <c r="F41" s="13">
        <f>D41*D15</f>
        <v>320.71223434807587</v>
      </c>
      <c r="G41" s="13">
        <f t="shared" ref="G41:G46" si="27">D41*0.1*P22</f>
        <v>58.311315336013791</v>
      </c>
      <c r="H41" s="13">
        <f>C15*G41/1000</f>
        <v>11.662263067202758</v>
      </c>
      <c r="I41" s="13">
        <f>D15*G41/1000</f>
        <v>6.4142446869615171</v>
      </c>
      <c r="J41" s="13">
        <f t="shared" ref="J41:K46" si="28">H41*N22</f>
        <v>11.662263067202758</v>
      </c>
      <c r="K41" s="13">
        <f t="shared" si="28"/>
        <v>9.6213670304422756</v>
      </c>
      <c r="L41" s="13">
        <f>J41/C14*1000</f>
        <v>3.9121982781626157</v>
      </c>
      <c r="M41" s="13">
        <f>K41/D14*1000</f>
        <v>3.2275635794841584</v>
      </c>
      <c r="N41" s="13">
        <f>L41/E22/(C41*1000)*10000/(1-G14)</f>
        <v>14.48962325245413</v>
      </c>
      <c r="O41" s="13">
        <f>M41/E22/(C41*1000)*10000/(1-G14)</f>
        <v>11.953939183274661</v>
      </c>
      <c r="P41" s="13">
        <f>((O41*(1+F14))-O41)/O22</f>
        <v>-7.9692927888497742</v>
      </c>
      <c r="Q41" s="13">
        <f>P22*F15*B22</f>
        <v>9.6</v>
      </c>
      <c r="R41" s="13">
        <f>P22+O41+$Z$21*0+$Z$24+$Q$24+V61+MAX(P41+Q41,0)</f>
        <v>244.70964639442488</v>
      </c>
      <c r="S41" s="13">
        <f>G41/B22+M41/E22+$AA$24+$D$63+R61</f>
        <v>75.584683721165192</v>
      </c>
      <c r="T41" s="13">
        <f t="shared" ref="T41:T46" si="29">I41*M22/R41*10000</f>
        <v>167.75458835156476</v>
      </c>
      <c r="U41" s="13">
        <f t="shared" ref="U41:U46" si="30">I41*M22/S41*1000</f>
        <v>54.311487427787682</v>
      </c>
      <c r="V41" s="15">
        <f t="shared" ref="V41:V46" si="31">10000*Z$42/R41</f>
        <v>81.729512075563406</v>
      </c>
      <c r="X41" s="497" t="s">
        <v>232</v>
      </c>
      <c r="Y41" s="498"/>
      <c r="Z41" s="75">
        <f>Z38+1</f>
        <v>11</v>
      </c>
      <c r="AA41" s="75">
        <f>AA38+1</f>
        <v>31</v>
      </c>
      <c r="AB41" s="75">
        <f>2*Z41*AA41*AB40</f>
        <v>14.662999999999998</v>
      </c>
      <c r="AC41" s="128"/>
    </row>
    <row r="42" spans="1:29">
      <c r="A42" s="145" t="str">
        <f t="shared" si="26"/>
        <v>Al-V2C</v>
      </c>
      <c r="B42" s="992">
        <f>1/(B23/E11+C23/$AB$19+D23/$AB$20)</f>
        <v>3.757225433526012</v>
      </c>
      <c r="C42" s="90">
        <f>1/(E23/E14+F23/$AB$19+G23/$AB$20)</f>
        <v>2.7</v>
      </c>
      <c r="D42" s="90">
        <f>B23*B42*(1-G11)</f>
        <v>2.7052023121387285</v>
      </c>
      <c r="E42" s="90">
        <f>D42*C11</f>
        <v>676.30057803468208</v>
      </c>
      <c r="F42" s="90">
        <f>D42*D11</f>
        <v>338.15028901734104</v>
      </c>
      <c r="G42" s="90">
        <f t="shared" si="27"/>
        <v>54.104046242774572</v>
      </c>
      <c r="H42" s="90">
        <f>C11*G42/1000</f>
        <v>13.526011560693643</v>
      </c>
      <c r="I42" s="90">
        <f>D11*G42/1000</f>
        <v>6.7630057803468215</v>
      </c>
      <c r="J42" s="90">
        <f t="shared" si="28"/>
        <v>13.526011560693643</v>
      </c>
      <c r="K42" s="90">
        <f t="shared" si="28"/>
        <v>10.144508670520231</v>
      </c>
      <c r="L42" s="90">
        <f>J42/C14*1000</f>
        <v>4.5374074339797525</v>
      </c>
      <c r="M42" s="90">
        <f>K42/D14*1000</f>
        <v>3.4030555754848142</v>
      </c>
      <c r="N42" s="90">
        <f>L42/E23/(C42*1000)*10000/(1-G14)</f>
        <v>16.805212718443528</v>
      </c>
      <c r="O42" s="90">
        <f>M42/E23/(C42*1000)*10000/(1-G14)</f>
        <v>12.603909538832646</v>
      </c>
      <c r="P42" s="90">
        <f>((O42*(1+F14))-O42)/O23</f>
        <v>-8.4026063592217639</v>
      </c>
      <c r="Q42" s="90">
        <f>P23*F11*B23</f>
        <v>9.6</v>
      </c>
      <c r="R42" s="90">
        <f>P23+O42+$Z$21*0+$Z$24+$Q$24+V62+MAX(P42+Q42,0)</f>
        <v>244.9263031796109</v>
      </c>
      <c r="S42" s="90">
        <f>G42/B23+M42/E23+$AA$24+$D$63+R62</f>
        <v>71.377603745041654</v>
      </c>
      <c r="T42" s="90">
        <f t="shared" si="29"/>
        <v>262.31790575052958</v>
      </c>
      <c r="U42" s="90">
        <f t="shared" si="30"/>
        <v>90.012204868614575</v>
      </c>
      <c r="V42" s="307">
        <f t="shared" si="31"/>
        <v>81.657215825176095</v>
      </c>
      <c r="X42" s="495" t="s">
        <v>238</v>
      </c>
      <c r="Y42" s="496"/>
      <c r="Z42" s="148">
        <v>2</v>
      </c>
      <c r="AA42" s="148"/>
      <c r="AB42" s="148"/>
      <c r="AC42" s="110"/>
    </row>
    <row r="43" spans="1:29">
      <c r="A43" s="314" t="str">
        <f t="shared" si="26"/>
        <v>Al-MnO2</v>
      </c>
      <c r="B43" s="722">
        <f>1/(B24/E12+C24/$AB$19+D24/$AB$20)</f>
        <v>4.7425985291344528</v>
      </c>
      <c r="C43" s="13">
        <f>1/(E24/E14+F24/$AB$19+G24/$AB$20)</f>
        <v>2.7</v>
      </c>
      <c r="D43" s="13">
        <f>B24*B43*(1-G12)</f>
        <v>3.4146709409768059</v>
      </c>
      <c r="E43" s="13">
        <f>D43*C12</f>
        <v>1577.5779747312843</v>
      </c>
      <c r="F43" s="13">
        <f>D43*D12</f>
        <v>973.18121817838971</v>
      </c>
      <c r="G43" s="13">
        <f t="shared" si="27"/>
        <v>68.293418819536129</v>
      </c>
      <c r="H43" s="13">
        <f>C12*G43/1000</f>
        <v>31.551559494625689</v>
      </c>
      <c r="I43" s="13">
        <f>D12*G43/1000</f>
        <v>19.463624363567796</v>
      </c>
      <c r="J43" s="13">
        <f t="shared" si="28"/>
        <v>31.551559494625689</v>
      </c>
      <c r="K43" s="13">
        <f t="shared" si="28"/>
        <v>29.195436545351694</v>
      </c>
      <c r="L43" s="13">
        <f>J43/C14*1000</f>
        <v>10.584219890850616</v>
      </c>
      <c r="M43" s="13">
        <f>K43/D14*1000</f>
        <v>9.7938398340663184</v>
      </c>
      <c r="N43" s="13">
        <f>L43/E24/(C43*1000)*10000/(1-G14)</f>
        <v>39.20081441055784</v>
      </c>
      <c r="O43" s="13">
        <f>M43/E24/(C43*1000)*10000/(1-G14)</f>
        <v>36.273480866912294</v>
      </c>
      <c r="P43" s="13">
        <f>((O43*(1+F14))-O43)/O24</f>
        <v>-24.182320577941528</v>
      </c>
      <c r="Q43" s="13">
        <f>P24*F12*B24</f>
        <v>9.6</v>
      </c>
      <c r="R43" s="13">
        <f>P24+O43+$Z$21*0+$Z$24+$Q$24+V63+MAX(P43+Q43,0)</f>
        <v>267.39848086691228</v>
      </c>
      <c r="S43" s="13">
        <f>G43/B24+M43/E24+$AA$24+$D$63+R63</f>
        <v>92.548984437749795</v>
      </c>
      <c r="T43" s="13">
        <f t="shared" si="29"/>
        <v>946.25487738771506</v>
      </c>
      <c r="U43" s="13">
        <f t="shared" si="30"/>
        <v>273.398047816043</v>
      </c>
      <c r="V43" s="15">
        <f t="shared" si="31"/>
        <v>74.794740550355868</v>
      </c>
      <c r="X43" s="211" t="s">
        <v>239</v>
      </c>
      <c r="Y43" s="212"/>
      <c r="Z43" s="77">
        <f>Z38+0.1</f>
        <v>10.1</v>
      </c>
      <c r="AA43" s="77">
        <f>AA38+0.1</f>
        <v>30.1</v>
      </c>
      <c r="AB43" s="77"/>
      <c r="AC43" s="110"/>
    </row>
    <row r="44" spans="1:29" ht="17" thickBot="1">
      <c r="A44" s="145" t="str">
        <f t="shared" si="26"/>
        <v>LIB-NMC</v>
      </c>
      <c r="B44" s="992">
        <f>1/(B25/E4+C25/$AB$19+D25/$AB$20)</f>
        <v>4.4159544159544168</v>
      </c>
      <c r="C44" s="90">
        <f>1/(E25/E13+F25/$AB$19+G25/$AB$20)</f>
        <v>2.1859130050783842</v>
      </c>
      <c r="D44" s="90">
        <f>B25*B44*(1-G4)</f>
        <v>3.1794871794871802</v>
      </c>
      <c r="E44" s="90">
        <f>D44*C4</f>
        <v>886.91218686502964</v>
      </c>
      <c r="F44" s="90">
        <f>D44*D4</f>
        <v>667.69230769230785</v>
      </c>
      <c r="G44" s="90">
        <f t="shared" si="27"/>
        <v>48.964102564102575</v>
      </c>
      <c r="H44" s="90">
        <f>C4*G44/1000</f>
        <v>13.658447677721457</v>
      </c>
      <c r="I44" s="90">
        <f>D4*G44/1000</f>
        <v>10.282461538461542</v>
      </c>
      <c r="J44" s="90">
        <f t="shared" si="28"/>
        <v>13.658447677721457</v>
      </c>
      <c r="K44" s="90">
        <f t="shared" si="28"/>
        <v>11.310707692307696</v>
      </c>
      <c r="L44" s="90">
        <f>J44/C13*1000</f>
        <v>36.722885817301439</v>
      </c>
      <c r="M44" s="90">
        <f>K44/D13*1000</f>
        <v>31.418632478632489</v>
      </c>
      <c r="N44" s="90">
        <f>L44/E25/(C44*1000)*10000/(1-G13)</f>
        <v>233.33045716408276</v>
      </c>
      <c r="O44" s="90">
        <f>M44/E25/(C44*1000)*10000/(1-G13)</f>
        <v>199.62820776617073</v>
      </c>
      <c r="P44" s="90">
        <f>((O44*E25*(1+F13))-O44*E25)/O25</f>
        <v>22.300285609370082</v>
      </c>
      <c r="Q44" s="90">
        <f>P25*F4*B25</f>
        <v>-7.3919999999999995</v>
      </c>
      <c r="R44" s="90">
        <f>P25+O44+$Z$21+$Z$22+$Q$25+V64+P44+Q44</f>
        <v>410.42255116677217</v>
      </c>
      <c r="S44" s="90">
        <f>G44/B25+M44/$E$25+$AA$21+$AA$22+$D$64+R64</f>
        <v>104.1846888374486</v>
      </c>
      <c r="T44" s="90">
        <f t="shared" si="29"/>
        <v>914.44742762524731</v>
      </c>
      <c r="U44" s="90">
        <f t="shared" si="30"/>
        <v>360.23512700547917</v>
      </c>
      <c r="V44" s="307">
        <f t="shared" si="31"/>
        <v>48.730265778873218</v>
      </c>
      <c r="X44" s="508" t="s">
        <v>33</v>
      </c>
      <c r="Y44" s="509"/>
      <c r="Z44" s="152">
        <f>SUM(Z38:Z43)</f>
        <v>42.915300000000002</v>
      </c>
      <c r="AA44" s="152">
        <f>SUM(AA38:AA43)</f>
        <v>120.9</v>
      </c>
      <c r="AB44" s="152">
        <f>SUM(AB38:AB43)</f>
        <v>14.684499999999998</v>
      </c>
      <c r="AC44" s="110"/>
    </row>
    <row r="45" spans="1:29">
      <c r="A45" s="314" t="str">
        <f t="shared" si="26"/>
        <v>LIB-LFP</v>
      </c>
      <c r="B45" s="722">
        <f>1/(B26/E5+C26/$AB$19+D26/$AB$20)</f>
        <v>3.5333978702807358</v>
      </c>
      <c r="C45" s="13">
        <f>1/(E26/E13+F26/$AB$19+G26/$AB$20)</f>
        <v>2.1859130050783842</v>
      </c>
      <c r="D45" s="13">
        <f>B26*B45*(1-G5)</f>
        <v>2.5440464666021296</v>
      </c>
      <c r="E45" s="13">
        <f>D45*C5</f>
        <v>508.80929332042592</v>
      </c>
      <c r="F45" s="13">
        <f>D45*D5</f>
        <v>394.32720232333008</v>
      </c>
      <c r="G45" s="13">
        <f t="shared" si="27"/>
        <v>50.880929332042591</v>
      </c>
      <c r="H45" s="13">
        <f>C5*G45/1000</f>
        <v>10.176185866408517</v>
      </c>
      <c r="I45" s="13">
        <f>D5*G45/1000</f>
        <v>7.8865440464666019</v>
      </c>
      <c r="J45" s="13">
        <f t="shared" si="28"/>
        <v>10.176185866408517</v>
      </c>
      <c r="K45" s="13">
        <f t="shared" si="28"/>
        <v>8.6751984511132623</v>
      </c>
      <c r="L45" s="13">
        <f>J45/C13*1000</f>
        <v>27.360276983547976</v>
      </c>
      <c r="M45" s="13">
        <f>K45/D13*1000</f>
        <v>24.097773475314618</v>
      </c>
      <c r="N45" s="13">
        <f>L45/E26/(C45*1000)*10000/(1-G13)</f>
        <v>173.84216394288546</v>
      </c>
      <c r="O45" s="13">
        <f>M45/E26/(C45*1000)*10000/(1-G13)</f>
        <v>153.11281715726696</v>
      </c>
      <c r="P45" s="13">
        <f>((O45*E26*(1+F13))-O45*E26)/O26</f>
        <v>17.104093611168153</v>
      </c>
      <c r="Q45" s="13">
        <f>P26*F5*B26</f>
        <v>-9.6</v>
      </c>
      <c r="R45" s="13">
        <f>P26+O45+$Z$21+$Z$22+$Q$25+V65+P45+Q45</f>
        <v>402.48364141183254</v>
      </c>
      <c r="S45" s="13">
        <f>G45/B26+M45/$E$25+$AA$21+$AA$22+$D$65+R65</f>
        <v>98.537707616256156</v>
      </c>
      <c r="T45" s="13">
        <f t="shared" si="29"/>
        <v>646.62492274337342</v>
      </c>
      <c r="U45" s="13">
        <f t="shared" si="30"/>
        <v>264.11813287450826</v>
      </c>
      <c r="V45" s="15">
        <f t="shared" si="31"/>
        <v>49.691460576742891</v>
      </c>
      <c r="AC45" s="110"/>
    </row>
    <row r="46" spans="1:29" ht="17" thickBot="1">
      <c r="A46" s="987" t="str">
        <f t="shared" si="26"/>
        <v>Li-DIB</v>
      </c>
      <c r="B46" s="993">
        <f>1/(B27/E6+C27/$AB$19+D27/$AB$20)</f>
        <v>2.1859130050783842</v>
      </c>
      <c r="C46" s="94">
        <f>1/(E27/E6+F27/$AB$19+G27/$AB$20)</f>
        <v>2.1859130050783842</v>
      </c>
      <c r="D46" s="94">
        <f>B27*B46*(1-G6)</f>
        <v>1.2381011260763968</v>
      </c>
      <c r="E46" s="94">
        <f>D46*C6</f>
        <v>173.33415765069554</v>
      </c>
      <c r="F46" s="94">
        <f>D46*D6</f>
        <v>173.33415765069554</v>
      </c>
      <c r="G46" s="94">
        <f t="shared" si="27"/>
        <v>24.762022521527939</v>
      </c>
      <c r="H46" s="94">
        <f>C6*G46/1000</f>
        <v>3.4666831530139115</v>
      </c>
      <c r="I46" s="94">
        <f>D6*G46/1000</f>
        <v>3.4666831530139115</v>
      </c>
      <c r="J46" s="94">
        <f t="shared" si="28"/>
        <v>3.4666831530139115</v>
      </c>
      <c r="K46" s="94">
        <f t="shared" si="28"/>
        <v>3.4666831530139115</v>
      </c>
      <c r="L46" s="94">
        <f>J46/C13*1000</f>
        <v>9.3207231595245297</v>
      </c>
      <c r="M46" s="94">
        <f>K46/D13*1000</f>
        <v>9.6296754250386432</v>
      </c>
      <c r="N46" s="94">
        <f>L46/E27/(C46*1000)*10000/(1-G13)</f>
        <v>59.222159356743255</v>
      </c>
      <c r="O46" s="94">
        <f>M46/E27/(C46*1000)*10000/(1-G13)</f>
        <v>61.185185185185198</v>
      </c>
      <c r="P46" s="94">
        <f>((O46*E27*(1+F13))-O46*E27)/O27</f>
        <v>7.5184355555555626</v>
      </c>
      <c r="Q46" s="94">
        <f>P27*F6*B27</f>
        <v>251.51999999999998</v>
      </c>
      <c r="R46" s="94">
        <f>P27+O46+$Z$21+$Z$22+$Q27+V66+MAX(P46+Q46+I89,0)</f>
        <v>855.9345388750844</v>
      </c>
      <c r="S46" s="94">
        <f>G46/B27+M46/$E$27+$AA$21+$AA$22+$D$66+R66</f>
        <v>102.02558600264015</v>
      </c>
      <c r="T46" s="94">
        <f t="shared" si="29"/>
        <v>182.25779519383647</v>
      </c>
      <c r="U46" s="94">
        <f t="shared" si="30"/>
        <v>152.90354899955108</v>
      </c>
      <c r="V46" s="122">
        <f t="shared" si="31"/>
        <v>23.366272876761212</v>
      </c>
    </row>
    <row r="47" spans="1:29">
      <c r="A47" s="98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9">
      <c r="A48" s="98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7">
      <c r="A49" s="98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:27" ht="17" thickBo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7" ht="15.75" customHeight="1" thickBot="1">
      <c r="A51" s="516" t="s">
        <v>44</v>
      </c>
      <c r="B51" s="491" t="s">
        <v>109</v>
      </c>
      <c r="C51" s="491" t="s">
        <v>110</v>
      </c>
      <c r="D51" s="491" t="s">
        <v>111</v>
      </c>
      <c r="E51" s="491" t="s">
        <v>112</v>
      </c>
      <c r="F51" s="491" t="s">
        <v>113</v>
      </c>
      <c r="G51" s="491" t="s">
        <v>114</v>
      </c>
      <c r="H51" s="522" t="s">
        <v>115</v>
      </c>
      <c r="I51" s="491" t="s">
        <v>116</v>
      </c>
      <c r="J51" s="491" t="s">
        <v>128</v>
      </c>
      <c r="K51" s="501" t="s">
        <v>45</v>
      </c>
      <c r="L51" s="503" t="s">
        <v>47</v>
      </c>
      <c r="M51" s="532" t="s">
        <v>127</v>
      </c>
      <c r="N51" s="542" t="s">
        <v>126</v>
      </c>
      <c r="O51" s="501" t="s">
        <v>125</v>
      </c>
      <c r="P51" s="522" t="s">
        <v>124</v>
      </c>
      <c r="Q51" s="501" t="s">
        <v>123</v>
      </c>
      <c r="R51" s="522" t="s">
        <v>122</v>
      </c>
      <c r="S51" s="501" t="s">
        <v>121</v>
      </c>
      <c r="T51" s="522" t="s">
        <v>120</v>
      </c>
      <c r="U51" s="501" t="s">
        <v>118</v>
      </c>
      <c r="V51" s="577" t="s">
        <v>119</v>
      </c>
    </row>
    <row r="52" spans="1:27" ht="16.5" customHeight="1">
      <c r="A52" s="517"/>
      <c r="B52" s="492"/>
      <c r="C52" s="492"/>
      <c r="D52" s="492"/>
      <c r="E52" s="492"/>
      <c r="F52" s="492"/>
      <c r="G52" s="492"/>
      <c r="H52" s="523"/>
      <c r="I52" s="492"/>
      <c r="J52" s="492"/>
      <c r="K52" s="502"/>
      <c r="L52" s="504"/>
      <c r="M52" s="533"/>
      <c r="N52" s="543"/>
      <c r="O52" s="544"/>
      <c r="P52" s="523"/>
      <c r="Q52" s="544"/>
      <c r="R52" s="523"/>
      <c r="S52" s="544"/>
      <c r="T52" s="523"/>
      <c r="U52" s="544"/>
      <c r="V52" s="578"/>
      <c r="X52" s="510" t="s">
        <v>34</v>
      </c>
      <c r="Y52" s="511"/>
      <c r="Z52" s="103" t="s">
        <v>131</v>
      </c>
      <c r="AA52" s="14"/>
    </row>
    <row r="53" spans="1:27" ht="16.5" customHeight="1">
      <c r="A53" s="517"/>
      <c r="B53" s="492"/>
      <c r="C53" s="492"/>
      <c r="D53" s="492"/>
      <c r="E53" s="492"/>
      <c r="F53" s="492"/>
      <c r="G53" s="492"/>
      <c r="H53" s="523"/>
      <c r="I53" s="492"/>
      <c r="J53" s="492"/>
      <c r="K53" s="502"/>
      <c r="L53" s="504"/>
      <c r="M53" s="533"/>
      <c r="N53" s="543"/>
      <c r="O53" s="544"/>
      <c r="P53" s="523"/>
      <c r="Q53" s="544"/>
      <c r="R53" s="523"/>
      <c r="S53" s="544"/>
      <c r="T53" s="523"/>
      <c r="U53" s="544"/>
      <c r="V53" s="578"/>
      <c r="X53" s="512"/>
      <c r="Y53" s="513"/>
      <c r="Z53" s="104"/>
      <c r="AA53" s="14"/>
    </row>
    <row r="54" spans="1:27" ht="16.5" customHeight="1">
      <c r="A54" s="517"/>
      <c r="B54" s="492"/>
      <c r="C54" s="492"/>
      <c r="D54" s="492"/>
      <c r="E54" s="492"/>
      <c r="F54" s="492"/>
      <c r="G54" s="492"/>
      <c r="H54" s="523"/>
      <c r="I54" s="492"/>
      <c r="J54" s="492"/>
      <c r="K54" s="502"/>
      <c r="L54" s="504"/>
      <c r="M54" s="533"/>
      <c r="N54" s="543"/>
      <c r="O54" s="544"/>
      <c r="P54" s="523"/>
      <c r="Q54" s="544"/>
      <c r="R54" s="523"/>
      <c r="S54" s="544"/>
      <c r="T54" s="523"/>
      <c r="U54" s="544"/>
      <c r="V54" s="578"/>
      <c r="X54" s="514"/>
      <c r="Y54" s="515"/>
      <c r="Z54" s="63" t="s">
        <v>108</v>
      </c>
    </row>
    <row r="55" spans="1:27" ht="16.5" customHeight="1">
      <c r="A55" s="517"/>
      <c r="B55" s="492"/>
      <c r="C55" s="492"/>
      <c r="D55" s="492"/>
      <c r="E55" s="492"/>
      <c r="F55" s="492"/>
      <c r="G55" s="492"/>
      <c r="H55" s="523"/>
      <c r="I55" s="492"/>
      <c r="J55" s="492"/>
      <c r="K55" s="502"/>
      <c r="L55" s="504"/>
      <c r="M55" s="533"/>
      <c r="N55" s="543"/>
      <c r="O55" s="544"/>
      <c r="P55" s="523"/>
      <c r="Q55" s="544"/>
      <c r="R55" s="523"/>
      <c r="S55" s="544"/>
      <c r="T55" s="523"/>
      <c r="U55" s="544"/>
      <c r="V55" s="578"/>
      <c r="X55" s="507" t="s">
        <v>27</v>
      </c>
      <c r="Y55" s="498"/>
      <c r="Z55" s="75">
        <v>0.31</v>
      </c>
    </row>
    <row r="56" spans="1:27" ht="16.5" customHeight="1">
      <c r="A56" s="517"/>
      <c r="B56" s="492"/>
      <c r="C56" s="492"/>
      <c r="D56" s="492"/>
      <c r="E56" s="492"/>
      <c r="F56" s="492"/>
      <c r="G56" s="492"/>
      <c r="H56" s="523"/>
      <c r="I56" s="492"/>
      <c r="J56" s="492"/>
      <c r="K56" s="502"/>
      <c r="L56" s="504"/>
      <c r="M56" s="533"/>
      <c r="N56" s="543"/>
      <c r="O56" s="544"/>
      <c r="P56" s="523"/>
      <c r="Q56" s="544"/>
      <c r="R56" s="523"/>
      <c r="S56" s="544"/>
      <c r="T56" s="523"/>
      <c r="U56" s="544"/>
      <c r="V56" s="578"/>
      <c r="X56" s="507" t="s">
        <v>28</v>
      </c>
      <c r="Y56" s="498"/>
      <c r="Z56" s="75">
        <v>3.65</v>
      </c>
    </row>
    <row r="57" spans="1:27" ht="16.5" customHeight="1">
      <c r="A57" s="518"/>
      <c r="B57" s="462" t="s">
        <v>71</v>
      </c>
      <c r="C57" s="462" t="s">
        <v>71</v>
      </c>
      <c r="D57" s="462" t="s">
        <v>71</v>
      </c>
      <c r="E57" s="462" t="s">
        <v>71</v>
      </c>
      <c r="F57" s="462" t="s">
        <v>71</v>
      </c>
      <c r="G57" s="462" t="s">
        <v>71</v>
      </c>
      <c r="H57" s="479" t="s">
        <v>71</v>
      </c>
      <c r="I57" s="462" t="s">
        <v>117</v>
      </c>
      <c r="J57" s="462" t="s">
        <v>87</v>
      </c>
      <c r="K57" s="590"/>
      <c r="L57" s="591"/>
      <c r="M57" s="464" t="s">
        <v>87</v>
      </c>
      <c r="N57" s="479" t="s">
        <v>87</v>
      </c>
      <c r="O57" s="464" t="s">
        <v>117</v>
      </c>
      <c r="P57" s="459" t="s">
        <v>117</v>
      </c>
      <c r="Q57" s="464" t="s">
        <v>71</v>
      </c>
      <c r="R57" s="479" t="s">
        <v>71</v>
      </c>
      <c r="S57" s="464" t="s">
        <v>117</v>
      </c>
      <c r="T57" s="479" t="s">
        <v>117</v>
      </c>
      <c r="U57" s="464" t="s">
        <v>68</v>
      </c>
      <c r="V57" s="952" t="s">
        <v>68</v>
      </c>
      <c r="X57" s="507" t="s">
        <v>29</v>
      </c>
      <c r="Y57" s="498"/>
      <c r="Z57" s="76">
        <v>0.13</v>
      </c>
    </row>
    <row r="58" spans="1:27" ht="15.75" customHeight="1">
      <c r="A58" s="145" t="str">
        <f t="shared" ref="A58:A60" si="32">A19</f>
        <v>Al-gra</v>
      </c>
      <c r="B58" s="990">
        <f t="shared" ref="B58:B60" si="33">D38*0.1*P19</f>
        <v>24.762022521527939</v>
      </c>
      <c r="C58" s="991">
        <f>(1-$AC$29)*$AB$29+$AC$29*R19</f>
        <v>1.1499999999999999</v>
      </c>
      <c r="D58" s="991">
        <f>Q19*$AB$29*(1-$AC$29)/10</f>
        <v>11.646273837246961</v>
      </c>
      <c r="E58" s="991">
        <f t="shared" ref="E58:E60" si="34">C58*Q19/10</f>
        <v>70.490604804389505</v>
      </c>
      <c r="F58" s="991">
        <f t="shared" ref="F58" si="35">(E58-D58)</f>
        <v>58.844330967142547</v>
      </c>
      <c r="G58" s="991">
        <f>P19/10*G7*R19</f>
        <v>9.8399999999999981</v>
      </c>
      <c r="H58" s="991">
        <f>O38/10*G14*R19</f>
        <v>0</v>
      </c>
      <c r="I58" s="991">
        <f t="shared" ref="I58:I60" si="36">(F58+G58+H58)/R19</f>
        <v>57.236942472618786</v>
      </c>
      <c r="J58" s="991">
        <f t="shared" ref="J58" si="37">I58/(B58)</f>
        <v>2.3114809148912356</v>
      </c>
      <c r="K58" s="994">
        <f t="shared" ref="K58:K60" si="38">H19</f>
        <v>0</v>
      </c>
      <c r="L58" s="994">
        <f t="shared" ref="L58:L60" si="39">I19</f>
        <v>0.2</v>
      </c>
      <c r="M58" s="991">
        <f t="shared" ref="M58" si="40">J58*(K58+1)</f>
        <v>2.3114809148912356</v>
      </c>
      <c r="N58" s="991">
        <f t="shared" ref="N58" si="41">J58*(L58+1)</f>
        <v>2.7737770978694827</v>
      </c>
      <c r="O58" s="991">
        <f t="shared" ref="O58:O61" si="42">I58*(K58+1)</f>
        <v>57.236942472618786</v>
      </c>
      <c r="P58" s="991">
        <f t="shared" ref="P58" si="43">I58*(L58+1)</f>
        <v>68.684330967142543</v>
      </c>
      <c r="Q58" s="991">
        <f t="shared" ref="Q58:Q60" si="44">O58*R19</f>
        <v>68.684330967142543</v>
      </c>
      <c r="R58" s="991">
        <f t="shared" ref="R58:R60" si="45">P58*R19</f>
        <v>82.421197160571054</v>
      </c>
      <c r="S58" s="991">
        <f t="shared" ref="S58" si="46">O58-I58</f>
        <v>0</v>
      </c>
      <c r="T58" s="991">
        <f t="shared" ref="T58" si="47">P58-I58</f>
        <v>11.447388494523757</v>
      </c>
      <c r="U58" s="991">
        <f t="shared" ref="U58:U61" si="48">S58*10</f>
        <v>0</v>
      </c>
      <c r="V58" s="984">
        <f t="shared" ref="V58" si="49">T58*10</f>
        <v>114.47388494523757</v>
      </c>
      <c r="X58" s="507" t="s">
        <v>30</v>
      </c>
      <c r="Y58" s="498"/>
      <c r="Z58" s="75">
        <v>1.56</v>
      </c>
    </row>
    <row r="59" spans="1:27">
      <c r="A59" s="314" t="str">
        <f t="shared" si="32"/>
        <v>Al-PPQ</v>
      </c>
      <c r="B59" s="722">
        <f t="shared" si="33"/>
        <v>22.040816326530617</v>
      </c>
      <c r="C59" s="13">
        <f>(1-$AC$29)*$AB$29+$AC$29*R20</f>
        <v>1.1499999999999999</v>
      </c>
      <c r="D59" s="13">
        <f>Q20*$AB$29*(1-$AC$29)/10</f>
        <v>0.71711310079048263</v>
      </c>
      <c r="E59" s="13">
        <f t="shared" si="34"/>
        <v>4.3404213995213423</v>
      </c>
      <c r="F59" s="13">
        <f>(E59-D59)</f>
        <v>3.6233082987308598</v>
      </c>
      <c r="G59" s="13">
        <f>P20/10*G9*R20</f>
        <v>6</v>
      </c>
      <c r="H59" s="13">
        <f>O39/10*G14*R20</f>
        <v>0</v>
      </c>
      <c r="I59" s="13">
        <f t="shared" si="36"/>
        <v>8.0194235822757172</v>
      </c>
      <c r="J59" s="13">
        <f t="shared" ref="J59" si="50">I59/(B59)</f>
        <v>0.36384421808473155</v>
      </c>
      <c r="K59" s="79">
        <f t="shared" si="38"/>
        <v>0</v>
      </c>
      <c r="L59" s="79">
        <f t="shared" si="39"/>
        <v>0.2</v>
      </c>
      <c r="M59" s="13">
        <f t="shared" ref="M59" si="51">J59*(K59+1)</f>
        <v>0.36384421808473155</v>
      </c>
      <c r="N59" s="13">
        <f t="shared" ref="N59" si="52">J59*(L59+1)</f>
        <v>0.43661306170167785</v>
      </c>
      <c r="O59" s="13">
        <f t="shared" si="42"/>
        <v>8.0194235822757172</v>
      </c>
      <c r="P59" s="13">
        <f t="shared" ref="P59" si="53">I59*(L59+1)</f>
        <v>9.6233082987308602</v>
      </c>
      <c r="Q59" s="13">
        <f t="shared" si="44"/>
        <v>9.6233082987308602</v>
      </c>
      <c r="R59" s="13">
        <f t="shared" si="45"/>
        <v>11.547969958477031</v>
      </c>
      <c r="S59" s="13">
        <f t="shared" ref="S59" si="54">O59-I59</f>
        <v>0</v>
      </c>
      <c r="T59" s="13">
        <f t="shared" ref="T59" si="55">P59-I59</f>
        <v>1.6038847164551431</v>
      </c>
      <c r="U59" s="13">
        <f t="shared" si="48"/>
        <v>0</v>
      </c>
      <c r="V59" s="15">
        <f t="shared" ref="V59" si="56">T59*10</f>
        <v>16.038847164551431</v>
      </c>
      <c r="X59" s="507" t="s">
        <v>31</v>
      </c>
      <c r="Y59" s="498"/>
      <c r="Z59" s="75">
        <v>0.69</v>
      </c>
    </row>
    <row r="60" spans="1:27">
      <c r="A60" s="145" t="str">
        <f t="shared" si="32"/>
        <v>Al-PBQS</v>
      </c>
      <c r="B60" s="992">
        <f t="shared" si="33"/>
        <v>17.338775510204087</v>
      </c>
      <c r="C60" s="90">
        <f>(1-$AC$29)*$AB$29+$AC$29*R21</f>
        <v>1.1499999999999999</v>
      </c>
      <c r="D60" s="90">
        <f>Q21*$AB$29*(1-$AC$29)/10</f>
        <v>0.69655112815619957</v>
      </c>
      <c r="E60" s="90">
        <f t="shared" si="34"/>
        <v>4.2159673546296297</v>
      </c>
      <c r="F60" s="90">
        <f t="shared" ref="F60:F61" si="57">(E60-D60)</f>
        <v>3.5194162264734299</v>
      </c>
      <c r="G60" s="90">
        <f>P21/10*G10*R21</f>
        <v>9.8399999999999981</v>
      </c>
      <c r="H60" s="90">
        <f>O40/10*G14*R21</f>
        <v>0</v>
      </c>
      <c r="I60" s="90">
        <f t="shared" si="36"/>
        <v>11.132846855394524</v>
      </c>
      <c r="J60" s="90">
        <f t="shared" ref="J60:J61" si="58">I60/(B60)</f>
        <v>0.64207803191423196</v>
      </c>
      <c r="K60" s="140">
        <f t="shared" si="38"/>
        <v>0</v>
      </c>
      <c r="L60" s="140">
        <f t="shared" si="39"/>
        <v>0.2</v>
      </c>
      <c r="M60" s="90">
        <f t="shared" ref="M60:M61" si="59">J60*(K60+1)</f>
        <v>0.64207803191423196</v>
      </c>
      <c r="N60" s="90">
        <f t="shared" ref="N60:N61" si="60">J60*(L60+1)</f>
        <v>0.77049363829707829</v>
      </c>
      <c r="O60" s="90">
        <f t="shared" si="42"/>
        <v>11.132846855394524</v>
      </c>
      <c r="P60" s="90">
        <f t="shared" ref="P60" si="61">I60*(L60+1)</f>
        <v>13.359416226473428</v>
      </c>
      <c r="Q60" s="90">
        <f t="shared" si="44"/>
        <v>13.359416226473428</v>
      </c>
      <c r="R60" s="90">
        <f t="shared" si="45"/>
        <v>16.031299471768111</v>
      </c>
      <c r="S60" s="90">
        <f t="shared" ref="S60:S61" si="62">O60-I60</f>
        <v>0</v>
      </c>
      <c r="T60" s="90">
        <f t="shared" ref="T60:T61" si="63">P60-I60</f>
        <v>2.2265693710789041</v>
      </c>
      <c r="U60" s="90">
        <f t="shared" si="48"/>
        <v>0</v>
      </c>
      <c r="V60" s="307">
        <f t="shared" ref="V60:V61" si="64">T60*10</f>
        <v>22.265693710789041</v>
      </c>
      <c r="X60" s="105" t="s">
        <v>32</v>
      </c>
      <c r="Y60" s="106"/>
      <c r="Z60" s="77">
        <v>0.56000000000000005</v>
      </c>
    </row>
    <row r="61" spans="1:27" ht="17" thickBot="1">
      <c r="A61" s="314" t="str">
        <f t="shared" ref="A61:A66" si="65">A22</f>
        <v>Al-TiO2</v>
      </c>
      <c r="B61" s="722">
        <f t="shared" ref="B61:B66" si="66">D41*0.1*P22</f>
        <v>58.311315336013791</v>
      </c>
      <c r="C61" s="13">
        <f>(1-$AC$28)*$AB$28+$AC$28*R22</f>
        <v>1.075</v>
      </c>
      <c r="D61" s="13">
        <f>Q22*$AB$28*(1-$AC$28)/10</f>
        <v>0.71250000000000002</v>
      </c>
      <c r="E61" s="13">
        <f t="shared" ref="E61:E66" si="67">C61*Q22/10</f>
        <v>1.6125</v>
      </c>
      <c r="F61" s="13">
        <f t="shared" si="57"/>
        <v>0.9</v>
      </c>
      <c r="G61" s="13">
        <f>P22/10*G15*R22</f>
        <v>6</v>
      </c>
      <c r="H61" s="13">
        <f>O41/10*G14*R22</f>
        <v>0</v>
      </c>
      <c r="I61" s="13">
        <f t="shared" ref="I61:I66" si="68">(F61+G61+H61)/R22</f>
        <v>5.7500000000000009</v>
      </c>
      <c r="J61" s="13">
        <f t="shared" si="58"/>
        <v>9.8608648542159186E-2</v>
      </c>
      <c r="K61" s="79">
        <f t="shared" ref="K61:L66" si="69">H22</f>
        <v>0</v>
      </c>
      <c r="L61" s="79">
        <f t="shared" si="69"/>
        <v>0.15</v>
      </c>
      <c r="M61" s="13">
        <f t="shared" si="59"/>
        <v>9.8608648542159186E-2</v>
      </c>
      <c r="N61" s="13">
        <f t="shared" si="60"/>
        <v>0.11339994582348306</v>
      </c>
      <c r="O61" s="13">
        <f t="shared" si="42"/>
        <v>5.7500000000000009</v>
      </c>
      <c r="P61" s="13">
        <f>I61*(L61+1)</f>
        <v>6.6125000000000007</v>
      </c>
      <c r="Q61" s="13">
        <f t="shared" ref="Q61:Q66" si="70">O61*R22</f>
        <v>6.9000000000000012</v>
      </c>
      <c r="R61" s="13">
        <f t="shared" ref="R61:R66" si="71">P61*R22</f>
        <v>7.9350000000000005</v>
      </c>
      <c r="S61" s="13">
        <f t="shared" si="62"/>
        <v>0</v>
      </c>
      <c r="T61" s="13">
        <f t="shared" si="63"/>
        <v>0.86249999999999982</v>
      </c>
      <c r="U61" s="13">
        <f t="shared" si="48"/>
        <v>0</v>
      </c>
      <c r="V61" s="15">
        <f t="shared" si="64"/>
        <v>8.6249999999999982</v>
      </c>
      <c r="X61" s="499" t="s">
        <v>33</v>
      </c>
      <c r="Y61" s="500"/>
      <c r="Z61" s="78">
        <f>SUM(Z55:Z60)</f>
        <v>6.9</v>
      </c>
    </row>
    <row r="62" spans="1:27">
      <c r="A62" s="145" t="str">
        <f t="shared" si="65"/>
        <v>Al-V2C</v>
      </c>
      <c r="B62" s="992">
        <f t="shared" si="66"/>
        <v>54.104046242774572</v>
      </c>
      <c r="C62" s="90">
        <f>(1-$AC$28)*$AB$28+$AC$28*R23</f>
        <v>1.075</v>
      </c>
      <c r="D62" s="90">
        <f>Q23*$AB$28*(1-$AC$28)/10</f>
        <v>0.71250000000000002</v>
      </c>
      <c r="E62" s="90">
        <f t="shared" si="67"/>
        <v>1.6125</v>
      </c>
      <c r="F62" s="90">
        <f t="shared" ref="F62:F66" si="72">(E62-D62)</f>
        <v>0.9</v>
      </c>
      <c r="G62" s="90">
        <f>P23/10*G11*R23</f>
        <v>6</v>
      </c>
      <c r="H62" s="90">
        <f>O42/10*G14*R23</f>
        <v>0</v>
      </c>
      <c r="I62" s="90">
        <f t="shared" si="68"/>
        <v>5.7500000000000009</v>
      </c>
      <c r="J62" s="90">
        <f t="shared" ref="J62:J66" si="73">I62/(B62)</f>
        <v>0.10627670940170941</v>
      </c>
      <c r="K62" s="140">
        <f t="shared" si="69"/>
        <v>0</v>
      </c>
      <c r="L62" s="140">
        <f t="shared" si="69"/>
        <v>0.15</v>
      </c>
      <c r="M62" s="90">
        <f t="shared" ref="M62:M66" si="74">J62*(K62+1)</f>
        <v>0.10627670940170941</v>
      </c>
      <c r="N62" s="90">
        <f t="shared" ref="N62:N66" si="75">J62*(L62+1)</f>
        <v>0.12221821581196582</v>
      </c>
      <c r="O62" s="90">
        <f t="shared" ref="O62:O66" si="76">I62*(K62+1)</f>
        <v>5.7500000000000009</v>
      </c>
      <c r="P62" s="90">
        <f>I62*(L62+1)</f>
        <v>6.6125000000000007</v>
      </c>
      <c r="Q62" s="90">
        <f t="shared" si="70"/>
        <v>6.9000000000000012</v>
      </c>
      <c r="R62" s="90">
        <f t="shared" si="71"/>
        <v>7.9350000000000005</v>
      </c>
      <c r="S62" s="90">
        <f t="shared" ref="S62:S66" si="77">O62-I62</f>
        <v>0</v>
      </c>
      <c r="T62" s="90">
        <f t="shared" ref="T62:T66" si="78">P62-I62</f>
        <v>0.86249999999999982</v>
      </c>
      <c r="U62" s="90">
        <f t="shared" ref="U62:V66" si="79">S62*10</f>
        <v>0</v>
      </c>
      <c r="V62" s="307">
        <f t="shared" si="79"/>
        <v>8.6249999999999982</v>
      </c>
    </row>
    <row r="63" spans="1:27">
      <c r="A63" s="314" t="str">
        <f t="shared" si="65"/>
        <v>Al-MnO2</v>
      </c>
      <c r="B63" s="722">
        <f t="shared" si="66"/>
        <v>68.293418819536129</v>
      </c>
      <c r="C63" s="13">
        <f>(1-$AC$28)*$AB$28+$AC$28*R24</f>
        <v>1.075</v>
      </c>
      <c r="D63" s="13">
        <f>Q24*$AB$28*(1-$AC$28)/10</f>
        <v>0.71250000000000002</v>
      </c>
      <c r="E63" s="13">
        <f t="shared" si="67"/>
        <v>1.6125</v>
      </c>
      <c r="F63" s="13">
        <f t="shared" si="72"/>
        <v>0.9</v>
      </c>
      <c r="G63" s="13">
        <f>P24/10*G12*R24</f>
        <v>6</v>
      </c>
      <c r="H63" s="13">
        <f>O43/10*G14*R24</f>
        <v>0</v>
      </c>
      <c r="I63" s="13">
        <f t="shared" si="68"/>
        <v>5.7500000000000009</v>
      </c>
      <c r="J63" s="13">
        <f t="shared" si="73"/>
        <v>8.419552131654516E-2</v>
      </c>
      <c r="K63" s="79">
        <f t="shared" si="69"/>
        <v>0</v>
      </c>
      <c r="L63" s="79">
        <f t="shared" si="69"/>
        <v>0.15</v>
      </c>
      <c r="M63" s="13">
        <f t="shared" si="74"/>
        <v>8.419552131654516E-2</v>
      </c>
      <c r="N63" s="13">
        <f t="shared" si="75"/>
        <v>9.6824849514026923E-2</v>
      </c>
      <c r="O63" s="13">
        <f t="shared" si="76"/>
        <v>5.7500000000000009</v>
      </c>
      <c r="P63" s="13">
        <f t="shared" ref="P63:P66" si="80">I63*(L63+1)</f>
        <v>6.6125000000000007</v>
      </c>
      <c r="Q63" s="13">
        <f t="shared" si="70"/>
        <v>6.9000000000000012</v>
      </c>
      <c r="R63" s="13">
        <f t="shared" si="71"/>
        <v>7.9350000000000005</v>
      </c>
      <c r="S63" s="13">
        <f t="shared" si="77"/>
        <v>0</v>
      </c>
      <c r="T63" s="13">
        <f t="shared" si="78"/>
        <v>0.86249999999999982</v>
      </c>
      <c r="U63" s="13">
        <f t="shared" si="79"/>
        <v>0</v>
      </c>
      <c r="V63" s="15">
        <f t="shared" si="79"/>
        <v>8.6249999999999982</v>
      </c>
    </row>
    <row r="64" spans="1:27">
      <c r="A64" s="145" t="str">
        <f t="shared" si="65"/>
        <v>LIB-NMC</v>
      </c>
      <c r="B64" s="992">
        <f t="shared" si="66"/>
        <v>48.964102564102575</v>
      </c>
      <c r="C64" s="90">
        <f>(1-$AC$28)*$AB$28+$AC$28*R25</f>
        <v>1.075</v>
      </c>
      <c r="D64" s="90">
        <f>Q25*$AB$28*(1-$AC$28)/10</f>
        <v>0.71250000000000002</v>
      </c>
      <c r="E64" s="90">
        <f t="shared" si="67"/>
        <v>1.6125</v>
      </c>
      <c r="F64" s="90">
        <f t="shared" si="72"/>
        <v>0.9</v>
      </c>
      <c r="G64" s="90">
        <f>P25/10*G4*R25</f>
        <v>4.62</v>
      </c>
      <c r="H64" s="90">
        <f>O44/10*G13*R25</f>
        <v>5.9888462329851215</v>
      </c>
      <c r="I64" s="90">
        <f t="shared" si="68"/>
        <v>9.5907051941542676</v>
      </c>
      <c r="J64" s="90">
        <f t="shared" si="73"/>
        <v>0.19587217352954356</v>
      </c>
      <c r="K64" s="140">
        <f t="shared" si="69"/>
        <v>0</v>
      </c>
      <c r="L64" s="140">
        <f t="shared" si="69"/>
        <v>0.15</v>
      </c>
      <c r="M64" s="90">
        <f t="shared" si="74"/>
        <v>0.19587217352954356</v>
      </c>
      <c r="N64" s="90">
        <f t="shared" si="75"/>
        <v>0.22525299955897507</v>
      </c>
      <c r="O64" s="90">
        <f t="shared" si="76"/>
        <v>9.5907051941542676</v>
      </c>
      <c r="P64" s="90">
        <f t="shared" si="80"/>
        <v>11.029310973277408</v>
      </c>
      <c r="Q64" s="90">
        <f t="shared" si="70"/>
        <v>11.508846232985121</v>
      </c>
      <c r="R64" s="90">
        <f t="shared" si="71"/>
        <v>13.235173167932889</v>
      </c>
      <c r="S64" s="90">
        <f t="shared" si="77"/>
        <v>0</v>
      </c>
      <c r="T64" s="90">
        <f t="shared" si="78"/>
        <v>1.4386057791231401</v>
      </c>
      <c r="U64" s="90">
        <f t="shared" si="79"/>
        <v>0</v>
      </c>
      <c r="V64" s="307">
        <f t="shared" si="79"/>
        <v>14.386057791231401</v>
      </c>
    </row>
    <row r="65" spans="1:27">
      <c r="A65" s="314" t="str">
        <f t="shared" si="65"/>
        <v>LIB-LFP</v>
      </c>
      <c r="B65" s="722">
        <f t="shared" si="66"/>
        <v>50.880929332042591</v>
      </c>
      <c r="C65" s="13">
        <f>(1-$AC$28)*$AB$28+$AC$28*R26</f>
        <v>1.075</v>
      </c>
      <c r="D65" s="13">
        <f>Q26*$AB$28*(1-$AC$28)/10</f>
        <v>0.71250000000000002</v>
      </c>
      <c r="E65" s="13">
        <f t="shared" si="67"/>
        <v>1.6125</v>
      </c>
      <c r="F65" s="13">
        <f t="shared" si="72"/>
        <v>0.9</v>
      </c>
      <c r="G65" s="13">
        <f>P26/10*G5*R26</f>
        <v>6</v>
      </c>
      <c r="H65" s="13">
        <f>O45/10*G13*R26</f>
        <v>4.593384514718009</v>
      </c>
      <c r="I65" s="13">
        <f t="shared" si="68"/>
        <v>9.5778204289316751</v>
      </c>
      <c r="J65" s="13">
        <f t="shared" si="73"/>
        <v>0.18823988780605824</v>
      </c>
      <c r="K65" s="79">
        <f t="shared" si="69"/>
        <v>0</v>
      </c>
      <c r="L65" s="79">
        <f t="shared" si="69"/>
        <v>0.15</v>
      </c>
      <c r="M65" s="13">
        <f t="shared" si="74"/>
        <v>0.18823988780605824</v>
      </c>
      <c r="N65" s="13">
        <f t="shared" si="75"/>
        <v>0.21647587097696697</v>
      </c>
      <c r="O65" s="13">
        <f t="shared" si="76"/>
        <v>9.5778204289316751</v>
      </c>
      <c r="P65" s="13">
        <f t="shared" si="80"/>
        <v>11.014493493271425</v>
      </c>
      <c r="Q65" s="13">
        <f t="shared" si="70"/>
        <v>11.493384514718009</v>
      </c>
      <c r="R65" s="13">
        <f t="shared" si="71"/>
        <v>13.217392191925709</v>
      </c>
      <c r="S65" s="13">
        <f t="shared" si="77"/>
        <v>0</v>
      </c>
      <c r="T65" s="13">
        <f t="shared" si="78"/>
        <v>1.4366730643397503</v>
      </c>
      <c r="U65" s="13">
        <f t="shared" si="79"/>
        <v>0</v>
      </c>
      <c r="V65" s="15">
        <f t="shared" si="79"/>
        <v>14.366730643397503</v>
      </c>
    </row>
    <row r="66" spans="1:27" ht="17" thickBot="1">
      <c r="A66" s="987" t="str">
        <f t="shared" si="65"/>
        <v>Li-DIB</v>
      </c>
      <c r="B66" s="993">
        <f t="shared" si="66"/>
        <v>24.762022521527939</v>
      </c>
      <c r="C66" s="94">
        <f>(1-$AC$29)*$AB$29+$AC$29*R27</f>
        <v>1.3099999999999998</v>
      </c>
      <c r="D66" s="94">
        <f>Q27*$AB$29*(1-$AC$29)/10</f>
        <v>5.3693111760968373</v>
      </c>
      <c r="E66" s="94">
        <f t="shared" si="67"/>
        <v>37.019987582562408</v>
      </c>
      <c r="F66" s="94">
        <f t="shared" si="72"/>
        <v>31.650676406465571</v>
      </c>
      <c r="G66" s="94">
        <f>P27/10*G6*R27</f>
        <v>11.479999999999999</v>
      </c>
      <c r="H66" s="94">
        <f>O46/10*G13*R27</f>
        <v>2.1414814814814815</v>
      </c>
      <c r="I66" s="94">
        <f t="shared" si="68"/>
        <v>32.337255634247896</v>
      </c>
      <c r="J66" s="94">
        <f t="shared" si="73"/>
        <v>1.3059214208425058</v>
      </c>
      <c r="K66" s="995">
        <f t="shared" si="69"/>
        <v>0</v>
      </c>
      <c r="L66" s="995">
        <f t="shared" si="69"/>
        <v>0.2</v>
      </c>
      <c r="M66" s="94">
        <f t="shared" si="74"/>
        <v>1.3059214208425058</v>
      </c>
      <c r="N66" s="94">
        <f t="shared" si="75"/>
        <v>1.5671057050110069</v>
      </c>
      <c r="O66" s="94">
        <f t="shared" si="76"/>
        <v>32.337255634247896</v>
      </c>
      <c r="P66" s="94">
        <f t="shared" si="80"/>
        <v>38.804706761097471</v>
      </c>
      <c r="Q66" s="94">
        <f t="shared" si="70"/>
        <v>45.272157887947053</v>
      </c>
      <c r="R66" s="94">
        <f t="shared" si="71"/>
        <v>54.326589465536458</v>
      </c>
      <c r="S66" s="94">
        <f t="shared" si="77"/>
        <v>0</v>
      </c>
      <c r="T66" s="94">
        <f t="shared" si="78"/>
        <v>6.4674511268495749</v>
      </c>
      <c r="U66" s="94">
        <f t="shared" si="79"/>
        <v>0</v>
      </c>
      <c r="V66" s="122">
        <f t="shared" si="79"/>
        <v>64.674511268495749</v>
      </c>
    </row>
    <row r="67" spans="1:27">
      <c r="A67" s="98"/>
      <c r="B67" s="13"/>
      <c r="C67" s="13"/>
      <c r="D67" s="13"/>
      <c r="E67" s="13"/>
      <c r="F67" s="13"/>
      <c r="G67" s="13"/>
      <c r="H67" s="13"/>
      <c r="I67" s="13"/>
      <c r="J67" s="13"/>
      <c r="K67" s="79"/>
      <c r="L67" s="79"/>
      <c r="M67" s="13"/>
      <c r="N67" s="13"/>
      <c r="O67" s="13"/>
      <c r="P67" s="13"/>
      <c r="Q67" s="13"/>
      <c r="R67" s="13"/>
      <c r="S67" s="13"/>
      <c r="T67" s="13"/>
      <c r="U67" s="13"/>
      <c r="V67" s="13"/>
    </row>
    <row r="68" spans="1:27">
      <c r="A68" s="98"/>
      <c r="B68" s="13"/>
      <c r="C68" s="13"/>
      <c r="D68" s="13"/>
      <c r="E68" s="13"/>
      <c r="F68" s="13"/>
      <c r="G68" s="13"/>
      <c r="H68" s="13"/>
      <c r="I68" s="13"/>
      <c r="J68" s="13"/>
      <c r="K68" s="79"/>
      <c r="L68" s="79"/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 spans="1:27">
      <c r="A69" s="98"/>
      <c r="B69" s="13"/>
      <c r="C69" s="13"/>
      <c r="D69" s="13"/>
      <c r="E69" s="13"/>
      <c r="F69" s="13"/>
      <c r="G69" s="13"/>
      <c r="H69" s="13"/>
      <c r="I69" s="13"/>
      <c r="J69" s="13"/>
      <c r="K69" s="79"/>
      <c r="L69" s="79"/>
      <c r="M69" s="13"/>
      <c r="N69" s="13"/>
      <c r="O69" s="13"/>
      <c r="P69" s="13"/>
      <c r="Q69" s="13"/>
      <c r="R69" s="13"/>
      <c r="S69" s="13"/>
      <c r="T69" s="13"/>
      <c r="U69" s="13"/>
      <c r="V69" s="13"/>
    </row>
    <row r="70" spans="1:27" ht="17" thickBo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7" ht="15.75" customHeight="1" thickBot="1">
      <c r="A71" s="516" t="s">
        <v>166</v>
      </c>
      <c r="B71" s="491" t="str">
        <f>I32</f>
        <v xml:space="preserve">Practical Cathode
Area Capacity </v>
      </c>
      <c r="C71" s="520" t="s">
        <v>157</v>
      </c>
      <c r="D71" s="493" t="s">
        <v>175</v>
      </c>
      <c r="E71" s="491" t="s">
        <v>158</v>
      </c>
      <c r="F71" s="491" t="s">
        <v>159</v>
      </c>
      <c r="G71" s="530" t="s">
        <v>162</v>
      </c>
      <c r="H71" s="528" t="s">
        <v>173</v>
      </c>
      <c r="I71" s="522" t="s">
        <v>163</v>
      </c>
      <c r="J71" s="520" t="s">
        <v>178</v>
      </c>
      <c r="K71" s="493" t="s">
        <v>179</v>
      </c>
      <c r="L71" s="520" t="s">
        <v>176</v>
      </c>
      <c r="M71" s="493" t="s">
        <v>164</v>
      </c>
      <c r="N71" s="475"/>
      <c r="O71" s="458"/>
      <c r="P71" s="475"/>
      <c r="Q71" s="458"/>
      <c r="R71" s="954"/>
      <c r="S71" s="471"/>
      <c r="T71" s="471"/>
      <c r="U71" s="471"/>
      <c r="V71" s="11"/>
    </row>
    <row r="72" spans="1:27" ht="16.5" customHeight="1">
      <c r="A72" s="517"/>
      <c r="B72" s="492"/>
      <c r="C72" s="521"/>
      <c r="D72" s="494"/>
      <c r="E72" s="492"/>
      <c r="F72" s="492"/>
      <c r="G72" s="531"/>
      <c r="H72" s="529"/>
      <c r="I72" s="523"/>
      <c r="J72" s="521"/>
      <c r="K72" s="494"/>
      <c r="L72" s="521"/>
      <c r="M72" s="494"/>
      <c r="N72" s="476"/>
      <c r="O72" s="459"/>
      <c r="P72" s="945"/>
      <c r="Q72" s="459"/>
      <c r="R72" s="955"/>
      <c r="S72" s="471"/>
      <c r="T72" s="471"/>
      <c r="U72" s="471"/>
      <c r="V72" s="11"/>
      <c r="X72" s="510" t="s">
        <v>153</v>
      </c>
      <c r="Y72" s="511"/>
      <c r="Z72" s="103" t="s">
        <v>131</v>
      </c>
      <c r="AA72" s="14"/>
    </row>
    <row r="73" spans="1:27" ht="16.5" customHeight="1">
      <c r="A73" s="517"/>
      <c r="B73" s="492"/>
      <c r="C73" s="521"/>
      <c r="D73" s="494"/>
      <c r="E73" s="492"/>
      <c r="F73" s="492"/>
      <c r="G73" s="531"/>
      <c r="H73" s="529"/>
      <c r="I73" s="523"/>
      <c r="J73" s="521"/>
      <c r="K73" s="494"/>
      <c r="L73" s="521"/>
      <c r="M73" s="494"/>
      <c r="N73" s="476"/>
      <c r="O73" s="459"/>
      <c r="P73" s="476"/>
      <c r="Q73" s="459"/>
      <c r="R73" s="956"/>
      <c r="S73" s="471"/>
      <c r="T73" s="471"/>
      <c r="U73" s="471"/>
      <c r="V73" s="11"/>
      <c r="X73" s="512"/>
      <c r="Y73" s="513"/>
      <c r="Z73" s="104"/>
      <c r="AA73" s="14"/>
    </row>
    <row r="74" spans="1:27" ht="16.5" customHeight="1" thickBot="1">
      <c r="A74" s="517"/>
      <c r="B74" s="492"/>
      <c r="C74" s="521"/>
      <c r="D74" s="494"/>
      <c r="E74" s="492"/>
      <c r="F74" s="492"/>
      <c r="G74" s="531"/>
      <c r="H74" s="529"/>
      <c r="I74" s="523"/>
      <c r="J74" s="521"/>
      <c r="K74" s="494"/>
      <c r="L74" s="521"/>
      <c r="M74" s="494"/>
      <c r="N74" s="476"/>
      <c r="O74" s="459"/>
      <c r="P74" s="476"/>
      <c r="Q74" s="459"/>
      <c r="R74" s="956"/>
      <c r="S74" s="471"/>
      <c r="T74" s="471"/>
      <c r="U74" s="471"/>
      <c r="V74" s="11"/>
      <c r="X74" s="512"/>
      <c r="Y74" s="513"/>
      <c r="Z74" s="153" t="s">
        <v>108</v>
      </c>
    </row>
    <row r="75" spans="1:27" ht="16.5" customHeight="1">
      <c r="A75" s="517"/>
      <c r="B75" s="492"/>
      <c r="C75" s="521"/>
      <c r="D75" s="494"/>
      <c r="E75" s="492"/>
      <c r="F75" s="492"/>
      <c r="G75" s="531"/>
      <c r="H75" s="529"/>
      <c r="I75" s="523"/>
      <c r="J75" s="521"/>
      <c r="K75" s="494"/>
      <c r="L75" s="521"/>
      <c r="M75" s="494"/>
      <c r="N75" s="476" t="s">
        <v>180</v>
      </c>
      <c r="O75" s="459" t="s">
        <v>181</v>
      </c>
      <c r="P75" s="476" t="s">
        <v>182</v>
      </c>
      <c r="Q75" s="459" t="s">
        <v>183</v>
      </c>
      <c r="R75" s="956" t="s">
        <v>187</v>
      </c>
      <c r="S75" s="471"/>
      <c r="T75" s="471"/>
      <c r="U75" s="471"/>
      <c r="V75" s="11"/>
      <c r="X75" s="526" t="s">
        <v>154</v>
      </c>
      <c r="Y75" s="527"/>
      <c r="Z75" s="154">
        <v>192</v>
      </c>
    </row>
    <row r="76" spans="1:27" ht="16.5" customHeight="1">
      <c r="A76" s="517"/>
      <c r="B76" s="492"/>
      <c r="C76" s="521"/>
      <c r="D76" s="494"/>
      <c r="E76" s="492"/>
      <c r="F76" s="492"/>
      <c r="G76" s="531"/>
      <c r="H76" s="529"/>
      <c r="I76" s="523"/>
      <c r="J76" s="521"/>
      <c r="K76" s="494"/>
      <c r="L76" s="521"/>
      <c r="M76" s="494"/>
      <c r="N76" s="476" t="s">
        <v>20</v>
      </c>
      <c r="O76" s="459" t="s">
        <v>185</v>
      </c>
      <c r="P76" s="476" t="s">
        <v>21</v>
      </c>
      <c r="Q76" s="459" t="s">
        <v>186</v>
      </c>
      <c r="R76" s="956" t="s">
        <v>188</v>
      </c>
      <c r="S76" s="471"/>
      <c r="T76" s="471"/>
      <c r="U76" s="471"/>
      <c r="V76" s="11"/>
      <c r="X76" s="497" t="s">
        <v>155</v>
      </c>
      <c r="Y76" s="498"/>
      <c r="Z76" s="123">
        <v>152</v>
      </c>
    </row>
    <row r="77" spans="1:27" ht="16.5" customHeight="1">
      <c r="A77" s="518"/>
      <c r="B77" s="462" t="str">
        <f t="shared" ref="B77" si="81">I37</f>
        <v xml:space="preserve"> [mAh cm-2] </v>
      </c>
      <c r="C77" s="474" t="s">
        <v>71</v>
      </c>
      <c r="D77" s="473" t="s">
        <v>71</v>
      </c>
      <c r="E77" s="462" t="s">
        <v>71</v>
      </c>
      <c r="F77" s="462" t="s">
        <v>71</v>
      </c>
      <c r="G77" s="130"/>
      <c r="H77" s="476" t="s">
        <v>71</v>
      </c>
      <c r="I77" s="479" t="s">
        <v>71</v>
      </c>
      <c r="J77" s="474" t="s">
        <v>165</v>
      </c>
      <c r="K77" s="473" t="s">
        <v>165</v>
      </c>
      <c r="L77" s="474" t="s">
        <v>68</v>
      </c>
      <c r="M77" s="473" t="s">
        <v>68</v>
      </c>
      <c r="N77" s="146" t="s">
        <v>71</v>
      </c>
      <c r="O77" s="479" t="s">
        <v>71</v>
      </c>
      <c r="P77" s="146" t="s">
        <v>71</v>
      </c>
      <c r="Q77" s="479" t="s">
        <v>71</v>
      </c>
      <c r="R77" s="957" t="s">
        <v>165</v>
      </c>
      <c r="S77" s="466"/>
      <c r="T77" s="135"/>
      <c r="U77" s="466"/>
      <c r="V77" s="11"/>
      <c r="X77" s="497" t="s">
        <v>167</v>
      </c>
      <c r="Y77" s="498"/>
      <c r="Z77" s="123">
        <v>147</v>
      </c>
    </row>
    <row r="78" spans="1:27" ht="15.75" customHeight="1">
      <c r="A78" s="145" t="str">
        <f>A58</f>
        <v>Al-gra</v>
      </c>
      <c r="B78" s="990">
        <f>I38</f>
        <v>3.3428730404062716</v>
      </c>
      <c r="C78" s="991">
        <f>B78*Z$78/(Z82*Z$85)*1000</f>
        <v>22.118682853825561</v>
      </c>
      <c r="D78" s="991">
        <f>C78*Z$79/(Z$79-1)</f>
        <v>44.237365707651122</v>
      </c>
      <c r="E78" s="991">
        <f>O38/10000*G$14*Z77*1000*Z82</f>
        <v>0</v>
      </c>
      <c r="F78" s="991">
        <f>R19*P19/10000*G7*Z$80*1000</f>
        <v>6.3376271186440674</v>
      </c>
      <c r="G78" s="991">
        <f>AC$29</f>
        <v>0.8</v>
      </c>
      <c r="H78" s="991">
        <f t="shared" ref="H78:H81" si="82">C78-E78-F78</f>
        <v>15.781055735181493</v>
      </c>
      <c r="I78" s="991">
        <f t="shared" ref="I78:I81" si="83">D78-E78-F78</f>
        <v>37.899738589007057</v>
      </c>
      <c r="J78" s="991">
        <f t="shared" ref="J78:K80" si="84">H78/$R19*(1+$Z$77/($Z$79*$Z$78))</f>
        <v>20.41847123630939</v>
      </c>
      <c r="K78" s="991">
        <f t="shared" si="84"/>
        <v>49.03694247261879</v>
      </c>
      <c r="L78" s="991">
        <f t="shared" ref="L78:L81" si="85">J78*10000/(G78*1000)</f>
        <v>255.23089045386735</v>
      </c>
      <c r="M78" s="991">
        <f>K78*10000/(G78*1000)</f>
        <v>612.96178090773492</v>
      </c>
      <c r="N78" s="991">
        <f>J78*R19</f>
        <v>24.502165483571268</v>
      </c>
      <c r="O78" s="991">
        <f>K78*R19</f>
        <v>58.844330967142547</v>
      </c>
      <c r="P78" s="991">
        <f>G58+H58+N78</f>
        <v>34.342165483571264</v>
      </c>
      <c r="Q78" s="991">
        <f>G58+H58+O78</f>
        <v>68.684330967142543</v>
      </c>
      <c r="R78" s="984">
        <f>P78/R19</f>
        <v>28.618471236309389</v>
      </c>
      <c r="S78" s="13"/>
      <c r="T78" s="13"/>
      <c r="U78" s="13"/>
      <c r="V78" s="11"/>
      <c r="X78" s="497" t="s">
        <v>169</v>
      </c>
      <c r="Y78" s="498"/>
      <c r="Z78" s="123">
        <v>133</v>
      </c>
    </row>
    <row r="79" spans="1:27">
      <c r="A79" s="314" t="str">
        <f>A59</f>
        <v>Al-PPQ</v>
      </c>
      <c r="B79" s="722">
        <f>I39</f>
        <v>3.7469387755102046</v>
      </c>
      <c r="C79" s="13">
        <f>B79*Z$78/(Z84*Z$85)*1000</f>
        <v>3.0990314860319716</v>
      </c>
      <c r="D79" s="13">
        <f>C79*Z$79/(Z$79-1)</f>
        <v>6.1980629720639433</v>
      </c>
      <c r="E79" s="13">
        <f>O39/10000*G$14</f>
        <v>0</v>
      </c>
      <c r="F79" s="13">
        <f>R20*P20/10000*G9*Z$80*1000</f>
        <v>3.8644067796610169</v>
      </c>
      <c r="G79" s="13">
        <f>AC$29</f>
        <v>0.8</v>
      </c>
      <c r="H79" s="13">
        <f t="shared" si="82"/>
        <v>-0.76537529362904522</v>
      </c>
      <c r="I79" s="13">
        <f t="shared" si="83"/>
        <v>2.3336561924029264</v>
      </c>
      <c r="J79" s="13">
        <f t="shared" si="84"/>
        <v>-0.99028820886214197</v>
      </c>
      <c r="K79" s="13">
        <f t="shared" si="84"/>
        <v>3.0194235822757167</v>
      </c>
      <c r="L79" s="13">
        <f t="shared" si="85"/>
        <v>-12.378602610776774</v>
      </c>
      <c r="M79" s="13">
        <f>MAX(K79*10000/(G79*1000),15)</f>
        <v>37.742794778446459</v>
      </c>
      <c r="N79" s="13">
        <f>J79*R20</f>
        <v>-1.1883458506345703</v>
      </c>
      <c r="O79" s="13">
        <f>K79*R20</f>
        <v>3.6233082987308598</v>
      </c>
      <c r="P79" s="13">
        <f>G59+H59+N79</f>
        <v>4.8116541493654292</v>
      </c>
      <c r="Q79" s="13">
        <f>G59+H59+O79</f>
        <v>9.6233082987308602</v>
      </c>
      <c r="R79" s="15">
        <f>P79/R20</f>
        <v>4.0097117911378577</v>
      </c>
      <c r="S79" s="13"/>
      <c r="T79" s="13"/>
      <c r="U79" s="13"/>
      <c r="V79" s="11"/>
      <c r="X79" s="155" t="s">
        <v>168</v>
      </c>
      <c r="Y79" s="147"/>
      <c r="Z79" s="156">
        <v>2</v>
      </c>
    </row>
    <row r="80" spans="1:27">
      <c r="A80" s="145" t="str">
        <f>A60</f>
        <v>Al-PBQS</v>
      </c>
      <c r="B80" s="992">
        <f>I40</f>
        <v>5.2016326530612256</v>
      </c>
      <c r="C80" s="90">
        <f>B80*Z$78/(Z84*Z$85)*1000</f>
        <v>4.3021848864914434</v>
      </c>
      <c r="D80" s="90">
        <f>C80*Z$79/(Z$79-1)</f>
        <v>8.6043697729828867</v>
      </c>
      <c r="E80" s="90">
        <f>O40/10000*G$14</f>
        <v>0</v>
      </c>
      <c r="F80" s="90">
        <f>R21*P21/10000*G10*Z$80*1000</f>
        <v>6.3376271186440674</v>
      </c>
      <c r="G80" s="90">
        <f>AC$29</f>
        <v>0.8</v>
      </c>
      <c r="H80" s="90">
        <f t="shared" si="82"/>
        <v>-2.035442232152624</v>
      </c>
      <c r="I80" s="90">
        <f t="shared" si="83"/>
        <v>2.2667426543388194</v>
      </c>
      <c r="J80" s="90">
        <f t="shared" si="84"/>
        <v>-2.6335765723027373</v>
      </c>
      <c r="K80" s="90">
        <f t="shared" si="84"/>
        <v>2.9328468553945255</v>
      </c>
      <c r="L80" s="90">
        <f t="shared" si="85"/>
        <v>-32.919707153784216</v>
      </c>
      <c r="M80" s="90">
        <f>MAX(K80*10000/(G80*1000),20)</f>
        <v>36.660585692431567</v>
      </c>
      <c r="N80" s="90">
        <f>J80*R21</f>
        <v>-3.1602918867632845</v>
      </c>
      <c r="O80" s="90">
        <f>K80*R21</f>
        <v>3.5194162264734303</v>
      </c>
      <c r="P80" s="90">
        <f>G60+H60+N80</f>
        <v>6.679708113236714</v>
      </c>
      <c r="Q80" s="90">
        <f>G60+H60+O80</f>
        <v>13.359416226473428</v>
      </c>
      <c r="R80" s="307">
        <f>P80/R21</f>
        <v>5.5664234276972619</v>
      </c>
      <c r="S80" s="13"/>
      <c r="T80" s="13"/>
      <c r="U80" s="13"/>
      <c r="V80" s="11"/>
      <c r="X80" s="497" t="s">
        <v>184</v>
      </c>
      <c r="Y80" s="498"/>
      <c r="Z80" s="157">
        <f>Z79*Z78/(Z79*Z78+Z77)</f>
        <v>0.64406779661016944</v>
      </c>
    </row>
    <row r="81" spans="1:26" ht="17" thickBot="1">
      <c r="A81" s="697" t="str">
        <f>A66</f>
        <v>Li-DIB</v>
      </c>
      <c r="B81" s="723">
        <f>I46</f>
        <v>3.4666831530139115</v>
      </c>
      <c r="C81" s="16">
        <f>B81*Z$76/(1*Z$85)*1000</f>
        <v>19.661051425622723</v>
      </c>
      <c r="D81" s="16">
        <f>C81</f>
        <v>19.661051425622723</v>
      </c>
      <c r="E81" s="16">
        <f>O46/10000*G13*Z76*1000*Z81</f>
        <v>0.93001481481481496</v>
      </c>
      <c r="F81" s="16">
        <f>P27/10000*G6*Z76*1000*Z81</f>
        <v>4.9855999999999998</v>
      </c>
      <c r="G81" s="16">
        <f>AC$29</f>
        <v>0.8</v>
      </c>
      <c r="H81" s="16">
        <f t="shared" si="82"/>
        <v>13.745436610807909</v>
      </c>
      <c r="I81" s="16">
        <f t="shared" si="83"/>
        <v>13.745436610807909</v>
      </c>
      <c r="J81" s="16">
        <f>(H81)/($Z76*1000*$Z81)*1000</f>
        <v>22.607626004618268</v>
      </c>
      <c r="K81" s="16">
        <f>(I81)/($Z76*1000*$Z81)*1000</f>
        <v>22.607626004618268</v>
      </c>
      <c r="L81" s="16">
        <f t="shared" si="85"/>
        <v>282.59532505772836</v>
      </c>
      <c r="M81" s="16">
        <f>K81*10000/(G81*1000)</f>
        <v>282.59532505772836</v>
      </c>
      <c r="N81" s="16">
        <f>J81*R27</f>
        <v>31.650676406465575</v>
      </c>
      <c r="O81" s="16">
        <f>K81*R27</f>
        <v>31.650676406465575</v>
      </c>
      <c r="P81" s="16">
        <f>G66+H66+N81</f>
        <v>45.272157887947053</v>
      </c>
      <c r="Q81" s="16">
        <f>G66+H66+O81</f>
        <v>45.272157887947053</v>
      </c>
      <c r="R81" s="17">
        <f>P81/R27</f>
        <v>32.337255634247896</v>
      </c>
      <c r="S81" s="13"/>
      <c r="T81" s="13"/>
      <c r="U81" s="13"/>
      <c r="V81" s="11"/>
      <c r="X81" s="497" t="s">
        <v>951</v>
      </c>
      <c r="Y81" s="498"/>
      <c r="Z81" s="158">
        <v>4.0000000000000001E-3</v>
      </c>
    </row>
    <row r="82" spans="1:26">
      <c r="A82" s="98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96"/>
      <c r="T82" s="96"/>
      <c r="U82" s="96"/>
      <c r="V82" s="11"/>
      <c r="X82" s="155" t="s">
        <v>172</v>
      </c>
      <c r="Y82" s="147"/>
      <c r="Z82" s="156">
        <f>3/4</f>
        <v>0.75</v>
      </c>
    </row>
    <row r="83" spans="1:26">
      <c r="A83" s="98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1"/>
      <c r="X83" s="155" t="s">
        <v>170</v>
      </c>
      <c r="Y83" s="147"/>
      <c r="Z83" s="156">
        <f>3/2</f>
        <v>1.5</v>
      </c>
    </row>
    <row r="84" spans="1:26">
      <c r="A84" s="98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96"/>
      <c r="T84" s="96"/>
      <c r="U84" s="96"/>
      <c r="V84" s="11"/>
      <c r="X84" s="155" t="s">
        <v>171</v>
      </c>
      <c r="Y84" s="147"/>
      <c r="Z84" s="156">
        <v>6</v>
      </c>
    </row>
    <row r="85" spans="1:26" ht="17" thickBot="1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"/>
      <c r="T85" s="13"/>
      <c r="U85" s="13"/>
      <c r="V85" s="11"/>
      <c r="X85" s="159" t="s">
        <v>189</v>
      </c>
      <c r="Y85" s="161"/>
      <c r="Z85" s="160">
        <v>26801</v>
      </c>
    </row>
    <row r="86" spans="1:26" ht="17" thickBo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3"/>
      <c r="T86" s="13"/>
      <c r="U86" s="13"/>
      <c r="V86" s="13"/>
    </row>
    <row r="87" spans="1:26" ht="82" customHeight="1">
      <c r="A87" s="965" t="s">
        <v>141</v>
      </c>
      <c r="B87" s="472" t="s">
        <v>953</v>
      </c>
      <c r="C87" s="472" t="s">
        <v>136</v>
      </c>
      <c r="D87" s="472" t="s">
        <v>954</v>
      </c>
      <c r="E87" s="472" t="s">
        <v>137</v>
      </c>
      <c r="F87" s="472" t="s">
        <v>138</v>
      </c>
      <c r="G87" s="472" t="s">
        <v>139</v>
      </c>
      <c r="H87" s="461" t="s">
        <v>135</v>
      </c>
      <c r="I87" s="162" t="s">
        <v>140</v>
      </c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6" ht="18" customHeight="1">
      <c r="A88" s="966"/>
      <c r="B88" s="473" t="s">
        <v>71</v>
      </c>
      <c r="C88" s="473" t="s">
        <v>71</v>
      </c>
      <c r="D88" s="473" t="s">
        <v>71</v>
      </c>
      <c r="E88" s="473" t="s">
        <v>71</v>
      </c>
      <c r="F88" s="473" t="s">
        <v>71</v>
      </c>
      <c r="G88" s="473" t="s">
        <v>165</v>
      </c>
      <c r="H88" s="942"/>
      <c r="I88" s="943" t="s">
        <v>68</v>
      </c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6" ht="18" customHeight="1">
      <c r="A89" s="314" t="str">
        <f>A81</f>
        <v>Li-DIB</v>
      </c>
      <c r="B89" s="958">
        <f>D81</f>
        <v>19.661051425622723</v>
      </c>
      <c r="C89" s="719">
        <f>D81</f>
        <v>19.661051425622723</v>
      </c>
      <c r="D89" s="694"/>
      <c r="E89" s="959">
        <f>R66</f>
        <v>54.326589465536458</v>
      </c>
      <c r="F89" s="959">
        <f t="shared" ref="F89:F92" si="86">E89-B89</f>
        <v>34.665538039913734</v>
      </c>
      <c r="G89" s="959">
        <f>F89*1.05</f>
        <v>36.398814941909421</v>
      </c>
      <c r="H89" s="960">
        <f>G89/P66-1</f>
        <v>-6.2000000000000166E-2</v>
      </c>
      <c r="I89" s="961">
        <f>(H89)*P66*10</f>
        <v>-24.058918191880498</v>
      </c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946"/>
      <c r="W89"/>
    </row>
    <row r="90" spans="1:26" ht="16.5" customHeight="1">
      <c r="A90" s="145" t="str">
        <f>A78</f>
        <v>Al-gra</v>
      </c>
      <c r="B90" s="996">
        <f>D78</f>
        <v>44.237365707651122</v>
      </c>
      <c r="C90" s="685"/>
      <c r="D90" s="685"/>
      <c r="E90" s="121">
        <f>R58</f>
        <v>82.421197160571054</v>
      </c>
      <c r="F90" s="121">
        <f t="shared" si="86"/>
        <v>38.183831452919932</v>
      </c>
      <c r="G90" s="121">
        <f t="shared" ref="G90:G92" si="87">F90*AB$27</f>
        <v>45.820597743503917</v>
      </c>
      <c r="H90" s="997">
        <f>G90/P58-1</f>
        <v>-0.33288135593220325</v>
      </c>
      <c r="I90" s="998">
        <f>(H90)*P58*10</f>
        <v>-228.63733223638627</v>
      </c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946"/>
    </row>
    <row r="91" spans="1:26" ht="16.5" customHeight="1">
      <c r="A91" s="314" t="str">
        <f>A79</f>
        <v>Al-PPQ</v>
      </c>
      <c r="B91" s="720">
        <f>D79</f>
        <v>6.1980629720639433</v>
      </c>
      <c r="C91" s="131"/>
      <c r="D91" s="131"/>
      <c r="E91" s="96">
        <f>R59</f>
        <v>11.547969958477031</v>
      </c>
      <c r="F91" s="96">
        <f t="shared" si="86"/>
        <v>5.3499069864130879</v>
      </c>
      <c r="G91" s="96">
        <f t="shared" si="87"/>
        <v>6.4198883836957057</v>
      </c>
      <c r="H91" s="138">
        <f>G91/P59-1</f>
        <v>-0.33288135593220347</v>
      </c>
      <c r="I91" s="300">
        <f>(H91)*P59*10</f>
        <v>-32.034199150351547</v>
      </c>
      <c r="J91" s="11"/>
      <c r="K91" s="11"/>
      <c r="L91" s="947"/>
      <c r="M91" s="11"/>
      <c r="N91" s="947"/>
      <c r="O91" s="11"/>
      <c r="P91" s="11"/>
      <c r="Q91" s="11"/>
      <c r="R91" s="11"/>
      <c r="S91" s="11"/>
      <c r="T91" s="11"/>
      <c r="U91" s="11"/>
      <c r="V91" s="946"/>
    </row>
    <row r="92" spans="1:26" ht="15.75" customHeight="1" thickBot="1">
      <c r="A92" s="987" t="str">
        <f>A80</f>
        <v>Al-PBQS</v>
      </c>
      <c r="B92" s="999">
        <f>D80</f>
        <v>8.6043697729828867</v>
      </c>
      <c r="C92" s="1000"/>
      <c r="D92" s="1000"/>
      <c r="E92" s="308">
        <f>R60</f>
        <v>16.031299471768111</v>
      </c>
      <c r="F92" s="308">
        <f t="shared" si="86"/>
        <v>7.4269296987852247</v>
      </c>
      <c r="G92" s="308">
        <f t="shared" si="87"/>
        <v>8.9123156385422693</v>
      </c>
      <c r="H92" s="309">
        <f>G92/P60-1</f>
        <v>-0.33288135593220369</v>
      </c>
      <c r="I92" s="310">
        <f>(H92)*P60*10</f>
        <v>-44.471005879311591</v>
      </c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946"/>
    </row>
    <row r="93" spans="1:26" ht="15.75" customHeight="1">
      <c r="A93" s="98"/>
      <c r="B93" s="96"/>
      <c r="C93" s="131"/>
      <c r="D93" s="131"/>
      <c r="E93" s="96"/>
      <c r="F93" s="96"/>
      <c r="G93" s="96"/>
      <c r="H93" s="138"/>
      <c r="I93" s="96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946"/>
    </row>
    <row r="94" spans="1:26" ht="15.75" customHeight="1">
      <c r="A94" s="98"/>
      <c r="B94" s="96"/>
      <c r="C94" s="131"/>
      <c r="D94" s="131"/>
      <c r="E94" s="96"/>
      <c r="F94" s="96"/>
      <c r="G94" s="96"/>
      <c r="H94" s="138"/>
      <c r="I94" s="96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6">
      <c r="A95" s="98"/>
      <c r="B95" s="96"/>
      <c r="C95" s="131"/>
      <c r="D95" s="131"/>
      <c r="E95" s="96"/>
      <c r="F95" s="96"/>
      <c r="G95" s="96"/>
      <c r="H95" s="138"/>
      <c r="I95" s="96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6">
      <c r="A96" s="131"/>
      <c r="B96" s="131"/>
      <c r="C96" s="131"/>
      <c r="D96" s="131"/>
      <c r="E96" s="131"/>
      <c r="F96" s="131"/>
      <c r="G96" s="131"/>
      <c r="H96" s="131"/>
      <c r="I96" s="13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>
      <c r="A97" s="131"/>
      <c r="B97" s="131"/>
      <c r="C97" s="131"/>
      <c r="D97" s="131"/>
      <c r="E97" s="131"/>
      <c r="F97" s="131"/>
      <c r="G97" s="131"/>
      <c r="H97" s="131"/>
      <c r="I97" s="13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>
      <c r="A98" s="131"/>
      <c r="B98" s="944"/>
      <c r="C98" s="944"/>
      <c r="D98" s="944"/>
      <c r="E98" s="944"/>
      <c r="F98" s="944"/>
      <c r="G98" s="131"/>
      <c r="H98" s="131"/>
      <c r="I98" s="13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>
      <c r="A99" s="131"/>
      <c r="B99" s="131"/>
      <c r="C99" s="131"/>
      <c r="D99" s="131"/>
      <c r="E99" s="131"/>
      <c r="F99" s="131"/>
      <c r="G99" s="131"/>
      <c r="H99" s="131"/>
      <c r="I99" s="13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>
      <c r="A100" s="131"/>
      <c r="B100" s="131"/>
      <c r="C100" s="131"/>
      <c r="D100" s="131"/>
      <c r="E100" s="131"/>
      <c r="F100" s="131"/>
      <c r="G100" s="131"/>
      <c r="H100" s="131"/>
      <c r="I100" s="13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</sheetData>
  <mergeCells count="108">
    <mergeCell ref="S12:U12"/>
    <mergeCell ref="S4:U4"/>
    <mergeCell ref="A87:A88"/>
    <mergeCell ref="I8:K8"/>
    <mergeCell ref="I9:K9"/>
    <mergeCell ref="I10:K10"/>
    <mergeCell ref="I11:K11"/>
    <mergeCell ref="S5:U5"/>
    <mergeCell ref="S6:U6"/>
    <mergeCell ref="S7:U7"/>
    <mergeCell ref="S8:U8"/>
    <mergeCell ref="S9:U9"/>
    <mergeCell ref="S10:U10"/>
    <mergeCell ref="S11:U11"/>
    <mergeCell ref="Q32:Q36"/>
    <mergeCell ref="P51:P56"/>
    <mergeCell ref="Q51:Q56"/>
    <mergeCell ref="A51:A57"/>
    <mergeCell ref="B51:B56"/>
    <mergeCell ref="C51:C56"/>
    <mergeCell ref="D51:D56"/>
    <mergeCell ref="E51:E56"/>
    <mergeCell ref="F51:F56"/>
    <mergeCell ref="G51:G56"/>
    <mergeCell ref="B1:B2"/>
    <mergeCell ref="I1:K3"/>
    <mergeCell ref="D32:D36"/>
    <mergeCell ref="E32:E36"/>
    <mergeCell ref="F32:F36"/>
    <mergeCell ref="J32:J36"/>
    <mergeCell ref="K32:K36"/>
    <mergeCell ref="F1:F3"/>
    <mergeCell ref="H32:H36"/>
    <mergeCell ref="I32:I36"/>
    <mergeCell ref="D1:D2"/>
    <mergeCell ref="I12:K12"/>
    <mergeCell ref="I4:K4"/>
    <mergeCell ref="I5:K5"/>
    <mergeCell ref="I6:K6"/>
    <mergeCell ref="I7:K7"/>
    <mergeCell ref="S1:U3"/>
    <mergeCell ref="E1:E2"/>
    <mergeCell ref="G1:G2"/>
    <mergeCell ref="M51:M56"/>
    <mergeCell ref="N51:N56"/>
    <mergeCell ref="O51:O56"/>
    <mergeCell ref="R51:R56"/>
    <mergeCell ref="S51:S56"/>
    <mergeCell ref="T51:T56"/>
    <mergeCell ref="H51:H56"/>
    <mergeCell ref="U32:U36"/>
    <mergeCell ref="L32:L36"/>
    <mergeCell ref="U51:U56"/>
    <mergeCell ref="M32:M36"/>
    <mergeCell ref="I51:I56"/>
    <mergeCell ref="P32:P36"/>
    <mergeCell ref="X81:Y81"/>
    <mergeCell ref="X80:Y80"/>
    <mergeCell ref="X78:Y78"/>
    <mergeCell ref="X77:Y77"/>
    <mergeCell ref="A1:A3"/>
    <mergeCell ref="A32:A37"/>
    <mergeCell ref="A17:A18"/>
    <mergeCell ref="T32:T36"/>
    <mergeCell ref="C1:C2"/>
    <mergeCell ref="B32:B36"/>
    <mergeCell ref="C32:C36"/>
    <mergeCell ref="N32:N36"/>
    <mergeCell ref="O32:O36"/>
    <mergeCell ref="S32:S36"/>
    <mergeCell ref="R32:R36"/>
    <mergeCell ref="G32:G36"/>
    <mergeCell ref="A71:A77"/>
    <mergeCell ref="X76:Y76"/>
    <mergeCell ref="M71:M76"/>
    <mergeCell ref="L71:L76"/>
    <mergeCell ref="I71:I76"/>
    <mergeCell ref="C71:C76"/>
    <mergeCell ref="B71:B76"/>
    <mergeCell ref="X75:Y75"/>
    <mergeCell ref="X72:Y74"/>
    <mergeCell ref="J71:J76"/>
    <mergeCell ref="K71:K76"/>
    <mergeCell ref="H71:H76"/>
    <mergeCell ref="G71:G76"/>
    <mergeCell ref="X17:Y17"/>
    <mergeCell ref="X59:Y59"/>
    <mergeCell ref="V51:V56"/>
    <mergeCell ref="X57:Y57"/>
    <mergeCell ref="X58:Y58"/>
    <mergeCell ref="X42:Y42"/>
    <mergeCell ref="X44:Y44"/>
    <mergeCell ref="X52:Y54"/>
    <mergeCell ref="X55:Y55"/>
    <mergeCell ref="X56:Y56"/>
    <mergeCell ref="V32:V36"/>
    <mergeCell ref="X35:Y37"/>
    <mergeCell ref="X38:Y38"/>
    <mergeCell ref="X39:Y39"/>
    <mergeCell ref="F71:F76"/>
    <mergeCell ref="E71:E76"/>
    <mergeCell ref="D71:D76"/>
    <mergeCell ref="X40:Y40"/>
    <mergeCell ref="X41:Y41"/>
    <mergeCell ref="X61:Y61"/>
    <mergeCell ref="K51:K56"/>
    <mergeCell ref="J51:J56"/>
    <mergeCell ref="L51:L56"/>
  </mergeCells>
  <printOptions gridLines="1" gridLinesSet="0"/>
  <pageMargins left="0.7" right="0.7" top="0.78740157500000008" bottom="0.78740157500000008" header="0.5" footer="0.5"/>
  <pageSetup paperSize="9" orientation="portrait" r:id="rId1"/>
  <ignoredErrors>
    <ignoredError sqref="C7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2CE5A-C77C-9240-80B8-5AB58D2E1999}">
  <dimension ref="A1:Z584"/>
  <sheetViews>
    <sheetView zoomScale="66" zoomScaleNormal="66" workbookViewId="0">
      <selection activeCell="F6" sqref="F6:N6"/>
    </sheetView>
  </sheetViews>
  <sheetFormatPr baseColWidth="10" defaultRowHeight="15"/>
  <cols>
    <col min="1" max="1" width="5" customWidth="1"/>
    <col min="2" max="2" width="45.33203125" customWidth="1"/>
    <col min="6" max="6" width="13.33203125" customWidth="1"/>
  </cols>
  <sheetData>
    <row r="1" spans="1:26">
      <c r="A1" s="197" t="s">
        <v>1435</v>
      </c>
      <c r="B1" s="198"/>
      <c r="C1" s="198"/>
      <c r="D1" s="198"/>
      <c r="E1" s="198"/>
      <c r="F1" s="198"/>
      <c r="G1" s="198"/>
      <c r="H1" s="198"/>
      <c r="L1" s="198"/>
      <c r="N1" s="198"/>
      <c r="O1" s="614"/>
      <c r="P1" s="8"/>
      <c r="Q1" s="8"/>
      <c r="R1" s="8"/>
      <c r="S1" s="8"/>
      <c r="T1" s="8"/>
    </row>
    <row r="2" spans="1:26">
      <c r="A2" s="199" t="s">
        <v>381</v>
      </c>
      <c r="B2" s="8"/>
      <c r="C2" s="8"/>
      <c r="D2" s="8"/>
      <c r="E2" s="8"/>
      <c r="F2" s="8"/>
      <c r="G2" s="8"/>
      <c r="H2" s="8"/>
      <c r="L2" s="8"/>
      <c r="N2" s="8"/>
      <c r="O2" s="614"/>
      <c r="P2" s="8"/>
      <c r="Q2" s="8"/>
      <c r="R2" s="8"/>
      <c r="S2" s="8"/>
      <c r="T2" s="8"/>
    </row>
    <row r="3" spans="1:26">
      <c r="A3" s="7"/>
      <c r="B3" s="8"/>
      <c r="C3" s="8"/>
      <c r="D3" s="8"/>
      <c r="E3" s="8"/>
      <c r="F3" s="8"/>
      <c r="G3" s="8"/>
      <c r="H3" s="8"/>
      <c r="L3" s="8"/>
      <c r="N3" s="8"/>
      <c r="O3" s="8"/>
      <c r="P3" s="8"/>
      <c r="Q3" s="8"/>
      <c r="R3" s="8"/>
      <c r="S3" s="8"/>
      <c r="T3" s="8"/>
    </row>
    <row r="4" spans="1:26">
      <c r="A4" s="199" t="s">
        <v>419</v>
      </c>
      <c r="B4" s="8"/>
      <c r="C4" s="8"/>
      <c r="D4" s="8"/>
      <c r="E4" s="8"/>
      <c r="F4" s="200"/>
      <c r="G4" s="200"/>
      <c r="H4" s="200"/>
      <c r="K4" s="200"/>
      <c r="L4" s="200"/>
      <c r="M4" s="200"/>
      <c r="N4" s="200"/>
      <c r="O4" s="614"/>
      <c r="P4" s="8"/>
      <c r="Q4" s="8"/>
      <c r="R4" s="8"/>
      <c r="S4" s="8"/>
      <c r="T4" s="200"/>
      <c r="V4" s="200"/>
      <c r="X4" s="191"/>
      <c r="Z4" s="191"/>
    </row>
    <row r="5" spans="1:26">
      <c r="A5" s="217"/>
      <c r="B5" s="217"/>
      <c r="C5" s="217"/>
      <c r="D5" s="217"/>
      <c r="E5" s="217"/>
      <c r="F5" s="200"/>
      <c r="G5" s="200"/>
      <c r="H5" s="200"/>
      <c r="I5" s="191"/>
      <c r="J5" s="191"/>
      <c r="K5" s="200"/>
      <c r="L5" s="200"/>
      <c r="M5" s="191"/>
      <c r="N5" s="200"/>
      <c r="O5" s="220"/>
      <c r="P5" s="220"/>
      <c r="Q5" s="220"/>
      <c r="R5" s="220"/>
      <c r="S5" s="220"/>
      <c r="T5" s="200"/>
    </row>
    <row r="6" spans="1:26" ht="16">
      <c r="F6" s="402" t="s">
        <v>728</v>
      </c>
      <c r="G6" s="614" t="s">
        <v>1395</v>
      </c>
      <c r="H6" s="614" t="s">
        <v>688</v>
      </c>
      <c r="I6" s="258" t="s">
        <v>1394</v>
      </c>
      <c r="J6" s="258" t="s">
        <v>1393</v>
      </c>
      <c r="K6" s="258" t="s">
        <v>1392</v>
      </c>
      <c r="L6" s="614" t="s">
        <v>687</v>
      </c>
      <c r="M6" s="258" t="s">
        <v>489</v>
      </c>
      <c r="N6" s="614" t="s">
        <v>378</v>
      </c>
      <c r="O6" s="218"/>
      <c r="P6" s="219"/>
      <c r="Q6" s="219"/>
      <c r="R6" s="220"/>
      <c r="S6" s="220"/>
      <c r="T6" s="8"/>
    </row>
    <row r="7" spans="1:26" ht="16">
      <c r="A7" s="218" t="s">
        <v>420</v>
      </c>
      <c r="B7" s="219"/>
      <c r="F7" s="221"/>
      <c r="G7" s="8"/>
      <c r="H7" s="8"/>
      <c r="L7" s="8"/>
      <c r="N7" s="8"/>
      <c r="O7" s="654"/>
      <c r="P7" s="223"/>
      <c r="Q7" s="223"/>
      <c r="R7" s="220"/>
      <c r="S7" s="221"/>
      <c r="T7" s="8"/>
    </row>
    <row r="8" spans="1:26" ht="16">
      <c r="A8" s="218"/>
      <c r="B8" s="177" t="s">
        <v>422</v>
      </c>
      <c r="F8" s="403">
        <v>41117498.959728315</v>
      </c>
      <c r="G8" s="8">
        <v>41115411.413498208</v>
      </c>
      <c r="H8" s="8">
        <v>41135486.167741902</v>
      </c>
      <c r="I8">
        <v>40938865.062704168</v>
      </c>
      <c r="J8">
        <v>41123045.478554346</v>
      </c>
      <c r="K8">
        <v>40931344.584085472</v>
      </c>
      <c r="L8" s="8">
        <v>41263427.829754166</v>
      </c>
      <c r="M8">
        <v>41231851.322381973</v>
      </c>
      <c r="N8" s="8">
        <v>41210217.087389506</v>
      </c>
      <c r="O8" s="654"/>
      <c r="P8" s="177"/>
      <c r="Q8" s="177"/>
      <c r="R8" s="220"/>
      <c r="S8" s="220"/>
      <c r="T8" s="8"/>
    </row>
    <row r="9" spans="1:26">
      <c r="A9" s="222" t="str">
        <f>$B$7 &amp; ": " &amp; B9</f>
        <v>: Number of battery packs manufactured per year</v>
      </c>
      <c r="B9" s="223" t="s">
        <v>421</v>
      </c>
      <c r="F9" s="403">
        <v>100000</v>
      </c>
      <c r="G9" s="8">
        <v>100000</v>
      </c>
      <c r="H9" s="8">
        <v>100000</v>
      </c>
      <c r="I9">
        <v>100000</v>
      </c>
      <c r="J9">
        <v>100000</v>
      </c>
      <c r="K9">
        <v>100000</v>
      </c>
      <c r="L9" s="8">
        <v>100000</v>
      </c>
      <c r="M9">
        <v>100000</v>
      </c>
      <c r="N9" s="8">
        <v>100000</v>
      </c>
      <c r="O9" s="654"/>
      <c r="P9" s="223"/>
      <c r="Q9" s="223"/>
      <c r="R9" s="220"/>
      <c r="S9" s="220"/>
      <c r="T9" s="8"/>
    </row>
    <row r="10" spans="1:26">
      <c r="A10" s="222"/>
      <c r="B10" s="223" t="s">
        <v>1136</v>
      </c>
      <c r="F10" s="403">
        <v>400000</v>
      </c>
      <c r="G10" s="8">
        <v>400000</v>
      </c>
      <c r="H10" s="8">
        <v>400000</v>
      </c>
      <c r="I10">
        <v>600000</v>
      </c>
      <c r="J10">
        <v>500000</v>
      </c>
      <c r="K10">
        <v>500000</v>
      </c>
      <c r="L10" s="8">
        <v>300000</v>
      </c>
      <c r="M10">
        <v>300000</v>
      </c>
      <c r="N10" s="8">
        <v>400000</v>
      </c>
      <c r="O10" s="654"/>
      <c r="P10" s="177"/>
      <c r="Q10" s="177"/>
      <c r="R10" s="220"/>
      <c r="S10" s="220"/>
      <c r="T10" s="8"/>
    </row>
    <row r="11" spans="1:26">
      <c r="A11" s="222" t="str">
        <f>$B$7 &amp; ": " &amp; B8</f>
        <v>: Energy, kWh per year</v>
      </c>
      <c r="B11" s="177" t="s">
        <v>1137</v>
      </c>
      <c r="F11" s="403">
        <v>1200000</v>
      </c>
      <c r="G11" s="8">
        <v>1600000</v>
      </c>
      <c r="H11" s="8">
        <v>2000000</v>
      </c>
      <c r="I11">
        <v>3600000</v>
      </c>
      <c r="J11">
        <v>2500000</v>
      </c>
      <c r="K11">
        <v>2500000</v>
      </c>
      <c r="L11" s="8">
        <v>1200000</v>
      </c>
      <c r="M11">
        <v>1200000</v>
      </c>
      <c r="N11" s="8">
        <v>1600000</v>
      </c>
      <c r="O11" s="654"/>
      <c r="P11" s="177"/>
      <c r="Q11" s="177"/>
      <c r="R11" s="220"/>
      <c r="S11" s="220"/>
      <c r="T11" s="8"/>
    </row>
    <row r="12" spans="1:26">
      <c r="A12" s="222"/>
      <c r="B12" s="177" t="s">
        <v>1138</v>
      </c>
      <c r="F12" s="403">
        <v>1872000000</v>
      </c>
      <c r="G12" s="8">
        <v>633600000</v>
      </c>
      <c r="H12" s="8">
        <v>406000000</v>
      </c>
      <c r="I12">
        <v>684000000</v>
      </c>
      <c r="J12">
        <v>462500000</v>
      </c>
      <c r="K12">
        <v>75000000</v>
      </c>
      <c r="L12" s="8">
        <v>126000000</v>
      </c>
      <c r="M12">
        <v>184800000</v>
      </c>
      <c r="N12" s="8">
        <v>728000000</v>
      </c>
      <c r="O12" s="654"/>
      <c r="P12" s="177"/>
      <c r="Q12" s="177"/>
      <c r="R12" s="220"/>
      <c r="S12" s="220"/>
      <c r="T12" s="8"/>
    </row>
    <row r="13" spans="1:26">
      <c r="A13" s="222" t="str">
        <f t="shared" ref="A13:A18" si="0">$B$7 &amp; ": " &amp; B13</f>
        <v>: Number of accepted cells per year</v>
      </c>
      <c r="B13" s="223" t="s">
        <v>423</v>
      </c>
      <c r="F13" s="403">
        <v>984000000</v>
      </c>
      <c r="G13" s="8">
        <v>360000000</v>
      </c>
      <c r="H13" s="8">
        <v>240000000</v>
      </c>
      <c r="I13">
        <v>421200000</v>
      </c>
      <c r="J13">
        <v>285000000</v>
      </c>
      <c r="K13">
        <v>77500000</v>
      </c>
      <c r="L13" s="8">
        <v>79200000</v>
      </c>
      <c r="M13">
        <v>110400000</v>
      </c>
      <c r="N13" s="8">
        <v>403200000</v>
      </c>
      <c r="O13" s="654"/>
      <c r="P13" s="177"/>
      <c r="Q13" s="177"/>
      <c r="R13" s="220"/>
      <c r="S13" s="220"/>
      <c r="T13" s="8"/>
    </row>
    <row r="14" spans="1:26">
      <c r="A14" s="222" t="str">
        <f t="shared" si="0"/>
        <v>: Number of cells adjusted for yield</v>
      </c>
      <c r="B14" s="177" t="s">
        <v>424</v>
      </c>
      <c r="F14" s="403">
        <v>1035789473.6842105</v>
      </c>
      <c r="G14" s="8">
        <v>378947368.42105263</v>
      </c>
      <c r="H14" s="8">
        <v>252631578.94736841</v>
      </c>
      <c r="I14">
        <v>443368421.05263156</v>
      </c>
      <c r="J14">
        <v>300000000</v>
      </c>
      <c r="K14">
        <v>81578947.368421063</v>
      </c>
      <c r="L14" s="8">
        <v>83368421.052631587</v>
      </c>
      <c r="M14">
        <v>116210526.31578949</v>
      </c>
      <c r="N14" s="8">
        <v>424421052.63157898</v>
      </c>
      <c r="O14" s="654"/>
      <c r="P14" s="177"/>
      <c r="Q14" s="177"/>
      <c r="R14" s="220"/>
      <c r="S14" s="220"/>
      <c r="T14" s="8"/>
    </row>
    <row r="15" spans="1:26">
      <c r="A15" s="222" t="str">
        <f t="shared" si="0"/>
        <v>: Electrode area, m² per year</v>
      </c>
      <c r="B15" s="177" t="s">
        <v>425</v>
      </c>
      <c r="F15" s="403">
        <v>656610134.41692924</v>
      </c>
      <c r="G15" s="8">
        <v>848941764.26836312</v>
      </c>
      <c r="H15" s="8">
        <v>537382714.55416393</v>
      </c>
      <c r="I15">
        <v>1141150754.4894369</v>
      </c>
      <c r="J15">
        <v>715435372.30716586</v>
      </c>
      <c r="K15">
        <v>192785959.27976966</v>
      </c>
      <c r="L15" s="8">
        <v>118972166.8435636</v>
      </c>
      <c r="M15">
        <v>179521630.04961473</v>
      </c>
      <c r="N15" s="8">
        <v>280051437.82480299</v>
      </c>
      <c r="O15" s="654"/>
      <c r="P15" s="177"/>
      <c r="Q15" s="177"/>
      <c r="R15" s="220"/>
      <c r="S15" s="220"/>
      <c r="T15" s="8"/>
    </row>
    <row r="16" spans="1:26" ht="16">
      <c r="A16" s="222" t="str">
        <f t="shared" si="0"/>
        <v>: Positive active material, kg per year</v>
      </c>
      <c r="B16" s="177" t="s">
        <v>426</v>
      </c>
      <c r="F16" s="403">
        <v>175903726.53736052</v>
      </c>
      <c r="G16" s="8">
        <v>201089683.50440982</v>
      </c>
      <c r="H16" s="8">
        <v>100135099.13612665</v>
      </c>
      <c r="I16">
        <v>715173483.89708245</v>
      </c>
      <c r="J16">
        <v>416293616.79115015</v>
      </c>
      <c r="K16">
        <v>141285177.42845261</v>
      </c>
      <c r="L16" s="8">
        <v>62557963.863392174</v>
      </c>
      <c r="M16">
        <v>93298812.772607476</v>
      </c>
      <c r="N16" s="8">
        <v>75024872.376168191</v>
      </c>
      <c r="O16" s="368"/>
      <c r="P16" s="368"/>
      <c r="Q16" s="368"/>
      <c r="R16" s="220"/>
      <c r="S16" s="220"/>
      <c r="T16" s="8"/>
    </row>
    <row r="17" spans="1:20">
      <c r="A17" s="222" t="str">
        <f t="shared" si="0"/>
        <v>: Negative active material, kg per year</v>
      </c>
      <c r="B17" s="177" t="s">
        <v>427</v>
      </c>
      <c r="F17" s="403">
        <v>6701530.3397242799</v>
      </c>
      <c r="G17" s="8">
        <v>9650209.1077983007</v>
      </c>
      <c r="H17" s="8">
        <v>8483645.4371495079</v>
      </c>
      <c r="I17">
        <v>11105116.079758443</v>
      </c>
      <c r="J17">
        <v>7351201.9007411115</v>
      </c>
      <c r="K17">
        <v>5686907.6532780603</v>
      </c>
      <c r="L17" s="8">
        <v>41175947.700952679</v>
      </c>
      <c r="M17">
        <v>45317816.085360557</v>
      </c>
      <c r="N17" s="8">
        <v>32930440.68081671</v>
      </c>
      <c r="O17" s="655"/>
      <c r="P17" s="220"/>
      <c r="Q17" s="220"/>
      <c r="R17" s="223"/>
      <c r="S17" s="241"/>
      <c r="T17" s="8"/>
    </row>
    <row r="18" spans="1:20" s="6" customFormat="1">
      <c r="A18" s="222" t="str">
        <f t="shared" si="0"/>
        <v>: Positive binder solvent evaporated, kg per year</v>
      </c>
      <c r="B18" s="177" t="s">
        <v>1139</v>
      </c>
      <c r="F18" s="403">
        <v>87951863.268680215</v>
      </c>
      <c r="G18" s="10">
        <v>268119578.00587985</v>
      </c>
      <c r="H18" s="10">
        <v>133513465.51483552</v>
      </c>
      <c r="I18" s="6">
        <v>357586741.94854116</v>
      </c>
      <c r="J18" s="6">
        <v>208146808.39557511</v>
      </c>
      <c r="K18" s="6">
        <v>70642588.714226291</v>
      </c>
      <c r="L18" s="10">
        <v>31278981.931696087</v>
      </c>
      <c r="M18" s="6">
        <v>46649406.386303738</v>
      </c>
      <c r="N18" s="10">
        <v>37512436.188084088</v>
      </c>
      <c r="O18" s="219"/>
      <c r="P18" s="177"/>
      <c r="Q18" s="177"/>
      <c r="R18" s="177"/>
      <c r="S18" s="656"/>
      <c r="T18" s="10"/>
    </row>
    <row r="19" spans="1:20" s="6" customFormat="1">
      <c r="A19" s="222"/>
      <c r="B19" s="177" t="s">
        <v>1140</v>
      </c>
      <c r="F19" s="403">
        <v>3282382.2072118921</v>
      </c>
      <c r="G19" s="10">
        <v>4726633.0323910043</v>
      </c>
      <c r="H19" s="10">
        <v>4155254.9079915951</v>
      </c>
      <c r="I19" s="6">
        <v>5439240.5288612787</v>
      </c>
      <c r="J19" s="6">
        <v>3600588.686077279</v>
      </c>
      <c r="K19" s="6">
        <v>2785424.1567076212</v>
      </c>
      <c r="L19" s="10">
        <v>20167811.118833963</v>
      </c>
      <c r="M19" s="6">
        <v>22196481.347931702</v>
      </c>
      <c r="N19" s="10">
        <v>16129195.43550206</v>
      </c>
      <c r="O19" s="262"/>
      <c r="P19" s="260"/>
      <c r="Q19" s="260"/>
      <c r="R19" s="260"/>
      <c r="S19" s="261"/>
      <c r="T19" s="10"/>
    </row>
    <row r="20" spans="1:20" s="6" customFormat="1" ht="16">
      <c r="A20" s="222" t="str">
        <f>$B$7 &amp; ": " &amp; B20</f>
        <v>: Dry room operating area, m2</v>
      </c>
      <c r="B20" s="367" t="s">
        <v>478</v>
      </c>
      <c r="F20" s="403">
        <v>204446.34997419413</v>
      </c>
      <c r="G20" s="10">
        <v>78654.105001870616</v>
      </c>
      <c r="H20" s="10">
        <v>53509.968771646076</v>
      </c>
      <c r="I20" s="6">
        <v>91305.715120225199</v>
      </c>
      <c r="J20" s="6">
        <v>62999.432146601532</v>
      </c>
      <c r="K20" s="6">
        <v>18283.975693660093</v>
      </c>
      <c r="L20" s="10">
        <v>18664.782797825334</v>
      </c>
      <c r="M20" s="6">
        <v>25589.07797126396</v>
      </c>
      <c r="N20" s="10">
        <v>87594.838280613563</v>
      </c>
      <c r="O20" s="262"/>
      <c r="P20" s="260"/>
      <c r="Q20" s="260"/>
      <c r="R20" s="260"/>
      <c r="S20" s="261"/>
      <c r="T20" s="10"/>
    </row>
    <row r="21" spans="1:20" s="6" customFormat="1">
      <c r="A21" s="222"/>
      <c r="B21" s="367"/>
      <c r="F21" s="403"/>
      <c r="G21" s="10"/>
      <c r="H21" s="10"/>
      <c r="L21" s="10"/>
      <c r="N21" s="10"/>
      <c r="O21" s="262"/>
      <c r="P21" s="260"/>
      <c r="Q21" s="260"/>
      <c r="R21" s="260"/>
      <c r="S21" s="261"/>
      <c r="T21" s="10"/>
    </row>
    <row r="22" spans="1:20" s="6" customFormat="1" ht="16">
      <c r="A22" s="368" t="s">
        <v>1141</v>
      </c>
      <c r="B22" s="220"/>
      <c r="F22" s="404"/>
      <c r="G22" s="10"/>
      <c r="H22" s="10"/>
      <c r="L22" s="10"/>
      <c r="N22" s="10"/>
      <c r="O22" s="262"/>
      <c r="P22" s="260"/>
      <c r="Q22" s="260"/>
      <c r="R22" s="260"/>
      <c r="S22" s="261"/>
      <c r="T22" s="10"/>
    </row>
    <row r="23" spans="1:20" s="6" customFormat="1">
      <c r="A23"/>
      <c r="B23" t="s">
        <v>350</v>
      </c>
      <c r="F23" s="396">
        <v>9840</v>
      </c>
      <c r="G23" s="10">
        <v>3600</v>
      </c>
      <c r="H23" s="10">
        <v>2400</v>
      </c>
      <c r="I23" s="6">
        <v>4212</v>
      </c>
      <c r="J23" s="6">
        <v>2850</v>
      </c>
      <c r="K23" s="6">
        <v>775</v>
      </c>
      <c r="L23" s="10">
        <v>792</v>
      </c>
      <c r="M23" s="6">
        <v>1104</v>
      </c>
      <c r="N23" s="10">
        <v>4032</v>
      </c>
      <c r="O23" s="262"/>
      <c r="P23" s="260"/>
      <c r="Q23" s="260"/>
      <c r="R23" s="260"/>
      <c r="S23" s="261"/>
      <c r="T23" s="10"/>
    </row>
    <row r="24" spans="1:20" s="6" customFormat="1">
      <c r="A24"/>
      <c r="B24" t="s">
        <v>1075</v>
      </c>
      <c r="F24" s="396">
        <v>12</v>
      </c>
      <c r="G24" s="10">
        <v>16</v>
      </c>
      <c r="H24" s="10">
        <v>20</v>
      </c>
      <c r="I24" s="6">
        <v>36</v>
      </c>
      <c r="J24" s="6">
        <v>25</v>
      </c>
      <c r="K24" s="6">
        <v>25</v>
      </c>
      <c r="L24" s="10">
        <v>12</v>
      </c>
      <c r="M24" s="6">
        <v>12</v>
      </c>
      <c r="N24" s="10">
        <v>16</v>
      </c>
      <c r="O24" s="259"/>
      <c r="P24" s="260"/>
      <c r="Q24" s="260"/>
      <c r="R24" s="260"/>
      <c r="S24" s="261"/>
      <c r="T24" s="10"/>
    </row>
    <row r="25" spans="1:20" s="6" customFormat="1">
      <c r="A25"/>
      <c r="B25" s="227" t="s">
        <v>1142</v>
      </c>
      <c r="F25" s="405">
        <v>1</v>
      </c>
      <c r="G25" s="10">
        <v>1</v>
      </c>
      <c r="H25" s="10">
        <v>1</v>
      </c>
      <c r="I25" s="6">
        <v>1</v>
      </c>
      <c r="J25" s="6">
        <v>1</v>
      </c>
      <c r="K25" s="6">
        <v>1</v>
      </c>
      <c r="L25" s="10">
        <v>1</v>
      </c>
      <c r="M25" s="6">
        <v>1</v>
      </c>
      <c r="N25" s="10">
        <v>1</v>
      </c>
      <c r="O25" s="262"/>
      <c r="P25" s="260"/>
      <c r="Q25" s="260"/>
      <c r="R25" s="260"/>
      <c r="S25" s="263"/>
      <c r="T25" s="10"/>
    </row>
    <row r="26" spans="1:20">
      <c r="A26" s="222"/>
      <c r="B26" s="177"/>
      <c r="F26" s="403"/>
      <c r="G26" s="8"/>
      <c r="H26" s="8"/>
      <c r="L26" s="8"/>
      <c r="N26" s="8"/>
      <c r="O26" s="222"/>
      <c r="P26" s="227"/>
      <c r="Q26" s="227"/>
      <c r="R26" s="227"/>
      <c r="S26" s="229"/>
      <c r="T26" s="8"/>
    </row>
    <row r="27" spans="1:20">
      <c r="G27" s="8"/>
      <c r="H27" s="8"/>
      <c r="L27" s="8"/>
      <c r="N27" s="8"/>
      <c r="O27" s="222"/>
      <c r="P27" s="227"/>
      <c r="Q27" s="227"/>
      <c r="R27" s="227"/>
      <c r="S27" s="229"/>
      <c r="T27" s="8"/>
    </row>
    <row r="28" spans="1:20">
      <c r="A28" s="222"/>
      <c r="B28" s="177"/>
      <c r="E28" t="s">
        <v>429</v>
      </c>
      <c r="F28" s="403"/>
      <c r="G28" s="8"/>
      <c r="H28" s="8"/>
      <c r="L28" s="8"/>
      <c r="N28" s="8"/>
      <c r="O28" s="222"/>
      <c r="P28" s="227"/>
      <c r="Q28" s="227"/>
      <c r="R28" s="227"/>
      <c r="S28" s="229"/>
      <c r="T28" s="8"/>
    </row>
    <row r="29" spans="1:20" ht="16">
      <c r="A29" s="224" t="s">
        <v>428</v>
      </c>
      <c r="B29" s="226"/>
      <c r="F29" s="227"/>
      <c r="G29" s="8"/>
      <c r="H29" s="8"/>
      <c r="L29" s="8"/>
      <c r="N29" s="8"/>
      <c r="O29" s="222"/>
      <c r="P29" s="227"/>
      <c r="Q29" s="227"/>
      <c r="R29" s="227"/>
      <c r="S29" s="229"/>
      <c r="T29" s="8"/>
    </row>
    <row r="30" spans="1:20">
      <c r="A30" s="227" t="s">
        <v>1143</v>
      </c>
      <c r="B30" s="226"/>
      <c r="F30" s="406">
        <v>24</v>
      </c>
      <c r="G30" s="8">
        <v>24</v>
      </c>
      <c r="H30" s="8">
        <v>24</v>
      </c>
      <c r="I30">
        <v>24</v>
      </c>
      <c r="J30">
        <v>24</v>
      </c>
      <c r="K30">
        <v>24</v>
      </c>
      <c r="L30" s="8">
        <v>24</v>
      </c>
      <c r="M30">
        <v>24</v>
      </c>
      <c r="N30" s="8">
        <v>24</v>
      </c>
      <c r="O30" s="222"/>
      <c r="P30" s="227"/>
      <c r="Q30" s="227"/>
      <c r="R30" s="227"/>
      <c r="S30" s="228"/>
      <c r="T30" s="8"/>
    </row>
    <row r="31" spans="1:20">
      <c r="A31" s="227" t="s">
        <v>1144</v>
      </c>
      <c r="B31" s="226"/>
      <c r="F31" s="406">
        <v>24</v>
      </c>
      <c r="G31" s="8">
        <v>24</v>
      </c>
      <c r="H31" s="8">
        <v>24</v>
      </c>
      <c r="I31">
        <v>24</v>
      </c>
      <c r="J31">
        <v>24</v>
      </c>
      <c r="K31">
        <v>24</v>
      </c>
      <c r="L31" s="8">
        <v>24</v>
      </c>
      <c r="M31">
        <v>24</v>
      </c>
      <c r="N31" s="8">
        <v>24</v>
      </c>
      <c r="O31" s="222"/>
      <c r="P31" s="227"/>
      <c r="Q31" s="227"/>
      <c r="R31" s="227"/>
      <c r="S31" s="228"/>
      <c r="T31" s="8"/>
    </row>
    <row r="32" spans="1:20" ht="16">
      <c r="A32" s="224"/>
      <c r="B32" s="226"/>
      <c r="E32">
        <v>92.2</v>
      </c>
      <c r="F32" s="227"/>
      <c r="G32" s="8"/>
      <c r="H32" s="8"/>
      <c r="L32" s="8"/>
      <c r="N32" s="8"/>
      <c r="O32" s="222"/>
      <c r="P32" s="227"/>
      <c r="Q32" s="227"/>
      <c r="R32" s="227"/>
      <c r="S32" s="228"/>
      <c r="T32" s="8"/>
    </row>
    <row r="33" spans="1:20">
      <c r="A33" s="369" t="s">
        <v>1145</v>
      </c>
      <c r="B33" s="227"/>
      <c r="F33" s="227"/>
      <c r="G33" s="8"/>
      <c r="H33" s="8"/>
      <c r="L33" s="8"/>
      <c r="N33" s="8"/>
      <c r="O33" s="222"/>
      <c r="P33" s="227"/>
      <c r="Q33" s="227"/>
      <c r="R33" s="227"/>
      <c r="S33" s="228"/>
      <c r="T33" s="8"/>
    </row>
    <row r="34" spans="1:20">
      <c r="A34" s="222" t="str">
        <f>$B$29 &amp; ": " &amp; B34</f>
        <v>: Positive electrode active material, g/cell</v>
      </c>
      <c r="B34" s="227" t="s">
        <v>430</v>
      </c>
      <c r="F34" s="407">
        <v>178.76394973308996</v>
      </c>
      <c r="G34" s="8">
        <v>558.58245417891612</v>
      </c>
      <c r="H34" s="8">
        <v>417.22957973386104</v>
      </c>
      <c r="I34">
        <v>1697.9427442950673</v>
      </c>
      <c r="J34">
        <v>1460.6793571619305</v>
      </c>
      <c r="K34">
        <v>1823.0345474639048</v>
      </c>
      <c r="L34" s="8">
        <v>789.87328110343651</v>
      </c>
      <c r="M34">
        <v>845.09794178086486</v>
      </c>
      <c r="N34" s="8">
        <v>186.07359220279807</v>
      </c>
      <c r="O34" s="225"/>
      <c r="P34" s="226"/>
      <c r="Q34" s="226"/>
      <c r="R34" s="230"/>
      <c r="S34" s="227"/>
      <c r="T34" s="8"/>
    </row>
    <row r="35" spans="1:20">
      <c r="A35" s="222" t="str">
        <f>$B$29 &amp; ": " &amp; B35</f>
        <v>: Positive electrode carbon additive, g/cell</v>
      </c>
      <c r="B35" s="227" t="s">
        <v>1146</v>
      </c>
      <c r="F35" s="407">
        <v>3.7242489527727058</v>
      </c>
      <c r="G35" s="8">
        <v>31.03235856549535</v>
      </c>
      <c r="H35" s="8">
        <v>23.179421096325612</v>
      </c>
      <c r="I35">
        <v>35.373807172813898</v>
      </c>
      <c r="J35">
        <v>30.430819940873555</v>
      </c>
      <c r="K35">
        <v>37.979886405498007</v>
      </c>
      <c r="L35" s="8">
        <v>16.455693356321593</v>
      </c>
      <c r="M35">
        <v>17.606207120434686</v>
      </c>
      <c r="N35" s="8">
        <v>3.8765331708916264</v>
      </c>
      <c r="O35" s="226"/>
      <c r="P35" s="226"/>
      <c r="Q35" s="227"/>
      <c r="R35" s="230"/>
      <c r="S35" s="227"/>
      <c r="T35" s="8"/>
    </row>
    <row r="36" spans="1:20">
      <c r="A36" s="222" t="str">
        <f>$B$29 &amp; ": " &amp; B36</f>
        <v>: Positive electrode binder, g/cell</v>
      </c>
      <c r="B36" s="227" t="s">
        <v>1147</v>
      </c>
      <c r="F36" s="407">
        <v>3.7242489527727058</v>
      </c>
      <c r="G36" s="8">
        <v>31.03235856549535</v>
      </c>
      <c r="H36" s="8">
        <v>23.179421096325612</v>
      </c>
      <c r="I36">
        <v>35.373807172813898</v>
      </c>
      <c r="J36">
        <v>30.430819940873555</v>
      </c>
      <c r="K36">
        <v>37.979886405498007</v>
      </c>
      <c r="L36" s="8">
        <v>16.455693356321593</v>
      </c>
      <c r="M36">
        <v>17.606207120434686</v>
      </c>
      <c r="N36" s="8">
        <v>3.8765331708916264</v>
      </c>
      <c r="O36" s="222"/>
      <c r="P36" s="227"/>
      <c r="Q36" s="227"/>
      <c r="R36" s="227"/>
      <c r="S36" s="227"/>
      <c r="T36" s="8"/>
    </row>
    <row r="37" spans="1:20">
      <c r="A37" s="222" t="str">
        <f>$B$29 &amp; ": " &amp; B37</f>
        <v>: Positive electrode binder solvent (NMP), g/cell</v>
      </c>
      <c r="B37" s="227" t="str">
        <f>"Positive electrode binder solvent (" &amp; [2]Chem!$C$14 &amp;"), g/cell"</f>
        <v>Positive electrode binder solvent (NMP), g/cell</v>
      </c>
      <c r="F37" s="407">
        <v>89.381974866544937</v>
      </c>
      <c r="G37" s="8">
        <v>744.77660557188847</v>
      </c>
      <c r="H37" s="8">
        <v>556.30610631181469</v>
      </c>
      <c r="I37">
        <v>848.97137214753354</v>
      </c>
      <c r="J37">
        <v>730.33967858096526</v>
      </c>
      <c r="K37">
        <v>911.51727373195217</v>
      </c>
      <c r="L37" s="8">
        <v>394.93664055171826</v>
      </c>
      <c r="M37">
        <v>422.54897089043243</v>
      </c>
      <c r="N37" s="8">
        <v>93.036796101399034</v>
      </c>
      <c r="O37" s="222"/>
      <c r="P37" s="227"/>
      <c r="Q37" s="227"/>
      <c r="R37" s="227"/>
      <c r="S37" s="227"/>
      <c r="T37" s="8"/>
    </row>
    <row r="38" spans="1:20">
      <c r="A38" s="222" t="str">
        <f>$B$29 &amp; ": " &amp; B38</f>
        <v>: Total for positive electrode (dry), g/cell</v>
      </c>
      <c r="B38" s="227" t="s">
        <v>1148</v>
      </c>
      <c r="F38" s="407">
        <v>186.21244763863538</v>
      </c>
      <c r="G38" s="8">
        <v>620.64717130990675</v>
      </c>
      <c r="H38" s="8">
        <v>463.58842192651224</v>
      </c>
      <c r="I38">
        <v>1768.6903586406952</v>
      </c>
      <c r="J38">
        <v>1521.5409970436776</v>
      </c>
      <c r="K38">
        <v>1898.9943202749009</v>
      </c>
      <c r="L38" s="8">
        <v>822.78466781607972</v>
      </c>
      <c r="M38">
        <v>880.31035602173415</v>
      </c>
      <c r="N38" s="8">
        <v>193.82665854458133</v>
      </c>
      <c r="O38" s="222"/>
      <c r="P38" s="227"/>
      <c r="Q38" s="227"/>
      <c r="R38" s="227"/>
      <c r="S38" s="227"/>
      <c r="T38" s="8"/>
    </row>
    <row r="39" spans="1:20">
      <c r="A39" s="222"/>
      <c r="B39" s="227"/>
      <c r="E39">
        <v>92.2</v>
      </c>
      <c r="F39" s="407"/>
      <c r="G39" s="8"/>
      <c r="H39" s="8"/>
      <c r="L39" s="8"/>
      <c r="N39" s="8"/>
      <c r="O39" s="222"/>
      <c r="P39" s="227"/>
      <c r="Q39" s="227"/>
      <c r="R39" s="227"/>
      <c r="S39" s="227"/>
      <c r="T39" s="8"/>
    </row>
    <row r="40" spans="1:20">
      <c r="A40" s="369" t="s">
        <v>1149</v>
      </c>
      <c r="B40" s="227"/>
      <c r="F40" s="407"/>
      <c r="G40" s="8"/>
      <c r="H40" s="8"/>
      <c r="L40" s="8"/>
      <c r="N40" s="8"/>
      <c r="O40" s="226"/>
      <c r="P40" s="226"/>
      <c r="Q40" s="227"/>
      <c r="R40" s="227"/>
      <c r="S40" s="227"/>
      <c r="T40" s="8"/>
    </row>
    <row r="41" spans="1:20">
      <c r="A41" s="222" t="str">
        <f t="shared" ref="A41:A56" si="1">$B$29 &amp; ": " &amp; B41</f>
        <v>: Negative electrode active material, g/cell</v>
      </c>
      <c r="B41" s="227" t="s">
        <v>1150</v>
      </c>
      <c r="F41" s="407">
        <v>6.8104983127279262</v>
      </c>
      <c r="G41" s="8">
        <v>26.806136410550835</v>
      </c>
      <c r="H41" s="8">
        <v>35.348522654789612</v>
      </c>
      <c r="I41">
        <v>26.365422791449305</v>
      </c>
      <c r="J41">
        <v>25.793690879793374</v>
      </c>
      <c r="K41">
        <v>73.379453590684633</v>
      </c>
      <c r="L41" s="8">
        <v>519.89832955748329</v>
      </c>
      <c r="M41">
        <v>410.48746454130941</v>
      </c>
      <c r="N41" s="8">
        <v>81.672719942501772</v>
      </c>
      <c r="O41" s="222"/>
      <c r="P41" s="227"/>
      <c r="Q41" s="227"/>
      <c r="R41" s="227"/>
      <c r="S41" s="227"/>
      <c r="T41" s="8"/>
    </row>
    <row r="42" spans="1:20">
      <c r="A42" s="222" t="str">
        <f t="shared" si="1"/>
        <v>: Negative electrode carbon additive, g/cell</v>
      </c>
      <c r="B42" s="227" t="s">
        <v>1151</v>
      </c>
      <c r="F42" s="407">
        <v>0</v>
      </c>
      <c r="G42" s="8">
        <v>0</v>
      </c>
      <c r="H42" s="8">
        <v>0</v>
      </c>
      <c r="I42">
        <v>0</v>
      </c>
      <c r="J42">
        <v>0</v>
      </c>
      <c r="K42">
        <v>0</v>
      </c>
      <c r="L42" s="8">
        <v>0</v>
      </c>
      <c r="M42">
        <v>0</v>
      </c>
      <c r="N42" s="8">
        <v>0</v>
      </c>
      <c r="O42" s="222"/>
      <c r="P42" s="227"/>
      <c r="Q42" s="227"/>
      <c r="R42" s="227"/>
      <c r="S42" s="227"/>
      <c r="T42" s="8"/>
    </row>
    <row r="43" spans="1:20">
      <c r="A43" s="222" t="str">
        <f t="shared" si="1"/>
        <v>: Negative electrode binder, g/cell</v>
      </c>
      <c r="B43" s="227" t="s">
        <v>1152</v>
      </c>
      <c r="F43" s="407">
        <v>0.13898976148424338</v>
      </c>
      <c r="G43" s="8">
        <v>0.54706400837858848</v>
      </c>
      <c r="H43" s="8">
        <v>0.72139842152631861</v>
      </c>
      <c r="I43">
        <v>0.53806985288672038</v>
      </c>
      <c r="J43">
        <v>0.52640185468966072</v>
      </c>
      <c r="K43">
        <v>1.4975398691976458</v>
      </c>
      <c r="L43" s="8">
        <v>10.610169990969046</v>
      </c>
      <c r="M43">
        <v>8.3772951947206007</v>
      </c>
      <c r="N43" s="8">
        <v>1.6667902029081991</v>
      </c>
      <c r="O43" s="222"/>
      <c r="P43" s="227"/>
      <c r="Q43" s="227"/>
      <c r="R43" s="227"/>
      <c r="S43" s="227"/>
      <c r="T43" s="8"/>
    </row>
    <row r="44" spans="1:20">
      <c r="A44" s="222" t="str">
        <f t="shared" si="1"/>
        <v>: Negative electrode binder solvent (Water), g/cell</v>
      </c>
      <c r="B44" s="227" t="str">
        <f>"Negative electrode binder solvent (" &amp; [2]Chem!$C$43 &amp; "), g/cell"</f>
        <v>Negative electrode binder solvent (Water), g/cell</v>
      </c>
      <c r="F44" s="407">
        <v>3.3357542756218415</v>
      </c>
      <c r="G44" s="8">
        <v>13.129536201086124</v>
      </c>
      <c r="H44" s="8">
        <v>17.313562116631648</v>
      </c>
      <c r="I44">
        <v>12.913676469281288</v>
      </c>
      <c r="J44">
        <v>12.633644512551857</v>
      </c>
      <c r="K44">
        <v>35.940956860743498</v>
      </c>
      <c r="L44" s="8">
        <v>254.6440797832571</v>
      </c>
      <c r="M44">
        <v>201.0550846732944</v>
      </c>
      <c r="N44" s="8">
        <v>40.002964869796777</v>
      </c>
      <c r="O44" s="222"/>
      <c r="P44" s="227"/>
      <c r="Q44" s="227"/>
      <c r="R44" s="227"/>
      <c r="S44" s="227"/>
      <c r="T44" s="8"/>
    </row>
    <row r="45" spans="1:20">
      <c r="A45" s="222" t="str">
        <f t="shared" si="1"/>
        <v>: Total for negative electrode (dry), g/cell</v>
      </c>
      <c r="B45" s="227" t="s">
        <v>1153</v>
      </c>
      <c r="F45" s="407">
        <v>6.9494880742121694</v>
      </c>
      <c r="G45" s="8">
        <v>27.353200418929422</v>
      </c>
      <c r="H45" s="8">
        <v>36.069921076315929</v>
      </c>
      <c r="I45">
        <v>26.903492644336026</v>
      </c>
      <c r="J45">
        <v>26.320092734483033</v>
      </c>
      <c r="K45">
        <v>74.876993459882286</v>
      </c>
      <c r="L45" s="8">
        <v>530.50849954845239</v>
      </c>
      <c r="M45">
        <v>418.86475973603001</v>
      </c>
      <c r="N45" s="8">
        <v>83.339510145409974</v>
      </c>
      <c r="O45" s="222"/>
      <c r="P45" s="227"/>
      <c r="Q45" s="227"/>
      <c r="R45" s="227"/>
      <c r="S45" s="227"/>
      <c r="T45" s="8"/>
    </row>
    <row r="46" spans="1:20" s="6" customFormat="1">
      <c r="A46" s="222"/>
      <c r="B46" s="227"/>
      <c r="F46" s="407"/>
      <c r="G46" s="10"/>
      <c r="H46" s="10"/>
      <c r="L46" s="10"/>
      <c r="N46" s="10"/>
      <c r="O46" s="262"/>
      <c r="P46" s="260"/>
      <c r="Q46" s="260"/>
      <c r="R46" s="260"/>
      <c r="S46" s="260"/>
      <c r="T46" s="10"/>
    </row>
    <row r="47" spans="1:20" s="6" customFormat="1">
      <c r="A47" s="369" t="s">
        <v>1154</v>
      </c>
      <c r="B47" s="227"/>
      <c r="E47" s="6">
        <v>92.2</v>
      </c>
      <c r="F47" s="407"/>
      <c r="G47" s="10"/>
      <c r="H47" s="10"/>
      <c r="L47" s="10"/>
      <c r="N47" s="10"/>
      <c r="O47" s="262"/>
      <c r="P47" s="260"/>
      <c r="Q47" s="260"/>
      <c r="R47" s="260"/>
      <c r="S47" s="260"/>
      <c r="T47" s="10"/>
    </row>
    <row r="48" spans="1:20" s="6" customFormat="1">
      <c r="A48" s="222"/>
      <c r="B48" s="370" t="str">
        <f>"Positive electrode additve (" &amp; [2]Chem!$C$73&amp; "), g/cell"</f>
        <v>Positive electrode additve (None), g/cell</v>
      </c>
      <c r="E48" s="6">
        <v>92.2</v>
      </c>
      <c r="F48" s="407">
        <v>0</v>
      </c>
      <c r="G48" s="10">
        <v>0</v>
      </c>
      <c r="H48" s="10">
        <v>0</v>
      </c>
      <c r="I48" s="6">
        <v>0</v>
      </c>
      <c r="J48" s="6">
        <v>0</v>
      </c>
      <c r="K48" s="6">
        <v>0</v>
      </c>
      <c r="L48" s="10">
        <v>0</v>
      </c>
      <c r="M48" s="6">
        <v>0</v>
      </c>
      <c r="N48" s="10">
        <v>0</v>
      </c>
      <c r="O48" s="262"/>
      <c r="P48" s="177"/>
      <c r="Q48" s="177"/>
      <c r="R48" s="260"/>
      <c r="S48" s="260"/>
      <c r="T48" s="10"/>
    </row>
    <row r="49" spans="1:20" s="6" customFormat="1">
      <c r="A49" s="222"/>
      <c r="B49" s="370" t="str">
        <f>"Negative electrode additve (" &amp; [2]Chem!$C$79&amp; "), g/cell"</f>
        <v>Negative electrode additve (None), g/cell</v>
      </c>
      <c r="E49" s="6">
        <v>99</v>
      </c>
      <c r="F49" s="407">
        <v>0</v>
      </c>
      <c r="G49" s="10">
        <v>0</v>
      </c>
      <c r="H49" s="10">
        <v>0</v>
      </c>
      <c r="I49" s="6">
        <v>0</v>
      </c>
      <c r="J49" s="6">
        <v>0</v>
      </c>
      <c r="K49" s="6">
        <v>0</v>
      </c>
      <c r="L49" s="10">
        <v>0</v>
      </c>
      <c r="M49" s="6">
        <v>0</v>
      </c>
      <c r="N49" s="10">
        <v>0</v>
      </c>
      <c r="O49" s="262"/>
      <c r="P49" s="177"/>
      <c r="Q49" s="177"/>
      <c r="R49" s="260"/>
      <c r="S49" s="260"/>
      <c r="T49" s="10"/>
    </row>
    <row r="50" spans="1:20" s="6" customFormat="1">
      <c r="A50" s="222"/>
      <c r="B50" s="370" t="str">
        <f>"Electrolyte additve (" &amp; [2]Chem!$C$85&amp; "), g/cell"</f>
        <v>Electrolyte additve (None), g/cell</v>
      </c>
      <c r="F50" s="407">
        <v>0</v>
      </c>
      <c r="G50" s="10">
        <v>0</v>
      </c>
      <c r="H50" s="10">
        <v>0</v>
      </c>
      <c r="I50" s="6">
        <v>0</v>
      </c>
      <c r="J50" s="6">
        <v>0</v>
      </c>
      <c r="K50" s="6">
        <v>0</v>
      </c>
      <c r="L50" s="10">
        <v>0</v>
      </c>
      <c r="M50" s="6">
        <v>0</v>
      </c>
      <c r="N50" s="10">
        <v>0</v>
      </c>
      <c r="O50" s="262"/>
      <c r="P50" s="177"/>
      <c r="Q50" s="177"/>
      <c r="R50" s="260"/>
      <c r="S50" s="260"/>
      <c r="T50" s="10"/>
    </row>
    <row r="51" spans="1:20" s="6" customFormat="1">
      <c r="A51" s="222"/>
      <c r="B51" s="227"/>
      <c r="F51" s="407"/>
      <c r="G51" s="10"/>
      <c r="H51" s="10"/>
      <c r="L51" s="10"/>
      <c r="N51" s="10"/>
      <c r="O51" s="262"/>
      <c r="P51" s="177"/>
      <c r="Q51" s="177"/>
      <c r="R51" s="260"/>
      <c r="S51" s="260"/>
      <c r="T51" s="10"/>
    </row>
    <row r="52" spans="1:20" s="6" customFormat="1">
      <c r="A52" s="369" t="s">
        <v>1155</v>
      </c>
      <c r="B52" s="227"/>
      <c r="E52" s="6">
        <v>90.2</v>
      </c>
      <c r="F52" s="407"/>
      <c r="G52" s="10"/>
      <c r="H52" s="10"/>
      <c r="L52" s="10"/>
      <c r="N52" s="10"/>
      <c r="O52" s="262"/>
      <c r="P52" s="177"/>
      <c r="Q52" s="177"/>
      <c r="R52" s="260"/>
      <c r="S52" s="260"/>
      <c r="T52" s="10"/>
    </row>
    <row r="53" spans="1:20" s="6" customFormat="1">
      <c r="A53" s="222" t="str">
        <f t="shared" si="1"/>
        <v>: Positive current collector, m²</v>
      </c>
      <c r="B53" s="227" t="s">
        <v>1357</v>
      </c>
      <c r="E53" s="6">
        <v>90.2</v>
      </c>
      <c r="F53" s="408">
        <v>0.3988262368924288</v>
      </c>
      <c r="G53" s="10">
        <v>1.41065921198734</v>
      </c>
      <c r="H53" s="10">
        <v>1.3409692994778506</v>
      </c>
      <c r="I53" s="6">
        <v>1.6212330687656336</v>
      </c>
      <c r="J53" s="6">
        <v>1.5053815938849655</v>
      </c>
      <c r="K53" s="6">
        <v>1.4906425405825021</v>
      </c>
      <c r="L53" s="10">
        <v>0.89958619212631963</v>
      </c>
      <c r="M53" s="6">
        <v>0.97329131033057037</v>
      </c>
      <c r="N53" s="10">
        <v>0.4162801731709323</v>
      </c>
      <c r="O53" s="262"/>
      <c r="P53" s="177"/>
      <c r="Q53" s="177"/>
      <c r="R53" s="260"/>
      <c r="S53" s="260"/>
      <c r="T53" s="10"/>
    </row>
    <row r="54" spans="1:20" s="6" customFormat="1">
      <c r="A54" s="222" t="str">
        <f t="shared" si="1"/>
        <v>: Negative current collector, m²</v>
      </c>
      <c r="B54" s="227" t="s">
        <v>1358</v>
      </c>
      <c r="E54" s="6">
        <v>98</v>
      </c>
      <c r="F54" s="408">
        <v>0.44823337653620859</v>
      </c>
      <c r="G54" s="10">
        <v>1.4824478208940477</v>
      </c>
      <c r="H54" s="10">
        <v>1.4104869303447591</v>
      </c>
      <c r="I54" s="6">
        <v>1.6976737717214263</v>
      </c>
      <c r="J54" s="6">
        <v>1.5780776954627282</v>
      </c>
      <c r="K54" s="6">
        <v>1.5633462684866213</v>
      </c>
      <c r="L54" s="10">
        <v>0.95887489887169997</v>
      </c>
      <c r="M54" s="6">
        <v>1.0346548117561987</v>
      </c>
      <c r="N54" s="10">
        <v>0.46366712266758747</v>
      </c>
      <c r="O54" s="232"/>
      <c r="P54" s="219"/>
      <c r="Q54" s="219"/>
      <c r="R54" s="264"/>
      <c r="S54" s="264"/>
      <c r="T54" s="10"/>
    </row>
    <row r="55" spans="1:20" s="6" customFormat="1">
      <c r="A55" s="222" t="str">
        <f t="shared" si="1"/>
        <v>: Separators, m²</v>
      </c>
      <c r="B55" s="227" t="s">
        <v>1359</v>
      </c>
      <c r="E55" s="6">
        <v>99</v>
      </c>
      <c r="F55" s="408">
        <v>0.7032705028709525</v>
      </c>
      <c r="G55" s="10">
        <v>2.4862869363830424</v>
      </c>
      <c r="H55" s="10">
        <v>2.3619423281882357</v>
      </c>
      <c r="I55" s="6">
        <v>2.8568945587385022</v>
      </c>
      <c r="J55" s="6">
        <v>2.6495784673816303</v>
      </c>
      <c r="K55" s="6">
        <v>2.6247182701347147</v>
      </c>
      <c r="L55" s="10">
        <v>1.5845520171518941</v>
      </c>
      <c r="M55" s="6">
        <v>1.7148786947906256</v>
      </c>
      <c r="N55" s="10">
        <v>0.73292014893351609</v>
      </c>
      <c r="O55" s="259"/>
      <c r="Q55" s="260"/>
      <c r="R55" s="265"/>
      <c r="S55" s="260"/>
      <c r="T55" s="10"/>
    </row>
    <row r="56" spans="1:20" s="6" customFormat="1">
      <c r="A56" s="222" t="str">
        <f t="shared" si="1"/>
        <v>: Electrolyte, L</v>
      </c>
      <c r="B56" s="227" t="s">
        <v>431</v>
      </c>
      <c r="F56" s="408">
        <v>0.3237003146065548</v>
      </c>
      <c r="G56" s="10">
        <v>0.19137888821484955</v>
      </c>
      <c r="H56" s="10">
        <v>0.25931069488151615</v>
      </c>
      <c r="I56" s="6">
        <v>0.16769492765695904</v>
      </c>
      <c r="J56" s="6">
        <v>0.1610617118841754</v>
      </c>
      <c r="K56" s="6">
        <v>0.16165550273308105</v>
      </c>
      <c r="L56" s="10">
        <v>0.17670314305217261</v>
      </c>
      <c r="M56" s="6">
        <v>0.17118739241351308</v>
      </c>
      <c r="N56" s="10">
        <v>0.2866636559361308</v>
      </c>
      <c r="O56" s="262"/>
      <c r="P56" s="266"/>
      <c r="Q56" s="260"/>
      <c r="R56" s="267"/>
      <c r="S56" s="267"/>
      <c r="T56" s="10"/>
    </row>
    <row r="57" spans="1:20" s="6" customFormat="1">
      <c r="A57" s="222"/>
      <c r="B57" s="227"/>
      <c r="F57" s="408"/>
      <c r="G57" s="10"/>
      <c r="H57" s="10"/>
      <c r="L57" s="10"/>
      <c r="N57" s="10"/>
      <c r="O57" s="262"/>
      <c r="P57" s="266"/>
      <c r="Q57" s="260"/>
      <c r="R57" s="267"/>
      <c r="S57" s="267"/>
      <c r="T57" s="10"/>
    </row>
    <row r="58" spans="1:20" s="6" customFormat="1" ht="16">
      <c r="A58" s="224" t="s">
        <v>432</v>
      </c>
      <c r="B58" s="226"/>
      <c r="F58" s="409"/>
      <c r="G58" s="10"/>
      <c r="H58" s="10"/>
      <c r="L58" s="10"/>
      <c r="N58" s="10"/>
      <c r="O58" s="262"/>
      <c r="P58" s="266"/>
      <c r="Q58" s="260"/>
      <c r="R58" s="267"/>
      <c r="S58" s="267"/>
      <c r="T58" s="10"/>
    </row>
    <row r="59" spans="1:20" s="6" customFormat="1">
      <c r="A59" s="369" t="s">
        <v>1156</v>
      </c>
      <c r="B59" s="226"/>
      <c r="F59" s="409"/>
      <c r="G59" s="10"/>
      <c r="H59" s="10"/>
      <c r="L59" s="10"/>
      <c r="N59" s="10"/>
      <c r="O59" s="262"/>
      <c r="P59" s="266"/>
      <c r="Q59" s="260"/>
      <c r="R59" s="267"/>
      <c r="S59" s="267"/>
      <c r="T59" s="10"/>
    </row>
    <row r="60" spans="1:20" s="6" customFormat="1">
      <c r="A60" s="222" t="str">
        <f>$B$58 &amp; ": " &amp; B60</f>
        <v>: Positive electrode active material, kg/yr</v>
      </c>
      <c r="B60" s="227" t="s">
        <v>1157</v>
      </c>
      <c r="F60" s="231">
        <v>175903726.53736049</v>
      </c>
      <c r="G60" s="10">
        <v>201089683.50440979</v>
      </c>
      <c r="H60" s="10">
        <v>100135099.13612665</v>
      </c>
      <c r="I60" s="6">
        <v>715173483.89708245</v>
      </c>
      <c r="J60" s="6">
        <v>416293616.79115021</v>
      </c>
      <c r="K60" s="6">
        <v>141285177.42845264</v>
      </c>
      <c r="L60" s="10">
        <v>62557963.863392174</v>
      </c>
      <c r="M60" s="6">
        <v>93298812.772607476</v>
      </c>
      <c r="N60" s="10">
        <v>75024872.376168177</v>
      </c>
      <c r="O60" s="259"/>
      <c r="Q60" s="260"/>
      <c r="R60" s="267"/>
      <c r="S60" s="267"/>
      <c r="T60" s="10"/>
    </row>
    <row r="61" spans="1:20" s="6" customFormat="1">
      <c r="A61" s="222" t="str">
        <f>$B$58 &amp; ": " &amp; B61</f>
        <v>: Positive electrode carbon additive, kg/yr</v>
      </c>
      <c r="B61" s="227" t="s">
        <v>1158</v>
      </c>
      <c r="F61" s="231">
        <v>3664660.9695283426</v>
      </c>
      <c r="G61" s="10">
        <v>11171649.083578326</v>
      </c>
      <c r="H61" s="10">
        <v>5563061.0631181467</v>
      </c>
      <c r="I61" s="6">
        <v>14899447.581189213</v>
      </c>
      <c r="J61" s="6">
        <v>8672783.6831489634</v>
      </c>
      <c r="K61" s="6">
        <v>2943441.1964260954</v>
      </c>
      <c r="L61" s="10">
        <v>1303290.9138206702</v>
      </c>
      <c r="M61" s="6">
        <v>1943725.2660959892</v>
      </c>
      <c r="N61" s="10">
        <v>1563018.1745035038</v>
      </c>
      <c r="O61" s="262"/>
      <c r="P61" s="266"/>
      <c r="Q61" s="260"/>
      <c r="R61" s="267"/>
      <c r="S61" s="267"/>
      <c r="T61" s="10"/>
    </row>
    <row r="62" spans="1:20" s="6" customFormat="1">
      <c r="A62" s="222" t="str">
        <f>$B$58 &amp; ": " &amp; B62</f>
        <v>: Positive electrode binder, kg/yr</v>
      </c>
      <c r="B62" s="227" t="s">
        <v>1159</v>
      </c>
      <c r="E62" s="6">
        <v>99.5</v>
      </c>
      <c r="F62" s="231">
        <v>3664660.9695283426</v>
      </c>
      <c r="G62" s="10">
        <v>11171649.083578326</v>
      </c>
      <c r="H62" s="10">
        <v>5563061.0631181467</v>
      </c>
      <c r="I62" s="6">
        <v>14899447.581189213</v>
      </c>
      <c r="J62" s="6">
        <v>8672783.6831489634</v>
      </c>
      <c r="K62" s="6">
        <v>2943441.1964260954</v>
      </c>
      <c r="L62" s="10">
        <v>1303290.9138206702</v>
      </c>
      <c r="M62" s="6">
        <v>1943725.2660959892</v>
      </c>
      <c r="N62" s="10">
        <v>1563018.1745035038</v>
      </c>
      <c r="O62" s="262"/>
      <c r="P62" s="266"/>
      <c r="Q62" s="260"/>
      <c r="R62" s="267"/>
      <c r="S62" s="267"/>
      <c r="T62" s="10"/>
    </row>
    <row r="63" spans="1:20" s="6" customFormat="1">
      <c r="A63" s="222" t="str">
        <f>$B$58 &amp; ": " &amp; B63</f>
        <v>: Positive electrode binder solvent, kg/yr</v>
      </c>
      <c r="B63" s="227" t="s">
        <v>1160</v>
      </c>
      <c r="F63" s="231">
        <v>7265703.4246256696</v>
      </c>
      <c r="G63" s="10">
        <v>22149358.339065723</v>
      </c>
      <c r="H63" s="10">
        <v>11029547.386180557</v>
      </c>
      <c r="I63" s="6">
        <v>29540240.752368972</v>
      </c>
      <c r="J63" s="6">
        <v>17195007.841558453</v>
      </c>
      <c r="K63" s="6">
        <v>5835784.2536822315</v>
      </c>
      <c r="L63" s="10">
        <v>2583956.6973774126</v>
      </c>
      <c r="M63" s="6">
        <v>3853707.4615725498</v>
      </c>
      <c r="N63" s="10">
        <v>3098902.3534976249</v>
      </c>
      <c r="O63" s="262"/>
      <c r="P63" s="266"/>
      <c r="Q63" s="260"/>
      <c r="R63" s="267"/>
      <c r="S63" s="267"/>
      <c r="T63" s="10"/>
    </row>
    <row r="64" spans="1:20" s="6" customFormat="1">
      <c r="A64" s="222"/>
      <c r="B64" s="227"/>
      <c r="F64" s="231"/>
      <c r="G64" s="10"/>
      <c r="H64" s="10"/>
      <c r="L64" s="10"/>
      <c r="N64" s="10"/>
      <c r="O64" s="262"/>
      <c r="P64" s="260"/>
      <c r="Q64" s="260"/>
      <c r="R64" s="267"/>
      <c r="S64" s="267"/>
      <c r="T64" s="10"/>
    </row>
    <row r="65" spans="1:20" s="6" customFormat="1">
      <c r="A65" s="369" t="s">
        <v>1161</v>
      </c>
      <c r="B65" s="226"/>
      <c r="F65" s="231"/>
      <c r="G65" s="10"/>
      <c r="H65" s="10"/>
      <c r="L65" s="10"/>
      <c r="N65" s="10"/>
      <c r="O65" s="262"/>
      <c r="P65" s="260"/>
      <c r="Q65" s="260"/>
      <c r="R65" s="267"/>
      <c r="S65" s="267"/>
      <c r="T65" s="10"/>
    </row>
    <row r="66" spans="1:20" s="6" customFormat="1">
      <c r="A66" s="222" t="str">
        <f>$B$58 &amp; ": " &amp; B66</f>
        <v>: Negative electrode active material, kg/yr</v>
      </c>
      <c r="B66" s="227" t="s">
        <v>1162</v>
      </c>
      <c r="F66" s="231">
        <v>6701530.339724279</v>
      </c>
      <c r="G66" s="10">
        <v>9650209.1077983007</v>
      </c>
      <c r="H66" s="10">
        <v>8483645.4371495061</v>
      </c>
      <c r="I66" s="6">
        <v>11105116.079758449</v>
      </c>
      <c r="J66" s="6">
        <v>7351201.9007411115</v>
      </c>
      <c r="K66" s="6">
        <v>5686907.6532780593</v>
      </c>
      <c r="L66" s="10">
        <v>41175947.700952671</v>
      </c>
      <c r="M66" s="6">
        <v>45317816.085360557</v>
      </c>
      <c r="N66" s="10">
        <v>32930440.680816714</v>
      </c>
      <c r="O66" s="262"/>
      <c r="P66" s="260"/>
      <c r="Q66" s="260"/>
      <c r="R66" s="267"/>
      <c r="S66" s="267"/>
      <c r="T66" s="10"/>
    </row>
    <row r="67" spans="1:20" s="6" customFormat="1">
      <c r="A67" s="222" t="str">
        <f>$B$58 &amp; ": " &amp; B67</f>
        <v>: Negative electrode conductive additive, kg/yr</v>
      </c>
      <c r="B67" s="227" t="s">
        <v>1163</v>
      </c>
      <c r="F67" s="231">
        <v>0</v>
      </c>
      <c r="G67" s="10">
        <v>0</v>
      </c>
      <c r="H67" s="10">
        <v>0</v>
      </c>
      <c r="I67" s="6">
        <v>0</v>
      </c>
      <c r="J67" s="6">
        <v>0</v>
      </c>
      <c r="K67" s="6">
        <v>0</v>
      </c>
      <c r="L67" s="10">
        <v>0</v>
      </c>
      <c r="M67" s="6">
        <v>0</v>
      </c>
      <c r="N67" s="10">
        <v>0</v>
      </c>
      <c r="O67" s="262"/>
      <c r="P67" s="260"/>
      <c r="Q67" s="260"/>
      <c r="R67" s="267"/>
      <c r="S67" s="267"/>
      <c r="T67" s="10"/>
    </row>
    <row r="68" spans="1:20" s="6" customFormat="1">
      <c r="A68" s="222" t="str">
        <f>$B$58 &amp; ": " &amp; B68</f>
        <v>: Negative electrode binder, kg/yr</v>
      </c>
      <c r="B68" s="227" t="s">
        <v>1164</v>
      </c>
      <c r="E68" s="6">
        <v>0</v>
      </c>
      <c r="F68" s="231">
        <v>136765.9253004955</v>
      </c>
      <c r="G68" s="10">
        <v>196943.04301629186</v>
      </c>
      <c r="H68" s="10">
        <v>173135.62116631647</v>
      </c>
      <c r="I68" s="6">
        <v>226635.02203588662</v>
      </c>
      <c r="J68" s="6">
        <v>150024.52858655329</v>
      </c>
      <c r="K68" s="6">
        <v>116059.33986281755</v>
      </c>
      <c r="L68" s="10">
        <v>840325.46328474849</v>
      </c>
      <c r="M68" s="6">
        <v>924853.38949715439</v>
      </c>
      <c r="N68" s="10">
        <v>672049.80981258582</v>
      </c>
      <c r="O68" s="259"/>
      <c r="Q68" s="260"/>
      <c r="R68" s="267"/>
      <c r="S68" s="268"/>
      <c r="T68" s="10"/>
    </row>
    <row r="69" spans="1:20" s="6" customFormat="1">
      <c r="A69" s="222" t="str">
        <f>$B$58 &amp; ": " &amp; B69</f>
        <v>: Negative electrode binder solvent, kg/yr</v>
      </c>
      <c r="B69" s="227" t="s">
        <v>1165</v>
      </c>
      <c r="F69" s="231">
        <v>3282382.2072118921</v>
      </c>
      <c r="G69" s="10">
        <v>4726633.0323910043</v>
      </c>
      <c r="H69" s="10">
        <v>4155254.9079915951</v>
      </c>
      <c r="I69" s="6">
        <v>5439240.5288612787</v>
      </c>
      <c r="J69" s="6">
        <v>3600588.686077279</v>
      </c>
      <c r="K69" s="6">
        <v>2785424.1567076212</v>
      </c>
      <c r="L69" s="10">
        <v>20167811.118833963</v>
      </c>
      <c r="M69" s="6">
        <v>22196481.347931702</v>
      </c>
      <c r="N69" s="10">
        <v>16129195.43550206</v>
      </c>
      <c r="O69" s="262"/>
      <c r="P69" s="177"/>
      <c r="Q69" s="177"/>
      <c r="R69" s="269"/>
      <c r="S69" s="268"/>
      <c r="T69" s="10"/>
    </row>
    <row r="70" spans="1:20" s="6" customFormat="1">
      <c r="A70" s="222"/>
      <c r="B70" s="227"/>
      <c r="F70" s="231"/>
      <c r="G70" s="10"/>
      <c r="H70" s="10"/>
      <c r="L70" s="10"/>
      <c r="N70" s="10"/>
      <c r="O70" s="262"/>
      <c r="P70" s="177"/>
      <c r="Q70" s="177"/>
      <c r="R70" s="269"/>
      <c r="S70" s="268"/>
      <c r="T70" s="10"/>
    </row>
    <row r="71" spans="1:20" s="6" customFormat="1">
      <c r="A71" s="369" t="s">
        <v>1166</v>
      </c>
      <c r="B71" s="227"/>
      <c r="F71" s="231"/>
      <c r="G71" s="10"/>
      <c r="H71" s="10"/>
      <c r="L71" s="10"/>
      <c r="N71" s="10"/>
      <c r="O71" s="262"/>
      <c r="P71" s="177"/>
      <c r="Q71" s="177"/>
      <c r="R71" s="269"/>
      <c r="S71" s="268"/>
      <c r="T71" s="10"/>
    </row>
    <row r="72" spans="1:20" s="6" customFormat="1">
      <c r="A72" s="222"/>
      <c r="B72" s="370" t="str">
        <f>"Positive electrode additve (" &amp; [2]Chem!$C$73&amp; "), kg/yr"</f>
        <v>Positive electrode additve (None), kg/yr</v>
      </c>
      <c r="F72" s="231">
        <v>0</v>
      </c>
      <c r="G72" s="10">
        <v>0</v>
      </c>
      <c r="H72" s="10">
        <v>0</v>
      </c>
      <c r="I72" s="6">
        <v>0</v>
      </c>
      <c r="J72" s="6">
        <v>0</v>
      </c>
      <c r="K72" s="6">
        <v>0</v>
      </c>
      <c r="L72" s="10">
        <v>0</v>
      </c>
      <c r="M72" s="6">
        <v>0</v>
      </c>
      <c r="N72" s="10">
        <v>0</v>
      </c>
      <c r="O72" s="270"/>
      <c r="P72" s="259"/>
      <c r="Q72" s="259"/>
      <c r="R72" s="267"/>
      <c r="S72" s="268"/>
      <c r="T72" s="10"/>
    </row>
    <row r="73" spans="1:20" s="6" customFormat="1">
      <c r="A73" s="222"/>
      <c r="B73" s="370" t="str">
        <f>"Negative electrode additve (" &amp; [2]Chem!$C$79&amp; "), kg/yr"</f>
        <v>Negative electrode additve (None), kg/yr</v>
      </c>
      <c r="F73" s="231">
        <v>0</v>
      </c>
      <c r="G73" s="10">
        <v>0</v>
      </c>
      <c r="H73" s="10">
        <v>0</v>
      </c>
      <c r="I73" s="6">
        <v>0</v>
      </c>
      <c r="J73" s="6">
        <v>0</v>
      </c>
      <c r="K73" s="6">
        <v>0</v>
      </c>
      <c r="L73" s="10">
        <v>0</v>
      </c>
      <c r="M73" s="6">
        <v>0</v>
      </c>
      <c r="N73" s="10">
        <v>0</v>
      </c>
      <c r="O73" s="259"/>
      <c r="Q73" s="260"/>
      <c r="R73" s="267"/>
      <c r="S73" s="268"/>
      <c r="T73" s="10"/>
    </row>
    <row r="74" spans="1:20" s="6" customFormat="1">
      <c r="A74" s="222"/>
      <c r="B74" s="370" t="str">
        <f>"Electrolyte additve (" &amp; [2]Chem!$C$85&amp; "), kg/yr"</f>
        <v>Electrolyte additve (None), kg/yr</v>
      </c>
      <c r="F74" s="231">
        <v>0</v>
      </c>
      <c r="G74" s="10">
        <v>0</v>
      </c>
      <c r="H74" s="10">
        <v>0</v>
      </c>
      <c r="I74" s="6">
        <v>0</v>
      </c>
      <c r="J74" s="6">
        <v>0</v>
      </c>
      <c r="K74" s="6">
        <v>0</v>
      </c>
      <c r="L74" s="10">
        <v>0</v>
      </c>
      <c r="M74" s="6">
        <v>0</v>
      </c>
      <c r="N74" s="10">
        <v>0</v>
      </c>
      <c r="O74" s="262"/>
      <c r="P74" s="266"/>
      <c r="Q74" s="266"/>
      <c r="R74" s="267"/>
      <c r="S74" s="268"/>
      <c r="T74" s="10"/>
    </row>
    <row r="75" spans="1:20">
      <c r="A75" s="222"/>
      <c r="B75" s="227"/>
      <c r="F75" s="231"/>
      <c r="G75" s="8"/>
      <c r="H75" s="8"/>
      <c r="L75" s="8"/>
      <c r="N75" s="8"/>
      <c r="O75" s="222"/>
      <c r="P75" s="233"/>
      <c r="Q75" s="233"/>
      <c r="R75" s="234"/>
      <c r="S75" s="236"/>
      <c r="T75" s="8"/>
    </row>
    <row r="76" spans="1:20">
      <c r="A76" s="369" t="s">
        <v>1155</v>
      </c>
      <c r="B76" s="227"/>
      <c r="F76" s="231"/>
      <c r="G76" s="8"/>
      <c r="H76" s="8"/>
      <c r="L76" s="8"/>
      <c r="N76" s="8"/>
      <c r="O76" s="222"/>
      <c r="P76" s="233"/>
      <c r="Q76" s="233"/>
      <c r="R76" s="234"/>
      <c r="S76" s="236"/>
      <c r="T76" s="8"/>
    </row>
    <row r="77" spans="1:20">
      <c r="A77" s="222" t="str">
        <f t="shared" ref="A77:A86" si="2">$B$58 &amp; ": " &amp; B77</f>
        <v>: Positive current collector, m²</v>
      </c>
      <c r="B77" s="227" t="s">
        <v>1357</v>
      </c>
      <c r="F77" s="231">
        <v>392445017.10214996</v>
      </c>
      <c r="G77" s="8">
        <v>507837316.31544238</v>
      </c>
      <c r="H77" s="8">
        <v>321832631.87468415</v>
      </c>
      <c r="I77">
        <v>682863368.56408489</v>
      </c>
      <c r="J77">
        <v>429033754.25721514</v>
      </c>
      <c r="K77">
        <v>115524796.89514391</v>
      </c>
      <c r="L77" s="8">
        <v>71247226.416404516</v>
      </c>
      <c r="M77">
        <v>107451360.66049497</v>
      </c>
      <c r="N77" s="8">
        <v>167844165.8225199</v>
      </c>
      <c r="O77" s="222"/>
      <c r="P77" s="233"/>
      <c r="Q77" s="233"/>
      <c r="R77" s="234"/>
      <c r="S77" s="236"/>
      <c r="T77" s="8"/>
    </row>
    <row r="78" spans="1:20">
      <c r="A78" s="222" t="str">
        <f t="shared" si="2"/>
        <v>: Negative current collector, m²</v>
      </c>
      <c r="B78" s="227" t="s">
        <v>1358</v>
      </c>
      <c r="F78" s="231">
        <v>441061642.51162928</v>
      </c>
      <c r="G78" s="8">
        <v>533681215.52185714</v>
      </c>
      <c r="H78" s="8">
        <v>338516863.2827422</v>
      </c>
      <c r="I78">
        <v>715060192.64906478</v>
      </c>
      <c r="J78">
        <v>449752143.20687753</v>
      </c>
      <c r="K78">
        <v>121159335.80771315</v>
      </c>
      <c r="L78" s="8">
        <v>75942891.990638644</v>
      </c>
      <c r="M78">
        <v>114225891.21788433</v>
      </c>
      <c r="N78" s="8">
        <v>186950583.85957128</v>
      </c>
      <c r="O78" s="226"/>
      <c r="Q78" s="227"/>
      <c r="R78" s="234"/>
      <c r="S78" s="236"/>
      <c r="T78" s="8"/>
    </row>
    <row r="79" spans="1:20">
      <c r="A79" s="222" t="str">
        <f t="shared" si="2"/>
        <v>: Separators, m²</v>
      </c>
      <c r="B79" s="227" t="s">
        <v>1359</v>
      </c>
      <c r="F79" s="231">
        <v>692018174.82501721</v>
      </c>
      <c r="G79" s="8">
        <v>895063297.09789526</v>
      </c>
      <c r="H79" s="8">
        <v>566866158.76517653</v>
      </c>
      <c r="I79">
        <v>1203323988.1406572</v>
      </c>
      <c r="J79">
        <v>755129863.20376468</v>
      </c>
      <c r="K79">
        <v>203415665.93544039</v>
      </c>
      <c r="L79" s="8">
        <v>125496519.75843002</v>
      </c>
      <c r="M79">
        <v>189322607.90488505</v>
      </c>
      <c r="N79" s="8">
        <v>295513404.04999369</v>
      </c>
      <c r="O79" s="222"/>
      <c r="P79" s="233"/>
      <c r="Q79" s="227"/>
      <c r="R79" s="234"/>
      <c r="S79" s="236"/>
      <c r="T79" s="8"/>
    </row>
    <row r="80" spans="1:20">
      <c r="A80" s="222" t="str">
        <f t="shared" si="2"/>
        <v>: Electrolyte, L</v>
      </c>
      <c r="B80" s="227" t="s">
        <v>431</v>
      </c>
      <c r="F80" s="231">
        <v>318521109.57284993</v>
      </c>
      <c r="G80" s="8">
        <v>68896399.75734584</v>
      </c>
      <c r="H80" s="8">
        <v>62234566.771563873</v>
      </c>
      <c r="I80">
        <v>70633103.529111147</v>
      </c>
      <c r="J80">
        <v>45902587.886989988</v>
      </c>
      <c r="K80">
        <v>12528301.461813781</v>
      </c>
      <c r="L80" s="8">
        <v>13994888.929732071</v>
      </c>
      <c r="M80">
        <v>18899088.122451846</v>
      </c>
      <c r="N80" s="8">
        <v>115582786.07344794</v>
      </c>
      <c r="O80" s="222"/>
      <c r="P80" s="233"/>
      <c r="Q80" s="227"/>
      <c r="R80" s="234"/>
      <c r="S80" s="236"/>
      <c r="T80" s="8"/>
    </row>
    <row r="81" spans="1:20">
      <c r="A81" s="222" t="str">
        <f t="shared" si="2"/>
        <v>: Number of negative terminals</v>
      </c>
      <c r="B81" s="223" t="s">
        <v>1167</v>
      </c>
      <c r="F81" s="231">
        <v>1035789473.6842105</v>
      </c>
      <c r="G81" s="8">
        <v>378947368.42105263</v>
      </c>
      <c r="H81" s="8">
        <v>252631578.94736841</v>
      </c>
      <c r="I81">
        <v>443368421.05263156</v>
      </c>
      <c r="J81">
        <v>300000000</v>
      </c>
      <c r="K81">
        <v>81578947.368421063</v>
      </c>
      <c r="L81" s="8">
        <v>83368421.052631587</v>
      </c>
      <c r="M81">
        <v>116210526.31578949</v>
      </c>
      <c r="N81" s="8">
        <v>424421052.63157898</v>
      </c>
      <c r="O81" s="222"/>
      <c r="P81" s="233"/>
      <c r="Q81" s="227"/>
      <c r="R81" s="234"/>
      <c r="S81" s="236"/>
      <c r="T81" s="8"/>
    </row>
    <row r="82" spans="1:20">
      <c r="A82" s="222" t="str">
        <f t="shared" si="2"/>
        <v>: Number of positive terminals</v>
      </c>
      <c r="B82" s="223" t="s">
        <v>1168</v>
      </c>
      <c r="F82" s="231">
        <v>1035789473.6842105</v>
      </c>
      <c r="G82" s="8">
        <v>378947368.42105263</v>
      </c>
      <c r="H82" s="8">
        <v>252631578.94736841</v>
      </c>
      <c r="I82">
        <v>443368421.05263156</v>
      </c>
      <c r="J82">
        <v>300000000</v>
      </c>
      <c r="K82">
        <v>81578947.368421063</v>
      </c>
      <c r="L82" s="8">
        <v>83368421.052631587</v>
      </c>
      <c r="M82">
        <v>116210526.31578949</v>
      </c>
      <c r="N82" s="8">
        <v>424421052.63157898</v>
      </c>
      <c r="O82" s="222"/>
      <c r="P82" s="227"/>
      <c r="Q82" s="227"/>
      <c r="R82" s="234"/>
      <c r="S82" s="236"/>
      <c r="T82" s="8"/>
    </row>
    <row r="83" spans="1:20">
      <c r="A83" s="222" t="str">
        <f t="shared" si="2"/>
        <v>: Number of cell containers</v>
      </c>
      <c r="B83" s="223" t="s">
        <v>433</v>
      </c>
      <c r="F83" s="231">
        <v>1035789473.6842105</v>
      </c>
      <c r="G83" s="8">
        <v>378947368.42105263</v>
      </c>
      <c r="H83" s="8">
        <v>252631578.94736841</v>
      </c>
      <c r="I83">
        <v>443368421.05263156</v>
      </c>
      <c r="J83">
        <v>300000000</v>
      </c>
      <c r="K83">
        <v>81578947.368421063</v>
      </c>
      <c r="L83" s="8">
        <v>83368421.052631587</v>
      </c>
      <c r="M83">
        <v>116210526.31578949</v>
      </c>
      <c r="N83" s="8">
        <v>424421052.63157898</v>
      </c>
      <c r="O83" s="222"/>
      <c r="P83" s="227"/>
      <c r="Q83" s="227"/>
      <c r="R83" s="234"/>
      <c r="S83" s="236"/>
      <c r="T83" s="8"/>
    </row>
    <row r="84" spans="1:20">
      <c r="A84" s="222" t="str">
        <f t="shared" si="2"/>
        <v>: Number of aluminum thermal conductors</v>
      </c>
      <c r="B84" s="177" t="s">
        <v>1169</v>
      </c>
      <c r="F84" s="231">
        <v>984000000</v>
      </c>
      <c r="G84" s="8">
        <v>360000000</v>
      </c>
      <c r="H84" s="8">
        <v>240000000</v>
      </c>
      <c r="I84">
        <v>421200000</v>
      </c>
      <c r="J84">
        <v>285000000</v>
      </c>
      <c r="K84">
        <v>77500000</v>
      </c>
      <c r="L84" s="8">
        <v>79200000</v>
      </c>
      <c r="M84">
        <v>110400000</v>
      </c>
      <c r="N84" s="8">
        <v>403200000</v>
      </c>
      <c r="O84" s="222"/>
      <c r="P84" s="227"/>
      <c r="Q84" s="227"/>
      <c r="R84" s="234"/>
      <c r="S84" s="236"/>
      <c r="T84" s="8"/>
    </row>
    <row r="85" spans="1:20">
      <c r="A85" s="222" t="str">
        <f t="shared" si="2"/>
        <v>: Positive binder solvent evaporated in dryer, kg</v>
      </c>
      <c r="B85" s="177" t="s">
        <v>1170</v>
      </c>
      <c r="F85" s="231">
        <v>87951863.268680215</v>
      </c>
      <c r="G85" s="8">
        <v>268119578.00587985</v>
      </c>
      <c r="H85" s="8">
        <v>133513465.51483552</v>
      </c>
      <c r="I85">
        <v>357586741.94854116</v>
      </c>
      <c r="J85">
        <v>208146808.39557511</v>
      </c>
      <c r="K85">
        <v>70642588.714226291</v>
      </c>
      <c r="L85" s="8">
        <v>31278981.931696087</v>
      </c>
      <c r="M85">
        <v>46649406.386303738</v>
      </c>
      <c r="N85" s="8">
        <v>37512436.188084088</v>
      </c>
      <c r="O85" s="222"/>
      <c r="P85" s="227"/>
      <c r="Q85" s="227"/>
      <c r="R85" s="234"/>
      <c r="S85" s="238"/>
      <c r="T85" s="8"/>
    </row>
    <row r="86" spans="1:20">
      <c r="A86" s="222" t="str">
        <f t="shared" si="2"/>
        <v>: Negative binder solvent evaporated in dryer, kg</v>
      </c>
      <c r="B86" s="177" t="s">
        <v>1171</v>
      </c>
      <c r="F86" s="231">
        <v>3282382.2072118921</v>
      </c>
      <c r="G86" s="8">
        <v>4726633.0323910043</v>
      </c>
      <c r="H86" s="8">
        <v>4155254.9079915951</v>
      </c>
      <c r="I86">
        <v>5439240.5288612787</v>
      </c>
      <c r="J86">
        <v>3600588.686077279</v>
      </c>
      <c r="K86">
        <v>2785424.1567076212</v>
      </c>
      <c r="L86" s="8">
        <v>20167811.118833963</v>
      </c>
      <c r="M86">
        <v>22196481.347931702</v>
      </c>
      <c r="N86" s="8">
        <v>16129195.43550206</v>
      </c>
      <c r="O86" s="222"/>
      <c r="P86" s="223"/>
      <c r="Q86" s="223"/>
      <c r="R86" s="234"/>
      <c r="S86" s="239"/>
      <c r="T86" s="8"/>
    </row>
    <row r="87" spans="1:20">
      <c r="A87" s="222" t="str">
        <f>$B$58 &amp; ": " &amp; B87</f>
        <v>: NMP solvent evaporated in dryer, kg</v>
      </c>
      <c r="B87" s="177" t="s">
        <v>1172</v>
      </c>
      <c r="F87" s="231">
        <v>87951863.268680215</v>
      </c>
      <c r="G87" s="8">
        <v>268119578.00587985</v>
      </c>
      <c r="H87" s="8">
        <v>133513465.51483552</v>
      </c>
      <c r="I87">
        <v>357586741.94854116</v>
      </c>
      <c r="J87">
        <v>208146808.39557511</v>
      </c>
      <c r="K87">
        <v>70642588.714226291</v>
      </c>
      <c r="L87" s="8">
        <v>31278981.931696087</v>
      </c>
      <c r="M87">
        <v>46649406.386303738</v>
      </c>
      <c r="N87" s="8">
        <v>37512436.188084088</v>
      </c>
      <c r="O87" s="222"/>
      <c r="P87" s="223"/>
      <c r="Q87" s="223"/>
      <c r="R87" s="234"/>
      <c r="S87" s="239"/>
      <c r="T87" s="8"/>
    </row>
    <row r="88" spans="1:20">
      <c r="A88" s="222"/>
      <c r="B88" s="177"/>
      <c r="D88" t="s">
        <v>435</v>
      </c>
      <c r="E88" t="s">
        <v>436</v>
      </c>
      <c r="F88" s="231"/>
      <c r="G88" s="8"/>
      <c r="H88" s="8"/>
      <c r="L88" s="8"/>
      <c r="N88" s="8"/>
      <c r="O88" s="222"/>
      <c r="P88" s="223"/>
      <c r="Q88" s="223"/>
      <c r="R88" s="234"/>
      <c r="S88" s="239"/>
      <c r="T88" s="8"/>
    </row>
    <row r="89" spans="1:20" ht="16">
      <c r="A89" s="218" t="s">
        <v>434</v>
      </c>
      <c r="B89" s="219"/>
      <c r="F89" s="410"/>
      <c r="G89" s="8"/>
      <c r="H89" s="8"/>
      <c r="L89" s="8"/>
      <c r="N89" s="8"/>
      <c r="O89" s="222"/>
      <c r="P89" s="227"/>
      <c r="Q89" s="227"/>
      <c r="R89" s="230"/>
      <c r="S89" s="227"/>
      <c r="T89" s="8"/>
    </row>
    <row r="90" spans="1:20">
      <c r="A90" s="369" t="s">
        <v>437</v>
      </c>
      <c r="D90">
        <v>5</v>
      </c>
      <c r="E90">
        <v>1</v>
      </c>
      <c r="F90" s="410"/>
      <c r="G90" s="8"/>
      <c r="H90" s="8"/>
      <c r="L90" s="8"/>
      <c r="N90" s="8"/>
      <c r="O90" s="222"/>
      <c r="P90" s="223"/>
      <c r="Q90" s="223"/>
      <c r="R90" s="230"/>
      <c r="S90" s="227"/>
      <c r="T90" s="8"/>
    </row>
    <row r="91" spans="1:20">
      <c r="A91" s="222" t="str">
        <f>$B$89 &amp; ": " &amp; B91</f>
        <v>: Positive electrode active material, $/kg</v>
      </c>
      <c r="B91" s="227" t="s">
        <v>438</v>
      </c>
      <c r="D91">
        <v>7</v>
      </c>
      <c r="E91">
        <v>1</v>
      </c>
      <c r="F91" s="235">
        <v>5</v>
      </c>
      <c r="G91" s="8">
        <v>2</v>
      </c>
      <c r="H91" s="8">
        <v>2</v>
      </c>
      <c r="I91">
        <v>1.8</v>
      </c>
      <c r="J91">
        <v>12</v>
      </c>
      <c r="K91">
        <v>4.2</v>
      </c>
      <c r="L91" s="8">
        <v>23</v>
      </c>
      <c r="M91">
        <v>9.5</v>
      </c>
      <c r="N91" s="8">
        <v>5</v>
      </c>
      <c r="O91" s="225"/>
      <c r="P91" s="226"/>
      <c r="Q91" s="226"/>
      <c r="R91" s="230"/>
      <c r="S91" s="227"/>
      <c r="T91" s="8"/>
    </row>
    <row r="92" spans="1:20">
      <c r="A92" s="222" t="str">
        <f>$B$89 &amp; ": " &amp; B92</f>
        <v>: Positive electrode carbon additive, $/kg</v>
      </c>
      <c r="B92" s="227" t="s">
        <v>439</v>
      </c>
      <c r="D92">
        <v>15</v>
      </c>
      <c r="E92">
        <v>1</v>
      </c>
      <c r="F92" s="235">
        <v>7</v>
      </c>
      <c r="G92" s="8">
        <v>7</v>
      </c>
      <c r="H92" s="8">
        <v>7</v>
      </c>
      <c r="I92">
        <v>7</v>
      </c>
      <c r="J92">
        <v>7</v>
      </c>
      <c r="K92">
        <v>7</v>
      </c>
      <c r="L92" s="8">
        <v>7</v>
      </c>
      <c r="M92">
        <v>7</v>
      </c>
      <c r="N92" s="8">
        <v>7</v>
      </c>
      <c r="O92" s="222"/>
      <c r="P92" s="177"/>
      <c r="Q92" s="223"/>
      <c r="R92" s="237"/>
      <c r="S92" s="239"/>
      <c r="T92" s="8"/>
    </row>
    <row r="93" spans="1:20">
      <c r="A93" s="222" t="str">
        <f>$B$89 &amp; ": " &amp; B93</f>
        <v>: Positive electrode binder, $/kg</v>
      </c>
      <c r="B93" s="227" t="s">
        <v>440</v>
      </c>
      <c r="D93">
        <v>2.7</v>
      </c>
      <c r="E93">
        <v>1</v>
      </c>
      <c r="F93" s="235">
        <v>15</v>
      </c>
      <c r="G93" s="8">
        <v>15</v>
      </c>
      <c r="H93" s="8">
        <v>15</v>
      </c>
      <c r="I93">
        <v>15</v>
      </c>
      <c r="J93">
        <v>15</v>
      </c>
      <c r="K93">
        <v>15</v>
      </c>
      <c r="L93" s="8">
        <v>15</v>
      </c>
      <c r="M93">
        <v>15</v>
      </c>
      <c r="N93" s="8">
        <v>15</v>
      </c>
      <c r="O93" s="222"/>
      <c r="P93" s="177"/>
      <c r="Q93" s="223"/>
      <c r="R93" s="234"/>
      <c r="S93" s="227"/>
      <c r="T93" s="8"/>
    </row>
    <row r="94" spans="1:20">
      <c r="A94" s="222" t="str">
        <f>$B$89 &amp; ": " &amp; B94</f>
        <v>: Positive electrode binder solvent, $/kg</v>
      </c>
      <c r="B94" s="227" t="s">
        <v>441</v>
      </c>
      <c r="F94" s="235">
        <v>2.7</v>
      </c>
      <c r="G94" s="8">
        <v>2.7</v>
      </c>
      <c r="H94" s="8">
        <v>2.7</v>
      </c>
      <c r="I94">
        <v>2.7</v>
      </c>
      <c r="J94">
        <v>2.7</v>
      </c>
      <c r="K94">
        <v>2.7</v>
      </c>
      <c r="L94" s="8">
        <v>2.7</v>
      </c>
      <c r="M94">
        <v>2.7</v>
      </c>
      <c r="N94" s="8">
        <v>2.7</v>
      </c>
      <c r="O94" s="222"/>
      <c r="P94" s="227"/>
      <c r="Q94" s="223"/>
      <c r="R94" s="227"/>
      <c r="S94" s="227"/>
      <c r="T94" s="8"/>
    </row>
    <row r="95" spans="1:20">
      <c r="A95" s="222"/>
      <c r="B95" s="233"/>
      <c r="F95" s="235"/>
      <c r="G95" s="8"/>
      <c r="H95" s="8"/>
      <c r="L95" s="8"/>
      <c r="N95" s="8"/>
      <c r="O95" s="222"/>
      <c r="P95" s="227"/>
      <c r="Q95" s="227"/>
      <c r="R95" s="227"/>
      <c r="S95" s="227"/>
      <c r="T95" s="8"/>
    </row>
    <row r="96" spans="1:20">
      <c r="A96" s="369" t="s">
        <v>442</v>
      </c>
      <c r="D96">
        <v>10</v>
      </c>
      <c r="E96">
        <v>1</v>
      </c>
      <c r="F96" s="411"/>
      <c r="G96" s="8"/>
      <c r="H96" s="8"/>
      <c r="L96" s="8"/>
      <c r="N96" s="8"/>
      <c r="O96" s="222"/>
      <c r="P96" s="227"/>
      <c r="Q96" s="227"/>
      <c r="R96" s="227"/>
      <c r="S96" s="227"/>
      <c r="T96" s="8"/>
    </row>
    <row r="97" spans="1:20">
      <c r="A97" s="222" t="str">
        <f t="shared" ref="A97:A106" si="3">$B$89 &amp; ": " &amp; B97</f>
        <v>: Negative electrode active material, $/kg</v>
      </c>
      <c r="B97" s="227" t="s">
        <v>443</v>
      </c>
      <c r="D97">
        <v>7</v>
      </c>
      <c r="E97">
        <v>1</v>
      </c>
      <c r="F97" s="235">
        <v>10</v>
      </c>
      <c r="G97" s="8">
        <v>10</v>
      </c>
      <c r="H97" s="8">
        <v>10</v>
      </c>
      <c r="I97">
        <v>10</v>
      </c>
      <c r="J97">
        <v>10</v>
      </c>
      <c r="K97">
        <v>5</v>
      </c>
      <c r="L97" s="8">
        <v>9</v>
      </c>
      <c r="M97">
        <v>9</v>
      </c>
      <c r="N97" s="8">
        <v>10</v>
      </c>
      <c r="O97" s="222"/>
      <c r="P97" s="227"/>
      <c r="Q97" s="227"/>
      <c r="R97" s="227"/>
      <c r="S97" s="227"/>
      <c r="T97" s="8"/>
    </row>
    <row r="98" spans="1:20">
      <c r="A98" s="222" t="str">
        <f t="shared" si="3"/>
        <v>: Negative electrode carbon additive, $/kg</v>
      </c>
      <c r="B98" s="227" t="s">
        <v>444</v>
      </c>
      <c r="D98">
        <v>10</v>
      </c>
      <c r="E98">
        <v>1</v>
      </c>
      <c r="F98" s="235">
        <v>7</v>
      </c>
      <c r="G98" s="8">
        <v>7</v>
      </c>
      <c r="H98" s="8">
        <v>7</v>
      </c>
      <c r="I98">
        <v>7</v>
      </c>
      <c r="J98">
        <v>7</v>
      </c>
      <c r="K98">
        <v>7</v>
      </c>
      <c r="L98" s="8">
        <v>7</v>
      </c>
      <c r="M98">
        <v>7</v>
      </c>
      <c r="N98" s="8">
        <v>7</v>
      </c>
      <c r="O98" s="222"/>
      <c r="P98" s="227"/>
      <c r="Q98" s="227"/>
      <c r="R98" s="227"/>
      <c r="S98" s="227"/>
      <c r="T98" s="8"/>
    </row>
    <row r="99" spans="1:20">
      <c r="A99" s="222" t="str">
        <f t="shared" si="3"/>
        <v>: Negative electrode binder, $/kg</v>
      </c>
      <c r="B99" s="227" t="s">
        <v>445</v>
      </c>
      <c r="D99">
        <v>0</v>
      </c>
      <c r="E99">
        <v>1</v>
      </c>
      <c r="F99" s="235">
        <v>10</v>
      </c>
      <c r="G99" s="8">
        <v>10</v>
      </c>
      <c r="H99" s="8">
        <v>10</v>
      </c>
      <c r="I99">
        <v>10</v>
      </c>
      <c r="J99">
        <v>10</v>
      </c>
      <c r="K99">
        <v>10</v>
      </c>
      <c r="L99" s="8">
        <v>10</v>
      </c>
      <c r="M99">
        <v>10</v>
      </c>
      <c r="N99" s="8">
        <v>10</v>
      </c>
      <c r="O99" s="222"/>
      <c r="P99" s="227"/>
      <c r="Q99" s="227"/>
      <c r="R99" s="227"/>
      <c r="S99" s="227"/>
      <c r="T99" s="8"/>
    </row>
    <row r="100" spans="1:20">
      <c r="A100" s="222"/>
      <c r="B100" s="227" t="s">
        <v>1173</v>
      </c>
      <c r="F100" s="235">
        <v>0</v>
      </c>
      <c r="G100" s="8">
        <v>0</v>
      </c>
      <c r="H100" s="8">
        <v>0</v>
      </c>
      <c r="I100">
        <v>0</v>
      </c>
      <c r="J100">
        <v>0</v>
      </c>
      <c r="K100">
        <v>0</v>
      </c>
      <c r="L100" s="8">
        <v>0</v>
      </c>
      <c r="M100">
        <v>0</v>
      </c>
      <c r="N100" s="8">
        <v>0</v>
      </c>
      <c r="O100" s="225"/>
      <c r="P100" s="227"/>
      <c r="Q100" s="227"/>
      <c r="R100" s="227"/>
      <c r="S100" s="227"/>
      <c r="T100" s="8"/>
    </row>
    <row r="101" spans="1:20">
      <c r="A101" s="222"/>
      <c r="B101" s="227"/>
      <c r="F101" s="235"/>
      <c r="G101" s="8"/>
      <c r="H101" s="8"/>
      <c r="L101" s="8"/>
      <c r="N101" s="8"/>
      <c r="O101" s="222"/>
      <c r="P101" s="227"/>
      <c r="Q101" s="227"/>
      <c r="R101" s="227"/>
      <c r="S101" s="227"/>
      <c r="T101" s="8"/>
    </row>
    <row r="102" spans="1:20">
      <c r="A102" s="369" t="s">
        <v>1155</v>
      </c>
      <c r="B102" s="233"/>
      <c r="D102">
        <v>0.2</v>
      </c>
      <c r="E102">
        <v>1</v>
      </c>
      <c r="F102" s="235"/>
      <c r="G102" s="8"/>
      <c r="H102" s="8"/>
      <c r="L102" s="8"/>
      <c r="N102" s="8"/>
      <c r="O102" s="222"/>
      <c r="P102" s="227"/>
      <c r="Q102" s="227"/>
      <c r="R102" s="227"/>
      <c r="S102" s="227"/>
      <c r="T102" s="8"/>
    </row>
    <row r="103" spans="1:20">
      <c r="A103" s="222" t="str">
        <f t="shared" si="3"/>
        <v>: Positive current collector, $/m²</v>
      </c>
      <c r="B103" s="227" t="s">
        <v>1360</v>
      </c>
      <c r="D103">
        <v>0.4</v>
      </c>
      <c r="E103">
        <v>1</v>
      </c>
      <c r="F103" s="235">
        <v>0.2</v>
      </c>
      <c r="G103" s="8">
        <v>0.2</v>
      </c>
      <c r="H103" s="8">
        <v>0.2</v>
      </c>
      <c r="I103">
        <v>0.2</v>
      </c>
      <c r="J103">
        <v>0.2</v>
      </c>
      <c r="K103">
        <v>0.2</v>
      </c>
      <c r="L103" s="8">
        <v>0.2</v>
      </c>
      <c r="M103">
        <v>0.2</v>
      </c>
      <c r="N103" s="8">
        <v>0.2</v>
      </c>
      <c r="O103" s="222"/>
      <c r="P103" s="227"/>
      <c r="Q103" s="227"/>
      <c r="R103" s="227"/>
      <c r="S103" s="227"/>
      <c r="T103" s="8"/>
    </row>
    <row r="104" spans="1:20">
      <c r="A104" s="222" t="str">
        <f t="shared" si="3"/>
        <v>: Negative current collector, $/m²</v>
      </c>
      <c r="B104" s="227" t="s">
        <v>1361</v>
      </c>
      <c r="D104">
        <v>2.4</v>
      </c>
      <c r="E104">
        <v>1</v>
      </c>
      <c r="F104" s="235">
        <v>0.4</v>
      </c>
      <c r="G104" s="8">
        <v>0.2</v>
      </c>
      <c r="H104" s="8">
        <v>0.2</v>
      </c>
      <c r="I104">
        <v>0.2</v>
      </c>
      <c r="J104">
        <v>0.4</v>
      </c>
      <c r="K104">
        <v>0.2</v>
      </c>
      <c r="L104" s="8">
        <v>1.2</v>
      </c>
      <c r="M104">
        <v>1.2</v>
      </c>
      <c r="N104" s="8">
        <v>1.2</v>
      </c>
      <c r="O104" s="222"/>
      <c r="P104" s="227"/>
      <c r="Q104" s="227"/>
      <c r="R104" s="227"/>
      <c r="S104" s="227"/>
      <c r="T104" s="8"/>
    </row>
    <row r="105" spans="1:20">
      <c r="A105" s="222" t="str">
        <f t="shared" si="3"/>
        <v>: Separators, $/m²</v>
      </c>
      <c r="B105" s="227" t="s">
        <v>1362</v>
      </c>
      <c r="D105">
        <v>3</v>
      </c>
      <c r="E105">
        <v>1</v>
      </c>
      <c r="F105" s="235">
        <v>2.4</v>
      </c>
      <c r="G105" s="8">
        <v>0.1</v>
      </c>
      <c r="H105" s="8">
        <v>0.1</v>
      </c>
      <c r="I105">
        <v>0.2</v>
      </c>
      <c r="J105">
        <v>0.2</v>
      </c>
      <c r="K105">
        <v>0.1</v>
      </c>
      <c r="L105" s="8">
        <v>0.2</v>
      </c>
      <c r="M105">
        <v>0.2</v>
      </c>
      <c r="N105" s="8">
        <v>0.9</v>
      </c>
      <c r="O105" s="222"/>
      <c r="P105" s="227"/>
      <c r="Q105" s="227"/>
      <c r="R105" s="227"/>
      <c r="S105" s="227"/>
      <c r="T105" s="8"/>
    </row>
    <row r="106" spans="1:20">
      <c r="A106" s="222" t="str">
        <f t="shared" si="3"/>
        <v>: Electrolyte, $/L</v>
      </c>
      <c r="B106" s="227" t="s">
        <v>446</v>
      </c>
      <c r="F106" s="235">
        <v>3</v>
      </c>
      <c r="G106" s="8">
        <v>2</v>
      </c>
      <c r="H106" s="8">
        <v>2</v>
      </c>
      <c r="I106">
        <v>2</v>
      </c>
      <c r="J106">
        <v>2</v>
      </c>
      <c r="K106">
        <v>2</v>
      </c>
      <c r="L106" s="8">
        <v>10</v>
      </c>
      <c r="M106">
        <v>10</v>
      </c>
      <c r="N106" s="8">
        <v>26</v>
      </c>
      <c r="O106" s="222"/>
      <c r="P106" s="227"/>
      <c r="Q106" s="227"/>
      <c r="R106" s="227"/>
      <c r="S106" s="227"/>
      <c r="T106" s="8"/>
    </row>
    <row r="107" spans="1:20">
      <c r="A107" s="222"/>
      <c r="B107" s="227"/>
      <c r="F107" s="235"/>
      <c r="G107" s="8"/>
      <c r="H107" s="8"/>
      <c r="L107" s="8"/>
      <c r="N107" s="8"/>
      <c r="O107" s="222"/>
      <c r="P107" s="227"/>
      <c r="Q107" s="227"/>
      <c r="R107" s="227"/>
      <c r="S107" s="227"/>
      <c r="T107" s="8"/>
    </row>
    <row r="108" spans="1:20">
      <c r="A108" s="369" t="s">
        <v>447</v>
      </c>
      <c r="E108">
        <v>0.85</v>
      </c>
      <c r="F108" s="411"/>
      <c r="G108" s="8"/>
      <c r="H108" s="8"/>
      <c r="L108" s="8"/>
      <c r="N108" s="8"/>
      <c r="O108" s="222"/>
      <c r="P108" s="227"/>
      <c r="Q108" s="227"/>
      <c r="R108" s="227"/>
      <c r="S108" s="227"/>
      <c r="T108" s="8"/>
    </row>
    <row r="109" spans="1:20">
      <c r="A109" s="222" t="str">
        <f>$B$89 &amp; ": " &amp; B109</f>
        <v>: Hardware Costs: Positive terminal, $/unit</v>
      </c>
      <c r="B109" s="223" t="s">
        <v>1174</v>
      </c>
      <c r="E109">
        <v>0.85</v>
      </c>
      <c r="F109" s="235">
        <v>8.3373826628922065E-2</v>
      </c>
      <c r="G109" s="8">
        <v>9.3441173386724558E-2</v>
      </c>
      <c r="H109" s="8">
        <v>9.7791002860577014E-2</v>
      </c>
      <c r="I109">
        <v>9.1665347122935684E-2</v>
      </c>
      <c r="J109">
        <v>9.553895773985778E-2</v>
      </c>
      <c r="K109">
        <v>0.11205363766492719</v>
      </c>
      <c r="L109" s="8">
        <v>0.11188607902440197</v>
      </c>
      <c r="M109">
        <v>0.10752860352172854</v>
      </c>
      <c r="N109" s="8">
        <v>9.1810054637469579E-2</v>
      </c>
      <c r="O109" s="222"/>
      <c r="P109" s="227"/>
      <c r="Q109" s="227"/>
      <c r="R109" s="227"/>
      <c r="S109" s="227"/>
      <c r="T109" s="8"/>
    </row>
    <row r="110" spans="1:20">
      <c r="A110" s="222" t="str">
        <f>$B$89 &amp; ": " &amp; B110</f>
        <v>: Hardware Costs: Negative terminal $/unit</v>
      </c>
      <c r="B110" s="223" t="s">
        <v>1175</v>
      </c>
      <c r="E110">
        <v>0.85</v>
      </c>
      <c r="F110" s="235">
        <v>0.13621033575897501</v>
      </c>
      <c r="G110" s="8">
        <v>0.14579082972196916</v>
      </c>
      <c r="H110" s="8">
        <v>0.14950965478796946</v>
      </c>
      <c r="I110">
        <v>0.14383110136847571</v>
      </c>
      <c r="J110">
        <v>0.14655473497804983</v>
      </c>
      <c r="K110">
        <v>0.16345937779872233</v>
      </c>
      <c r="L110" s="8">
        <v>0.25057034243868592</v>
      </c>
      <c r="M110">
        <v>0.24697745818334094</v>
      </c>
      <c r="N110" s="8">
        <v>0.22935139902123636</v>
      </c>
      <c r="O110" s="222"/>
      <c r="P110" s="227"/>
      <c r="Q110" s="227"/>
      <c r="R110" s="227"/>
      <c r="S110" s="227"/>
      <c r="T110" s="8"/>
    </row>
    <row r="111" spans="1:20">
      <c r="A111" s="222" t="str">
        <f>$B$89 &amp; ": " &amp; B111</f>
        <v>: Hardware Costs: Cell container $/unit</v>
      </c>
      <c r="B111" s="223" t="s">
        <v>448</v>
      </c>
      <c r="F111" s="235">
        <v>0.25312458181774644</v>
      </c>
      <c r="G111" s="8">
        <v>0.27695209081006122</v>
      </c>
      <c r="H111" s="8">
        <v>0.28611448602499734</v>
      </c>
      <c r="I111">
        <v>0.27201052711221491</v>
      </c>
      <c r="J111">
        <v>0.27861132973188563</v>
      </c>
      <c r="K111">
        <v>0.32093277087112604</v>
      </c>
      <c r="L111" s="8">
        <v>0.3214319003217363</v>
      </c>
      <c r="M111">
        <v>0.31130936603376946</v>
      </c>
      <c r="N111" s="8">
        <v>0.27010016570716688</v>
      </c>
      <c r="O111" s="222"/>
      <c r="P111" s="227"/>
      <c r="Q111" s="227"/>
      <c r="R111" s="227"/>
      <c r="S111" s="227"/>
      <c r="T111" s="8"/>
    </row>
    <row r="112" spans="1:20">
      <c r="A112" s="222"/>
      <c r="B112" s="223"/>
      <c r="F112" s="235"/>
      <c r="G112" s="8"/>
      <c r="H112" s="8"/>
      <c r="L112" s="8"/>
      <c r="N112" s="8"/>
      <c r="O112" s="225"/>
      <c r="P112" s="227"/>
      <c r="Q112" s="227"/>
      <c r="R112" s="227"/>
      <c r="S112" s="227"/>
      <c r="T112" s="8"/>
    </row>
    <row r="113" spans="1:21" ht="16">
      <c r="A113" s="224" t="s">
        <v>449</v>
      </c>
      <c r="B113" s="226"/>
      <c r="F113" s="411"/>
      <c r="G113" s="8"/>
      <c r="H113" s="8"/>
      <c r="L113" s="8"/>
      <c r="N113" s="8"/>
      <c r="O113" s="222"/>
      <c r="P113" s="227"/>
      <c r="Q113" s="227"/>
      <c r="R113" s="227"/>
      <c r="S113" s="227"/>
      <c r="T113" s="8"/>
    </row>
    <row r="114" spans="1:21">
      <c r="A114" s="369" t="s">
        <v>450</v>
      </c>
      <c r="F114" s="411"/>
      <c r="G114" s="8"/>
      <c r="H114" s="8"/>
      <c r="L114" s="8"/>
      <c r="N114" s="8"/>
      <c r="O114" s="222"/>
      <c r="P114" s="227"/>
      <c r="Q114" s="227"/>
      <c r="R114" s="227"/>
      <c r="S114" s="227"/>
      <c r="T114" s="8"/>
    </row>
    <row r="115" spans="1:21">
      <c r="A115" s="222" t="str">
        <f>$B$113 &amp; ": " &amp; B115</f>
        <v>: Positive electrode active material, $/cell</v>
      </c>
      <c r="B115" s="227" t="s">
        <v>451</v>
      </c>
      <c r="F115" s="412">
        <v>0.89381974866544978</v>
      </c>
      <c r="G115" s="8">
        <v>1.1171649083578323</v>
      </c>
      <c r="H115" s="8">
        <v>0.83445915946772209</v>
      </c>
      <c r="I115">
        <v>3.056296939731121</v>
      </c>
      <c r="J115">
        <v>17.528152285943165</v>
      </c>
      <c r="K115">
        <v>7.6567450993484005</v>
      </c>
      <c r="L115" s="8">
        <v>18.167085465379042</v>
      </c>
      <c r="M115">
        <v>8.0284304469182164</v>
      </c>
      <c r="N115" s="8">
        <v>0.93036796101399033</v>
      </c>
      <c r="O115" s="222"/>
      <c r="P115" s="227"/>
      <c r="Q115" s="227"/>
      <c r="R115" s="227"/>
      <c r="S115" s="227"/>
      <c r="T115" s="8"/>
    </row>
    <row r="116" spans="1:21">
      <c r="A116" s="222" t="str">
        <f>$B$113 &amp; ": " &amp; B116</f>
        <v>: Positive electrode carbon additive, $/cell</v>
      </c>
      <c r="B116" s="227" t="s">
        <v>452</v>
      </c>
      <c r="F116" s="412">
        <v>2.6069742669408941E-2</v>
      </c>
      <c r="G116" s="8">
        <v>0.21722650995846746</v>
      </c>
      <c r="H116" s="8">
        <v>0.16225594767427931</v>
      </c>
      <c r="I116">
        <v>0.24761665020969731</v>
      </c>
      <c r="J116">
        <v>0.21301573958611489</v>
      </c>
      <c r="K116">
        <v>0.26585920483848607</v>
      </c>
      <c r="L116" s="8">
        <v>0.11518985349425115</v>
      </c>
      <c r="M116">
        <v>0.12324344984304279</v>
      </c>
      <c r="N116" s="8">
        <v>2.7135732196241383E-2</v>
      </c>
      <c r="T116" s="8"/>
    </row>
    <row r="117" spans="1:21">
      <c r="A117" s="222" t="str">
        <f>$B$113 &amp; ": " &amp; B117</f>
        <v>: Positive electrode binder, $/cell</v>
      </c>
      <c r="B117" s="227" t="s">
        <v>453</v>
      </c>
      <c r="F117" s="412">
        <v>5.586373429159059E-2</v>
      </c>
      <c r="G117" s="8">
        <v>0.46548537848243021</v>
      </c>
      <c r="H117" s="8">
        <v>0.34769131644488421</v>
      </c>
      <c r="I117">
        <v>0.53060710759220842</v>
      </c>
      <c r="J117">
        <v>0.45646229911310332</v>
      </c>
      <c r="K117">
        <v>0.56969829608247002</v>
      </c>
      <c r="L117" s="8">
        <v>0.24683540034482387</v>
      </c>
      <c r="M117">
        <v>0.26409310680652026</v>
      </c>
      <c r="N117" s="8">
        <v>5.8147997563374396E-2</v>
      </c>
      <c r="T117" s="8"/>
    </row>
    <row r="118" spans="1:21">
      <c r="A118" s="222" t="str">
        <f>$B$113 &amp; ": " &amp; B118</f>
        <v>: Positive electrode binder solvent (NMP), $/cell</v>
      </c>
      <c r="B118" s="227" t="str">
        <f>"Positive electrode binder solvent (" &amp; [2]Chem!$C$14&amp;"), $/cell"</f>
        <v>Positive electrode binder solvent (NMP), $/cell</v>
      </c>
      <c r="F118" s="412">
        <v>0.22926476553268776</v>
      </c>
      <c r="G118" s="8">
        <v>1.910351993291894</v>
      </c>
      <c r="H118" s="8">
        <v>1.426925162689805</v>
      </c>
      <c r="I118">
        <v>2.1776115695584242</v>
      </c>
      <c r="J118">
        <v>1.873321275560176</v>
      </c>
      <c r="K118">
        <v>2.3380418071224573</v>
      </c>
      <c r="L118" s="8">
        <v>1.0130124830151572</v>
      </c>
      <c r="M118">
        <v>1.0838381103339592</v>
      </c>
      <c r="N118" s="8">
        <v>0.2386393820000885</v>
      </c>
      <c r="T118" s="8"/>
    </row>
    <row r="119" spans="1:21" ht="16">
      <c r="A119" s="222"/>
      <c r="B119" s="233"/>
      <c r="F119" s="412"/>
      <c r="G119" s="8"/>
      <c r="H119" s="8"/>
      <c r="L119" s="8"/>
      <c r="N119" s="8"/>
      <c r="O119" s="224"/>
      <c r="P119" s="227"/>
      <c r="Q119" s="227"/>
      <c r="R119" s="227"/>
      <c r="S119" s="227"/>
      <c r="T119" s="8"/>
    </row>
    <row r="120" spans="1:21">
      <c r="A120" s="369" t="s">
        <v>1176</v>
      </c>
      <c r="F120" s="416"/>
      <c r="G120" s="8"/>
      <c r="H120" s="8"/>
      <c r="I120" s="8"/>
      <c r="J120" s="8"/>
      <c r="K120" s="8"/>
      <c r="L120" s="8"/>
      <c r="M120" s="8"/>
      <c r="N120" s="8"/>
      <c r="O120" s="223"/>
      <c r="P120" s="371"/>
      <c r="Q120" s="223"/>
      <c r="R120" s="223"/>
      <c r="S120" s="223"/>
      <c r="T120" s="8"/>
      <c r="U120" s="8"/>
    </row>
    <row r="121" spans="1:21">
      <c r="A121" s="222" t="str">
        <f>$B$113 &amp; ": " &amp; B121</f>
        <v>: Negative electrode active material, $/cell</v>
      </c>
      <c r="B121" s="227" t="s">
        <v>454</v>
      </c>
      <c r="F121" s="416">
        <v>6.8104983127279264E-2</v>
      </c>
      <c r="G121" s="8">
        <v>0.26806136410550835</v>
      </c>
      <c r="H121" s="8">
        <v>0.3534852265478961</v>
      </c>
      <c r="I121" s="8">
        <v>0.26365422791449306</v>
      </c>
      <c r="J121" s="8">
        <v>0.25793690879793368</v>
      </c>
      <c r="K121" s="8">
        <v>0.3668972679534232</v>
      </c>
      <c r="L121" s="8">
        <v>4.6790849660173501</v>
      </c>
      <c r="M121" s="8">
        <v>3.6943871808717845</v>
      </c>
      <c r="N121" s="8">
        <v>0.8167271994250177</v>
      </c>
      <c r="O121" s="8"/>
      <c r="P121" s="223"/>
      <c r="Q121" s="223"/>
      <c r="R121" s="223"/>
      <c r="S121" s="223"/>
      <c r="T121" s="8"/>
      <c r="U121" s="8"/>
    </row>
    <row r="122" spans="1:21">
      <c r="A122" s="222" t="str">
        <f>$B$113 &amp; ": " &amp; B122</f>
        <v>: Negative electrode carbon additive, $/cell</v>
      </c>
      <c r="B122" s="227" t="s">
        <v>455</v>
      </c>
      <c r="F122" s="416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/>
      <c r="P122" s="223"/>
      <c r="Q122" s="223"/>
      <c r="R122" s="223"/>
      <c r="S122" s="223"/>
      <c r="T122" s="8"/>
      <c r="U122" s="8"/>
    </row>
    <row r="123" spans="1:21">
      <c r="A123" s="222" t="str">
        <f>$B$113 &amp; ": " &amp; B123</f>
        <v>: Negative electrode binder, $/cell</v>
      </c>
      <c r="B123" s="227" t="s">
        <v>1177</v>
      </c>
      <c r="F123" s="416">
        <v>1.3898976148424339E-3</v>
      </c>
      <c r="G123" s="8">
        <v>5.4706400837858842E-3</v>
      </c>
      <c r="H123" s="8">
        <v>7.2139842152631863E-3</v>
      </c>
      <c r="I123" s="8">
        <v>5.3806985288672041E-3</v>
      </c>
      <c r="J123" s="8">
        <v>5.2640185468966075E-3</v>
      </c>
      <c r="K123" s="8">
        <v>1.4975398691976458E-2</v>
      </c>
      <c r="L123" s="8">
        <v>0.10610169990969047</v>
      </c>
      <c r="M123" s="8">
        <v>8.3772951947206006E-2</v>
      </c>
      <c r="N123" s="8">
        <v>1.6667902029081989E-2</v>
      </c>
      <c r="O123" s="223"/>
      <c r="P123" s="223"/>
      <c r="Q123" s="223"/>
      <c r="R123" s="223"/>
      <c r="S123" s="223"/>
      <c r="T123" s="8"/>
      <c r="U123" s="8"/>
    </row>
    <row r="124" spans="1:21" ht="16">
      <c r="A124" s="222"/>
      <c r="B124" s="227" t="str">
        <f>"Negative electrode binder solvent (" &amp; [2]Chem!B43&amp;"), $/cell"</f>
        <v>Negative electrode binder solvent (Binder solvent for negative electrode), $/cell</v>
      </c>
      <c r="F124" s="416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368"/>
      <c r="P124" s="368"/>
      <c r="Q124" s="368"/>
      <c r="R124" s="223"/>
      <c r="S124" s="223"/>
      <c r="T124" s="8"/>
      <c r="U124" s="8"/>
    </row>
    <row r="125" spans="1:21">
      <c r="A125" s="222"/>
      <c r="B125" s="227"/>
      <c r="F125" s="416"/>
      <c r="G125" s="8"/>
      <c r="H125" s="8"/>
      <c r="I125" s="8"/>
      <c r="J125" s="8"/>
      <c r="K125" s="8"/>
      <c r="L125" s="8"/>
      <c r="M125" s="8"/>
      <c r="N125" s="8"/>
      <c r="O125" s="371"/>
      <c r="P125" s="371"/>
      <c r="Q125" s="371"/>
      <c r="R125" s="657"/>
      <c r="S125" s="240"/>
      <c r="T125" s="8"/>
      <c r="U125" s="8"/>
    </row>
    <row r="126" spans="1:21">
      <c r="A126" s="369" t="s">
        <v>1178</v>
      </c>
      <c r="B126" s="233"/>
      <c r="F126" s="416"/>
      <c r="G126" s="8"/>
      <c r="H126" s="8"/>
      <c r="I126" s="8"/>
      <c r="J126" s="8"/>
      <c r="K126" s="8"/>
      <c r="L126" s="8"/>
      <c r="M126" s="8"/>
      <c r="N126" s="8"/>
      <c r="O126" s="373"/>
      <c r="P126" s="658"/>
      <c r="Q126" s="658"/>
      <c r="R126" s="657"/>
      <c r="S126" s="241"/>
      <c r="T126" s="8"/>
      <c r="U126" s="8"/>
    </row>
    <row r="127" spans="1:21">
      <c r="A127" s="222"/>
      <c r="B127" s="371" t="str">
        <f>"Positive electrode additve (" &amp; [2]Chem!$C$73&amp; "), $/cell"</f>
        <v>Positive electrode additve (None), $/cell</v>
      </c>
      <c r="F127" s="416">
        <v>0</v>
      </c>
      <c r="G127" s="177">
        <v>0</v>
      </c>
      <c r="H127" s="177">
        <v>0</v>
      </c>
      <c r="I127" s="8">
        <v>0</v>
      </c>
      <c r="J127" s="8">
        <v>0</v>
      </c>
      <c r="K127" s="177">
        <v>0</v>
      </c>
      <c r="L127" s="177">
        <v>0</v>
      </c>
      <c r="M127" s="8">
        <v>0</v>
      </c>
      <c r="N127" s="8">
        <v>0</v>
      </c>
      <c r="O127" s="220"/>
      <c r="P127" s="220"/>
      <c r="Q127" s="220"/>
      <c r="R127" s="223"/>
      <c r="S127" s="242"/>
      <c r="T127" s="177"/>
      <c r="U127" s="8"/>
    </row>
    <row r="128" spans="1:21">
      <c r="A128" s="222"/>
      <c r="B128" s="371" t="str">
        <f>"Negative electrode additve (" &amp; [2]Chem!$C$79&amp; "), $/cell"</f>
        <v>Negative electrode additve (None), $/cell</v>
      </c>
      <c r="F128" s="416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/>
      <c r="P128" s="223"/>
      <c r="Q128" s="223"/>
      <c r="R128" s="659"/>
      <c r="S128" s="242"/>
      <c r="T128" s="8"/>
      <c r="U128" s="8"/>
    </row>
    <row r="129" spans="1:21">
      <c r="A129" s="222"/>
      <c r="B129" s="336" t="str">
        <f>"Electrolyte additve (" &amp; [2]Chem!$C$85&amp; "), $/cell"</f>
        <v>Electrolyte additve (None), $/cell</v>
      </c>
      <c r="F129" s="416">
        <v>0</v>
      </c>
      <c r="G129" s="612">
        <v>0</v>
      </c>
      <c r="H129" s="612">
        <v>0</v>
      </c>
      <c r="I129" s="8">
        <v>0</v>
      </c>
      <c r="J129" s="8">
        <v>0</v>
      </c>
      <c r="K129" s="612">
        <v>0</v>
      </c>
      <c r="L129" s="612">
        <v>0</v>
      </c>
      <c r="M129" s="8">
        <v>0</v>
      </c>
      <c r="N129" s="8">
        <v>0</v>
      </c>
      <c r="O129" s="8"/>
      <c r="P129" s="223"/>
      <c r="Q129" s="223"/>
      <c r="R129" s="403"/>
      <c r="S129" s="660"/>
      <c r="T129" s="612"/>
      <c r="U129" s="8"/>
    </row>
    <row r="130" spans="1:21">
      <c r="A130" s="222"/>
      <c r="B130" s="336"/>
      <c r="F130" s="416"/>
      <c r="G130" s="606"/>
      <c r="H130" s="606"/>
      <c r="I130" s="8"/>
      <c r="J130" s="8"/>
      <c r="K130" s="606"/>
      <c r="L130" s="606"/>
      <c r="M130" s="8"/>
      <c r="N130" s="8"/>
      <c r="O130" s="8"/>
      <c r="P130" s="223"/>
      <c r="Q130" s="223"/>
      <c r="R130" s="661"/>
      <c r="S130" s="660"/>
      <c r="T130" s="606"/>
      <c r="U130" s="8"/>
    </row>
    <row r="131" spans="1:21" s="10" customFormat="1">
      <c r="A131" s="369" t="s">
        <v>1179</v>
      </c>
      <c r="B131"/>
      <c r="F131" s="416"/>
      <c r="G131" s="177"/>
      <c r="H131" s="177"/>
      <c r="K131" s="177"/>
      <c r="L131" s="177"/>
      <c r="P131" s="177"/>
      <c r="Q131" s="177"/>
      <c r="R131" s="271"/>
      <c r="S131" s="272"/>
      <c r="T131" s="177"/>
    </row>
    <row r="132" spans="1:21" s="10" customFormat="1">
      <c r="A132" s="222" t="str">
        <f t="shared" ref="A132:A140" si="4">$B$113 &amp; ": " &amp; B132</f>
        <v>: Positive current collector, $/cell</v>
      </c>
      <c r="B132" s="227" t="s">
        <v>456</v>
      </c>
      <c r="F132" s="416">
        <v>7.9765247378485768E-2</v>
      </c>
      <c r="G132" s="10">
        <v>0.28213184239746802</v>
      </c>
      <c r="H132" s="10">
        <v>0.26819385989557015</v>
      </c>
      <c r="I132" s="10">
        <v>0.32424661375312674</v>
      </c>
      <c r="J132" s="10">
        <v>0.30107631877699315</v>
      </c>
      <c r="K132" s="10">
        <v>0.29812850811650043</v>
      </c>
      <c r="L132" s="10">
        <v>0.17991723842526394</v>
      </c>
      <c r="M132" s="10">
        <v>0.19465826206611408</v>
      </c>
      <c r="N132" s="10">
        <v>8.325603463418646E-2</v>
      </c>
      <c r="O132" s="219"/>
      <c r="P132" s="219"/>
      <c r="Q132" s="219"/>
      <c r="R132" s="271"/>
      <c r="S132" s="272"/>
    </row>
    <row r="133" spans="1:21" s="10" customFormat="1">
      <c r="A133" s="222" t="str">
        <f t="shared" si="4"/>
        <v>: Negative current collector, $/cell</v>
      </c>
      <c r="B133" s="227" t="s">
        <v>457</v>
      </c>
      <c r="F133" s="412">
        <v>0.17929335061448345</v>
      </c>
      <c r="G133" s="10">
        <v>0.29648956417880956</v>
      </c>
      <c r="H133" s="10">
        <v>0.28209738606895185</v>
      </c>
      <c r="I133" s="10">
        <v>0.33953475434428526</v>
      </c>
      <c r="J133" s="10">
        <v>0.63123107818509139</v>
      </c>
      <c r="K133" s="10">
        <v>0.31266925369732429</v>
      </c>
      <c r="L133" s="10">
        <v>1.15064987864604</v>
      </c>
      <c r="M133" s="10">
        <v>1.2415857741074383</v>
      </c>
      <c r="N133" s="10">
        <v>0.55640054720110499</v>
      </c>
      <c r="O133" s="177"/>
      <c r="P133" s="177"/>
      <c r="Q133" s="177"/>
      <c r="R133" s="271"/>
      <c r="S133" s="272"/>
    </row>
    <row r="134" spans="1:21" s="10" customFormat="1">
      <c r="A134" s="222" t="str">
        <f t="shared" si="4"/>
        <v>: Separators, $/cell</v>
      </c>
      <c r="B134" s="227" t="s">
        <v>458</v>
      </c>
      <c r="F134" s="412">
        <v>1.6878492068902859</v>
      </c>
      <c r="G134" s="10">
        <v>0.24862869363830425</v>
      </c>
      <c r="H134" s="10">
        <v>0.23619423281882357</v>
      </c>
      <c r="I134" s="10">
        <v>0.5713789117477005</v>
      </c>
      <c r="J134" s="10">
        <v>0.52991569347632606</v>
      </c>
      <c r="K134" s="10">
        <v>0.26247182701347149</v>
      </c>
      <c r="L134" s="10">
        <v>0.31691040343037885</v>
      </c>
      <c r="M134" s="10">
        <v>0.34297573895812516</v>
      </c>
      <c r="N134" s="10">
        <v>0.65962813404016452</v>
      </c>
      <c r="P134" s="177"/>
      <c r="Q134" s="177"/>
      <c r="R134" s="271"/>
      <c r="S134" s="272"/>
    </row>
    <row r="135" spans="1:21" s="10" customFormat="1">
      <c r="A135" s="222" t="str">
        <f t="shared" si="4"/>
        <v>: Electrolyte, $/cell</v>
      </c>
      <c r="B135" s="227" t="s">
        <v>459</v>
      </c>
      <c r="F135" s="412">
        <v>0.97110094381966439</v>
      </c>
      <c r="G135" s="273">
        <v>0.3827577764296991</v>
      </c>
      <c r="H135" s="273">
        <v>0.51862138976303229</v>
      </c>
      <c r="I135" s="10">
        <v>0.33538985531391807</v>
      </c>
      <c r="J135" s="10">
        <v>0.32212342376835079</v>
      </c>
      <c r="K135" s="273">
        <v>0.32331100546616209</v>
      </c>
      <c r="L135" s="273">
        <v>1.7670314305217261</v>
      </c>
      <c r="M135" s="10">
        <v>1.7118739241351308</v>
      </c>
      <c r="N135" s="10">
        <v>7.4532550543394009</v>
      </c>
      <c r="P135" s="177"/>
      <c r="Q135" s="177"/>
      <c r="R135" s="271"/>
      <c r="S135" s="272"/>
      <c r="T135" s="273"/>
    </row>
    <row r="136" spans="1:21" s="10" customFormat="1">
      <c r="A136" s="222" t="str">
        <f t="shared" si="4"/>
        <v>: Positive terminal, $/unit</v>
      </c>
      <c r="B136" s="223" t="s">
        <v>1180</v>
      </c>
      <c r="F136" s="413">
        <v>8.3373826628922065E-2</v>
      </c>
      <c r="G136" s="273">
        <v>9.3441173386724558E-2</v>
      </c>
      <c r="H136" s="273">
        <v>9.7791002860577014E-2</v>
      </c>
      <c r="I136" s="10">
        <v>9.1665347122935684E-2</v>
      </c>
      <c r="J136" s="10">
        <v>9.553895773985778E-2</v>
      </c>
      <c r="K136" s="273">
        <v>0.11205363766492719</v>
      </c>
      <c r="L136" s="273">
        <v>0.11188607902440197</v>
      </c>
      <c r="M136" s="10">
        <v>0.10752860352172854</v>
      </c>
      <c r="N136" s="10">
        <v>9.1810054637469579E-2</v>
      </c>
      <c r="P136" s="177"/>
      <c r="Q136" s="177"/>
      <c r="R136" s="271"/>
      <c r="S136" s="272"/>
      <c r="T136" s="273"/>
    </row>
    <row r="137" spans="1:21" s="10" customFormat="1">
      <c r="A137" s="222" t="str">
        <f t="shared" si="4"/>
        <v>: Negative terminal , $/unit</v>
      </c>
      <c r="B137" s="223" t="s">
        <v>1181</v>
      </c>
      <c r="F137" s="413">
        <v>0.13621033575897501</v>
      </c>
      <c r="G137" s="273">
        <v>0.14579082972196916</v>
      </c>
      <c r="H137" s="273">
        <v>0.14950965478796946</v>
      </c>
      <c r="I137" s="10">
        <v>0.14383110136847571</v>
      </c>
      <c r="J137" s="10">
        <v>0.14655473497804983</v>
      </c>
      <c r="K137" s="273">
        <v>0.16345937779872233</v>
      </c>
      <c r="L137" s="273">
        <v>0.25057034243868592</v>
      </c>
      <c r="M137" s="10">
        <v>0.24697745818334094</v>
      </c>
      <c r="N137" s="10">
        <v>0.22935139902123636</v>
      </c>
      <c r="P137" s="177"/>
      <c r="Q137" s="177"/>
      <c r="R137" s="274"/>
      <c r="S137" s="272"/>
      <c r="T137" s="273"/>
    </row>
    <row r="138" spans="1:21" s="10" customFormat="1">
      <c r="A138" s="222" t="str">
        <f t="shared" si="4"/>
        <v>: Cell container, $/unit</v>
      </c>
      <c r="B138" s="223" t="s">
        <v>460</v>
      </c>
      <c r="F138" s="413">
        <v>0.25312458181774644</v>
      </c>
      <c r="G138" s="273">
        <v>0.27695209081006122</v>
      </c>
      <c r="H138" s="273">
        <v>0.28611448602499734</v>
      </c>
      <c r="I138" s="10">
        <v>0.27201052711221491</v>
      </c>
      <c r="J138" s="10">
        <v>0.27861132973188563</v>
      </c>
      <c r="K138" s="273">
        <v>0.32093277087112604</v>
      </c>
      <c r="L138" s="273">
        <v>0.3214319003217363</v>
      </c>
      <c r="M138" s="10">
        <v>0.31130936603376946</v>
      </c>
      <c r="N138" s="10">
        <v>0.27010016570716688</v>
      </c>
      <c r="P138" s="177"/>
      <c r="Q138" s="177"/>
      <c r="R138" s="271"/>
      <c r="S138" s="272"/>
      <c r="T138" s="273"/>
    </row>
    <row r="139" spans="1:21" s="10" customFormat="1">
      <c r="A139" s="222"/>
      <c r="B139" s="223"/>
      <c r="F139" s="413"/>
      <c r="G139" s="273"/>
      <c r="H139" s="273"/>
      <c r="K139" s="273"/>
      <c r="L139" s="273"/>
      <c r="P139" s="177"/>
      <c r="Q139" s="177"/>
      <c r="R139" s="271"/>
      <c r="S139" s="272"/>
      <c r="T139" s="273"/>
    </row>
    <row r="140" spans="1:21" s="10" customFormat="1">
      <c r="A140" s="222" t="str">
        <f t="shared" si="4"/>
        <v>: Total cost of cell materials, $/cell</v>
      </c>
      <c r="B140" s="223" t="s">
        <v>461</v>
      </c>
      <c r="F140" s="414">
        <v>4.6652303648098217</v>
      </c>
      <c r="G140" s="273">
        <v>5.7099527648429547</v>
      </c>
      <c r="H140" s="273">
        <v>4.9705528092597708</v>
      </c>
      <c r="I140" s="10">
        <v>8.3592243042974683</v>
      </c>
      <c r="J140" s="10">
        <v>22.639204064203941</v>
      </c>
      <c r="K140" s="273">
        <v>13.005243454665445</v>
      </c>
      <c r="L140" s="273">
        <v>28.425707140968544</v>
      </c>
      <c r="M140" s="10">
        <v>17.434674373726374</v>
      </c>
      <c r="N140" s="10">
        <v>11.431487563808524</v>
      </c>
      <c r="P140" s="177"/>
      <c r="Q140" s="177"/>
      <c r="R140" s="271"/>
      <c r="S140" s="272"/>
      <c r="T140" s="273"/>
    </row>
    <row r="141" spans="1:21" s="10" customFormat="1">
      <c r="A141" s="222"/>
      <c r="B141" s="223"/>
      <c r="D141" s="10" t="s">
        <v>435</v>
      </c>
      <c r="E141" s="10" t="s">
        <v>436</v>
      </c>
      <c r="F141" s="413"/>
      <c r="G141" s="273"/>
      <c r="H141" s="273"/>
      <c r="K141" s="273"/>
      <c r="L141" s="273"/>
      <c r="M141" s="273"/>
      <c r="P141" s="177"/>
      <c r="Q141" s="177"/>
      <c r="R141" s="271"/>
      <c r="S141" s="272"/>
      <c r="T141" s="273"/>
    </row>
    <row r="142" spans="1:21" s="10" customFormat="1" ht="16">
      <c r="A142" s="224" t="s">
        <v>1182</v>
      </c>
      <c r="B142" s="226"/>
      <c r="E142" s="10">
        <v>0.85</v>
      </c>
      <c r="F142" s="412"/>
      <c r="G142" s="273"/>
      <c r="H142" s="273"/>
      <c r="K142" s="273"/>
      <c r="L142" s="273"/>
      <c r="M142" s="273"/>
      <c r="P142" s="177"/>
      <c r="Q142" s="177"/>
      <c r="R142" s="274"/>
      <c r="S142" s="272"/>
      <c r="T142" s="273"/>
    </row>
    <row r="143" spans="1:21" s="10" customFormat="1">
      <c r="A143" s="262" t="str">
        <f>$B$142 &amp; ": " &amp; B143</f>
        <v>: Aluminum thermal conductors, $/module</v>
      </c>
      <c r="B143" s="177" t="s">
        <v>1183</v>
      </c>
      <c r="F143" s="412">
        <v>193.62925617051053</v>
      </c>
      <c r="G143" s="273">
        <v>57.015325528882755</v>
      </c>
      <c r="H143" s="273">
        <v>31.134244091261671</v>
      </c>
      <c r="I143" s="10">
        <v>29.226262844329927</v>
      </c>
      <c r="J143" s="10">
        <v>28.782359665742142</v>
      </c>
      <c r="K143" s="273">
        <v>8.9155914905360945</v>
      </c>
      <c r="L143" s="273">
        <v>18.926673176518108</v>
      </c>
      <c r="M143" s="273">
        <v>25.692791471579849</v>
      </c>
      <c r="N143" s="10">
        <v>62.03420838049793</v>
      </c>
      <c r="P143" s="177"/>
      <c r="Q143" s="177"/>
      <c r="R143" s="271"/>
      <c r="S143" s="272"/>
      <c r="T143" s="273"/>
    </row>
    <row r="144" spans="1:21" s="10" customFormat="1">
      <c r="A144" s="222"/>
      <c r="B144" s="260" t="s">
        <v>1184</v>
      </c>
      <c r="E144" s="10">
        <v>0.85</v>
      </c>
      <c r="F144" s="412">
        <v>94.682926829268297</v>
      </c>
      <c r="G144" s="273">
        <v>102.47619047619048</v>
      </c>
      <c r="H144" s="273">
        <v>73.15625</v>
      </c>
      <c r="I144" s="10">
        <v>92.723557692307693</v>
      </c>
      <c r="J144" s="10">
        <v>90.393351800554015</v>
      </c>
      <c r="K144" s="273">
        <v>75.652605459057071</v>
      </c>
      <c r="L144" s="273">
        <v>57.075965130759649</v>
      </c>
      <c r="M144" s="273">
        <v>59.768115942028984</v>
      </c>
      <c r="N144" s="10">
        <v>40.321428571428569</v>
      </c>
      <c r="P144" s="177"/>
      <c r="Q144" s="177"/>
      <c r="R144" s="271"/>
      <c r="S144" s="272"/>
      <c r="T144" s="273"/>
    </row>
    <row r="145" spans="1:20" s="10" customFormat="1">
      <c r="A145" s="222"/>
      <c r="B145" s="227" t="s">
        <v>1185</v>
      </c>
      <c r="E145" s="10">
        <v>0.85</v>
      </c>
      <c r="F145" s="412">
        <v>250.33187073852247</v>
      </c>
      <c r="G145" s="10">
        <v>39.864583724876596</v>
      </c>
      <c r="H145" s="10">
        <v>34.360467585825752</v>
      </c>
      <c r="I145" s="10">
        <v>31.342060432389154</v>
      </c>
      <c r="J145" s="10">
        <v>30.933998215838585</v>
      </c>
      <c r="K145" s="10">
        <v>5.2593392235234324</v>
      </c>
      <c r="L145" s="10">
        <v>18.711193292684943</v>
      </c>
      <c r="M145" s="273">
        <v>27.063195227262437</v>
      </c>
      <c r="N145" s="10">
        <v>78.842145447382563</v>
      </c>
      <c r="P145" s="177"/>
      <c r="Q145" s="177"/>
      <c r="R145" s="271"/>
      <c r="S145" s="272"/>
    </row>
    <row r="146" spans="1:20" s="10" customFormat="1">
      <c r="A146" s="222"/>
      <c r="B146" s="237" t="s">
        <v>1186</v>
      </c>
      <c r="E146" s="10">
        <v>0.85</v>
      </c>
      <c r="F146" s="415">
        <v>12.180257676794408</v>
      </c>
      <c r="G146" s="273">
        <v>3.714816561733695</v>
      </c>
      <c r="H146" s="273">
        <v>2.2076798862185694</v>
      </c>
      <c r="I146" s="10">
        <v>2.1221394762762862</v>
      </c>
      <c r="J146" s="10">
        <v>2.1057859573379663</v>
      </c>
      <c r="K146" s="273">
        <v>0.92813149333796652</v>
      </c>
      <c r="L146" s="273">
        <v>1.482047244794408</v>
      </c>
      <c r="M146" s="273">
        <v>1.8509510527944082</v>
      </c>
      <c r="N146" s="10">
        <v>4.0979089777336943</v>
      </c>
      <c r="P146" s="177"/>
      <c r="Q146" s="177"/>
      <c r="R146" s="271"/>
      <c r="S146" s="272"/>
      <c r="T146" s="273"/>
    </row>
    <row r="147" spans="1:20" s="10" customFormat="1">
      <c r="A147" s="222"/>
      <c r="B147" s="227" t="s">
        <v>1187</v>
      </c>
      <c r="E147" s="10">
        <v>0.85</v>
      </c>
      <c r="F147" s="412">
        <v>0.58404493410800395</v>
      </c>
      <c r="G147" s="273">
        <v>0.56127575493195381</v>
      </c>
      <c r="H147" s="273">
        <v>0.55113662302696742</v>
      </c>
      <c r="I147" s="10">
        <v>0.52075225913674972</v>
      </c>
      <c r="J147" s="10">
        <v>0.54319563528821702</v>
      </c>
      <c r="K147" s="273">
        <v>0.53149242485165415</v>
      </c>
      <c r="L147" s="273">
        <v>0.58622538474003283</v>
      </c>
      <c r="M147" s="10">
        <v>0.59232246749626039</v>
      </c>
      <c r="N147" s="10">
        <v>0.56127575493195381</v>
      </c>
      <c r="P147" s="177"/>
      <c r="Q147" s="177"/>
      <c r="R147" s="275"/>
      <c r="S147" s="274"/>
      <c r="T147" s="273"/>
    </row>
    <row r="148" spans="1:20" s="10" customFormat="1">
      <c r="A148" s="222" t="str">
        <f>$B$142 &amp; ": " &amp; B145</f>
        <v>: Cell interconnects (copper) $/module</v>
      </c>
      <c r="B148" s="223" t="s">
        <v>463</v>
      </c>
      <c r="E148" s="10">
        <v>0.85</v>
      </c>
      <c r="F148" s="416">
        <v>95.198753011149989</v>
      </c>
      <c r="G148" s="10">
        <v>26.676782613286111</v>
      </c>
      <c r="H148" s="10">
        <v>14.545548047723237</v>
      </c>
      <c r="I148" s="10">
        <v>14.282775407116537</v>
      </c>
      <c r="J148" s="10">
        <v>13.65642943493509</v>
      </c>
      <c r="K148" s="10">
        <v>4.5156765972906481</v>
      </c>
      <c r="L148" s="10">
        <v>8.5454419193565787</v>
      </c>
      <c r="M148" s="10">
        <v>11.528042570164464</v>
      </c>
      <c r="N148" s="10">
        <v>29.135771010202838</v>
      </c>
      <c r="P148" s="177"/>
      <c r="Q148" s="177"/>
      <c r="R148" s="271"/>
      <c r="S148" s="272"/>
    </row>
    <row r="149" spans="1:20" s="10" customFormat="1">
      <c r="A149" s="222" t="str">
        <f>$B$142 &amp; ": " &amp; B144</f>
        <v>: Module management system (MMS)</v>
      </c>
      <c r="B149" s="227" t="s">
        <v>462</v>
      </c>
      <c r="F149" s="412">
        <v>0.68721529599301012</v>
      </c>
      <c r="G149" s="10">
        <v>0.65819110216711874</v>
      </c>
      <c r="H149" s="10">
        <v>0.63652505777321178</v>
      </c>
      <c r="I149" s="10">
        <v>0.58280682534535788</v>
      </c>
      <c r="J149" s="10">
        <v>0.61557220667245816</v>
      </c>
      <c r="K149" s="10">
        <v>0.61557220667245816</v>
      </c>
      <c r="L149" s="10">
        <v>0.68721529599301012</v>
      </c>
      <c r="M149" s="10">
        <v>0.68721529599301012</v>
      </c>
      <c r="N149" s="10">
        <v>0.65819110216711874</v>
      </c>
      <c r="P149" s="177"/>
      <c r="Q149" s="177"/>
      <c r="R149" s="274"/>
      <c r="S149" s="272"/>
    </row>
    <row r="150" spans="1:20" s="10" customFormat="1">
      <c r="A150" s="222" t="str">
        <f>$B$142 &amp; ": " &amp; B150</f>
        <v>: Total cost for module materials and purchased items, $/module</v>
      </c>
      <c r="B150" s="227" t="s">
        <v>1188</v>
      </c>
      <c r="F150" s="413">
        <v>647.2943246563467</v>
      </c>
      <c r="G150" s="10">
        <v>230.96716576206873</v>
      </c>
      <c r="H150" s="10">
        <v>156.59185129182939</v>
      </c>
      <c r="I150" s="10">
        <v>170.8003549369017</v>
      </c>
      <c r="J150" s="10">
        <v>167.03069291636845</v>
      </c>
      <c r="K150" s="10">
        <v>96.418408895269309</v>
      </c>
      <c r="L150" s="10">
        <v>106.01476144484671</v>
      </c>
      <c r="M150" s="10">
        <v>127.18263402731942</v>
      </c>
      <c r="N150" s="10">
        <v>215.65092924434464</v>
      </c>
      <c r="P150" s="177"/>
      <c r="Q150" s="177"/>
      <c r="R150" s="271"/>
      <c r="S150" s="272"/>
    </row>
    <row r="151" spans="1:20" s="10" customFormat="1">
      <c r="A151" s="222"/>
      <c r="B151" s="227"/>
      <c r="F151" s="413"/>
      <c r="P151" s="177"/>
      <c r="Q151" s="177"/>
      <c r="R151" s="271"/>
      <c r="S151" s="272"/>
    </row>
    <row r="152" spans="1:20" ht="16">
      <c r="A152" s="224" t="s">
        <v>1189</v>
      </c>
      <c r="B152" s="227"/>
      <c r="F152" s="412"/>
      <c r="P152" s="227"/>
      <c r="Q152" s="227"/>
      <c r="R152" s="231"/>
      <c r="S152" s="235"/>
    </row>
    <row r="153" spans="1:20">
      <c r="A153" s="222"/>
      <c r="B153" s="237" t="s">
        <v>1190</v>
      </c>
      <c r="F153" s="413">
        <v>1685.6625630052599</v>
      </c>
      <c r="G153" s="88">
        <v>622.82260964080683</v>
      </c>
      <c r="H153" s="88">
        <v>416.43471865203765</v>
      </c>
      <c r="I153">
        <v>733.05566654720474</v>
      </c>
      <c r="J153">
        <v>489.03782280201904</v>
      </c>
      <c r="K153" s="88">
        <v>150.49715678025132</v>
      </c>
      <c r="L153" s="88">
        <v>144.90450162132561</v>
      </c>
      <c r="M153">
        <v>197.80808938603536</v>
      </c>
      <c r="N153">
        <v>681.82585526898652</v>
      </c>
      <c r="P153" s="227"/>
      <c r="Q153" s="227"/>
      <c r="R153" s="246"/>
      <c r="S153" s="244"/>
      <c r="T153" s="88"/>
    </row>
    <row r="154" spans="1:20">
      <c r="A154" s="222"/>
      <c r="B154" s="260" t="s">
        <v>1191</v>
      </c>
      <c r="F154" s="413">
        <v>1.6</v>
      </c>
      <c r="G154" s="88">
        <v>2.4000000000000004</v>
      </c>
      <c r="H154" s="88">
        <v>3.2</v>
      </c>
      <c r="I154">
        <v>6</v>
      </c>
      <c r="J154">
        <v>4</v>
      </c>
      <c r="K154" s="88">
        <v>4</v>
      </c>
      <c r="L154" s="88">
        <v>1.8</v>
      </c>
      <c r="M154">
        <v>1.8</v>
      </c>
      <c r="N154">
        <v>2.4000000000000004</v>
      </c>
      <c r="P154" s="227"/>
      <c r="Q154" s="227"/>
      <c r="R154" s="231"/>
      <c r="S154" s="235"/>
      <c r="T154" s="88"/>
    </row>
    <row r="155" spans="1:20">
      <c r="A155" s="222"/>
      <c r="B155" s="227" t="s">
        <v>1192</v>
      </c>
      <c r="F155" s="413">
        <v>6.2220950074806041</v>
      </c>
      <c r="G155" s="88">
        <v>7.9876930203849899</v>
      </c>
      <c r="H155" s="88">
        <v>9.9480869431516936</v>
      </c>
      <c r="I155">
        <v>18.913542773680692</v>
      </c>
      <c r="J155">
        <v>12.947661646592952</v>
      </c>
      <c r="K155" s="88">
        <v>12.614096928495282</v>
      </c>
      <c r="L155" s="88">
        <v>5.8642876541649471</v>
      </c>
      <c r="M155" s="97">
        <v>5.9511771321344007</v>
      </c>
      <c r="N155">
        <v>7.9876930203849899</v>
      </c>
      <c r="P155" s="227"/>
      <c r="Q155" s="227"/>
      <c r="R155" s="244"/>
      <c r="S155" s="235"/>
      <c r="T155" s="88"/>
    </row>
    <row r="156" spans="1:20">
      <c r="A156" s="222"/>
      <c r="B156" s="227" t="s">
        <v>1193</v>
      </c>
      <c r="F156" s="413">
        <v>2.0243608410184706</v>
      </c>
      <c r="G156" s="88">
        <v>1.9781525424711921</v>
      </c>
      <c r="H156" s="88">
        <v>2.0303280630395131</v>
      </c>
      <c r="I156">
        <v>3.681589117627516</v>
      </c>
      <c r="J156">
        <v>25.77044773196652</v>
      </c>
      <c r="K156" s="88">
        <v>8.762938430570987</v>
      </c>
      <c r="L156" s="88">
        <v>11.681666054939331</v>
      </c>
      <c r="M156" s="97">
        <v>16.324971131581758</v>
      </c>
      <c r="N156">
        <v>1.9521953016001072</v>
      </c>
      <c r="P156" s="227"/>
      <c r="Q156" s="227"/>
      <c r="R156" s="231"/>
      <c r="S156" s="235"/>
      <c r="T156" s="88"/>
    </row>
    <row r="157" spans="1:20">
      <c r="A157" s="222"/>
      <c r="B157" s="372" t="s">
        <v>1194</v>
      </c>
      <c r="F157" s="413">
        <v>1260.015497708109</v>
      </c>
      <c r="G157" s="88">
        <v>610.40141816706057</v>
      </c>
      <c r="H157" s="88">
        <v>502.42944395318136</v>
      </c>
      <c r="I157">
        <v>713.14373558860484</v>
      </c>
      <c r="J157">
        <v>470.50462881533053</v>
      </c>
      <c r="K157" s="88">
        <v>133.691202542127</v>
      </c>
      <c r="L157" s="88">
        <v>179.06206718540861</v>
      </c>
      <c r="M157" s="97">
        <v>249.72020241931406</v>
      </c>
      <c r="N157">
        <v>666.57103321566865</v>
      </c>
      <c r="P157" s="227"/>
      <c r="Q157" s="227"/>
      <c r="R157" s="231"/>
      <c r="S157" s="235"/>
      <c r="T157" s="88"/>
    </row>
    <row r="158" spans="1:20">
      <c r="A158" s="222"/>
      <c r="B158" s="372" t="s">
        <v>1195</v>
      </c>
      <c r="F158" s="413">
        <v>10.824485248549504</v>
      </c>
      <c r="G158" s="88">
        <v>10.742827966680894</v>
      </c>
      <c r="H158" s="88">
        <v>10.636992886053283</v>
      </c>
      <c r="I158">
        <v>15.675217026351886</v>
      </c>
      <c r="J158">
        <v>12.952500464582542</v>
      </c>
      <c r="K158" s="88">
        <v>13.03425851964592</v>
      </c>
      <c r="L158" s="88">
        <v>8.1778494877793051</v>
      </c>
      <c r="M158" s="97">
        <v>8.2137380871072878</v>
      </c>
      <c r="N158">
        <v>10.57043209979099</v>
      </c>
      <c r="P158" s="227"/>
      <c r="Q158" s="227"/>
      <c r="R158" s="231"/>
      <c r="S158" s="235"/>
      <c r="T158" s="88"/>
    </row>
    <row r="159" spans="1:20">
      <c r="A159" s="222"/>
      <c r="B159" s="372" t="s">
        <v>1196</v>
      </c>
      <c r="F159" s="413">
        <v>1.6772786383305145</v>
      </c>
      <c r="G159" s="88">
        <v>1.6653975408785415</v>
      </c>
      <c r="H159" s="88">
        <v>1.6897537906550864</v>
      </c>
      <c r="I159">
        <v>1.7247268672573044</v>
      </c>
      <c r="J159">
        <v>1.722341238417056</v>
      </c>
      <c r="K159" s="88">
        <v>1.6656392902559762</v>
      </c>
      <c r="L159" s="88">
        <v>1.6878429018183212</v>
      </c>
      <c r="M159">
        <v>1.7173832123383603</v>
      </c>
      <c r="N159">
        <v>1.6653975408785415</v>
      </c>
      <c r="P159" s="227"/>
      <c r="Q159" s="227"/>
      <c r="R159" s="231"/>
      <c r="S159" s="235"/>
      <c r="T159" s="88"/>
    </row>
    <row r="160" spans="1:20">
      <c r="A160" s="222"/>
      <c r="B160" s="227" t="s">
        <v>1197</v>
      </c>
      <c r="F160" s="413">
        <v>2126.8183698544844</v>
      </c>
      <c r="G160" s="88">
        <v>782.13009880105926</v>
      </c>
      <c r="H160" s="88">
        <v>521.50086852334414</v>
      </c>
      <c r="I160">
        <v>870.92311599178686</v>
      </c>
      <c r="J160">
        <v>596.88132026574203</v>
      </c>
      <c r="K160" s="88">
        <v>176.88881589007431</v>
      </c>
      <c r="L160" s="88">
        <v>189.72451373499194</v>
      </c>
      <c r="M160">
        <v>260.70166836730914</v>
      </c>
      <c r="N160">
        <v>860.17165210082521</v>
      </c>
      <c r="P160" s="227"/>
      <c r="Q160" s="227"/>
      <c r="R160" s="231"/>
      <c r="S160" s="235"/>
      <c r="T160" s="88"/>
    </row>
    <row r="161" spans="1:20">
      <c r="A161" s="222"/>
      <c r="B161" s="227" t="s">
        <v>1198</v>
      </c>
      <c r="F161" s="413">
        <v>2831.5326496667153</v>
      </c>
      <c r="G161" s="88">
        <v>1037.5571290246005</v>
      </c>
      <c r="H161" s="88">
        <v>689.33110835476145</v>
      </c>
      <c r="I161">
        <v>1167.8960464216007</v>
      </c>
      <c r="J161">
        <v>793.35329467587746</v>
      </c>
      <c r="K161" s="88">
        <v>231.94679786882853</v>
      </c>
      <c r="L161" s="88">
        <v>246.50982684645228</v>
      </c>
      <c r="M161">
        <v>340.14957326353408</v>
      </c>
      <c r="N161">
        <v>1138.1827493071089</v>
      </c>
      <c r="P161" s="227"/>
      <c r="Q161" s="227"/>
      <c r="R161" s="231"/>
      <c r="S161" s="235"/>
      <c r="T161" s="88"/>
    </row>
    <row r="162" spans="1:20">
      <c r="A162" s="222"/>
      <c r="B162" s="227" t="s">
        <v>1199</v>
      </c>
      <c r="F162" s="413">
        <v>530.96016030328667</v>
      </c>
      <c r="G162" s="88">
        <v>193.74010556007732</v>
      </c>
      <c r="H162" s="88">
        <v>128.2876977595684</v>
      </c>
      <c r="I162">
        <v>221.39660775351462</v>
      </c>
      <c r="J162">
        <v>149.08872335106102</v>
      </c>
      <c r="K162" s="88">
        <v>42.551363347963104</v>
      </c>
      <c r="L162" s="88">
        <v>44.619868587777916</v>
      </c>
      <c r="M162">
        <v>61.960086420877971</v>
      </c>
      <c r="N162">
        <v>212.6178084047537</v>
      </c>
      <c r="P162" s="227"/>
      <c r="Q162" s="227"/>
      <c r="R162" s="231"/>
      <c r="S162" s="235"/>
      <c r="T162" s="88"/>
    </row>
    <row r="163" spans="1:20">
      <c r="A163" s="222"/>
      <c r="B163" s="227" t="s">
        <v>464</v>
      </c>
      <c r="F163" s="413">
        <v>120</v>
      </c>
      <c r="G163">
        <v>120</v>
      </c>
      <c r="H163">
        <v>120</v>
      </c>
      <c r="I163">
        <v>120</v>
      </c>
      <c r="J163">
        <v>120</v>
      </c>
      <c r="K163">
        <v>120</v>
      </c>
      <c r="L163">
        <v>120</v>
      </c>
      <c r="M163">
        <v>120</v>
      </c>
      <c r="N163">
        <v>120</v>
      </c>
      <c r="P163" s="227"/>
      <c r="Q163" s="227"/>
      <c r="R163" s="231"/>
      <c r="S163" s="235"/>
    </row>
    <row r="164" spans="1:20">
      <c r="A164" s="222"/>
      <c r="B164" s="227" t="s">
        <v>465</v>
      </c>
      <c r="F164" s="413">
        <v>20</v>
      </c>
      <c r="G164">
        <v>20</v>
      </c>
      <c r="H164">
        <v>20</v>
      </c>
      <c r="I164">
        <v>20</v>
      </c>
      <c r="J164">
        <v>20</v>
      </c>
      <c r="K164">
        <v>20</v>
      </c>
      <c r="L164">
        <v>20</v>
      </c>
      <c r="M164">
        <v>20</v>
      </c>
      <c r="N164">
        <v>20</v>
      </c>
      <c r="P164" s="227"/>
      <c r="Q164" s="227"/>
      <c r="R164" s="231"/>
      <c r="S164" s="235"/>
    </row>
    <row r="165" spans="1:20">
      <c r="A165" s="222"/>
      <c r="B165" s="227" t="s">
        <v>1200</v>
      </c>
      <c r="F165" s="413">
        <v>8597.3374602732329</v>
      </c>
      <c r="G165">
        <v>3411.4254322640195</v>
      </c>
      <c r="H165">
        <v>2425.4889989257927</v>
      </c>
      <c r="I165">
        <v>3892.410248087629</v>
      </c>
      <c r="J165">
        <v>2696.2587409915891</v>
      </c>
      <c r="K165">
        <v>915.65226959821234</v>
      </c>
      <c r="L165">
        <v>974.03242407465825</v>
      </c>
      <c r="M165">
        <v>1284.3468894202326</v>
      </c>
      <c r="N165">
        <v>3723.944816259997</v>
      </c>
      <c r="P165" s="227"/>
      <c r="Q165" s="227"/>
      <c r="R165" s="231"/>
      <c r="S165" s="235"/>
    </row>
    <row r="166" spans="1:20" ht="16">
      <c r="A166" s="224"/>
      <c r="B166" s="227" t="s">
        <v>1201</v>
      </c>
      <c r="F166" s="412">
        <v>678.95440445919223</v>
      </c>
      <c r="G166">
        <v>877.59168637019968</v>
      </c>
      <c r="H166">
        <v>777.06601638687812</v>
      </c>
      <c r="I166">
        <v>1477.0119647382389</v>
      </c>
      <c r="J166">
        <v>1086.442283810502</v>
      </c>
      <c r="K166">
        <v>937.1301556162515</v>
      </c>
      <c r="L166">
        <v>467.16807473763123</v>
      </c>
      <c r="M166">
        <v>477.62776815082873</v>
      </c>
      <c r="N166">
        <v>431.11313767520517</v>
      </c>
      <c r="P166" s="227"/>
      <c r="Q166" s="227"/>
      <c r="R166" s="244"/>
      <c r="S166" s="235"/>
    </row>
    <row r="167" spans="1:20" ht="16">
      <c r="A167" s="224"/>
      <c r="B167" s="227"/>
      <c r="F167" s="412"/>
      <c r="P167" s="227"/>
      <c r="Q167" s="227"/>
      <c r="R167" s="231"/>
      <c r="S167" s="235"/>
    </row>
    <row r="168" spans="1:20" ht="16">
      <c r="A168" s="224" t="s">
        <v>1202</v>
      </c>
      <c r="B168" s="227"/>
      <c r="F168" s="412"/>
      <c r="P168" s="227"/>
      <c r="Q168" s="227"/>
      <c r="R168" s="231"/>
      <c r="S168" s="235"/>
    </row>
    <row r="169" spans="1:20">
      <c r="B169" s="237" t="s">
        <v>1203</v>
      </c>
      <c r="F169" s="412">
        <v>80</v>
      </c>
      <c r="G169">
        <v>120</v>
      </c>
      <c r="H169">
        <v>160</v>
      </c>
      <c r="I169">
        <v>440</v>
      </c>
      <c r="J169">
        <v>320</v>
      </c>
      <c r="K169">
        <v>680</v>
      </c>
      <c r="L169">
        <v>120</v>
      </c>
      <c r="M169">
        <v>80</v>
      </c>
      <c r="N169">
        <v>40</v>
      </c>
      <c r="P169" s="227"/>
      <c r="Q169" s="227"/>
      <c r="R169" s="231"/>
      <c r="S169" s="235"/>
    </row>
    <row r="170" spans="1:20">
      <c r="B170" s="227" t="s">
        <v>466</v>
      </c>
      <c r="F170" s="412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P170" s="227"/>
      <c r="Q170" s="227"/>
      <c r="R170" s="231"/>
      <c r="S170" s="235"/>
    </row>
    <row r="171" spans="1:20">
      <c r="A171" s="227"/>
      <c r="B171" s="227" t="s">
        <v>1204</v>
      </c>
      <c r="F171" s="412">
        <v>80</v>
      </c>
      <c r="G171">
        <v>120</v>
      </c>
      <c r="H171">
        <v>160</v>
      </c>
      <c r="I171">
        <v>440</v>
      </c>
      <c r="J171">
        <v>320</v>
      </c>
      <c r="K171">
        <v>680</v>
      </c>
      <c r="L171">
        <v>120</v>
      </c>
      <c r="M171">
        <v>80</v>
      </c>
      <c r="N171">
        <v>40</v>
      </c>
      <c r="P171" s="227"/>
      <c r="Q171" s="227"/>
      <c r="R171" s="244"/>
      <c r="S171" s="235"/>
    </row>
    <row r="172" spans="1:20" ht="16">
      <c r="A172" s="224"/>
      <c r="B172" s="227"/>
      <c r="F172" s="412"/>
      <c r="P172" s="227"/>
      <c r="Q172" s="227"/>
      <c r="R172" s="231"/>
      <c r="S172" s="235"/>
    </row>
    <row r="173" spans="1:20">
      <c r="P173" s="227"/>
      <c r="Q173" s="227"/>
      <c r="R173" s="237"/>
      <c r="S173" s="247"/>
    </row>
    <row r="174" spans="1:20" ht="16">
      <c r="A174" s="237"/>
      <c r="B174" s="224"/>
      <c r="F174" s="409"/>
      <c r="P174" s="227"/>
      <c r="Q174" s="227"/>
      <c r="R174" s="237"/>
      <c r="S174" s="247"/>
    </row>
    <row r="175" spans="1:20">
      <c r="P175" s="227"/>
      <c r="Q175" s="227"/>
      <c r="R175" s="242"/>
      <c r="S175" s="245"/>
    </row>
    <row r="176" spans="1:20" ht="16">
      <c r="A176" s="237"/>
      <c r="B176" s="224"/>
      <c r="C176" t="s">
        <v>1130</v>
      </c>
      <c r="F176" s="409"/>
      <c r="P176" s="227"/>
      <c r="Q176" s="227"/>
      <c r="R176" s="245"/>
      <c r="S176" s="245"/>
    </row>
    <row r="177" spans="1:19">
      <c r="A177" s="567" t="s">
        <v>1205</v>
      </c>
      <c r="B177" s="568"/>
      <c r="F177" s="409"/>
      <c r="P177" s="227"/>
      <c r="Q177" s="227"/>
      <c r="R177" s="242"/>
      <c r="S177" s="245"/>
    </row>
    <row r="178" spans="1:19">
      <c r="A178" s="373"/>
      <c r="B178" s="237"/>
      <c r="D178" t="s">
        <v>435</v>
      </c>
      <c r="F178" s="404"/>
      <c r="P178" s="227"/>
      <c r="Q178" s="227"/>
      <c r="R178" s="242"/>
      <c r="S178" s="245"/>
    </row>
    <row r="179" spans="1:19" ht="16">
      <c r="A179" s="368" t="s">
        <v>468</v>
      </c>
      <c r="B179" s="226"/>
      <c r="D179" t="s">
        <v>467</v>
      </c>
      <c r="E179" t="s">
        <v>436</v>
      </c>
      <c r="F179" s="243"/>
      <c r="P179" s="227"/>
      <c r="Q179" s="227"/>
      <c r="R179" s="242"/>
      <c r="S179" s="245"/>
    </row>
    <row r="180" spans="1:19">
      <c r="A180" s="369" t="s">
        <v>1206</v>
      </c>
      <c r="B180" s="227"/>
      <c r="F180" s="243"/>
      <c r="P180" s="227"/>
      <c r="Q180" s="227"/>
      <c r="R180" s="242"/>
      <c r="S180" s="245"/>
    </row>
    <row r="181" spans="1:19">
      <c r="A181" s="233" t="s">
        <v>1207</v>
      </c>
      <c r="F181" s="243"/>
      <c r="P181" s="227"/>
      <c r="Q181" s="227"/>
      <c r="R181" s="245"/>
      <c r="S181" s="245"/>
    </row>
    <row r="182" spans="1:19">
      <c r="B182" s="227" t="s">
        <v>1208</v>
      </c>
      <c r="D182">
        <v>29000</v>
      </c>
      <c r="E182">
        <v>0.9</v>
      </c>
      <c r="F182" s="417">
        <v>2.2033745466686669</v>
      </c>
      <c r="G182">
        <v>2.5188544833765589</v>
      </c>
      <c r="H182">
        <v>1.2542947952715715</v>
      </c>
      <c r="I182">
        <v>8.9582812251365205</v>
      </c>
      <c r="J182">
        <v>5.2145044180371229</v>
      </c>
      <c r="K182">
        <v>1.7697417211982742</v>
      </c>
      <c r="L182">
        <v>0.78360264436319826</v>
      </c>
      <c r="M182">
        <v>1.1686632986362968</v>
      </c>
      <c r="N182">
        <v>0.93976345706129283</v>
      </c>
      <c r="P182" s="227"/>
      <c r="Q182" s="227"/>
      <c r="R182" s="242"/>
      <c r="S182" s="245"/>
    </row>
    <row r="183" spans="1:19">
      <c r="B183" s="227" t="s">
        <v>474</v>
      </c>
      <c r="C183" t="s">
        <v>377</v>
      </c>
      <c r="D183">
        <v>220</v>
      </c>
      <c r="E183">
        <v>0.9</v>
      </c>
      <c r="F183" s="242">
        <v>59044.234070023616</v>
      </c>
      <c r="G183">
        <v>66601.002851559519</v>
      </c>
      <c r="H183">
        <v>35559.664600340024</v>
      </c>
      <c r="I183">
        <v>208641.27149330874</v>
      </c>
      <c r="J183">
        <v>128200.50433399399</v>
      </c>
      <c r="K183">
        <v>48474.897378436784</v>
      </c>
      <c r="L183">
        <v>23285.432106013599</v>
      </c>
      <c r="M183">
        <v>33367.099990004004</v>
      </c>
      <c r="N183">
        <v>27422.98309422889</v>
      </c>
      <c r="O183" s="226"/>
      <c r="P183" s="227"/>
      <c r="Q183" s="227"/>
      <c r="R183" s="242"/>
      <c r="S183" s="245"/>
    </row>
    <row r="184" spans="1:19">
      <c r="B184" s="227" t="s">
        <v>475</v>
      </c>
      <c r="C184" t="s">
        <v>377</v>
      </c>
      <c r="D184">
        <v>9400</v>
      </c>
      <c r="E184">
        <v>0.95</v>
      </c>
      <c r="F184" s="245">
        <v>447.92177570362742</v>
      </c>
      <c r="G184">
        <v>505.24898714976183</v>
      </c>
      <c r="H184">
        <v>269.76297283016572</v>
      </c>
      <c r="I184">
        <v>1582.7958527078592</v>
      </c>
      <c r="J184">
        <v>972.55555011995432</v>
      </c>
      <c r="K184">
        <v>367.74060080193425</v>
      </c>
      <c r="L184">
        <v>176.64810563182729</v>
      </c>
      <c r="M184">
        <v>253.12972406209937</v>
      </c>
      <c r="N184">
        <v>208.03642347346053</v>
      </c>
      <c r="P184" s="227"/>
      <c r="Q184" s="227"/>
      <c r="R184" s="242"/>
      <c r="S184" s="245"/>
    </row>
    <row r="185" spans="1:19">
      <c r="B185" s="227" t="s">
        <v>1363</v>
      </c>
      <c r="F185" s="242">
        <v>19909.564726624903</v>
      </c>
      <c r="G185">
        <v>22608.449451865425</v>
      </c>
      <c r="H185">
        <v>11657.555526908873</v>
      </c>
      <c r="I185">
        <v>75464.258835214903</v>
      </c>
      <c r="J185">
        <v>45131.549185318319</v>
      </c>
      <c r="K185">
        <v>16167.476878279176</v>
      </c>
      <c r="L185">
        <v>7456.2240898938362</v>
      </c>
      <c r="M185">
        <v>10900.157889068538</v>
      </c>
      <c r="N185">
        <v>8861.25999655962</v>
      </c>
      <c r="P185" s="227"/>
      <c r="Q185" s="227"/>
      <c r="R185" s="242"/>
      <c r="S185" s="245"/>
    </row>
    <row r="186" spans="1:19">
      <c r="B186" s="227"/>
      <c r="F186" s="242"/>
      <c r="P186" s="227"/>
      <c r="Q186" s="227"/>
      <c r="R186" s="245"/>
      <c r="S186" s="245"/>
    </row>
    <row r="187" spans="1:19">
      <c r="A187" s="233" t="s">
        <v>1210</v>
      </c>
      <c r="F187" s="243"/>
      <c r="P187" s="227"/>
      <c r="Q187" s="227"/>
      <c r="R187" s="242"/>
      <c r="S187" s="245"/>
    </row>
    <row r="188" spans="1:19">
      <c r="B188" s="227" t="s">
        <v>1208</v>
      </c>
      <c r="D188">
        <v>37000</v>
      </c>
      <c r="E188">
        <v>0.9</v>
      </c>
      <c r="F188" s="417">
        <v>0.14109258453190349</v>
      </c>
      <c r="G188">
        <v>0.2031734358078868</v>
      </c>
      <c r="H188">
        <v>0.17861285412444489</v>
      </c>
      <c r="I188">
        <v>0.23380473560377607</v>
      </c>
      <c r="J188">
        <v>0.15477063043992401</v>
      </c>
      <c r="K188">
        <v>0.11973093578925376</v>
      </c>
      <c r="L188">
        <v>0.86690958440351218</v>
      </c>
      <c r="M188">
        <v>0.95411159432101567</v>
      </c>
      <c r="N188">
        <v>0.69331044550969312</v>
      </c>
      <c r="O188" s="226"/>
      <c r="P188" s="227"/>
      <c r="Q188" s="227"/>
      <c r="R188" s="242"/>
      <c r="S188" s="245"/>
    </row>
    <row r="189" spans="1:19">
      <c r="B189" s="227" t="s">
        <v>474</v>
      </c>
      <c r="C189" t="s">
        <v>377</v>
      </c>
      <c r="D189">
        <v>300</v>
      </c>
      <c r="E189">
        <v>0.9</v>
      </c>
      <c r="F189" s="242">
        <v>6349.7334399363381</v>
      </c>
      <c r="G189">
        <v>8816.2106099646244</v>
      </c>
      <c r="H189">
        <v>7850.9672067146166</v>
      </c>
      <c r="I189">
        <v>10003.908183067899</v>
      </c>
      <c r="J189">
        <v>6901.1492599301901</v>
      </c>
      <c r="K189">
        <v>5477.564033705853</v>
      </c>
      <c r="L189">
        <v>32537.048006090208</v>
      </c>
      <c r="M189">
        <v>35468.349569023834</v>
      </c>
      <c r="N189">
        <v>26609.498713544599</v>
      </c>
      <c r="P189" s="227"/>
      <c r="Q189" s="227"/>
      <c r="R189" s="242"/>
      <c r="S189" s="245"/>
    </row>
    <row r="190" spans="1:19">
      <c r="B190" s="227" t="s">
        <v>475</v>
      </c>
      <c r="C190" t="s">
        <v>377</v>
      </c>
      <c r="D190">
        <v>9400</v>
      </c>
      <c r="E190">
        <v>0.95</v>
      </c>
      <c r="F190" s="245">
        <v>51.484325188673012</v>
      </c>
      <c r="G190">
        <v>71.482788729442902</v>
      </c>
      <c r="H190">
        <v>63.656490865253652</v>
      </c>
      <c r="I190">
        <v>81.112769051901878</v>
      </c>
      <c r="J190">
        <v>55.955264269704244</v>
      </c>
      <c r="K190">
        <v>44.412681354371784</v>
      </c>
      <c r="L190">
        <v>263.81390275208275</v>
      </c>
      <c r="M190">
        <v>287.58121272181489</v>
      </c>
      <c r="N190">
        <v>215.75269227198325</v>
      </c>
      <c r="P190" s="227"/>
      <c r="Q190" s="227"/>
      <c r="R190" s="242"/>
      <c r="S190" s="245"/>
    </row>
    <row r="191" spans="1:19">
      <c r="B191" s="227" t="s">
        <v>1363</v>
      </c>
      <c r="F191" s="242">
        <v>1462.7052934789763</v>
      </c>
      <c r="G191">
        <v>2068.2423767093983</v>
      </c>
      <c r="H191">
        <v>1829.97403788615</v>
      </c>
      <c r="I191">
        <v>2363.4068600135865</v>
      </c>
      <c r="J191">
        <v>1597.0995145011009</v>
      </c>
      <c r="K191">
        <v>1251.4799945625314</v>
      </c>
      <c r="L191">
        <v>8207.3502581969424</v>
      </c>
      <c r="M191">
        <v>8989.7386964710768</v>
      </c>
      <c r="N191">
        <v>6637.5714614568769</v>
      </c>
      <c r="P191" s="227"/>
      <c r="Q191" s="227"/>
      <c r="R191" s="245"/>
      <c r="S191" s="245"/>
    </row>
    <row r="192" spans="1:19">
      <c r="B192" s="227"/>
      <c r="F192" s="242"/>
      <c r="P192" s="227"/>
      <c r="Q192" s="227"/>
      <c r="R192" s="242"/>
      <c r="S192" s="245"/>
    </row>
    <row r="193" spans="1:19">
      <c r="A193" s="369" t="s">
        <v>1211</v>
      </c>
      <c r="F193" s="243"/>
      <c r="O193" s="226"/>
      <c r="P193" s="227"/>
      <c r="Q193" s="227"/>
      <c r="R193" s="242"/>
      <c r="S193" s="245"/>
    </row>
    <row r="194" spans="1:19">
      <c r="A194" s="233" t="s">
        <v>1212</v>
      </c>
      <c r="F194" s="243"/>
      <c r="O194" s="227"/>
      <c r="P194" s="227"/>
      <c r="Q194" s="227"/>
      <c r="R194" s="242"/>
      <c r="S194" s="245"/>
    </row>
    <row r="195" spans="1:19">
      <c r="B195" s="227" t="s">
        <v>1213</v>
      </c>
      <c r="D195">
        <v>0.11950458192929042</v>
      </c>
      <c r="F195" s="417">
        <v>0.80458831297367894</v>
      </c>
      <c r="G195">
        <v>1.0402651225176855</v>
      </c>
      <c r="H195">
        <v>0.658490981270488</v>
      </c>
      <c r="I195">
        <v>1.3983283417010022</v>
      </c>
      <c r="J195">
        <v>0.87667081129882274</v>
      </c>
      <c r="K195">
        <v>0.23623352977891987</v>
      </c>
      <c r="L195">
        <v>0.14578455310697969</v>
      </c>
      <c r="M195">
        <v>0.21997986003089678</v>
      </c>
      <c r="N195">
        <v>0.34316575711308706</v>
      </c>
      <c r="O195" s="227"/>
      <c r="P195" s="227"/>
      <c r="Q195" s="227"/>
      <c r="R195" s="242"/>
      <c r="S195" s="245"/>
    </row>
    <row r="196" spans="1:19" ht="16">
      <c r="B196" s="227" t="s">
        <v>1364</v>
      </c>
      <c r="D196">
        <v>10000</v>
      </c>
      <c r="E196">
        <v>0.7</v>
      </c>
      <c r="F196" s="417">
        <v>0.13394837919579416</v>
      </c>
      <c r="G196">
        <v>0.31582799821016139</v>
      </c>
      <c r="H196">
        <v>0.2484513585919936</v>
      </c>
      <c r="I196">
        <v>0.31335626825969137</v>
      </c>
      <c r="J196">
        <v>0.2909372620539219</v>
      </c>
      <c r="K196">
        <v>0.36643015382520805</v>
      </c>
      <c r="L196">
        <v>0.26291008024443896</v>
      </c>
      <c r="M196">
        <v>0.25985395951123635</v>
      </c>
      <c r="N196">
        <v>0.13394837919579416</v>
      </c>
      <c r="O196" s="227"/>
      <c r="P196" s="227"/>
      <c r="Q196" s="227"/>
      <c r="R196" s="242"/>
      <c r="S196" s="245"/>
    </row>
    <row r="197" spans="1:19">
      <c r="B197" s="227" t="s">
        <v>474</v>
      </c>
      <c r="C197" t="s">
        <v>377</v>
      </c>
      <c r="D197">
        <v>110</v>
      </c>
      <c r="E197">
        <v>0.9</v>
      </c>
      <c r="F197" s="242">
        <v>8588.1892094075702</v>
      </c>
      <c r="G197">
        <v>10280.182546471262</v>
      </c>
      <c r="H197">
        <v>7464.2277436699997</v>
      </c>
      <c r="I197">
        <v>12645.220656574358</v>
      </c>
      <c r="J197">
        <v>9119.8056418037049</v>
      </c>
      <c r="K197">
        <v>3641.992754272334</v>
      </c>
      <c r="L197">
        <v>2597.7542075568617</v>
      </c>
      <c r="M197">
        <v>3464.7192176803437</v>
      </c>
      <c r="N197">
        <v>4729.9087418202598</v>
      </c>
      <c r="O197" s="227"/>
      <c r="P197" s="227"/>
      <c r="Q197" s="227"/>
      <c r="R197" s="242"/>
      <c r="S197" s="245"/>
    </row>
    <row r="198" spans="1:19">
      <c r="B198" s="227" t="s">
        <v>475</v>
      </c>
      <c r="C198" t="s">
        <v>377</v>
      </c>
      <c r="D198">
        <v>22500</v>
      </c>
      <c r="E198">
        <v>0.95</v>
      </c>
      <c r="F198" s="245">
        <v>92.537894600507826</v>
      </c>
      <c r="G198">
        <v>138.43169400573618</v>
      </c>
      <c r="H198">
        <v>87.429681654591334</v>
      </c>
      <c r="I198">
        <v>180.37306919649163</v>
      </c>
      <c r="J198">
        <v>116.74237801985625</v>
      </c>
      <c r="K198">
        <v>37.559638185679049</v>
      </c>
      <c r="L198">
        <v>22.762375332447366</v>
      </c>
      <c r="M198">
        <v>32.885637919074483</v>
      </c>
      <c r="N198">
        <v>42.979050523302803</v>
      </c>
      <c r="O198" s="227"/>
      <c r="P198" s="227"/>
      <c r="Q198" s="227"/>
      <c r="R198" s="245"/>
      <c r="S198" s="245"/>
    </row>
    <row r="199" spans="1:19">
      <c r="B199" s="227" t="s">
        <v>1363</v>
      </c>
      <c r="F199" s="242">
        <v>18301.115085365378</v>
      </c>
      <c r="G199">
        <v>23359.812585930838</v>
      </c>
      <c r="H199">
        <v>15128.813103154078</v>
      </c>
      <c r="I199">
        <v>30939.352479965521</v>
      </c>
      <c r="J199">
        <v>19855.335861948632</v>
      </c>
      <c r="K199">
        <v>5712.9047120739833</v>
      </c>
      <c r="L199">
        <v>3611.6732494445755</v>
      </c>
      <c r="M199">
        <v>5338.8324736958575</v>
      </c>
      <c r="N199">
        <v>8145.3784261547498</v>
      </c>
      <c r="O199" s="227"/>
      <c r="P199" s="227"/>
      <c r="Q199" s="227"/>
      <c r="R199" s="242"/>
      <c r="S199" s="245"/>
    </row>
    <row r="200" spans="1:19">
      <c r="B200" s="227"/>
      <c r="F200" s="242"/>
      <c r="O200" s="227"/>
      <c r="P200" s="227"/>
      <c r="Q200" s="227"/>
      <c r="R200" s="242"/>
      <c r="S200" s="245"/>
    </row>
    <row r="201" spans="1:19">
      <c r="A201" s="233" t="s">
        <v>1214</v>
      </c>
      <c r="F201" s="243"/>
      <c r="O201" s="227"/>
      <c r="P201" s="227"/>
      <c r="Q201" s="227"/>
      <c r="R201" s="242"/>
      <c r="S201" s="245"/>
    </row>
    <row r="202" spans="1:19">
      <c r="B202" s="227" t="s">
        <v>1213</v>
      </c>
      <c r="D202">
        <v>6.9037518339376533E-2</v>
      </c>
      <c r="F202" s="417">
        <v>0.80458831297367894</v>
      </c>
      <c r="G202">
        <v>1.0402651225176855</v>
      </c>
      <c r="H202">
        <v>0.658490981270488</v>
      </c>
      <c r="I202">
        <v>1.3983283417010022</v>
      </c>
      <c r="J202">
        <v>0.87667081129882274</v>
      </c>
      <c r="K202">
        <v>0.23623352977891987</v>
      </c>
      <c r="L202">
        <v>0.14578455310697969</v>
      </c>
      <c r="M202">
        <v>0.21997986003089678</v>
      </c>
      <c r="N202">
        <v>0.34316575711308706</v>
      </c>
      <c r="O202" s="227"/>
      <c r="P202" s="227"/>
      <c r="Q202" s="227"/>
      <c r="R202" s="242"/>
      <c r="S202" s="245"/>
    </row>
    <row r="203" spans="1:19" ht="16">
      <c r="B203" s="227" t="s">
        <v>1365</v>
      </c>
      <c r="D203">
        <v>8000</v>
      </c>
      <c r="E203">
        <v>0.7</v>
      </c>
      <c r="F203" s="418">
        <v>4.998981945544676E-3</v>
      </c>
      <c r="G203">
        <v>5.5676764076562088E-3</v>
      </c>
      <c r="H203">
        <v>7.7323940563272034E-3</v>
      </c>
      <c r="I203">
        <v>4.7664522040252724E-3</v>
      </c>
      <c r="J203">
        <v>5.0327238845710833E-3</v>
      </c>
      <c r="K203">
        <v>1.4448272929801038E-2</v>
      </c>
      <c r="L203">
        <v>0.16951705305454007</v>
      </c>
      <c r="M203">
        <v>0.12364237859135536</v>
      </c>
      <c r="N203">
        <v>5.7593689076477092E-2</v>
      </c>
      <c r="O203" s="227"/>
      <c r="P203" s="227"/>
      <c r="Q203" s="227"/>
      <c r="R203" s="245"/>
      <c r="S203" s="245"/>
    </row>
    <row r="204" spans="1:19">
      <c r="B204" s="227" t="s">
        <v>474</v>
      </c>
      <c r="C204" t="s">
        <v>377</v>
      </c>
      <c r="D204">
        <v>110</v>
      </c>
      <c r="E204">
        <v>0.9</v>
      </c>
      <c r="F204" s="242">
        <v>6870.5513675260563</v>
      </c>
      <c r="G204">
        <v>8224.1460371770099</v>
      </c>
      <c r="H204">
        <v>5971.3821949359999</v>
      </c>
      <c r="I204">
        <v>10116.176525259487</v>
      </c>
      <c r="J204">
        <v>7295.8445134429639</v>
      </c>
      <c r="K204">
        <v>2913.5942034178674</v>
      </c>
      <c r="L204">
        <v>2078.2033660454895</v>
      </c>
      <c r="M204">
        <v>2771.7753741442748</v>
      </c>
      <c r="N204">
        <v>3783.926993456208</v>
      </c>
      <c r="O204" s="227"/>
      <c r="P204" s="227"/>
      <c r="Q204" s="227"/>
      <c r="R204" s="242"/>
      <c r="S204" s="245"/>
    </row>
    <row r="205" spans="1:19">
      <c r="B205" s="227" t="s">
        <v>475</v>
      </c>
      <c r="C205" t="s">
        <v>377</v>
      </c>
      <c r="D205">
        <v>22500</v>
      </c>
      <c r="E205">
        <v>0.95</v>
      </c>
      <c r="F205" s="245">
        <v>53.501790007662613</v>
      </c>
      <c r="G205">
        <v>68.887445781155719</v>
      </c>
      <c r="H205">
        <v>48.745361398263967</v>
      </c>
      <c r="I205">
        <v>87.149107425238057</v>
      </c>
      <c r="J205">
        <v>57.874754782637538</v>
      </c>
      <c r="K205">
        <v>21.955646183971137</v>
      </c>
      <c r="L205">
        <v>23.267980357401619</v>
      </c>
      <c r="M205">
        <v>31.633973781115081</v>
      </c>
      <c r="N205">
        <v>40.513912050099826</v>
      </c>
      <c r="O205" s="227"/>
      <c r="P205" s="227"/>
      <c r="Q205" s="227"/>
      <c r="R205" s="242"/>
      <c r="S205" s="245"/>
    </row>
    <row r="206" spans="1:19">
      <c r="B206" s="227" t="s">
        <v>1363</v>
      </c>
      <c r="F206" s="242">
        <v>18301.115085365378</v>
      </c>
      <c r="G206">
        <v>23359.812585930838</v>
      </c>
      <c r="H206">
        <v>15128.813103154078</v>
      </c>
      <c r="I206">
        <v>30939.352479965521</v>
      </c>
      <c r="J206">
        <v>19855.335861948632</v>
      </c>
      <c r="K206">
        <v>5712.9047120739833</v>
      </c>
      <c r="L206">
        <v>3611.6732494445755</v>
      </c>
      <c r="M206">
        <v>5338.8324736958575</v>
      </c>
      <c r="N206">
        <v>8145.3784261547498</v>
      </c>
      <c r="O206" s="227"/>
      <c r="P206" s="227"/>
      <c r="Q206" s="227"/>
      <c r="R206" s="242"/>
      <c r="S206" s="245"/>
    </row>
    <row r="207" spans="1:19">
      <c r="B207" s="227"/>
      <c r="F207" s="242"/>
      <c r="O207" s="227"/>
      <c r="P207" s="227"/>
      <c r="Q207" s="227"/>
      <c r="R207" s="242"/>
      <c r="S207" s="245"/>
    </row>
    <row r="208" spans="1:19">
      <c r="A208" s="369" t="s">
        <v>469</v>
      </c>
      <c r="F208" s="243"/>
      <c r="O208" s="227"/>
      <c r="P208" s="227"/>
      <c r="Q208" s="227"/>
      <c r="R208" s="245"/>
      <c r="S208" s="245"/>
    </row>
    <row r="209" spans="1:19">
      <c r="A209" s="233" t="s">
        <v>1212</v>
      </c>
      <c r="F209" s="243"/>
      <c r="O209" s="227"/>
      <c r="P209" s="227"/>
      <c r="Q209" s="227"/>
      <c r="R209" s="242"/>
      <c r="S209" s="245"/>
    </row>
    <row r="210" spans="1:19">
      <c r="B210" s="227" t="s">
        <v>1213</v>
      </c>
      <c r="D210">
        <v>8000</v>
      </c>
      <c r="E210">
        <v>0.7</v>
      </c>
      <c r="F210" s="417">
        <v>0.80458831297367894</v>
      </c>
      <c r="G210">
        <v>1.0402651225176855</v>
      </c>
      <c r="H210">
        <v>0.658490981270488</v>
      </c>
      <c r="I210">
        <v>1.3983283417010022</v>
      </c>
      <c r="J210">
        <v>0.87667081129882274</v>
      </c>
      <c r="K210">
        <v>0.23623352977891987</v>
      </c>
      <c r="L210">
        <v>0.14578455310697969</v>
      </c>
      <c r="M210">
        <v>0.21997986003089678</v>
      </c>
      <c r="N210">
        <v>0.34316575711308706</v>
      </c>
      <c r="O210" s="227"/>
      <c r="P210" s="227"/>
      <c r="Q210" s="227"/>
      <c r="R210" s="242"/>
      <c r="S210" s="245"/>
    </row>
    <row r="211" spans="1:19">
      <c r="B211" s="227" t="s">
        <v>474</v>
      </c>
      <c r="C211" t="s">
        <v>377</v>
      </c>
      <c r="D211">
        <v>30</v>
      </c>
      <c r="E211">
        <v>0.9</v>
      </c>
      <c r="F211" s="242">
        <v>6870.5513675260563</v>
      </c>
      <c r="G211">
        <v>8224.1460371770099</v>
      </c>
      <c r="H211">
        <v>5971.3821949359999</v>
      </c>
      <c r="I211">
        <v>10116.176525259487</v>
      </c>
      <c r="J211">
        <v>7295.8445134429639</v>
      </c>
      <c r="K211">
        <v>2913.5942034178674</v>
      </c>
      <c r="L211">
        <v>2078.2033660454895</v>
      </c>
      <c r="M211">
        <v>2771.7753741442748</v>
      </c>
      <c r="N211">
        <v>3783.926993456208</v>
      </c>
      <c r="O211" s="227"/>
      <c r="P211" s="227"/>
      <c r="Q211" s="227"/>
      <c r="R211" s="242"/>
      <c r="S211" s="245"/>
    </row>
    <row r="212" spans="1:19">
      <c r="B212" s="227" t="s">
        <v>475</v>
      </c>
      <c r="C212" t="s">
        <v>377</v>
      </c>
      <c r="D212">
        <v>3000</v>
      </c>
      <c r="E212">
        <v>0.95</v>
      </c>
      <c r="F212" s="245">
        <v>24.668208055273642</v>
      </c>
      <c r="G212">
        <v>31.085001227472684</v>
      </c>
      <c r="H212">
        <v>20.597575470808199</v>
      </c>
      <c r="I212">
        <v>40.566683044480925</v>
      </c>
      <c r="J212">
        <v>26.648584596264325</v>
      </c>
      <c r="K212">
        <v>8.1870725701666629</v>
      </c>
      <c r="L212">
        <v>5.3022672491971923</v>
      </c>
      <c r="M212">
        <v>7.6783142758980922</v>
      </c>
      <c r="N212">
        <v>11.457102681058108</v>
      </c>
      <c r="O212" s="227"/>
      <c r="P212" s="227"/>
      <c r="Q212" s="227"/>
      <c r="R212" s="242"/>
      <c r="S212" s="245"/>
    </row>
    <row r="213" spans="1:19">
      <c r="B213" s="227" t="s">
        <v>1363</v>
      </c>
      <c r="F213" s="242">
        <v>2440.1486780487171</v>
      </c>
      <c r="G213">
        <v>3114.6416781241119</v>
      </c>
      <c r="H213">
        <v>2017.1750804205437</v>
      </c>
      <c r="I213">
        <v>4125.2469973287361</v>
      </c>
      <c r="J213">
        <v>2647.3781149264846</v>
      </c>
      <c r="K213">
        <v>761.7206282765311</v>
      </c>
      <c r="L213">
        <v>481.55643325927673</v>
      </c>
      <c r="M213">
        <v>711.8443298261144</v>
      </c>
      <c r="N213">
        <v>1086.0504568206334</v>
      </c>
      <c r="O213" s="227"/>
      <c r="P213" s="227"/>
      <c r="Q213" s="227"/>
      <c r="R213" s="245"/>
      <c r="S213" s="245"/>
    </row>
    <row r="214" spans="1:19">
      <c r="B214" s="227"/>
      <c r="F214" s="242"/>
      <c r="O214" s="227"/>
      <c r="P214" s="227"/>
      <c r="Q214" s="227"/>
      <c r="R214" s="242"/>
      <c r="S214" s="245"/>
    </row>
    <row r="215" spans="1:19">
      <c r="A215" s="233" t="s">
        <v>1214</v>
      </c>
      <c r="F215" s="227"/>
      <c r="O215" s="227"/>
      <c r="P215" s="227"/>
      <c r="Q215" s="227"/>
      <c r="R215" s="242"/>
      <c r="S215" s="245"/>
    </row>
    <row r="216" spans="1:19">
      <c r="B216" s="227" t="s">
        <v>1213</v>
      </c>
      <c r="D216">
        <v>9000</v>
      </c>
      <c r="E216">
        <v>0.7</v>
      </c>
      <c r="F216" s="419">
        <v>0.80458831297367894</v>
      </c>
      <c r="G216">
        <v>1.0402651225176855</v>
      </c>
      <c r="H216">
        <v>0.658490981270488</v>
      </c>
      <c r="I216">
        <v>1.3983283417010022</v>
      </c>
      <c r="J216">
        <v>0.87667081129882274</v>
      </c>
      <c r="K216">
        <v>0.23623352977891987</v>
      </c>
      <c r="L216">
        <v>0.14578455310697969</v>
      </c>
      <c r="M216">
        <v>0.21997986003089678</v>
      </c>
      <c r="N216">
        <v>0.34316575711308706</v>
      </c>
      <c r="O216" s="227"/>
      <c r="P216" s="227"/>
      <c r="Q216" s="227"/>
      <c r="R216" s="242"/>
      <c r="S216" s="245"/>
    </row>
    <row r="217" spans="1:19">
      <c r="B217" s="227" t="s">
        <v>474</v>
      </c>
      <c r="C217" t="s">
        <v>377</v>
      </c>
      <c r="D217">
        <v>30</v>
      </c>
      <c r="E217">
        <v>0.9</v>
      </c>
      <c r="F217" s="242">
        <v>7729.3702884668137</v>
      </c>
      <c r="G217">
        <v>9252.1642918241359</v>
      </c>
      <c r="H217">
        <v>6717.8049693029998</v>
      </c>
      <c r="I217">
        <v>11380.698590916923</v>
      </c>
      <c r="J217">
        <v>8207.8250776233344</v>
      </c>
      <c r="K217">
        <v>3277.7934788451007</v>
      </c>
      <c r="L217">
        <v>2337.9787868011754</v>
      </c>
      <c r="M217">
        <v>3118.2472959123093</v>
      </c>
      <c r="N217">
        <v>4256.9178676382344</v>
      </c>
      <c r="O217" s="227"/>
      <c r="P217" s="227"/>
      <c r="Q217" s="227"/>
      <c r="R217" s="242"/>
      <c r="S217" s="245"/>
    </row>
    <row r="218" spans="1:19">
      <c r="B218" s="227" t="s">
        <v>475</v>
      </c>
      <c r="C218" t="s">
        <v>377</v>
      </c>
      <c r="D218">
        <v>3000</v>
      </c>
      <c r="E218">
        <v>0.95</v>
      </c>
      <c r="F218" s="245">
        <v>24.668208055273642</v>
      </c>
      <c r="G218">
        <v>31.085001227472684</v>
      </c>
      <c r="H218">
        <v>20.597575470808199</v>
      </c>
      <c r="I218">
        <v>40.566683044480925</v>
      </c>
      <c r="J218">
        <v>26.648584596264325</v>
      </c>
      <c r="K218">
        <v>8.1870725701666629</v>
      </c>
      <c r="L218">
        <v>5.3022672491971923</v>
      </c>
      <c r="M218">
        <v>7.6783142758980922</v>
      </c>
      <c r="N218">
        <v>11.457102681058108</v>
      </c>
      <c r="O218" s="227"/>
      <c r="P218" s="227"/>
      <c r="Q218" s="227"/>
      <c r="R218" s="242"/>
      <c r="S218" s="245"/>
    </row>
    <row r="219" spans="1:19">
      <c r="B219" s="227" t="s">
        <v>1363</v>
      </c>
      <c r="F219" s="242">
        <v>2440.1486780487171</v>
      </c>
      <c r="G219">
        <v>3114.6416781241119</v>
      </c>
      <c r="H219">
        <v>2017.1750804205437</v>
      </c>
      <c r="I219">
        <v>4125.2469973287361</v>
      </c>
      <c r="J219">
        <v>2647.3781149264846</v>
      </c>
      <c r="K219">
        <v>761.7206282765311</v>
      </c>
      <c r="L219">
        <v>481.55643325927673</v>
      </c>
      <c r="M219">
        <v>711.8443298261144</v>
      </c>
      <c r="N219">
        <v>1086.0504568206334</v>
      </c>
      <c r="O219" s="227"/>
      <c r="P219" s="227"/>
      <c r="Q219" s="227"/>
      <c r="R219" s="242"/>
      <c r="S219" s="245"/>
    </row>
    <row r="220" spans="1:19">
      <c r="B220" s="227"/>
      <c r="F220" s="242"/>
      <c r="O220" s="226"/>
      <c r="P220" s="226"/>
      <c r="Q220" s="226"/>
      <c r="R220" s="242"/>
      <c r="S220" s="245"/>
    </row>
    <row r="221" spans="1:19">
      <c r="A221" s="369" t="s">
        <v>1215</v>
      </c>
      <c r="F221" s="420"/>
      <c r="O221" s="227"/>
      <c r="P221" s="226"/>
      <c r="Q221" s="227"/>
      <c r="R221" s="242"/>
      <c r="S221" s="245"/>
    </row>
    <row r="222" spans="1:19">
      <c r="A222" s="233" t="s">
        <v>1212</v>
      </c>
      <c r="F222" s="420"/>
      <c r="O222" s="227"/>
      <c r="P222" s="226"/>
      <c r="Q222" s="227"/>
      <c r="R222" s="242"/>
      <c r="S222" s="245"/>
    </row>
    <row r="223" spans="1:19">
      <c r="B223" s="227" t="s">
        <v>1213</v>
      </c>
      <c r="D223">
        <v>14000</v>
      </c>
      <c r="E223">
        <v>0.7</v>
      </c>
      <c r="F223" s="421">
        <v>0.80458831297367894</v>
      </c>
      <c r="G223">
        <v>1.0402651225176855</v>
      </c>
      <c r="H223">
        <v>0.658490981270488</v>
      </c>
      <c r="I223">
        <v>1.3983283417010022</v>
      </c>
      <c r="J223">
        <v>0.87667081129882274</v>
      </c>
      <c r="K223">
        <v>0.23623352977891987</v>
      </c>
      <c r="L223">
        <v>0.14578455310697969</v>
      </c>
      <c r="M223">
        <v>0.21997986003089678</v>
      </c>
      <c r="N223">
        <v>0.34316575711308706</v>
      </c>
      <c r="O223" s="227"/>
      <c r="P223" s="227"/>
      <c r="Q223" s="227"/>
      <c r="R223" s="245"/>
      <c r="S223" s="245"/>
    </row>
    <row r="224" spans="1:19">
      <c r="B224" t="s">
        <v>474</v>
      </c>
      <c r="C224" t="s">
        <v>377</v>
      </c>
      <c r="D224">
        <v>110</v>
      </c>
      <c r="E224">
        <v>0.9</v>
      </c>
      <c r="F224" s="422">
        <v>12023.4648931706</v>
      </c>
      <c r="G224">
        <v>14392.255565059766</v>
      </c>
      <c r="H224">
        <v>10449.918841138</v>
      </c>
      <c r="I224">
        <v>17703.308919204101</v>
      </c>
      <c r="J224">
        <v>12767.727898525187</v>
      </c>
      <c r="K224">
        <v>5098.7898559812675</v>
      </c>
      <c r="L224">
        <v>3636.8558905796062</v>
      </c>
      <c r="M224">
        <v>4850.6069047524816</v>
      </c>
      <c r="N224">
        <v>6621.8722385483643</v>
      </c>
      <c r="O224" s="227"/>
      <c r="P224" s="226"/>
      <c r="Q224" s="227"/>
      <c r="R224" s="245"/>
      <c r="S224" s="245"/>
    </row>
    <row r="225" spans="1:19">
      <c r="B225" t="s">
        <v>475</v>
      </c>
      <c r="C225" t="s">
        <v>377</v>
      </c>
      <c r="D225">
        <v>4500</v>
      </c>
      <c r="E225">
        <v>0.95</v>
      </c>
      <c r="F225" s="423">
        <v>90.450096202670011</v>
      </c>
      <c r="G225">
        <v>113.97833783406651</v>
      </c>
      <c r="H225">
        <v>75.524443392963391</v>
      </c>
      <c r="I225">
        <v>148.74450449643007</v>
      </c>
      <c r="J225">
        <v>97.711476852969184</v>
      </c>
      <c r="K225">
        <v>30.019266090611101</v>
      </c>
      <c r="L225">
        <v>19.441646580389705</v>
      </c>
      <c r="M225">
        <v>28.153819011626339</v>
      </c>
      <c r="N225">
        <v>42.009376497213061</v>
      </c>
      <c r="O225" s="227"/>
      <c r="P225" s="226"/>
      <c r="Q225" s="227"/>
      <c r="R225" s="245"/>
      <c r="S225" s="245"/>
    </row>
    <row r="226" spans="1:19">
      <c r="B226" s="227" t="s">
        <v>1363</v>
      </c>
      <c r="F226" s="422">
        <v>3660.2230170730754</v>
      </c>
      <c r="G226">
        <v>4671.962517186168</v>
      </c>
      <c r="H226">
        <v>3025.7626206308155</v>
      </c>
      <c r="I226">
        <v>6187.8704959931038</v>
      </c>
      <c r="J226">
        <v>3971.0671723897267</v>
      </c>
      <c r="K226">
        <v>1142.5809424147967</v>
      </c>
      <c r="L226">
        <v>722.33464988891512</v>
      </c>
      <c r="M226">
        <v>1067.7664947391715</v>
      </c>
      <c r="N226">
        <v>1629.0756852309498</v>
      </c>
      <c r="O226" s="227"/>
      <c r="P226" s="226"/>
      <c r="Q226" s="227"/>
      <c r="R226" s="245"/>
      <c r="S226" s="245"/>
    </row>
    <row r="227" spans="1:19">
      <c r="F227" s="422"/>
      <c r="O227" s="227"/>
      <c r="P227" s="226"/>
      <c r="Q227" s="227"/>
      <c r="R227" s="245"/>
      <c r="S227" s="245"/>
    </row>
    <row r="228" spans="1:19">
      <c r="A228" s="233" t="s">
        <v>1214</v>
      </c>
      <c r="O228" s="227"/>
      <c r="P228" s="226"/>
      <c r="Q228" s="227"/>
      <c r="R228" s="245"/>
      <c r="S228" s="245"/>
    </row>
    <row r="229" spans="1:19">
      <c r="B229" s="227" t="s">
        <v>1213</v>
      </c>
      <c r="D229">
        <v>14000</v>
      </c>
      <c r="E229">
        <v>0.7</v>
      </c>
      <c r="F229" s="424">
        <v>0.80458831297367894</v>
      </c>
      <c r="G229">
        <v>1.0402651225176855</v>
      </c>
      <c r="H229">
        <v>0.658490981270488</v>
      </c>
      <c r="I229">
        <v>1.3983283417010022</v>
      </c>
      <c r="J229">
        <v>0.87667081129882274</v>
      </c>
      <c r="K229">
        <v>0.23623352977891987</v>
      </c>
      <c r="L229">
        <v>0.14578455310697969</v>
      </c>
      <c r="M229">
        <v>0.21997986003089678</v>
      </c>
      <c r="N229">
        <v>0.34316575711308706</v>
      </c>
      <c r="O229" s="227"/>
      <c r="P229" s="227"/>
      <c r="Q229" s="227"/>
      <c r="R229" s="245"/>
      <c r="S229" s="245"/>
    </row>
    <row r="230" spans="1:19">
      <c r="B230" t="s">
        <v>474</v>
      </c>
      <c r="C230" t="s">
        <v>377</v>
      </c>
      <c r="D230">
        <v>110</v>
      </c>
      <c r="E230">
        <v>0.9</v>
      </c>
      <c r="F230" s="422">
        <v>12023.4648931706</v>
      </c>
      <c r="G230">
        <v>14392.255565059766</v>
      </c>
      <c r="H230">
        <v>10449.918841138</v>
      </c>
      <c r="I230">
        <v>17703.308919204101</v>
      </c>
      <c r="J230">
        <v>12767.727898525187</v>
      </c>
      <c r="K230">
        <v>5098.7898559812675</v>
      </c>
      <c r="L230">
        <v>3636.8558905796062</v>
      </c>
      <c r="M230">
        <v>4850.6069047524816</v>
      </c>
      <c r="N230">
        <v>6621.8722385483643</v>
      </c>
      <c r="O230" s="227"/>
      <c r="P230" s="226"/>
      <c r="Q230" s="227"/>
      <c r="R230" s="245"/>
      <c r="S230" s="245"/>
    </row>
    <row r="231" spans="1:19">
      <c r="B231" t="s">
        <v>475</v>
      </c>
      <c r="C231" t="s">
        <v>377</v>
      </c>
      <c r="D231">
        <v>4500</v>
      </c>
      <c r="E231">
        <v>0.95</v>
      </c>
      <c r="F231" s="423">
        <v>90.450096202670011</v>
      </c>
      <c r="G231">
        <v>113.97833783406651</v>
      </c>
      <c r="H231">
        <v>75.524443392963391</v>
      </c>
      <c r="I231">
        <v>148.74450449643007</v>
      </c>
      <c r="J231">
        <v>97.711476852969184</v>
      </c>
      <c r="K231">
        <v>30.019266090611101</v>
      </c>
      <c r="L231">
        <v>19.441646580389705</v>
      </c>
      <c r="M231">
        <v>28.153819011626339</v>
      </c>
      <c r="N231">
        <v>42.009376497213061</v>
      </c>
      <c r="O231" s="227"/>
      <c r="P231" s="226"/>
      <c r="Q231" s="227"/>
      <c r="R231" s="245"/>
      <c r="S231" s="245"/>
    </row>
    <row r="232" spans="1:19">
      <c r="B232" s="227" t="s">
        <v>1363</v>
      </c>
      <c r="F232" s="422">
        <v>3660.2230170730754</v>
      </c>
      <c r="G232">
        <v>4671.962517186168</v>
      </c>
      <c r="H232">
        <v>3025.7626206308155</v>
      </c>
      <c r="I232">
        <v>6187.8704959931038</v>
      </c>
      <c r="J232">
        <v>3971.0671723897267</v>
      </c>
      <c r="K232">
        <v>1142.5809424147967</v>
      </c>
      <c r="L232">
        <v>722.33464988891512</v>
      </c>
      <c r="M232">
        <v>1067.7664947391715</v>
      </c>
      <c r="N232">
        <v>1629.0756852309498</v>
      </c>
      <c r="O232" s="227"/>
      <c r="P232" s="226"/>
      <c r="Q232" s="227"/>
      <c r="R232" s="245"/>
      <c r="S232" s="245"/>
    </row>
    <row r="233" spans="1:19">
      <c r="O233" s="227"/>
      <c r="P233" s="226"/>
      <c r="Q233" s="227"/>
      <c r="R233" s="245"/>
      <c r="S233" s="245"/>
    </row>
    <row r="234" spans="1:19">
      <c r="A234" s="369" t="s">
        <v>1216</v>
      </c>
      <c r="B234" s="227"/>
      <c r="F234" s="242"/>
      <c r="O234" s="227"/>
      <c r="P234" s="226"/>
      <c r="Q234" s="227"/>
      <c r="R234" s="245"/>
      <c r="S234" s="245"/>
    </row>
    <row r="235" spans="1:19">
      <c r="B235" s="227" t="s">
        <v>1213</v>
      </c>
      <c r="D235">
        <v>7000</v>
      </c>
      <c r="E235">
        <v>0.7</v>
      </c>
      <c r="F235" s="417">
        <v>0.80458831297367894</v>
      </c>
      <c r="G235">
        <v>1.0402651225176855</v>
      </c>
      <c r="H235">
        <v>0.658490981270488</v>
      </c>
      <c r="I235">
        <v>1.3983283417010022</v>
      </c>
      <c r="J235">
        <v>0.87667081129882274</v>
      </c>
      <c r="K235">
        <v>0.23623352977891987</v>
      </c>
      <c r="L235">
        <v>0.14578455310697969</v>
      </c>
      <c r="M235">
        <v>0.21997986003089678</v>
      </c>
      <c r="N235">
        <v>0.34316575711308706</v>
      </c>
      <c r="O235" s="227"/>
      <c r="P235" s="226"/>
      <c r="Q235" s="227"/>
      <c r="R235" s="245"/>
      <c r="S235" s="245"/>
    </row>
    <row r="236" spans="1:19">
      <c r="B236" s="227" t="s">
        <v>474</v>
      </c>
      <c r="C236" t="s">
        <v>377</v>
      </c>
      <c r="D236">
        <v>10</v>
      </c>
      <c r="E236">
        <v>0.9</v>
      </c>
      <c r="F236" s="242">
        <v>6011.7324465852998</v>
      </c>
      <c r="G236">
        <v>7196.127782529883</v>
      </c>
      <c r="H236">
        <v>5224.959420569</v>
      </c>
      <c r="I236">
        <v>8851.6544596020503</v>
      </c>
      <c r="J236">
        <v>6383.8639492625935</v>
      </c>
      <c r="K236">
        <v>2549.3949279906337</v>
      </c>
      <c r="L236">
        <v>1818.4279452898031</v>
      </c>
      <c r="M236">
        <v>2425.3034523762408</v>
      </c>
      <c r="N236">
        <v>3310.9361192741821</v>
      </c>
      <c r="O236" s="227"/>
      <c r="P236" s="226"/>
      <c r="Q236" s="227"/>
      <c r="R236" s="245"/>
      <c r="S236" s="245"/>
    </row>
    <row r="237" spans="1:19">
      <c r="B237" s="227" t="s">
        <v>475</v>
      </c>
      <c r="C237" t="s">
        <v>377</v>
      </c>
      <c r="D237">
        <v>2600</v>
      </c>
      <c r="E237">
        <v>0.95</v>
      </c>
      <c r="F237" s="245">
        <v>8.2227360184245466</v>
      </c>
      <c r="G237">
        <v>10.361667075824228</v>
      </c>
      <c r="H237">
        <v>6.8658584902693995</v>
      </c>
      <c r="I237">
        <v>13.522227681493641</v>
      </c>
      <c r="J237">
        <v>8.882861532088107</v>
      </c>
      <c r="K237">
        <v>2.7290241900555543</v>
      </c>
      <c r="L237">
        <v>1.7674224163990639</v>
      </c>
      <c r="M237">
        <v>2.5594380919660309</v>
      </c>
      <c r="N237">
        <v>3.8190342270193693</v>
      </c>
      <c r="O237" s="227"/>
      <c r="P237" s="226"/>
      <c r="Q237" s="227"/>
      <c r="R237" s="245"/>
      <c r="S237" s="245"/>
    </row>
    <row r="238" spans="1:19">
      <c r="B238" s="227" t="s">
        <v>1363</v>
      </c>
      <c r="F238" s="242">
        <v>2114.7955209755546</v>
      </c>
      <c r="G238">
        <v>2699.3561210408971</v>
      </c>
      <c r="H238">
        <v>1748.218403031138</v>
      </c>
      <c r="I238">
        <v>3575.2140643515713</v>
      </c>
      <c r="J238">
        <v>2294.3943662696197</v>
      </c>
      <c r="K238">
        <v>660.15787783966027</v>
      </c>
      <c r="L238">
        <v>417.34890882470648</v>
      </c>
      <c r="M238">
        <v>616.93175251596574</v>
      </c>
      <c r="N238">
        <v>941.24372924454883</v>
      </c>
      <c r="O238" s="227"/>
      <c r="P238" s="226"/>
      <c r="Q238" s="227"/>
      <c r="R238" s="245"/>
      <c r="S238" s="245"/>
    </row>
    <row r="239" spans="1:19">
      <c r="O239" s="227"/>
      <c r="P239" s="226"/>
      <c r="Q239" s="227"/>
      <c r="R239" s="245"/>
      <c r="S239" s="245"/>
    </row>
    <row r="240" spans="1:19" ht="16">
      <c r="A240" s="368" t="s">
        <v>471</v>
      </c>
      <c r="B240" s="227"/>
      <c r="F240" s="242"/>
      <c r="O240" s="227"/>
      <c r="P240" s="226"/>
      <c r="Q240" s="227"/>
      <c r="R240" s="245"/>
      <c r="S240" s="245"/>
    </row>
    <row r="241" spans="1:19">
      <c r="A241" s="369" t="s">
        <v>470</v>
      </c>
      <c r="F241" s="243"/>
      <c r="O241" s="227"/>
      <c r="P241" s="226"/>
      <c r="Q241" s="227"/>
      <c r="R241" s="245"/>
      <c r="S241" s="245"/>
    </row>
    <row r="242" spans="1:19">
      <c r="B242" s="227" t="s">
        <v>1213</v>
      </c>
      <c r="D242">
        <v>49000</v>
      </c>
      <c r="E242">
        <v>0.7</v>
      </c>
      <c r="F242" s="417">
        <v>0.80458831297367894</v>
      </c>
      <c r="G242">
        <v>1.0402651225176855</v>
      </c>
      <c r="H242">
        <v>0.658490981270488</v>
      </c>
      <c r="I242">
        <v>1.3983283417010022</v>
      </c>
      <c r="J242">
        <v>0.87667081129882274</v>
      </c>
      <c r="K242">
        <v>0.23623352977891987</v>
      </c>
      <c r="L242">
        <v>0.14578455310697969</v>
      </c>
      <c r="M242">
        <v>0.21997986003089678</v>
      </c>
      <c r="N242">
        <v>0.34316575711308706</v>
      </c>
      <c r="O242" s="227"/>
      <c r="P242" s="226"/>
      <c r="Q242" s="227"/>
      <c r="R242" s="245"/>
      <c r="S242" s="245"/>
    </row>
    <row r="243" spans="1:19">
      <c r="B243" s="227" t="s">
        <v>474</v>
      </c>
      <c r="C243" t="s">
        <v>377</v>
      </c>
      <c r="D243">
        <v>90</v>
      </c>
      <c r="E243">
        <v>0.9</v>
      </c>
      <c r="F243" s="242">
        <v>42082.127126097097</v>
      </c>
      <c r="G243">
        <v>50372.894477709182</v>
      </c>
      <c r="H243">
        <v>36574.715943982999</v>
      </c>
      <c r="I243">
        <v>61961.581217214356</v>
      </c>
      <c r="J243">
        <v>44687.04764483816</v>
      </c>
      <c r="K243">
        <v>17845.764495934436</v>
      </c>
      <c r="L243">
        <v>12728.995617028622</v>
      </c>
      <c r="M243">
        <v>16977.124166633683</v>
      </c>
      <c r="N243">
        <v>23176.552834919275</v>
      </c>
      <c r="O243" s="226"/>
      <c r="P243" s="226"/>
      <c r="Q243" s="226"/>
      <c r="R243" s="242"/>
      <c r="S243" s="245"/>
    </row>
    <row r="244" spans="1:19">
      <c r="B244" s="227" t="s">
        <v>475</v>
      </c>
      <c r="C244" t="s">
        <v>377</v>
      </c>
      <c r="D244">
        <v>0</v>
      </c>
      <c r="E244">
        <v>0.95</v>
      </c>
      <c r="F244" s="245">
        <v>74.004624165820928</v>
      </c>
      <c r="G244">
        <v>93.255003682418049</v>
      </c>
      <c r="H244">
        <v>61.792726412424599</v>
      </c>
      <c r="I244">
        <v>121.70004913344277</v>
      </c>
      <c r="J244">
        <v>79.94575378879297</v>
      </c>
      <c r="K244">
        <v>24.561217710499992</v>
      </c>
      <c r="L244">
        <v>15.906801747591576</v>
      </c>
      <c r="M244">
        <v>23.034942827694277</v>
      </c>
      <c r="N244">
        <v>34.371308043174324</v>
      </c>
      <c r="O244" s="227"/>
      <c r="P244" s="227"/>
      <c r="Q244" s="227"/>
      <c r="R244" s="242"/>
      <c r="S244" s="245"/>
    </row>
    <row r="245" spans="1:19">
      <c r="B245" s="227" t="s">
        <v>1363</v>
      </c>
      <c r="F245" s="242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 s="227"/>
      <c r="P245" s="227"/>
      <c r="Q245" s="227"/>
      <c r="R245" s="242"/>
      <c r="S245" s="245"/>
    </row>
    <row r="246" spans="1:19">
      <c r="B246" s="227"/>
      <c r="F246" s="242"/>
      <c r="O246" s="227"/>
      <c r="P246" s="227"/>
      <c r="Q246" s="227"/>
      <c r="R246" s="245"/>
      <c r="S246" s="245"/>
    </row>
    <row r="247" spans="1:19">
      <c r="A247" s="369" t="s">
        <v>1217</v>
      </c>
      <c r="B247" s="227"/>
      <c r="F247" s="243"/>
      <c r="O247" s="227"/>
      <c r="P247" s="227"/>
      <c r="Q247" s="227"/>
      <c r="R247" s="242"/>
      <c r="S247" s="245"/>
    </row>
    <row r="248" spans="1:19">
      <c r="B248" s="227" t="s">
        <v>1218</v>
      </c>
      <c r="D248">
        <v>100</v>
      </c>
      <c r="E248">
        <v>0.95</v>
      </c>
      <c r="F248" s="417">
        <v>4.9200000000000008</v>
      </c>
      <c r="G248">
        <v>1.8000000000000003</v>
      </c>
      <c r="H248">
        <v>1.2000000000000002</v>
      </c>
      <c r="I248">
        <v>2.1060000000000003</v>
      </c>
      <c r="J248">
        <v>1.4250000000000003</v>
      </c>
      <c r="K248">
        <v>0.38750000000000012</v>
      </c>
      <c r="L248">
        <v>0.39600000000000007</v>
      </c>
      <c r="M248">
        <v>0.55200000000000016</v>
      </c>
      <c r="N248">
        <v>2.0160000000000005</v>
      </c>
      <c r="O248" s="248"/>
      <c r="P248" s="226"/>
      <c r="Q248" s="226"/>
      <c r="R248" s="242"/>
      <c r="S248" s="245"/>
    </row>
    <row r="249" spans="1:19">
      <c r="B249" s="227" t="s">
        <v>1219</v>
      </c>
      <c r="D249">
        <v>73000</v>
      </c>
      <c r="E249">
        <v>0.9</v>
      </c>
      <c r="F249" s="414">
        <v>21.13821138211382</v>
      </c>
      <c r="G249">
        <v>83.174603174603163</v>
      </c>
      <c r="H249">
        <v>109.63541666666666</v>
      </c>
      <c r="I249">
        <v>163.59508547008545</v>
      </c>
      <c r="J249">
        <v>159.92613111726686</v>
      </c>
      <c r="K249">
        <v>455.0868486352357</v>
      </c>
      <c r="L249">
        <v>145.28850145288501</v>
      </c>
      <c r="M249">
        <v>114.73429951690822</v>
      </c>
      <c r="N249">
        <v>22.817460317460316</v>
      </c>
      <c r="O249" s="227"/>
      <c r="P249" s="227"/>
      <c r="Q249" s="227"/>
      <c r="R249" s="242"/>
      <c r="S249" s="245"/>
    </row>
    <row r="250" spans="1:19">
      <c r="B250" s="227" t="s">
        <v>474</v>
      </c>
      <c r="C250" t="s">
        <v>377</v>
      </c>
      <c r="D250">
        <v>150</v>
      </c>
      <c r="E250">
        <v>0.9</v>
      </c>
      <c r="F250" s="242">
        <v>69969.09832767841</v>
      </c>
      <c r="G250">
        <v>104006.2206452252</v>
      </c>
      <c r="H250">
        <v>93872.700017319381</v>
      </c>
      <c r="I250">
        <v>227780.80874969278</v>
      </c>
      <c r="J250">
        <v>156848.25722981634</v>
      </c>
      <c r="K250">
        <v>131206.98839598792</v>
      </c>
      <c r="L250">
        <v>45223.920561400897</v>
      </c>
      <c r="M250">
        <v>48727.781059668931</v>
      </c>
      <c r="N250">
        <v>33706.858184562283</v>
      </c>
      <c r="O250" s="227"/>
      <c r="P250" s="227"/>
      <c r="Q250" s="227"/>
      <c r="R250" s="242"/>
      <c r="S250" s="245"/>
    </row>
    <row r="251" spans="1:19">
      <c r="B251" s="227" t="s">
        <v>475</v>
      </c>
      <c r="C251" t="s">
        <v>377</v>
      </c>
      <c r="D251">
        <v>0</v>
      </c>
      <c r="E251">
        <v>0.95</v>
      </c>
      <c r="F251" s="245">
        <v>143.772119851394</v>
      </c>
      <c r="G251">
        <v>213.71141228470933</v>
      </c>
      <c r="H251">
        <v>192.88910962462887</v>
      </c>
      <c r="I251">
        <v>468.04275770484821</v>
      </c>
      <c r="J251">
        <v>322.29093951332129</v>
      </c>
      <c r="K251">
        <v>269.60340081367383</v>
      </c>
      <c r="L251">
        <v>92.92586416726212</v>
      </c>
      <c r="M251">
        <v>100.12557751986765</v>
      </c>
      <c r="N251">
        <v>69.260667502525223</v>
      </c>
      <c r="O251" s="227"/>
      <c r="P251" s="227"/>
      <c r="Q251" s="227"/>
      <c r="R251" s="242"/>
      <c r="S251" s="245"/>
    </row>
    <row r="252" spans="1:19">
      <c r="B252" s="227" t="s">
        <v>1363</v>
      </c>
      <c r="F252" s="24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 s="227"/>
      <c r="P252" s="227"/>
      <c r="Q252" s="227"/>
      <c r="R252" s="245"/>
      <c r="S252" s="245"/>
    </row>
    <row r="253" spans="1:19">
      <c r="B253" s="227"/>
      <c r="F253" s="242"/>
      <c r="O253" s="227"/>
      <c r="P253" s="227"/>
      <c r="Q253" s="227"/>
      <c r="R253" s="242"/>
      <c r="S253" s="245"/>
    </row>
    <row r="254" spans="1:19">
      <c r="A254" s="369" t="s">
        <v>1220</v>
      </c>
      <c r="B254" s="227"/>
      <c r="F254" s="243"/>
      <c r="O254" s="226"/>
      <c r="P254" s="226"/>
      <c r="Q254" s="226"/>
      <c r="R254" s="242"/>
      <c r="S254" s="245"/>
    </row>
    <row r="255" spans="1:19">
      <c r="B255" s="227" t="s">
        <v>1218</v>
      </c>
      <c r="D255">
        <v>18000</v>
      </c>
      <c r="E255">
        <v>0.9</v>
      </c>
      <c r="F255" s="417">
        <v>4.9200000000000008</v>
      </c>
      <c r="G255">
        <v>1.8000000000000003</v>
      </c>
      <c r="H255">
        <v>1.2000000000000002</v>
      </c>
      <c r="I255">
        <v>2.1060000000000003</v>
      </c>
      <c r="J255">
        <v>1.4250000000000003</v>
      </c>
      <c r="K255">
        <v>0.38750000000000012</v>
      </c>
      <c r="L255">
        <v>0.39600000000000007</v>
      </c>
      <c r="M255">
        <v>0.55200000000000016</v>
      </c>
      <c r="N255">
        <v>2.0160000000000005</v>
      </c>
      <c r="O255" s="227"/>
      <c r="P255" s="227"/>
      <c r="Q255" s="227"/>
      <c r="R255" s="242"/>
      <c r="S255" s="245"/>
    </row>
    <row r="256" spans="1:19">
      <c r="B256" s="227" t="s">
        <v>474</v>
      </c>
      <c r="C256" t="s">
        <v>377</v>
      </c>
      <c r="D256">
        <v>140</v>
      </c>
      <c r="E256">
        <v>0.9</v>
      </c>
      <c r="F256" s="242">
        <v>75516.36859579166</v>
      </c>
      <c r="G256">
        <v>30550.460413063149</v>
      </c>
      <c r="H256">
        <v>21209.753762537319</v>
      </c>
      <c r="I256">
        <v>35187.22639491703</v>
      </c>
      <c r="J256">
        <v>24757.44842600702</v>
      </c>
      <c r="K256">
        <v>7668.6168812353362</v>
      </c>
      <c r="L256">
        <v>7819.8454969696149</v>
      </c>
      <c r="M256">
        <v>10544.298090489958</v>
      </c>
      <c r="N256">
        <v>33830.933392446394</v>
      </c>
      <c r="O256" s="227"/>
      <c r="P256" s="227"/>
      <c r="Q256" s="227"/>
      <c r="R256" s="242"/>
      <c r="S256" s="245"/>
    </row>
    <row r="257" spans="1:19">
      <c r="B257" s="227" t="s">
        <v>475</v>
      </c>
      <c r="C257" t="s">
        <v>377</v>
      </c>
      <c r="D257">
        <v>0</v>
      </c>
      <c r="E257">
        <v>0.95</v>
      </c>
      <c r="F257" s="245">
        <v>587.349533522824</v>
      </c>
      <c r="G257">
        <v>237.61469210160229</v>
      </c>
      <c r="H257">
        <v>164.96475148640135</v>
      </c>
      <c r="I257">
        <v>273.67842751602137</v>
      </c>
      <c r="J257">
        <v>192.55793220227682</v>
      </c>
      <c r="K257">
        <v>59.644797965163725</v>
      </c>
      <c r="L257">
        <v>60.821020531985894</v>
      </c>
      <c r="M257">
        <v>82.01120737047745</v>
      </c>
      <c r="N257">
        <v>263.12948194124971</v>
      </c>
      <c r="O257" s="227"/>
      <c r="P257" s="227"/>
      <c r="Q257" s="227"/>
      <c r="R257" s="245"/>
      <c r="S257" s="245"/>
    </row>
    <row r="258" spans="1:19">
      <c r="B258" s="227" t="s">
        <v>1209</v>
      </c>
      <c r="F258" s="242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 s="227"/>
      <c r="P258" s="227"/>
      <c r="Q258" s="227"/>
      <c r="R258" s="242"/>
      <c r="S258" s="245"/>
    </row>
    <row r="259" spans="1:19">
      <c r="B259" s="227"/>
      <c r="F259" s="242"/>
      <c r="O259" s="226"/>
      <c r="P259" s="226"/>
      <c r="Q259" s="226"/>
      <c r="R259" s="242"/>
      <c r="S259" s="245"/>
    </row>
    <row r="260" spans="1:19">
      <c r="A260" s="369" t="s">
        <v>1221</v>
      </c>
      <c r="F260" s="420"/>
      <c r="O260" s="227"/>
      <c r="P260" s="227"/>
      <c r="Q260" s="227"/>
      <c r="R260" s="242"/>
      <c r="S260" s="245"/>
    </row>
    <row r="261" spans="1:19">
      <c r="B261" s="227" t="s">
        <v>1218</v>
      </c>
      <c r="D261">
        <v>18000</v>
      </c>
      <c r="E261">
        <v>0.9</v>
      </c>
      <c r="F261" s="421">
        <v>4.9200000000000008</v>
      </c>
      <c r="G261">
        <v>1.8000000000000003</v>
      </c>
      <c r="H261">
        <v>1.2000000000000002</v>
      </c>
      <c r="I261">
        <v>2.1060000000000003</v>
      </c>
      <c r="J261">
        <v>1.4250000000000003</v>
      </c>
      <c r="K261">
        <v>0.38750000000000012</v>
      </c>
      <c r="L261">
        <v>0.39600000000000007</v>
      </c>
      <c r="M261">
        <v>0.55200000000000016</v>
      </c>
      <c r="N261">
        <v>2.0160000000000005</v>
      </c>
      <c r="O261" s="227"/>
      <c r="P261" s="227"/>
      <c r="Q261" s="227"/>
      <c r="R261" s="242"/>
      <c r="S261" s="245"/>
    </row>
    <row r="262" spans="1:19">
      <c r="B262" t="s">
        <v>474</v>
      </c>
      <c r="C262" t="s">
        <v>377</v>
      </c>
      <c r="D262">
        <v>140</v>
      </c>
      <c r="E262">
        <v>0.9</v>
      </c>
      <c r="F262" s="422">
        <v>75516.36859579166</v>
      </c>
      <c r="G262">
        <v>30550.460413063149</v>
      </c>
      <c r="H262">
        <v>21209.753762537319</v>
      </c>
      <c r="I262">
        <v>35187.22639491703</v>
      </c>
      <c r="J262">
        <v>24757.44842600702</v>
      </c>
      <c r="K262">
        <v>7668.6168812353362</v>
      </c>
      <c r="L262">
        <v>7819.8454969696149</v>
      </c>
      <c r="M262">
        <v>10544.298090489958</v>
      </c>
      <c r="N262">
        <v>33830.933392446394</v>
      </c>
      <c r="O262" s="227"/>
      <c r="P262" s="227"/>
      <c r="Q262" s="227"/>
      <c r="R262" s="245"/>
      <c r="S262" s="245"/>
    </row>
    <row r="263" spans="1:19">
      <c r="B263" t="s">
        <v>475</v>
      </c>
      <c r="C263" t="s">
        <v>377</v>
      </c>
      <c r="D263">
        <v>0</v>
      </c>
      <c r="E263">
        <v>0.95</v>
      </c>
      <c r="F263" s="423">
        <v>587.349533522824</v>
      </c>
      <c r="G263">
        <v>237.61469210160229</v>
      </c>
      <c r="H263">
        <v>164.96475148640135</v>
      </c>
      <c r="I263">
        <v>273.67842751602137</v>
      </c>
      <c r="J263">
        <v>192.55793220227682</v>
      </c>
      <c r="K263">
        <v>59.644797965163725</v>
      </c>
      <c r="L263">
        <v>60.821020531985894</v>
      </c>
      <c r="M263">
        <v>82.01120737047745</v>
      </c>
      <c r="N263">
        <v>263.12948194124971</v>
      </c>
      <c r="O263" s="227"/>
      <c r="P263" s="227"/>
      <c r="Q263" s="227"/>
      <c r="R263" s="242"/>
      <c r="S263" s="245"/>
    </row>
    <row r="264" spans="1:19">
      <c r="B264" s="227" t="s">
        <v>1363</v>
      </c>
      <c r="F264" s="422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 s="226"/>
    </row>
    <row r="265" spans="1:19">
      <c r="B265" s="227"/>
      <c r="F265" s="242"/>
      <c r="O265" s="227"/>
    </row>
    <row r="266" spans="1:19">
      <c r="A266" s="369" t="s">
        <v>1222</v>
      </c>
      <c r="B266" s="227"/>
      <c r="F266" s="243"/>
      <c r="O266" s="227"/>
      <c r="R266" s="249"/>
    </row>
    <row r="267" spans="1:19">
      <c r="B267" s="227" t="s">
        <v>1218</v>
      </c>
      <c r="D267">
        <v>6000</v>
      </c>
      <c r="E267">
        <v>0.9</v>
      </c>
      <c r="F267" s="417">
        <v>4.9200000000000008</v>
      </c>
      <c r="G267">
        <v>1.8000000000000003</v>
      </c>
      <c r="H267">
        <v>1.2000000000000002</v>
      </c>
      <c r="I267">
        <v>2.1060000000000003</v>
      </c>
      <c r="J267">
        <v>1.4250000000000003</v>
      </c>
      <c r="K267">
        <v>0.38750000000000012</v>
      </c>
      <c r="L267">
        <v>0.39600000000000007</v>
      </c>
      <c r="M267">
        <v>0.55200000000000016</v>
      </c>
      <c r="N267">
        <v>2.0160000000000005</v>
      </c>
      <c r="O267" s="227"/>
    </row>
    <row r="268" spans="1:19">
      <c r="B268" s="227" t="s">
        <v>474</v>
      </c>
      <c r="C268" t="s">
        <v>377</v>
      </c>
      <c r="D268">
        <v>10</v>
      </c>
      <c r="E268">
        <v>0.9</v>
      </c>
      <c r="F268" s="242">
        <v>25172.122865263886</v>
      </c>
      <c r="G268">
        <v>10183.486804354383</v>
      </c>
      <c r="H268">
        <v>7069.9179208457726</v>
      </c>
      <c r="I268">
        <v>11729.075464972344</v>
      </c>
      <c r="J268">
        <v>8252.4828086690068</v>
      </c>
      <c r="K268">
        <v>2556.2056270784456</v>
      </c>
      <c r="L268">
        <v>2606.6151656565385</v>
      </c>
      <c r="M268">
        <v>3514.7660301633191</v>
      </c>
      <c r="N268">
        <v>11276.97779748213</v>
      </c>
    </row>
    <row r="269" spans="1:19">
      <c r="B269" s="227" t="s">
        <v>475</v>
      </c>
      <c r="C269" t="s">
        <v>377</v>
      </c>
      <c r="D269">
        <v>0</v>
      </c>
      <c r="E269">
        <v>0.95</v>
      </c>
      <c r="F269" s="245">
        <v>41.953538108773145</v>
      </c>
      <c r="G269">
        <v>16.972478007257305</v>
      </c>
      <c r="H269">
        <v>11.783196534742954</v>
      </c>
      <c r="I269">
        <v>19.54845910828724</v>
      </c>
      <c r="J269">
        <v>13.754138014448344</v>
      </c>
      <c r="K269">
        <v>4.2603427117974091</v>
      </c>
      <c r="L269">
        <v>4.3443586094275641</v>
      </c>
      <c r="M269">
        <v>5.8579433836055319</v>
      </c>
      <c r="N269">
        <v>18.794962995803552</v>
      </c>
      <c r="O269" s="226"/>
    </row>
    <row r="270" spans="1:19">
      <c r="B270" s="227" t="s">
        <v>1363</v>
      </c>
      <c r="F270" s="242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 s="227"/>
    </row>
    <row r="271" spans="1:19">
      <c r="B271" s="227"/>
      <c r="F271" s="242"/>
      <c r="O271" s="227"/>
      <c r="R271" s="250"/>
    </row>
    <row r="272" spans="1:19">
      <c r="A272" s="369" t="s">
        <v>1223</v>
      </c>
      <c r="B272" s="227"/>
      <c r="F272" s="243"/>
      <c r="O272" s="227"/>
    </row>
    <row r="273" spans="1:19">
      <c r="B273" s="227" t="s">
        <v>1218</v>
      </c>
      <c r="D273">
        <v>12000</v>
      </c>
      <c r="E273">
        <v>0.9</v>
      </c>
      <c r="F273" s="417">
        <v>4.9200000000000008</v>
      </c>
      <c r="G273">
        <v>1.8000000000000003</v>
      </c>
      <c r="H273">
        <v>1.2000000000000002</v>
      </c>
      <c r="I273">
        <v>2.1060000000000003</v>
      </c>
      <c r="J273">
        <v>1.4250000000000003</v>
      </c>
      <c r="K273">
        <v>0.38750000000000012</v>
      </c>
      <c r="L273">
        <v>0.39600000000000007</v>
      </c>
      <c r="M273">
        <v>0.55200000000000016</v>
      </c>
      <c r="N273">
        <v>2.0160000000000005</v>
      </c>
    </row>
    <row r="274" spans="1:19">
      <c r="B274" s="227" t="s">
        <v>474</v>
      </c>
      <c r="C274" t="s">
        <v>377</v>
      </c>
      <c r="D274">
        <v>10</v>
      </c>
      <c r="E274">
        <v>0.9</v>
      </c>
      <c r="F274" s="242">
        <v>50344.245730527771</v>
      </c>
      <c r="G274">
        <v>20366.973608708766</v>
      </c>
      <c r="H274">
        <v>14139.835841691545</v>
      </c>
      <c r="I274">
        <v>23458.150929944688</v>
      </c>
      <c r="J274">
        <v>16504.965617338014</v>
      </c>
      <c r="K274">
        <v>5112.4112541568911</v>
      </c>
      <c r="L274">
        <v>5213.2303313130769</v>
      </c>
      <c r="M274">
        <v>7029.5320603266382</v>
      </c>
      <c r="N274">
        <v>22553.95559496426</v>
      </c>
      <c r="O274" s="226"/>
      <c r="P274" s="227"/>
      <c r="Q274" s="227"/>
      <c r="R274" s="227"/>
      <c r="S274" s="227"/>
    </row>
    <row r="275" spans="1:19">
      <c r="B275" s="227" t="s">
        <v>475</v>
      </c>
      <c r="C275" t="s">
        <v>377</v>
      </c>
      <c r="D275">
        <v>0</v>
      </c>
      <c r="E275">
        <v>0.95</v>
      </c>
      <c r="F275" s="245">
        <v>41.953538108773145</v>
      </c>
      <c r="G275">
        <v>16.972478007257305</v>
      </c>
      <c r="H275">
        <v>11.783196534742954</v>
      </c>
      <c r="I275">
        <v>19.54845910828724</v>
      </c>
      <c r="J275">
        <v>13.754138014448344</v>
      </c>
      <c r="K275">
        <v>4.2603427117974091</v>
      </c>
      <c r="L275">
        <v>4.3443586094275641</v>
      </c>
      <c r="M275">
        <v>5.8579433836055319</v>
      </c>
      <c r="N275">
        <v>18.794962995803552</v>
      </c>
      <c r="O275" s="227"/>
      <c r="P275" s="227"/>
      <c r="Q275" s="227"/>
      <c r="R275" s="227"/>
      <c r="S275" s="227"/>
    </row>
    <row r="276" spans="1:19">
      <c r="B276" s="227" t="s">
        <v>1363</v>
      </c>
      <c r="F276" s="242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 s="227"/>
      <c r="P276" s="227"/>
      <c r="Q276" s="227"/>
      <c r="R276" s="227"/>
      <c r="S276" s="227"/>
    </row>
    <row r="277" spans="1:19">
      <c r="B277" s="227"/>
      <c r="F277" s="242"/>
      <c r="O277" s="227"/>
      <c r="P277" s="227"/>
      <c r="Q277" s="227"/>
      <c r="R277" s="227"/>
      <c r="S277" s="227"/>
    </row>
    <row r="278" spans="1:19">
      <c r="A278" s="369" t="s">
        <v>1224</v>
      </c>
      <c r="B278" s="227"/>
      <c r="F278" s="242"/>
    </row>
    <row r="279" spans="1:19">
      <c r="B279" s="227" t="s">
        <v>1225</v>
      </c>
      <c r="D279">
        <v>5000</v>
      </c>
      <c r="E279">
        <v>0.7</v>
      </c>
      <c r="F279" s="417">
        <v>4.9200000000000008</v>
      </c>
      <c r="G279">
        <v>1.8000000000000003</v>
      </c>
      <c r="H279">
        <v>1.2000000000000002</v>
      </c>
      <c r="I279">
        <v>2.1060000000000003</v>
      </c>
      <c r="J279">
        <v>1.4250000000000003</v>
      </c>
      <c r="K279">
        <v>0.38750000000000012</v>
      </c>
      <c r="L279">
        <v>0.39600000000000007</v>
      </c>
      <c r="M279">
        <v>0.55200000000000016</v>
      </c>
      <c r="N279">
        <v>2.0160000000000005</v>
      </c>
    </row>
    <row r="280" spans="1:19">
      <c r="B280" s="227" t="s">
        <v>474</v>
      </c>
      <c r="C280" t="s">
        <v>377</v>
      </c>
      <c r="D280">
        <v>5.5</v>
      </c>
      <c r="E280">
        <v>0.9</v>
      </c>
      <c r="F280" s="242">
        <v>15252.659538067239</v>
      </c>
      <c r="G280">
        <v>7545.0262992431817</v>
      </c>
      <c r="H280">
        <v>5680.6348859944446</v>
      </c>
      <c r="I280">
        <v>8421.527305714133</v>
      </c>
      <c r="J280">
        <v>6406.7888247984547</v>
      </c>
      <c r="K280">
        <v>2574.899003235389</v>
      </c>
      <c r="L280">
        <v>2614.3072932973487</v>
      </c>
      <c r="M280">
        <v>3298.5825620257474</v>
      </c>
      <c r="N280">
        <v>8167.9557027537348</v>
      </c>
    </row>
    <row r="281" spans="1:19">
      <c r="B281" s="227" t="s">
        <v>475</v>
      </c>
      <c r="C281" t="s">
        <v>377</v>
      </c>
      <c r="D281">
        <v>45000</v>
      </c>
      <c r="E281">
        <v>0.95</v>
      </c>
      <c r="F281" s="245">
        <v>23.07444595982523</v>
      </c>
      <c r="G281">
        <v>9.3348629039915174</v>
      </c>
      <c r="H281">
        <v>6.4807580941086247</v>
      </c>
      <c r="I281">
        <v>10.751652509557982</v>
      </c>
      <c r="J281">
        <v>7.5647759079465899</v>
      </c>
      <c r="K281">
        <v>2.3431884914885748</v>
      </c>
      <c r="L281">
        <v>2.38939723518516</v>
      </c>
      <c r="M281">
        <v>3.2218688609830424</v>
      </c>
      <c r="N281">
        <v>10.337229647691952</v>
      </c>
    </row>
    <row r="282" spans="1:19">
      <c r="B282" s="227" t="s">
        <v>1363</v>
      </c>
      <c r="F282" s="242">
        <v>204446.34997419413</v>
      </c>
      <c r="G282">
        <v>78654.105001870616</v>
      </c>
      <c r="H282">
        <v>53509.968771646076</v>
      </c>
      <c r="I282">
        <v>91305.715120225199</v>
      </c>
      <c r="J282">
        <v>62999.432146601532</v>
      </c>
      <c r="K282">
        <v>18283.975693660093</v>
      </c>
      <c r="L282">
        <v>18664.782797825334</v>
      </c>
      <c r="M282">
        <v>25589.07797126396</v>
      </c>
      <c r="N282">
        <v>87594.838280613563</v>
      </c>
    </row>
    <row r="283" spans="1:19">
      <c r="B283" s="227"/>
      <c r="F283" s="242"/>
    </row>
    <row r="284" spans="1:19" ht="16">
      <c r="A284" s="368" t="s">
        <v>1226</v>
      </c>
      <c r="B284" s="227"/>
      <c r="F284" s="242"/>
    </row>
    <row r="285" spans="1:19">
      <c r="A285" s="369" t="s">
        <v>1227</v>
      </c>
      <c r="B285" s="226"/>
      <c r="F285" s="243"/>
    </row>
    <row r="286" spans="1:19">
      <c r="B286" s="227" t="s">
        <v>1218</v>
      </c>
      <c r="D286">
        <v>100</v>
      </c>
      <c r="E286">
        <v>0.3</v>
      </c>
      <c r="F286" s="417">
        <v>4.9200000000000008</v>
      </c>
      <c r="G286">
        <v>1.8000000000000003</v>
      </c>
      <c r="H286">
        <v>1.2000000000000002</v>
      </c>
      <c r="I286">
        <v>2.1060000000000003</v>
      </c>
      <c r="J286">
        <v>1.4250000000000003</v>
      </c>
      <c r="K286">
        <v>0.38750000000000012</v>
      </c>
      <c r="L286">
        <v>0.39600000000000007</v>
      </c>
      <c r="M286">
        <v>0.55200000000000016</v>
      </c>
      <c r="N286">
        <v>2.0160000000000005</v>
      </c>
    </row>
    <row r="287" spans="1:19">
      <c r="B287" s="227" t="s">
        <v>1219</v>
      </c>
      <c r="D287">
        <v>63000</v>
      </c>
      <c r="E287">
        <v>0.7</v>
      </c>
      <c r="F287" s="245">
        <v>21.13821138211382</v>
      </c>
      <c r="G287">
        <v>83.174603174603163</v>
      </c>
      <c r="H287">
        <v>109.63541666666666</v>
      </c>
      <c r="I287">
        <v>163.59508547008545</v>
      </c>
      <c r="J287">
        <v>159.92613111726686</v>
      </c>
      <c r="K287">
        <v>455.0868486352357</v>
      </c>
      <c r="L287">
        <v>145.28850145288501</v>
      </c>
      <c r="M287">
        <v>114.73429951690822</v>
      </c>
      <c r="N287">
        <v>22.817460317460316</v>
      </c>
    </row>
    <row r="288" spans="1:19">
      <c r="B288" s="227" t="s">
        <v>474</v>
      </c>
      <c r="C288" t="s">
        <v>377</v>
      </c>
      <c r="D288">
        <v>690</v>
      </c>
      <c r="E288">
        <v>0.95</v>
      </c>
      <c r="F288" s="242">
        <v>120569.25914905792</v>
      </c>
      <c r="G288">
        <v>89955.666210552823</v>
      </c>
      <c r="H288">
        <v>73578.797035629279</v>
      </c>
      <c r="I288">
        <v>122996.42320733257</v>
      </c>
      <c r="J288">
        <v>92936.600779391025</v>
      </c>
      <c r="K288">
        <v>51116.255211266725</v>
      </c>
      <c r="L288">
        <v>36846.526454458552</v>
      </c>
      <c r="M288">
        <v>43311.765236119994</v>
      </c>
      <c r="N288">
        <v>66063.885080566164</v>
      </c>
    </row>
    <row r="289" spans="1:14">
      <c r="B289" s="227" t="s">
        <v>475</v>
      </c>
      <c r="C289" t="s">
        <v>377</v>
      </c>
      <c r="D289">
        <v>90000</v>
      </c>
      <c r="E289">
        <v>0.95</v>
      </c>
      <c r="F289" s="245">
        <v>1966.6922632739188</v>
      </c>
      <c r="G289">
        <v>1255.3010063858612</v>
      </c>
      <c r="H289">
        <v>927.78900411416157</v>
      </c>
      <c r="I289">
        <v>1785.0825323695535</v>
      </c>
      <c r="J289">
        <v>1223.3246485368531</v>
      </c>
      <c r="K289">
        <v>485.87906037952854</v>
      </c>
      <c r="L289">
        <v>352.14504011547547</v>
      </c>
      <c r="M289">
        <v>449.77144574174861</v>
      </c>
      <c r="N289">
        <v>862.17471727350949</v>
      </c>
    </row>
    <row r="290" spans="1:14">
      <c r="B290" s="227" t="s">
        <v>1363</v>
      </c>
      <c r="F290" s="242">
        <v>256525.07781833725</v>
      </c>
      <c r="G290">
        <v>148849.92170583335</v>
      </c>
      <c r="H290">
        <v>110014.50641669899</v>
      </c>
      <c r="I290">
        <v>211669.86549836601</v>
      </c>
      <c r="J290">
        <v>145058.25871978494</v>
      </c>
      <c r="K290">
        <v>57614.117831564639</v>
      </c>
      <c r="L290">
        <v>41756.328867447686</v>
      </c>
      <c r="M290">
        <v>53332.58249902157</v>
      </c>
      <c r="N290">
        <v>112457.57181828385</v>
      </c>
    </row>
    <row r="291" spans="1:14">
      <c r="B291" s="227"/>
      <c r="F291" s="242"/>
    </row>
    <row r="292" spans="1:14" ht="16">
      <c r="A292" s="368" t="s">
        <v>1228</v>
      </c>
      <c r="B292" s="226"/>
      <c r="F292" s="243"/>
    </row>
    <row r="293" spans="1:14">
      <c r="A293" s="369" t="s">
        <v>1229</v>
      </c>
      <c r="B293" s="226"/>
      <c r="F293" s="243"/>
    </row>
    <row r="294" spans="1:14">
      <c r="B294" s="227" t="s">
        <v>1230</v>
      </c>
      <c r="D294">
        <v>24000</v>
      </c>
      <c r="E294">
        <v>0.7</v>
      </c>
      <c r="F294" s="421">
        <v>0.12</v>
      </c>
      <c r="G294">
        <v>0.16</v>
      </c>
      <c r="H294">
        <v>0.2</v>
      </c>
      <c r="I294">
        <v>0.36</v>
      </c>
      <c r="J294">
        <v>0.25</v>
      </c>
      <c r="K294">
        <v>0.25</v>
      </c>
      <c r="L294">
        <v>0.12</v>
      </c>
      <c r="M294">
        <v>0.12</v>
      </c>
      <c r="N294">
        <v>0.16</v>
      </c>
    </row>
    <row r="295" spans="1:14">
      <c r="B295" t="s">
        <v>474</v>
      </c>
      <c r="C295" t="s">
        <v>377</v>
      </c>
      <c r="D295">
        <v>100</v>
      </c>
      <c r="E295">
        <v>0.95</v>
      </c>
      <c r="F295" s="422">
        <v>5440.4912222986804</v>
      </c>
      <c r="G295">
        <v>6654.1904942894053</v>
      </c>
      <c r="H295">
        <v>7779.1516641252601</v>
      </c>
      <c r="I295">
        <v>11738.780778325288</v>
      </c>
      <c r="J295">
        <v>9094.2993990623891</v>
      </c>
      <c r="K295">
        <v>9094.2993990623891</v>
      </c>
      <c r="L295">
        <v>5440.4912222986804</v>
      </c>
      <c r="M295">
        <v>5440.4912222986804</v>
      </c>
      <c r="N295">
        <v>6654.1904942894053</v>
      </c>
    </row>
    <row r="296" spans="1:14">
      <c r="B296" t="s">
        <v>475</v>
      </c>
      <c r="C296" t="s">
        <v>377</v>
      </c>
      <c r="D296">
        <v>30000</v>
      </c>
      <c r="E296">
        <v>0.95</v>
      </c>
      <c r="F296" s="423">
        <v>13.342038322424148</v>
      </c>
      <c r="G296">
        <v>17.535331622163479</v>
      </c>
      <c r="H296">
        <v>21.675967734687365</v>
      </c>
      <c r="I296">
        <v>37.88675204936132</v>
      </c>
      <c r="J296">
        <v>26.794336563407327</v>
      </c>
      <c r="K296">
        <v>26.794336563407327</v>
      </c>
      <c r="L296">
        <v>13.342038322424148</v>
      </c>
      <c r="M296">
        <v>13.342038322424148</v>
      </c>
      <c r="N296">
        <v>17.535331622163479</v>
      </c>
    </row>
    <row r="297" spans="1:14">
      <c r="B297" s="227" t="s">
        <v>1363</v>
      </c>
      <c r="F297" s="422">
        <v>4002.6114967272447</v>
      </c>
      <c r="G297">
        <v>5260.5994866490437</v>
      </c>
      <c r="H297">
        <v>6502.7903204062095</v>
      </c>
      <c r="I297">
        <v>11366.025614808395</v>
      </c>
      <c r="J297">
        <v>8038.3009690221988</v>
      </c>
      <c r="K297">
        <v>8038.3009690221988</v>
      </c>
      <c r="L297">
        <v>4002.6114967272447</v>
      </c>
      <c r="M297">
        <v>4002.6114967272447</v>
      </c>
      <c r="N297">
        <v>5260.5994866490437</v>
      </c>
    </row>
    <row r="298" spans="1:14" ht="16">
      <c r="A298" s="368"/>
      <c r="B298" s="226"/>
      <c r="F298" s="243"/>
    </row>
    <row r="299" spans="1:14" ht="16">
      <c r="A299" s="368" t="s">
        <v>1231</v>
      </c>
      <c r="B299" s="226"/>
      <c r="F299" s="243"/>
    </row>
    <row r="300" spans="1:14">
      <c r="A300" s="369" t="s">
        <v>1232</v>
      </c>
      <c r="B300" s="226"/>
      <c r="F300" s="243"/>
    </row>
    <row r="301" spans="1:14">
      <c r="B301" s="227" t="s">
        <v>1233</v>
      </c>
      <c r="D301">
        <v>12</v>
      </c>
      <c r="E301">
        <v>0.3</v>
      </c>
      <c r="F301" s="425">
        <v>0.2</v>
      </c>
      <c r="G301">
        <v>0.2</v>
      </c>
      <c r="H301">
        <v>0.2</v>
      </c>
      <c r="I301">
        <v>0.2</v>
      </c>
      <c r="J301">
        <v>0.2</v>
      </c>
      <c r="K301">
        <v>0.2</v>
      </c>
      <c r="L301">
        <v>0.2</v>
      </c>
      <c r="M301">
        <v>0.2</v>
      </c>
      <c r="N301">
        <v>0.2</v>
      </c>
    </row>
    <row r="302" spans="1:14">
      <c r="B302" s="227" t="s">
        <v>1234</v>
      </c>
      <c r="D302">
        <v>24000</v>
      </c>
      <c r="E302">
        <v>0.7</v>
      </c>
      <c r="F302" s="247">
        <v>12</v>
      </c>
      <c r="G302">
        <v>16</v>
      </c>
      <c r="H302">
        <v>20</v>
      </c>
      <c r="I302">
        <v>36</v>
      </c>
      <c r="J302">
        <v>25</v>
      </c>
      <c r="K302">
        <v>25</v>
      </c>
      <c r="L302">
        <v>12</v>
      </c>
      <c r="M302">
        <v>12</v>
      </c>
      <c r="N302">
        <v>16</v>
      </c>
    </row>
    <row r="303" spans="1:14">
      <c r="B303" s="227" t="s">
        <v>474</v>
      </c>
      <c r="C303" t="s">
        <v>377</v>
      </c>
      <c r="D303">
        <v>100</v>
      </c>
      <c r="E303">
        <v>0.95</v>
      </c>
      <c r="F303" s="242">
        <v>7779.1516641252601</v>
      </c>
      <c r="G303">
        <v>8480.3516184123946</v>
      </c>
      <c r="H303">
        <v>9067.4853704978013</v>
      </c>
      <c r="I303">
        <v>10816.048228044745</v>
      </c>
      <c r="J303">
        <v>9695.2690930501667</v>
      </c>
      <c r="K303">
        <v>9695.2690930501667</v>
      </c>
      <c r="L303">
        <v>7779.1516641252601</v>
      </c>
      <c r="M303">
        <v>7779.1516641252601</v>
      </c>
      <c r="N303">
        <v>8480.3516184123946</v>
      </c>
    </row>
    <row r="304" spans="1:14">
      <c r="B304" s="227" t="s">
        <v>475</v>
      </c>
      <c r="C304" t="s">
        <v>377</v>
      </c>
      <c r="D304">
        <v>30000</v>
      </c>
      <c r="E304">
        <v>0.95</v>
      </c>
      <c r="F304" s="245">
        <v>21.675967734687365</v>
      </c>
      <c r="G304">
        <v>23.629803865018332</v>
      </c>
      <c r="H304">
        <v>25.265803883483105</v>
      </c>
      <c r="I304">
        <v>30.138030794426385</v>
      </c>
      <c r="J304">
        <v>27.015071708811863</v>
      </c>
      <c r="K304">
        <v>27.015071708811863</v>
      </c>
      <c r="L304">
        <v>21.675967734687365</v>
      </c>
      <c r="M304">
        <v>21.675967734687365</v>
      </c>
      <c r="N304">
        <v>23.629803865018332</v>
      </c>
    </row>
    <row r="305" spans="1:14">
      <c r="B305" s="227" t="s">
        <v>1363</v>
      </c>
      <c r="F305" s="242">
        <v>6502.7903204062095</v>
      </c>
      <c r="G305">
        <v>6502.7903204062095</v>
      </c>
      <c r="H305">
        <v>6502.7903204062095</v>
      </c>
      <c r="I305">
        <v>6502.7903204062095</v>
      </c>
      <c r="J305">
        <v>6502.7903204062095</v>
      </c>
      <c r="K305">
        <v>6502.7903204062095</v>
      </c>
      <c r="L305">
        <v>6502.7903204062095</v>
      </c>
      <c r="M305">
        <v>6502.7903204062095</v>
      </c>
      <c r="N305">
        <v>6502.7903204062095</v>
      </c>
    </row>
    <row r="306" spans="1:14">
      <c r="B306" s="227"/>
      <c r="F306" s="242"/>
    </row>
    <row r="307" spans="1:14" ht="16">
      <c r="A307" s="224" t="s">
        <v>1235</v>
      </c>
      <c r="B307" s="227"/>
      <c r="F307" s="242"/>
    </row>
    <row r="308" spans="1:14">
      <c r="A308" s="369" t="s">
        <v>1236</v>
      </c>
      <c r="B308" s="227"/>
      <c r="F308" s="242"/>
    </row>
    <row r="309" spans="1:14">
      <c r="B309" s="227" t="s">
        <v>1237</v>
      </c>
      <c r="D309">
        <v>13000</v>
      </c>
      <c r="E309">
        <v>0.7</v>
      </c>
      <c r="F309" s="426">
        <v>0.87372500976898293</v>
      </c>
      <c r="G309">
        <v>0.87368065052057431</v>
      </c>
      <c r="H309">
        <v>0.87410722838380628</v>
      </c>
      <c r="I309">
        <v>0.86992913435410513</v>
      </c>
      <c r="J309">
        <v>0.87384287034752162</v>
      </c>
      <c r="K309">
        <v>0.86976932817861219</v>
      </c>
      <c r="L309">
        <v>0.87682592073425814</v>
      </c>
      <c r="M309">
        <v>0.87615493672719913</v>
      </c>
      <c r="N309">
        <v>0.87569522072650929</v>
      </c>
    </row>
    <row r="310" spans="1:14">
      <c r="B310" s="227" t="s">
        <v>474</v>
      </c>
      <c r="C310" t="s">
        <v>377</v>
      </c>
      <c r="D310">
        <v>210</v>
      </c>
      <c r="E310">
        <v>0.95</v>
      </c>
      <c r="F310" s="242">
        <v>11827.846764464331</v>
      </c>
      <c r="G310">
        <v>11827.426409240587</v>
      </c>
      <c r="H310">
        <v>11831.468463045598</v>
      </c>
      <c r="I310">
        <v>11791.853240310762</v>
      </c>
      <c r="J310">
        <v>11828.9635987646</v>
      </c>
      <c r="K310">
        <v>11790.336882280986</v>
      </c>
      <c r="L310">
        <v>11857.215642192927</v>
      </c>
      <c r="M310">
        <v>11850.863365425903</v>
      </c>
      <c r="N310">
        <v>11846.51034278614</v>
      </c>
    </row>
    <row r="311" spans="1:14">
      <c r="B311" s="227" t="s">
        <v>475</v>
      </c>
      <c r="C311" t="s">
        <v>377</v>
      </c>
      <c r="D311">
        <v>10600</v>
      </c>
      <c r="E311">
        <v>0.95</v>
      </c>
      <c r="F311" s="245">
        <v>184.72485045134624</v>
      </c>
      <c r="G311">
        <v>184.71594083728493</v>
      </c>
      <c r="H311">
        <v>184.80161863176735</v>
      </c>
      <c r="I311">
        <v>183.96236185921467</v>
      </c>
      <c r="J311">
        <v>184.74852279548008</v>
      </c>
      <c r="K311">
        <v>183.93025748131089</v>
      </c>
      <c r="L311">
        <v>185.3476165614554</v>
      </c>
      <c r="M311">
        <v>185.21286999406433</v>
      </c>
      <c r="N311">
        <v>185.12054715055356</v>
      </c>
    </row>
    <row r="312" spans="1:14">
      <c r="B312" s="227" t="s">
        <v>1363</v>
      </c>
      <c r="F312" s="242">
        <v>9324.2067370679542</v>
      </c>
      <c r="G312">
        <v>9323.7570136915256</v>
      </c>
      <c r="H312">
        <v>9328.0817023653999</v>
      </c>
      <c r="I312">
        <v>9285.7192176555982</v>
      </c>
      <c r="J312">
        <v>9325.40162681947</v>
      </c>
      <c r="K312">
        <v>9284.0987109614071</v>
      </c>
      <c r="L312">
        <v>9355.6415978639398</v>
      </c>
      <c r="M312">
        <v>9348.8401044622951</v>
      </c>
      <c r="N312">
        <v>9344.1799990279414</v>
      </c>
    </row>
    <row r="313" spans="1:14">
      <c r="B313" s="227"/>
      <c r="F313" s="242"/>
    </row>
    <row r="314" spans="1:14" ht="16">
      <c r="A314" s="224" t="s">
        <v>1238</v>
      </c>
    </row>
    <row r="315" spans="1:14">
      <c r="A315" s="369" t="s">
        <v>1239</v>
      </c>
      <c r="B315" s="227"/>
      <c r="F315" s="427"/>
    </row>
    <row r="316" spans="1:14">
      <c r="B316" s="227" t="s">
        <v>1237</v>
      </c>
      <c r="D316">
        <v>0</v>
      </c>
      <c r="E316">
        <v>1</v>
      </c>
      <c r="F316" s="427">
        <v>0.87372500976898293</v>
      </c>
      <c r="G316">
        <v>0.87368065052057431</v>
      </c>
      <c r="H316">
        <v>0.87410722838380628</v>
      </c>
      <c r="I316">
        <v>0.86992913435410513</v>
      </c>
      <c r="J316">
        <v>0.87384287034752162</v>
      </c>
      <c r="K316">
        <v>0.86976932817861219</v>
      </c>
      <c r="L316">
        <v>0.87682592073425814</v>
      </c>
      <c r="M316">
        <v>0.87615493672719913</v>
      </c>
      <c r="N316">
        <v>0.87569522072650929</v>
      </c>
    </row>
    <row r="317" spans="1:14">
      <c r="B317" s="227" t="s">
        <v>474</v>
      </c>
      <c r="C317" t="s">
        <v>377</v>
      </c>
      <c r="D317">
        <v>1790</v>
      </c>
      <c r="E317">
        <v>0.95</v>
      </c>
      <c r="F317" s="242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</row>
    <row r="318" spans="1:14">
      <c r="B318" s="227" t="s">
        <v>475</v>
      </c>
      <c r="C318" t="s">
        <v>377</v>
      </c>
      <c r="D318">
        <v>0</v>
      </c>
      <c r="E318">
        <v>0.6</v>
      </c>
      <c r="F318" s="245">
        <v>1574.5594395614751</v>
      </c>
      <c r="G318">
        <v>1574.4834957082858</v>
      </c>
      <c r="H318">
        <v>1575.2137969088742</v>
      </c>
      <c r="I318">
        <v>1568.0601320380679</v>
      </c>
      <c r="J318">
        <v>1574.7612181138541</v>
      </c>
      <c r="K318">
        <v>1567.7864804359358</v>
      </c>
      <c r="L318">
        <v>1579.8677792619294</v>
      </c>
      <c r="M318">
        <v>1578.7192251875008</v>
      </c>
      <c r="N318">
        <v>1577.9322828547186</v>
      </c>
    </row>
    <row r="319" spans="1:14">
      <c r="B319" s="227" t="s">
        <v>1363</v>
      </c>
      <c r="F319" s="242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</row>
    <row r="321" spans="1:14">
      <c r="A321" s="369" t="s">
        <v>1240</v>
      </c>
      <c r="F321" s="242"/>
    </row>
    <row r="322" spans="1:14">
      <c r="B322" s="227" t="s">
        <v>1208</v>
      </c>
      <c r="D322">
        <v>15000</v>
      </c>
      <c r="E322">
        <v>0.7</v>
      </c>
      <c r="F322" s="417">
        <v>2.2033745466686661</v>
      </c>
      <c r="G322">
        <v>6.7169452890041592</v>
      </c>
      <c r="H322">
        <v>3.3447861207241902</v>
      </c>
      <c r="I322">
        <v>8.9582812251365187</v>
      </c>
      <c r="J322">
        <v>5.2145044180371238</v>
      </c>
      <c r="K322">
        <v>1.769741721198274</v>
      </c>
      <c r="L322">
        <v>0.78360264436319826</v>
      </c>
      <c r="M322">
        <v>1.1686632986362968</v>
      </c>
      <c r="N322">
        <v>0.93976345706129261</v>
      </c>
    </row>
    <row r="323" spans="1:14">
      <c r="B323" s="227" t="s">
        <v>474</v>
      </c>
      <c r="C323" t="s">
        <v>377</v>
      </c>
      <c r="D323">
        <v>30</v>
      </c>
      <c r="E323">
        <v>0.95</v>
      </c>
      <c r="F323" s="242">
        <v>26076.727505766768</v>
      </c>
      <c r="G323">
        <v>56899.9030845081</v>
      </c>
      <c r="H323">
        <v>34926.020594638154</v>
      </c>
      <c r="I323">
        <v>69606.299118825467</v>
      </c>
      <c r="J323">
        <v>47658.501932423307</v>
      </c>
      <c r="K323">
        <v>22368.052923841668</v>
      </c>
      <c r="L323">
        <v>12646.151609596396</v>
      </c>
      <c r="M323">
        <v>16729.148752786725</v>
      </c>
      <c r="N323">
        <v>14361.646952594248</v>
      </c>
    </row>
    <row r="324" spans="1:14">
      <c r="B324" s="227" t="s">
        <v>475</v>
      </c>
      <c r="C324" t="s">
        <v>377</v>
      </c>
      <c r="D324">
        <v>1000</v>
      </c>
      <c r="E324">
        <v>0.95</v>
      </c>
      <c r="F324" s="245">
        <v>63.541164021143281</v>
      </c>
      <c r="G324">
        <v>183.20379895983299</v>
      </c>
      <c r="H324">
        <v>94.465056688736553</v>
      </c>
      <c r="I324">
        <v>240.84337926132406</v>
      </c>
      <c r="J324">
        <v>144.03685910207977</v>
      </c>
      <c r="K324">
        <v>51.598330462593111</v>
      </c>
      <c r="L324">
        <v>23.796459861363306</v>
      </c>
      <c r="M324">
        <v>34.787737943835758</v>
      </c>
      <c r="N324">
        <v>28.280617010296652</v>
      </c>
    </row>
    <row r="325" spans="1:14">
      <c r="B325" s="227" t="s">
        <v>1363</v>
      </c>
      <c r="F325" s="242">
        <v>2118.0388007047763</v>
      </c>
      <c r="G325">
        <v>6106.7932986611004</v>
      </c>
      <c r="H325">
        <v>3148.835222957885</v>
      </c>
      <c r="I325">
        <v>8028.1126420441351</v>
      </c>
      <c r="J325">
        <v>4801.2286367359929</v>
      </c>
      <c r="K325">
        <v>1719.9443487531037</v>
      </c>
      <c r="L325">
        <v>793.21532871211025</v>
      </c>
      <c r="M325">
        <v>1159.5912647945252</v>
      </c>
      <c r="N325">
        <v>942.68723367655502</v>
      </c>
    </row>
    <row r="327" spans="1:14">
      <c r="A327" s="369" t="s">
        <v>472</v>
      </c>
      <c r="B327" s="227"/>
    </row>
    <row r="328" spans="1:14">
      <c r="B328" s="227" t="s">
        <v>1218</v>
      </c>
      <c r="D328">
        <v>30000</v>
      </c>
      <c r="E328">
        <v>0.7</v>
      </c>
      <c r="F328" s="427">
        <v>4.9200000000000035</v>
      </c>
      <c r="G328">
        <v>1.8000000000000016</v>
      </c>
      <c r="H328">
        <v>1.2000000000000008</v>
      </c>
      <c r="I328">
        <v>2.1060000000000021</v>
      </c>
      <c r="J328">
        <v>1.4250000000000014</v>
      </c>
      <c r="K328">
        <v>0.3875000000000004</v>
      </c>
      <c r="L328">
        <v>0.39600000000000035</v>
      </c>
      <c r="M328">
        <v>0.55200000000000071</v>
      </c>
      <c r="N328">
        <v>2.0160000000000022</v>
      </c>
    </row>
    <row r="329" spans="1:14">
      <c r="B329" s="227" t="s">
        <v>474</v>
      </c>
      <c r="C329" t="s">
        <v>377</v>
      </c>
      <c r="D329">
        <v>10</v>
      </c>
      <c r="E329">
        <v>0.9</v>
      </c>
      <c r="F329" s="242">
        <v>91515.95722840348</v>
      </c>
      <c r="G329">
        <v>45270.157795459112</v>
      </c>
      <c r="H329">
        <v>34083.809315966682</v>
      </c>
      <c r="I329">
        <v>50529.163834284838</v>
      </c>
      <c r="J329">
        <v>38440.732948790755</v>
      </c>
      <c r="K329">
        <v>15449.394019412341</v>
      </c>
      <c r="L329">
        <v>15685.8437597841</v>
      </c>
      <c r="M329">
        <v>19791.495372154499</v>
      </c>
      <c r="N329">
        <v>49007.734216522447</v>
      </c>
    </row>
    <row r="330" spans="1:14">
      <c r="B330" s="227" t="s">
        <v>475</v>
      </c>
      <c r="C330" t="s">
        <v>377</v>
      </c>
      <c r="D330">
        <v>3000</v>
      </c>
      <c r="E330">
        <v>0.95</v>
      </c>
      <c r="F330" s="245">
        <v>41.953538108773159</v>
      </c>
      <c r="G330">
        <v>16.972478007257315</v>
      </c>
      <c r="H330">
        <v>11.783196534742959</v>
      </c>
      <c r="I330">
        <v>19.548459108287254</v>
      </c>
      <c r="J330">
        <v>13.754138014448355</v>
      </c>
      <c r="K330">
        <v>4.2603427117974118</v>
      </c>
      <c r="L330">
        <v>4.3443586094275668</v>
      </c>
      <c r="M330">
        <v>5.8579433836055363</v>
      </c>
      <c r="N330">
        <v>18.794962995803566</v>
      </c>
    </row>
    <row r="331" spans="1:14">
      <c r="B331" s="227" t="s">
        <v>1363</v>
      </c>
      <c r="F331" s="242">
        <v>13629.756664946282</v>
      </c>
      <c r="G331">
        <v>5243.6070001247117</v>
      </c>
      <c r="H331">
        <v>3567.3312514430736</v>
      </c>
      <c r="I331">
        <v>6087.0476746816848</v>
      </c>
      <c r="J331">
        <v>4199.9621431067726</v>
      </c>
      <c r="K331">
        <v>1218.9317129106737</v>
      </c>
      <c r="L331">
        <v>1244.3188531883563</v>
      </c>
      <c r="M331">
        <v>1705.9385314175988</v>
      </c>
      <c r="N331">
        <v>5839.6558853742417</v>
      </c>
    </row>
    <row r="332" spans="1:14">
      <c r="B332" s="227"/>
      <c r="F332" s="242"/>
    </row>
    <row r="333" spans="1:14">
      <c r="A333" s="369" t="s">
        <v>1241</v>
      </c>
      <c r="B333" s="227"/>
      <c r="F333" s="242"/>
    </row>
    <row r="334" spans="1:14">
      <c r="B334" s="227" t="s">
        <v>1237</v>
      </c>
      <c r="D334">
        <v>50000</v>
      </c>
      <c r="E334">
        <v>0.7</v>
      </c>
      <c r="F334" s="417">
        <v>0.87372500976898293</v>
      </c>
      <c r="G334">
        <v>0.87368065052057431</v>
      </c>
      <c r="H334">
        <v>0.87410722838380628</v>
      </c>
      <c r="I334">
        <v>0.86992913435410513</v>
      </c>
      <c r="J334">
        <v>0.87384287034752162</v>
      </c>
      <c r="K334">
        <v>0.86976932817861219</v>
      </c>
      <c r="L334">
        <v>0.87682592073425814</v>
      </c>
      <c r="M334">
        <v>0.87615493672719913</v>
      </c>
      <c r="N334">
        <v>0.87569522072650929</v>
      </c>
    </row>
    <row r="335" spans="1:14">
      <c r="B335" s="227" t="s">
        <v>474</v>
      </c>
      <c r="C335" t="s">
        <v>377</v>
      </c>
      <c r="D335">
        <v>20</v>
      </c>
      <c r="E335">
        <v>0.95</v>
      </c>
      <c r="F335" s="242">
        <v>45491.718324862813</v>
      </c>
      <c r="G335">
        <v>45490.101574002256</v>
      </c>
      <c r="H335">
        <v>45505.647934790759</v>
      </c>
      <c r="I335">
        <v>45353.281693502933</v>
      </c>
      <c r="J335">
        <v>45496.013841402302</v>
      </c>
      <c r="K335">
        <v>45347.449547234566</v>
      </c>
      <c r="L335">
        <v>45604.675546895873</v>
      </c>
      <c r="M335">
        <v>45580.243713176547</v>
      </c>
      <c r="N335">
        <v>45563.501318408227</v>
      </c>
    </row>
    <row r="336" spans="1:14">
      <c r="B336" s="227" t="s">
        <v>475</v>
      </c>
      <c r="C336" t="s">
        <v>377</v>
      </c>
      <c r="D336">
        <v>2000</v>
      </c>
      <c r="E336">
        <v>0.95</v>
      </c>
      <c r="F336" s="245">
        <v>17.592842900128215</v>
      </c>
      <c r="G336">
        <v>17.591994365455708</v>
      </c>
      <c r="H336">
        <v>17.600154155406415</v>
      </c>
      <c r="I336">
        <v>17.520224938972827</v>
      </c>
      <c r="J336">
        <v>17.595097409093341</v>
      </c>
      <c r="K336">
        <v>17.517167379172466</v>
      </c>
      <c r="L336">
        <v>17.652153958233846</v>
      </c>
      <c r="M336">
        <v>17.639320951815652</v>
      </c>
      <c r="N336">
        <v>17.63052830005272</v>
      </c>
    </row>
    <row r="337" spans="1:14">
      <c r="B337" s="227" t="s">
        <v>1363</v>
      </c>
      <c r="F337" s="242">
        <v>1759.2842900128214</v>
      </c>
      <c r="G337">
        <v>1759.1994365455707</v>
      </c>
      <c r="H337">
        <v>1760.0154155406415</v>
      </c>
      <c r="I337">
        <v>1752.0224938972826</v>
      </c>
      <c r="J337">
        <v>1759.5097409093341</v>
      </c>
      <c r="K337">
        <v>1751.7167379172467</v>
      </c>
      <c r="L337">
        <v>1765.2153958233848</v>
      </c>
      <c r="M337">
        <v>1763.932095181565</v>
      </c>
      <c r="N337">
        <v>1763.0528300052722</v>
      </c>
    </row>
    <row r="338" spans="1:14">
      <c r="B338" s="227"/>
      <c r="F338" s="242"/>
    </row>
    <row r="340" spans="1:14">
      <c r="B340" s="227"/>
      <c r="F340" s="242"/>
    </row>
    <row r="341" spans="1:14" ht="16">
      <c r="A341" s="224" t="s">
        <v>1242</v>
      </c>
      <c r="F341" s="428"/>
    </row>
    <row r="342" spans="1:14">
      <c r="A342" s="227" t="s">
        <v>1243</v>
      </c>
      <c r="F342" s="429">
        <v>125511.29197581297</v>
      </c>
      <c r="G342">
        <v>147378.49128682297</v>
      </c>
      <c r="H342">
        <v>95660.226012744635</v>
      </c>
      <c r="I342">
        <v>307161.72427239711</v>
      </c>
      <c r="J342">
        <v>198940.29308655011</v>
      </c>
      <c r="K342">
        <v>79446.410692048972</v>
      </c>
      <c r="L342">
        <v>74006.759565001848</v>
      </c>
      <c r="M342">
        <v>93088.484082790252</v>
      </c>
      <c r="N342">
        <v>87141.84300051532</v>
      </c>
    </row>
    <row r="343" spans="1:14">
      <c r="A343" s="227" t="s">
        <v>1244</v>
      </c>
      <c r="F343" s="429">
        <v>353852.99077921774</v>
      </c>
      <c r="G343">
        <v>253575.52266136702</v>
      </c>
      <c r="H343">
        <v>199757.3121349088</v>
      </c>
      <c r="I343">
        <v>403725.59645737248</v>
      </c>
      <c r="J343">
        <v>282214.43897747406</v>
      </c>
      <c r="K343">
        <v>174633.50253886377</v>
      </c>
      <c r="L343">
        <v>84026.759962635711</v>
      </c>
      <c r="M343">
        <v>100636.38205979824</v>
      </c>
      <c r="N343">
        <v>166544.16689957448</v>
      </c>
    </row>
    <row r="344" spans="1:14">
      <c r="A344" s="227" t="s">
        <v>1245</v>
      </c>
      <c r="F344" s="429">
        <v>120569.25914905792</v>
      </c>
      <c r="G344">
        <v>89955.666210552823</v>
      </c>
      <c r="H344">
        <v>73578.797035629279</v>
      </c>
      <c r="I344">
        <v>122996.42320733257</v>
      </c>
      <c r="J344">
        <v>92936.600779391025</v>
      </c>
      <c r="K344">
        <v>51116.255211266725</v>
      </c>
      <c r="L344">
        <v>36846.526454458552</v>
      </c>
      <c r="M344">
        <v>43311.765236119994</v>
      </c>
      <c r="N344">
        <v>66063.885080566164</v>
      </c>
    </row>
    <row r="345" spans="1:14">
      <c r="A345" s="227" t="s">
        <v>1246</v>
      </c>
      <c r="F345" s="429">
        <v>5440.4912222986804</v>
      </c>
      <c r="G345">
        <v>6654.1904942894053</v>
      </c>
      <c r="H345">
        <v>7779.1516641252601</v>
      </c>
      <c r="I345">
        <v>11738.780778325288</v>
      </c>
      <c r="J345">
        <v>9094.2993990623891</v>
      </c>
      <c r="K345">
        <v>9094.2993990623891</v>
      </c>
      <c r="L345">
        <v>5440.4912222986804</v>
      </c>
      <c r="M345">
        <v>5440.4912222986804</v>
      </c>
      <c r="N345">
        <v>6654.1904942894053</v>
      </c>
    </row>
    <row r="346" spans="1:14">
      <c r="A346" s="227" t="s">
        <v>1247</v>
      </c>
      <c r="F346" s="429">
        <v>7779.1516641252601</v>
      </c>
      <c r="G346">
        <v>8480.3516184123946</v>
      </c>
      <c r="H346">
        <v>9067.4853704978013</v>
      </c>
      <c r="I346">
        <v>10816.048228044745</v>
      </c>
      <c r="J346">
        <v>9695.2690930501667</v>
      </c>
      <c r="K346">
        <v>9695.2690930501667</v>
      </c>
      <c r="L346">
        <v>7779.1516641252601</v>
      </c>
      <c r="M346">
        <v>7779.1516641252601</v>
      </c>
      <c r="N346">
        <v>8480.3516184123946</v>
      </c>
    </row>
    <row r="347" spans="1:14">
      <c r="A347" s="227" t="s">
        <v>1248</v>
      </c>
      <c r="F347" s="429">
        <v>11827.846764464331</v>
      </c>
      <c r="G347">
        <v>11827.426409240587</v>
      </c>
      <c r="H347">
        <v>11831.468463045598</v>
      </c>
      <c r="I347">
        <v>11791.853240310762</v>
      </c>
      <c r="J347">
        <v>11828.9635987646</v>
      </c>
      <c r="K347">
        <v>11790.336882280986</v>
      </c>
      <c r="L347">
        <v>11857.215642192927</v>
      </c>
      <c r="M347">
        <v>11850.863365425903</v>
      </c>
      <c r="N347">
        <v>11846.51034278614</v>
      </c>
    </row>
    <row r="348" spans="1:14">
      <c r="A348" s="223" t="s">
        <v>1249</v>
      </c>
      <c r="B348" s="8"/>
      <c r="F348" s="430">
        <v>163084.40305903307</v>
      </c>
      <c r="G348">
        <v>147660.16245396947</v>
      </c>
      <c r="H348">
        <v>114515.4778453956</v>
      </c>
      <c r="I348">
        <v>165488.74464661325</v>
      </c>
      <c r="J348">
        <v>131595.24872261638</v>
      </c>
      <c r="K348">
        <v>83164.89649048858</v>
      </c>
      <c r="L348">
        <v>73936.670916276373</v>
      </c>
      <c r="M348">
        <v>82100.887838117778</v>
      </c>
      <c r="N348">
        <v>108932.88248752491</v>
      </c>
    </row>
    <row r="349" spans="1:14">
      <c r="A349" s="374" t="s">
        <v>1250</v>
      </c>
      <c r="B349" s="223"/>
      <c r="F349" s="335">
        <v>788065.43461401004</v>
      </c>
      <c r="G349">
        <v>665531.81113465468</v>
      </c>
      <c r="H349">
        <v>512189.91852634703</v>
      </c>
      <c r="I349">
        <v>1033719.1708303962</v>
      </c>
      <c r="J349">
        <v>736305.11365690874</v>
      </c>
      <c r="K349">
        <v>418940.97030706168</v>
      </c>
      <c r="L349">
        <v>293893.57542698935</v>
      </c>
      <c r="M349">
        <v>344208.02546867612</v>
      </c>
      <c r="N349">
        <v>455663.82992366888</v>
      </c>
    </row>
    <row r="350" spans="1:14">
      <c r="A350" s="374"/>
      <c r="B350" s="227"/>
      <c r="F350" s="431"/>
    </row>
    <row r="351" spans="1:14" ht="16">
      <c r="A351" s="224" t="s">
        <v>1251</v>
      </c>
      <c r="F351" s="432"/>
    </row>
    <row r="352" spans="1:14">
      <c r="A352" s="227" t="s">
        <v>1252</v>
      </c>
      <c r="F352" s="429">
        <v>883.90513003478281</v>
      </c>
      <c r="G352">
        <v>1084.5392608649993</v>
      </c>
      <c r="H352">
        <v>668.70440296608717</v>
      </c>
      <c r="I352">
        <v>2323.5754011448066</v>
      </c>
      <c r="J352">
        <v>1460.7309316227074</v>
      </c>
      <c r="K352">
        <v>550.81026803756731</v>
      </c>
      <c r="L352">
        <v>537.74761414933198</v>
      </c>
      <c r="M352">
        <v>679.45425315111856</v>
      </c>
      <c r="N352">
        <v>618.0340709024083</v>
      </c>
    </row>
    <row r="353" spans="1:14">
      <c r="A353" s="227" t="s">
        <v>1253</v>
      </c>
      <c r="F353" s="429">
        <v>1499.4573332402342</v>
      </c>
      <c r="G353">
        <v>825.47561908883813</v>
      </c>
      <c r="H353">
        <v>614.65849017345079</v>
      </c>
      <c r="I353">
        <v>1186.9482325964664</v>
      </c>
      <c r="J353">
        <v>822.42560964351117</v>
      </c>
      <c r="K353">
        <v>424.31808836958464</v>
      </c>
      <c r="L353">
        <v>241.55282143286573</v>
      </c>
      <c r="M353">
        <v>302.1206907167109</v>
      </c>
      <c r="N353">
        <v>677.81809506749801</v>
      </c>
    </row>
    <row r="354" spans="1:14">
      <c r="A354" s="227" t="s">
        <v>1254</v>
      </c>
      <c r="F354" s="429">
        <v>1966.6922632739188</v>
      </c>
      <c r="G354">
        <v>1255.3010063858612</v>
      </c>
      <c r="H354">
        <v>927.78900411416157</v>
      </c>
      <c r="I354">
        <v>1785.0825323695535</v>
      </c>
      <c r="J354">
        <v>1223.3246485368531</v>
      </c>
      <c r="K354">
        <v>485.87906037952854</v>
      </c>
      <c r="L354">
        <v>352.14504011547547</v>
      </c>
      <c r="M354">
        <v>449.77144574174861</v>
      </c>
      <c r="N354">
        <v>862.17471727350949</v>
      </c>
    </row>
    <row r="355" spans="1:14">
      <c r="A355" s="227" t="s">
        <v>1255</v>
      </c>
      <c r="F355" s="429">
        <v>13.342038322424148</v>
      </c>
      <c r="G355">
        <v>17.535331622163479</v>
      </c>
      <c r="H355">
        <v>21.675967734687365</v>
      </c>
      <c r="I355">
        <v>37.88675204936132</v>
      </c>
      <c r="J355">
        <v>26.794336563407327</v>
      </c>
      <c r="K355">
        <v>26.794336563407327</v>
      </c>
      <c r="L355">
        <v>13.342038322424148</v>
      </c>
      <c r="M355">
        <v>13.342038322424148</v>
      </c>
      <c r="N355">
        <v>17.535331622163479</v>
      </c>
    </row>
    <row r="356" spans="1:14">
      <c r="A356" s="227" t="s">
        <v>1256</v>
      </c>
      <c r="F356" s="429">
        <v>21.675967734687365</v>
      </c>
      <c r="G356">
        <v>23.629803865018332</v>
      </c>
      <c r="H356">
        <v>25.265803883483105</v>
      </c>
      <c r="I356">
        <v>30.138030794426385</v>
      </c>
      <c r="J356">
        <v>27.015071708811863</v>
      </c>
      <c r="K356">
        <v>27.015071708811863</v>
      </c>
      <c r="L356">
        <v>21.675967734687365</v>
      </c>
      <c r="M356">
        <v>21.675967734687365</v>
      </c>
      <c r="N356">
        <v>23.629803865018332</v>
      </c>
    </row>
    <row r="357" spans="1:14">
      <c r="A357" s="227" t="s">
        <v>1257</v>
      </c>
      <c r="F357" s="429">
        <v>184.72485045134624</v>
      </c>
      <c r="G357">
        <v>184.71594083728493</v>
      </c>
      <c r="H357">
        <v>184.80161863176735</v>
      </c>
      <c r="I357">
        <v>183.96236185921467</v>
      </c>
      <c r="J357">
        <v>184.74852279548008</v>
      </c>
      <c r="K357">
        <v>183.93025748131089</v>
      </c>
      <c r="L357">
        <v>185.3476165614554</v>
      </c>
      <c r="M357">
        <v>185.21286999406433</v>
      </c>
      <c r="N357">
        <v>185.12054715055356</v>
      </c>
    </row>
    <row r="358" spans="1:14">
      <c r="A358" s="227" t="s">
        <v>1258</v>
      </c>
      <c r="F358" s="429">
        <v>1697.6469845915199</v>
      </c>
      <c r="G358">
        <v>1792.2517670408317</v>
      </c>
      <c r="H358">
        <v>1699.0622042877601</v>
      </c>
      <c r="I358">
        <v>1845.9721953466521</v>
      </c>
      <c r="J358">
        <v>1750.1473126394753</v>
      </c>
      <c r="K358">
        <v>1641.1623209894988</v>
      </c>
      <c r="L358">
        <v>1625.6607516909542</v>
      </c>
      <c r="M358">
        <v>1637.0042274667578</v>
      </c>
      <c r="N358">
        <v>1642.6383911608716</v>
      </c>
    </row>
    <row r="359" spans="1:14">
      <c r="A359" s="374" t="s">
        <v>1259</v>
      </c>
      <c r="B359" s="8"/>
      <c r="F359" s="430">
        <v>6267.4445676489131</v>
      </c>
      <c r="G359">
        <v>5183.4487297049973</v>
      </c>
      <c r="H359">
        <v>4141.9574917913969</v>
      </c>
      <c r="I359">
        <v>7393.5655061604821</v>
      </c>
      <c r="J359">
        <v>5495.1864335102455</v>
      </c>
      <c r="K359">
        <v>3339.9094035297094</v>
      </c>
      <c r="L359">
        <v>2977.471850007194</v>
      </c>
      <c r="M359">
        <v>3288.5814931275117</v>
      </c>
      <c r="N359">
        <v>4026.9509570420232</v>
      </c>
    </row>
    <row r="360" spans="1:14">
      <c r="A360" s="374"/>
      <c r="F360" s="433"/>
    </row>
    <row r="361" spans="1:14" ht="16">
      <c r="A361" s="224" t="s">
        <v>1260</v>
      </c>
      <c r="F361" s="433"/>
    </row>
    <row r="362" spans="1:14">
      <c r="A362" s="227" t="s">
        <v>1261</v>
      </c>
      <c r="F362" s="429">
        <v>72290.039102053779</v>
      </c>
      <c r="G362">
        <v>89668.881512097956</v>
      </c>
      <c r="H362">
        <v>55579.249576237031</v>
      </c>
      <c r="I362">
        <v>163907.81970615475</v>
      </c>
      <c r="J362">
        <v>101970.60536461872</v>
      </c>
      <c r="K362">
        <v>33313.527316211992</v>
      </c>
      <c r="L362">
        <v>25712.051922101022</v>
      </c>
      <c r="M362">
        <v>34743.714934577874</v>
      </c>
      <c r="N362">
        <v>38161.084323673706</v>
      </c>
    </row>
    <row r="363" spans="1:14">
      <c r="A363" s="227" t="s">
        <v>1262</v>
      </c>
      <c r="F363" s="429">
        <v>204446.34997419413</v>
      </c>
      <c r="G363">
        <v>78654.105001870616</v>
      </c>
      <c r="H363">
        <v>53509.968771646076</v>
      </c>
      <c r="I363">
        <v>91305.715120225199</v>
      </c>
      <c r="J363">
        <v>62999.432146601532</v>
      </c>
      <c r="K363">
        <v>18283.975693660093</v>
      </c>
      <c r="L363">
        <v>18664.782797825334</v>
      </c>
      <c r="M363">
        <v>25589.07797126396</v>
      </c>
      <c r="N363">
        <v>87594.838280613563</v>
      </c>
    </row>
    <row r="364" spans="1:14">
      <c r="A364" s="227" t="s">
        <v>1263</v>
      </c>
      <c r="F364" s="429">
        <v>256525.07781833725</v>
      </c>
      <c r="G364">
        <v>148849.92170583335</v>
      </c>
      <c r="H364">
        <v>110014.50641669899</v>
      </c>
      <c r="I364">
        <v>211669.86549836601</v>
      </c>
      <c r="J364">
        <v>145058.25871978494</v>
      </c>
      <c r="K364">
        <v>57614.117831564639</v>
      </c>
      <c r="L364">
        <v>41756.328867447686</v>
      </c>
      <c r="M364">
        <v>53332.58249902157</v>
      </c>
      <c r="N364">
        <v>112457.57181828385</v>
      </c>
    </row>
    <row r="365" spans="1:14">
      <c r="A365" s="227" t="s">
        <v>1264</v>
      </c>
      <c r="F365" s="429">
        <v>4002.6114967272447</v>
      </c>
      <c r="G365">
        <v>5260.5994866490437</v>
      </c>
      <c r="H365">
        <v>6502.7903204062095</v>
      </c>
      <c r="I365">
        <v>11366.025614808395</v>
      </c>
      <c r="J365">
        <v>8038.3009690221988</v>
      </c>
      <c r="K365">
        <v>8038.3009690221988</v>
      </c>
      <c r="L365">
        <v>4002.6114967272447</v>
      </c>
      <c r="M365">
        <v>4002.6114967272447</v>
      </c>
      <c r="N365">
        <v>5260.5994866490437</v>
      </c>
    </row>
    <row r="366" spans="1:14">
      <c r="A366" s="227" t="s">
        <v>1265</v>
      </c>
      <c r="F366" s="429">
        <v>6502.7903204062095</v>
      </c>
      <c r="G366">
        <v>6502.7903204062095</v>
      </c>
      <c r="H366">
        <v>6502.7903204062095</v>
      </c>
      <c r="I366">
        <v>6502.7903204062095</v>
      </c>
      <c r="J366">
        <v>6502.7903204062095</v>
      </c>
      <c r="K366">
        <v>6502.7903204062095</v>
      </c>
      <c r="L366">
        <v>6502.7903204062095</v>
      </c>
      <c r="M366">
        <v>6502.7903204062095</v>
      </c>
      <c r="N366">
        <v>6502.7903204062095</v>
      </c>
    </row>
    <row r="367" spans="1:14">
      <c r="A367" s="227" t="s">
        <v>1266</v>
      </c>
      <c r="F367" s="429">
        <v>9324.2067370679542</v>
      </c>
      <c r="G367">
        <v>9323.7570136915256</v>
      </c>
      <c r="H367">
        <v>9328.0817023653999</v>
      </c>
      <c r="I367">
        <v>9285.7192176555982</v>
      </c>
      <c r="J367">
        <v>9325.40162681947</v>
      </c>
      <c r="K367">
        <v>9284.0987109614071</v>
      </c>
      <c r="L367">
        <v>9355.6415978639398</v>
      </c>
      <c r="M367">
        <v>9348.8401044622951</v>
      </c>
      <c r="N367">
        <v>9344.1799990279414</v>
      </c>
    </row>
    <row r="368" spans="1:14">
      <c r="A368" s="227" t="s">
        <v>1267</v>
      </c>
      <c r="F368" s="429">
        <v>17507.079755663879</v>
      </c>
      <c r="G368">
        <v>13109.599735331381</v>
      </c>
      <c r="H368">
        <v>8476.1818899415994</v>
      </c>
      <c r="I368">
        <v>15867.182810623102</v>
      </c>
      <c r="J368">
        <v>10760.7005207521</v>
      </c>
      <c r="K368">
        <v>4690.5927995810243</v>
      </c>
      <c r="L368">
        <v>3802.7495777238514</v>
      </c>
      <c r="M368">
        <v>4629.4618913936893</v>
      </c>
      <c r="N368">
        <v>8545.3959490560683</v>
      </c>
    </row>
    <row r="369" spans="1:14">
      <c r="A369" s="374" t="s">
        <v>1268</v>
      </c>
      <c r="B369" s="8"/>
      <c r="F369" s="434">
        <v>570598.15520445036</v>
      </c>
      <c r="G369">
        <v>351369.65477588004</v>
      </c>
      <c r="H369">
        <v>249913.56899770151</v>
      </c>
      <c r="I369">
        <v>509905.11828823923</v>
      </c>
      <c r="J369">
        <v>344655.4896680052</v>
      </c>
      <c r="K369">
        <v>137727.40364140758</v>
      </c>
      <c r="L369">
        <v>109796.95658009527</v>
      </c>
      <c r="M369">
        <v>138149.07921785285</v>
      </c>
      <c r="N369">
        <v>267866.4601777104</v>
      </c>
    </row>
    <row r="371" spans="1:14" ht="16">
      <c r="A371" s="368" t="s">
        <v>477</v>
      </c>
      <c r="F371" s="227"/>
    </row>
    <row r="372" spans="1:14">
      <c r="A372" s="227" t="s">
        <v>474</v>
      </c>
      <c r="B372" s="227"/>
      <c r="F372" s="385">
        <v>766960.56055127655</v>
      </c>
      <c r="G372">
        <v>642512.31808245915</v>
      </c>
      <c r="H372">
        <v>487455.63584969356</v>
      </c>
      <c r="I372">
        <v>1003303.1063304857</v>
      </c>
      <c r="J372">
        <v>709629.56943228643</v>
      </c>
      <c r="K372">
        <v>392291.17722676171</v>
      </c>
      <c r="L372">
        <v>272769.1221124368</v>
      </c>
      <c r="M372">
        <v>323087.80700530158</v>
      </c>
      <c r="N372">
        <v>432631.61424910964</v>
      </c>
    </row>
    <row r="373" spans="1:14">
      <c r="A373" s="227" t="s">
        <v>475</v>
      </c>
      <c r="B373" s="227"/>
      <c r="F373" s="385">
        <v>6063.1337534547665</v>
      </c>
      <c r="G373">
        <v>4938.5749147734268</v>
      </c>
      <c r="H373">
        <v>3850.6432076393794</v>
      </c>
      <c r="I373">
        <v>7128.9120076268819</v>
      </c>
      <c r="J373">
        <v>5223.3660998531777</v>
      </c>
      <c r="K373">
        <v>2927.4993159499904</v>
      </c>
      <c r="L373">
        <v>2577.9810841035651</v>
      </c>
      <c r="M373">
        <v>2938.8126823604498</v>
      </c>
      <c r="N373">
        <v>3756.3809216007503</v>
      </c>
    </row>
    <row r="374" spans="1:14">
      <c r="A374" s="227" t="s">
        <v>1363</v>
      </c>
      <c r="B374" s="227"/>
      <c r="F374" s="385">
        <v>553876.61556260497</v>
      </c>
      <c r="G374">
        <v>333390.4269596971</v>
      </c>
      <c r="H374">
        <v>230689.26722197884</v>
      </c>
      <c r="I374">
        <v>485845.82287458761</v>
      </c>
      <c r="J374">
        <v>323897.46396069718</v>
      </c>
      <c r="K374">
        <v>116996.91321133822</v>
      </c>
      <c r="L374">
        <v>93054.460364385857</v>
      </c>
      <c r="M374">
        <v>121411.11733107787</v>
      </c>
      <c r="N374">
        <v>249873.61703796985</v>
      </c>
    </row>
    <row r="376" spans="1:14" ht="16">
      <c r="A376" s="368" t="s">
        <v>476</v>
      </c>
    </row>
    <row r="377" spans="1:14">
      <c r="A377" s="227" t="s">
        <v>474</v>
      </c>
      <c r="F377" s="435">
        <v>776343.66736173001</v>
      </c>
      <c r="G377">
        <v>653108.9840464954</v>
      </c>
      <c r="H377">
        <v>499178.61033483403</v>
      </c>
      <c r="I377">
        <v>1018972.5048555812</v>
      </c>
      <c r="J377">
        <v>722666.85669760371</v>
      </c>
      <c r="K377">
        <v>405315.58891991776</v>
      </c>
      <c r="L377">
        <v>282162.0185487998</v>
      </c>
      <c r="M377">
        <v>332478.58601607557</v>
      </c>
      <c r="N377">
        <v>443234.64152432774</v>
      </c>
    </row>
    <row r="378" spans="1:14">
      <c r="A378" s="227" t="s">
        <v>475</v>
      </c>
      <c r="F378" s="436">
        <v>6157.6725876306191</v>
      </c>
      <c r="G378">
        <v>5055.1814644968827</v>
      </c>
      <c r="H378">
        <v>3994.5054316409905</v>
      </c>
      <c r="I378">
        <v>7272.590827691497</v>
      </c>
      <c r="J378">
        <v>5362.6738406505337</v>
      </c>
      <c r="K378">
        <v>3142.3335486091373</v>
      </c>
      <c r="L378">
        <v>2755.5719729633952</v>
      </c>
      <c r="M378">
        <v>3095.2445396749508</v>
      </c>
      <c r="N378">
        <v>3884.9599901666979</v>
      </c>
    </row>
    <row r="379" spans="1:14">
      <c r="A379" s="227" t="s">
        <v>1363</v>
      </c>
      <c r="F379" s="435">
        <v>560987.29597168812</v>
      </c>
      <c r="G379">
        <v>341758.94545090996</v>
      </c>
      <c r="H379">
        <v>240301.41810984016</v>
      </c>
      <c r="I379">
        <v>500307.08822861454</v>
      </c>
      <c r="J379">
        <v>335044.23213865922</v>
      </c>
      <c r="K379">
        <v>128129.91375068089</v>
      </c>
      <c r="L379">
        <v>100175.61906040108</v>
      </c>
      <c r="M379">
        <v>128530.00886262588</v>
      </c>
      <c r="N379">
        <v>258248.94319096152</v>
      </c>
    </row>
    <row r="380" spans="1:14">
      <c r="B380" s="227"/>
      <c r="F380" s="242"/>
    </row>
    <row r="381" spans="1:14" ht="16">
      <c r="A381" s="368" t="s">
        <v>473</v>
      </c>
      <c r="B381" s="227"/>
    </row>
    <row r="382" spans="1:14">
      <c r="A382" s="227" t="s">
        <v>474</v>
      </c>
      <c r="F382" s="436">
        <v>788065.43461401004</v>
      </c>
      <c r="G382">
        <v>665531.81113465468</v>
      </c>
      <c r="H382">
        <v>512189.91852634703</v>
      </c>
      <c r="I382">
        <v>1033719.1708303962</v>
      </c>
      <c r="J382">
        <v>736305.11365690874</v>
      </c>
      <c r="K382">
        <v>418940.97030706168</v>
      </c>
      <c r="L382">
        <v>293893.57542698935</v>
      </c>
      <c r="M382">
        <v>344208.02546867612</v>
      </c>
      <c r="N382">
        <v>455663.82992366888</v>
      </c>
    </row>
    <row r="383" spans="1:14">
      <c r="A383" s="227" t="s">
        <v>475</v>
      </c>
      <c r="F383" s="436">
        <v>6267.4445676489131</v>
      </c>
      <c r="G383">
        <v>5183.4487297049973</v>
      </c>
      <c r="H383">
        <v>4141.9574917913969</v>
      </c>
      <c r="I383">
        <v>7393.5655061604821</v>
      </c>
      <c r="J383">
        <v>5495.1864335102455</v>
      </c>
      <c r="K383">
        <v>3339.9094035297094</v>
      </c>
      <c r="L383">
        <v>2977.471850007194</v>
      </c>
      <c r="M383">
        <v>3288.5814931275117</v>
      </c>
      <c r="N383">
        <v>4026.9509570420232</v>
      </c>
    </row>
    <row r="384" spans="1:14">
      <c r="A384" s="227" t="s">
        <v>1363</v>
      </c>
      <c r="F384" s="436">
        <v>570598.15520445036</v>
      </c>
      <c r="G384">
        <v>351369.65477588004</v>
      </c>
      <c r="H384">
        <v>249913.56899770151</v>
      </c>
      <c r="I384">
        <v>509905.11828823923</v>
      </c>
      <c r="J384">
        <v>344655.4896680052</v>
      </c>
      <c r="K384">
        <v>137727.40364140758</v>
      </c>
      <c r="L384">
        <v>109796.95658009527</v>
      </c>
      <c r="M384">
        <v>138149.07921785285</v>
      </c>
      <c r="N384">
        <v>267866.4601777104</v>
      </c>
    </row>
    <row r="385" spans="1:14">
      <c r="B385" s="227"/>
      <c r="F385" s="436"/>
    </row>
    <row r="388" spans="1:14">
      <c r="D388">
        <v>1</v>
      </c>
      <c r="E388" t="s">
        <v>1129</v>
      </c>
    </row>
    <row r="389" spans="1:14">
      <c r="A389" s="227" t="s">
        <v>1269</v>
      </c>
    </row>
    <row r="390" spans="1:14">
      <c r="A390" s="227" t="s">
        <v>1270</v>
      </c>
      <c r="F390" s="435">
        <v>100000</v>
      </c>
      <c r="G390">
        <v>100000</v>
      </c>
      <c r="H390">
        <v>100000</v>
      </c>
      <c r="I390">
        <v>100000</v>
      </c>
      <c r="J390">
        <v>100000</v>
      </c>
      <c r="K390">
        <v>100000</v>
      </c>
      <c r="L390">
        <v>100000</v>
      </c>
      <c r="M390">
        <v>100000</v>
      </c>
      <c r="N390">
        <v>100000</v>
      </c>
    </row>
    <row r="391" spans="1:14">
      <c r="A391" s="227" t="s">
        <v>1271</v>
      </c>
      <c r="F391" s="437">
        <v>1</v>
      </c>
      <c r="G391">
        <v>1</v>
      </c>
      <c r="H391">
        <v>1</v>
      </c>
      <c r="I391">
        <v>1</v>
      </c>
      <c r="J391">
        <v>1</v>
      </c>
      <c r="K391">
        <v>1</v>
      </c>
      <c r="L391">
        <v>1</v>
      </c>
      <c r="M391">
        <v>1</v>
      </c>
      <c r="N391">
        <v>1</v>
      </c>
    </row>
    <row r="392" spans="1:14">
      <c r="A392" s="227" t="s">
        <v>1272</v>
      </c>
      <c r="F392" s="435">
        <v>100000</v>
      </c>
      <c r="G392">
        <v>100000</v>
      </c>
      <c r="H392">
        <v>100000</v>
      </c>
      <c r="I392">
        <v>100000</v>
      </c>
      <c r="J392">
        <v>100000</v>
      </c>
      <c r="K392">
        <v>100000</v>
      </c>
      <c r="L392">
        <v>100000</v>
      </c>
      <c r="M392">
        <v>100000</v>
      </c>
      <c r="N392">
        <v>100000</v>
      </c>
    </row>
    <row r="393" spans="1:14">
      <c r="A393" s="227" t="s">
        <v>1273</v>
      </c>
    </row>
    <row r="394" spans="1:14">
      <c r="A394" s="227" t="s">
        <v>1271</v>
      </c>
    </row>
    <row r="395" spans="1:14">
      <c r="A395" s="227"/>
    </row>
    <row r="398" spans="1:14" ht="20">
      <c r="A398" s="375"/>
      <c r="B398" s="375"/>
      <c r="F398" s="375"/>
    </row>
    <row r="400" spans="1:14" ht="18">
      <c r="A400" s="376"/>
      <c r="B400" s="376"/>
      <c r="D400">
        <v>1</v>
      </c>
      <c r="E400" t="s">
        <v>1129</v>
      </c>
      <c r="F400" s="376"/>
    </row>
    <row r="401" spans="1:14">
      <c r="A401" s="227" t="str">
        <f t="array" ref="A401">"Pack manufacturing strategy: " &amp; INDEX([2]Lists!A156:A158,D401)</f>
        <v xml:space="preserve">Pack manufacturing strategy: </v>
      </c>
    </row>
    <row r="402" spans="1:14">
      <c r="D402">
        <v>1</v>
      </c>
      <c r="E402" t="s">
        <v>1129</v>
      </c>
    </row>
    <row r="403" spans="1:14">
      <c r="A403" s="227" t="str">
        <f t="array" ref="A403">"Pack cost option: " &amp; INDEX([2]Lists!A164:A165,D403)</f>
        <v xml:space="preserve">Pack cost option: </v>
      </c>
    </row>
    <row r="404" spans="1:14">
      <c r="D404" t="s">
        <v>1130</v>
      </c>
    </row>
    <row r="405" spans="1:14"/>
    <row r="406" spans="1:14">
      <c r="A406" s="377"/>
      <c r="B406" s="377"/>
      <c r="D406" t="s">
        <v>377</v>
      </c>
    </row>
    <row r="407" spans="1:14">
      <c r="A407" s="227" t="s">
        <v>1131</v>
      </c>
      <c r="D407" t="s">
        <v>377</v>
      </c>
    </row>
    <row r="408" spans="1:14">
      <c r="A408" s="227" t="s">
        <v>1132</v>
      </c>
      <c r="D408" t="s">
        <v>1134</v>
      </c>
    </row>
    <row r="409" spans="1:14">
      <c r="A409" s="227" t="s">
        <v>1133</v>
      </c>
      <c r="D409" t="s">
        <v>1134</v>
      </c>
    </row>
    <row r="410" spans="1:14">
      <c r="A410" s="227" t="s">
        <v>1135</v>
      </c>
    </row>
    <row r="411" spans="1:14">
      <c r="A411" s="227"/>
    </row>
    <row r="414" spans="1:14" ht="16">
      <c r="A414" s="378" t="s">
        <v>368</v>
      </c>
    </row>
    <row r="415" spans="1:14">
      <c r="A415" s="351" t="s">
        <v>1274</v>
      </c>
      <c r="B415" s="351"/>
      <c r="F415" s="391">
        <v>6063.1337534547665</v>
      </c>
      <c r="G415">
        <v>4938.5749147734268</v>
      </c>
      <c r="H415">
        <v>3850.6432076393794</v>
      </c>
      <c r="I415">
        <v>7128.9120076268819</v>
      </c>
      <c r="J415">
        <v>5223.3660998531777</v>
      </c>
      <c r="K415">
        <v>2927.4993159499904</v>
      </c>
      <c r="L415">
        <v>2577.9810841035651</v>
      </c>
      <c r="M415">
        <v>2938.8126823604498</v>
      </c>
      <c r="N415">
        <v>3756.3809216007503</v>
      </c>
    </row>
    <row r="416" spans="1:14">
      <c r="A416" s="227" t="s">
        <v>1275</v>
      </c>
      <c r="B416" s="351"/>
      <c r="F416" s="391">
        <v>1661.629846687815</v>
      </c>
      <c r="G416">
        <v>1000.1712808790912</v>
      </c>
      <c r="H416">
        <v>692.06780166593649</v>
      </c>
      <c r="I416">
        <v>1457.5374686237628</v>
      </c>
      <c r="J416">
        <v>971.69239188209156</v>
      </c>
      <c r="K416">
        <v>350.99073963401469</v>
      </c>
      <c r="L416">
        <v>279.16338109315757</v>
      </c>
      <c r="M416">
        <v>364.23335199323361</v>
      </c>
      <c r="N416">
        <v>749.62085111390945</v>
      </c>
    </row>
    <row r="417" spans="1:14">
      <c r="A417" s="351" t="str">
        <f>"Launch costs (" &amp; '[2]Cost Input'!$F$85 &amp; "% of direct annual materials + " &amp; '[2]Cost Input'!$F$86 &amp; "% of other annual costs), mil$"</f>
        <v>Launch costs (5% of direct annual materials + 10% of other annual costs), mil$</v>
      </c>
      <c r="B417" s="351"/>
      <c r="F417" s="245">
        <v>246.00159326417005</v>
      </c>
      <c r="G417">
        <v>115.90526399088772</v>
      </c>
      <c r="H417">
        <v>69.746082653535879</v>
      </c>
      <c r="I417">
        <v>195.27218620453894</v>
      </c>
      <c r="J417">
        <v>336.51078599950762</v>
      </c>
      <c r="K417">
        <v>57.974326878656257</v>
      </c>
      <c r="L417">
        <v>118.95561775492926</v>
      </c>
      <c r="M417">
        <v>103.61206858420229</v>
      </c>
      <c r="N417">
        <v>240.23538263056716</v>
      </c>
    </row>
    <row r="418" spans="1:14">
      <c r="A418" s="351" t="str">
        <f>"Working capital (" &amp; '[2]Cost Input'!$F$87 &amp; "% of annual variable costs), mil$"</f>
        <v>Working capital (15% of annual variable costs), mil$</v>
      </c>
      <c r="B418" s="351"/>
      <c r="F418" s="438">
        <v>713.29639081922005</v>
      </c>
      <c r="G418">
        <v>328.02662063709141</v>
      </c>
      <c r="H418">
        <v>194.08907454697965</v>
      </c>
      <c r="I418">
        <v>556.97617507956545</v>
      </c>
      <c r="J418">
        <v>988.67916587162074</v>
      </c>
      <c r="K418">
        <v>162.55446789822724</v>
      </c>
      <c r="L418">
        <v>347.28212704974703</v>
      </c>
      <c r="M418">
        <v>299.77720669075779</v>
      </c>
      <c r="N418">
        <v>706.04125787542057</v>
      </c>
    </row>
    <row r="419" spans="1:14">
      <c r="A419" s="351" t="s">
        <v>369</v>
      </c>
      <c r="B419" s="351"/>
      <c r="F419" s="391">
        <v>8684.0615842259722</v>
      </c>
      <c r="G419">
        <v>6382.6780802804979</v>
      </c>
      <c r="H419">
        <v>4806.5461665058319</v>
      </c>
      <c r="I419">
        <v>9338.697837534748</v>
      </c>
      <c r="J419">
        <v>7520.2484436063978</v>
      </c>
      <c r="K419">
        <v>3499.0188503608883</v>
      </c>
      <c r="L419">
        <v>3323.382210001399</v>
      </c>
      <c r="M419">
        <v>3706.4353096286436</v>
      </c>
      <c r="N419">
        <v>5452.2784132206471</v>
      </c>
    </row>
    <row r="420" spans="1:14">
      <c r="A420" s="351"/>
      <c r="B420" s="351"/>
      <c r="F420" s="391"/>
    </row>
    <row r="421" spans="1:14" ht="16">
      <c r="A421" s="379" t="s">
        <v>1276</v>
      </c>
      <c r="B421" s="380"/>
      <c r="F421" s="391"/>
    </row>
    <row r="422" spans="1:14">
      <c r="A422" s="381" t="s">
        <v>370</v>
      </c>
      <c r="B422" s="382"/>
      <c r="F422" s="391"/>
    </row>
    <row r="423" spans="1:14">
      <c r="A423" s="227" t="s">
        <v>1277</v>
      </c>
      <c r="F423" s="439">
        <v>4.6652303648098217</v>
      </c>
      <c r="G423">
        <v>5.7099527648429547</v>
      </c>
      <c r="H423">
        <v>4.9705528092597708</v>
      </c>
      <c r="I423">
        <v>8.3592243042974683</v>
      </c>
      <c r="J423">
        <v>22.639204064203941</v>
      </c>
      <c r="K423">
        <v>13.005243454665445</v>
      </c>
      <c r="L423">
        <v>28.425707140968544</v>
      </c>
      <c r="M423">
        <v>17.434674373726374</v>
      </c>
      <c r="N423">
        <v>11.431487563808524</v>
      </c>
    </row>
    <row r="424" spans="1:14">
      <c r="A424" s="227" t="str">
        <f>"Direct labor at $" &amp; '[2]Cost Input'!$F$91 &amp; "/hour, $/cell"</f>
        <v>Direct labor at $25/hour, $/cell</v>
      </c>
      <c r="B424" s="351"/>
      <c r="F424" s="414">
        <v>1.9485786599371863E-2</v>
      </c>
      <c r="G424">
        <v>4.4618910977948546E-2</v>
      </c>
      <c r="H424">
        <v>5.0776628734343077E-2</v>
      </c>
      <c r="I424">
        <v>5.9550279340603376E-2</v>
      </c>
      <c r="J424">
        <v>6.2248207844937412E-2</v>
      </c>
      <c r="K424">
        <v>0.12654554104089089</v>
      </c>
      <c r="L424">
        <v>8.6101364303168185E-2</v>
      </c>
      <c r="M424">
        <v>7.3162999774751269E-2</v>
      </c>
      <c r="N424">
        <v>2.6824876875564833E-2</v>
      </c>
    </row>
    <row r="425" spans="1:14">
      <c r="A425" s="351" t="s">
        <v>1278</v>
      </c>
      <c r="B425" s="351"/>
      <c r="F425" s="440">
        <v>0.14791522270476246</v>
      </c>
      <c r="G425">
        <v>0.3199953730141224</v>
      </c>
      <c r="H425">
        <v>0.3700337438664329</v>
      </c>
      <c r="I425">
        <v>0.39692935874188073</v>
      </c>
      <c r="J425">
        <v>0.42554576003581512</v>
      </c>
      <c r="K425">
        <v>0.85139103854977527</v>
      </c>
      <c r="L425">
        <v>0.72069377164302084</v>
      </c>
      <c r="M425">
        <v>0.59465095323545614</v>
      </c>
      <c r="N425">
        <v>0.2156501564624137</v>
      </c>
    </row>
    <row r="426" spans="1:14">
      <c r="A426" s="351" t="s">
        <v>1279</v>
      </c>
      <c r="B426" s="351"/>
      <c r="F426" s="441">
        <v>4.8326313741139559</v>
      </c>
      <c r="G426">
        <v>6.0745670488350259</v>
      </c>
      <c r="H426">
        <v>5.3913631818605463</v>
      </c>
      <c r="I426">
        <v>8.8157039423799528</v>
      </c>
      <c r="J426">
        <v>23.126998032084693</v>
      </c>
      <c r="K426">
        <v>13.98318003425611</v>
      </c>
      <c r="L426">
        <v>29.232502276914733</v>
      </c>
      <c r="M426">
        <v>18.10248832673658</v>
      </c>
      <c r="N426">
        <v>11.673962597146502</v>
      </c>
    </row>
    <row r="427" spans="1:14">
      <c r="A427" s="351"/>
      <c r="B427" s="351"/>
      <c r="F427" s="441"/>
    </row>
    <row r="428" spans="1:14">
      <c r="A428" s="383" t="s">
        <v>372</v>
      </c>
      <c r="B428" s="384"/>
      <c r="F428" s="442"/>
    </row>
    <row r="429" spans="1:14">
      <c r="A429" s="227" t="s">
        <v>1280</v>
      </c>
      <c r="B429" s="385"/>
      <c r="F429" s="443">
        <v>0.70060454032506847</v>
      </c>
      <c r="G429">
        <v>1.5107390431147147</v>
      </c>
      <c r="H429">
        <v>1.7486154618634782</v>
      </c>
      <c r="I429">
        <v>1.8655462350281966</v>
      </c>
      <c r="J429">
        <v>2.0032323844892006</v>
      </c>
      <c r="K429">
        <v>4.0038641106670942</v>
      </c>
      <c r="L429">
        <v>3.4312661296087676</v>
      </c>
      <c r="M429">
        <v>2.8269287666277778</v>
      </c>
      <c r="N429">
        <v>1.0246010285609388</v>
      </c>
    </row>
    <row r="430" spans="1:14">
      <c r="A430" s="227" t="s">
        <v>1281</v>
      </c>
      <c r="B430" s="385"/>
      <c r="F430" s="443">
        <v>0.21700138740730068</v>
      </c>
      <c r="G430">
        <v>0.46883833177669643</v>
      </c>
      <c r="H430">
        <v>0.54235645861606352</v>
      </c>
      <c r="I430">
        <v>0.58050646827767016</v>
      </c>
      <c r="J430">
        <v>0.62275658809248824</v>
      </c>
      <c r="K430">
        <v>1.24545017256444</v>
      </c>
      <c r="L430">
        <v>1.0595153163887392</v>
      </c>
      <c r="M430">
        <v>0.8736856799094963</v>
      </c>
      <c r="N430">
        <v>0.31676901547472935</v>
      </c>
    </row>
    <row r="431" spans="1:14">
      <c r="A431" s="227" t="s">
        <v>1282</v>
      </c>
      <c r="B431" s="385"/>
      <c r="F431" s="443">
        <v>0.28024181613002741</v>
      </c>
      <c r="G431">
        <v>0.60429561724588587</v>
      </c>
      <c r="H431">
        <v>0.69944618474539122</v>
      </c>
      <c r="I431">
        <v>0.7462184940112786</v>
      </c>
      <c r="J431">
        <v>0.80129295379568022</v>
      </c>
      <c r="K431">
        <v>1.6015456442668379</v>
      </c>
      <c r="L431">
        <v>1.3725064518435071</v>
      </c>
      <c r="M431">
        <v>1.130771506651111</v>
      </c>
      <c r="N431">
        <v>0.40984041142437555</v>
      </c>
    </row>
    <row r="432" spans="1:14">
      <c r="A432" s="227" t="s">
        <v>1283</v>
      </c>
      <c r="B432" s="385"/>
      <c r="F432" s="444">
        <v>1.1978477438623965</v>
      </c>
      <c r="G432">
        <v>2.5838729921372972</v>
      </c>
      <c r="H432">
        <v>2.9904181052249328</v>
      </c>
      <c r="I432">
        <v>3.1922711973171456</v>
      </c>
      <c r="J432">
        <v>3.4272819263773693</v>
      </c>
      <c r="K432">
        <v>6.8508599274983721</v>
      </c>
      <c r="L432">
        <v>5.8632878978410137</v>
      </c>
      <c r="M432">
        <v>4.8313859531883852</v>
      </c>
      <c r="N432">
        <v>1.7512104554600438</v>
      </c>
    </row>
    <row r="433" spans="1:14">
      <c r="A433" s="227"/>
      <c r="B433" s="385"/>
      <c r="F433" s="385"/>
    </row>
    <row r="434" spans="1:14">
      <c r="A434" s="383" t="s">
        <v>1284</v>
      </c>
      <c r="B434" s="385"/>
      <c r="F434" s="385"/>
    </row>
    <row r="435" spans="1:14">
      <c r="A435" s="227" t="s">
        <v>1285</v>
      </c>
      <c r="B435" s="385"/>
      <c r="F435" s="443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</row>
    <row r="436" spans="1:14">
      <c r="A436" s="227" t="s">
        <v>1286</v>
      </c>
      <c r="B436" s="385"/>
      <c r="F436" s="445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</row>
    <row r="437" spans="1:14">
      <c r="A437" s="227"/>
      <c r="B437" s="385"/>
      <c r="F437" s="446"/>
    </row>
    <row r="438" spans="1:14">
      <c r="A438" s="383" t="s">
        <v>1287</v>
      </c>
      <c r="B438" s="385"/>
      <c r="F438" s="446"/>
    </row>
    <row r="439" spans="1:14">
      <c r="A439" s="227" t="s">
        <v>1288</v>
      </c>
      <c r="B439" s="385"/>
      <c r="F439" s="447">
        <v>6.0304791179763519</v>
      </c>
      <c r="G439">
        <v>8.658440040972323</v>
      </c>
      <c r="H439">
        <v>8.3817812870854791</v>
      </c>
      <c r="I439">
        <v>12.007975139697098</v>
      </c>
      <c r="J439">
        <v>26.554279958462061</v>
      </c>
      <c r="K439">
        <v>20.834039961754481</v>
      </c>
      <c r="L439">
        <v>35.095790174755749</v>
      </c>
      <c r="M439">
        <v>22.933874279924964</v>
      </c>
      <c r="N439">
        <v>13.425173052606546</v>
      </c>
    </row>
    <row r="440" spans="1:14">
      <c r="A440" s="227" t="s">
        <v>1289</v>
      </c>
      <c r="B440" s="385"/>
      <c r="F440" s="385">
        <v>59339.914520887301</v>
      </c>
      <c r="G440">
        <v>31170.384147500365</v>
      </c>
      <c r="H440">
        <v>20116.27508900515</v>
      </c>
      <c r="I440">
        <v>50577.591288404175</v>
      </c>
      <c r="J440">
        <v>75679.69788161687</v>
      </c>
      <c r="K440">
        <v>16146.380970359724</v>
      </c>
      <c r="L440">
        <v>27795.865818406553</v>
      </c>
      <c r="M440">
        <v>25318.997205037162</v>
      </c>
      <c r="N440">
        <v>54130.297748109595</v>
      </c>
    </row>
    <row r="441" spans="1:14">
      <c r="A441" s="227"/>
      <c r="B441" s="385"/>
      <c r="F441" s="385"/>
    </row>
    <row r="444" spans="1:14" ht="16">
      <c r="A444" s="378" t="s">
        <v>1290</v>
      </c>
    </row>
    <row r="445" spans="1:14">
      <c r="A445" s="351" t="s">
        <v>1274</v>
      </c>
      <c r="B445" s="351"/>
      <c r="F445" s="391">
        <v>6157.6725876306191</v>
      </c>
      <c r="G445">
        <v>5055.1814644968827</v>
      </c>
      <c r="H445">
        <v>3994.5054316409905</v>
      </c>
      <c r="I445">
        <v>7272.590827691497</v>
      </c>
      <c r="J445">
        <v>5362.6738406505337</v>
      </c>
      <c r="K445">
        <v>3142.3335486091373</v>
      </c>
      <c r="L445">
        <v>2755.5719729633952</v>
      </c>
      <c r="M445">
        <v>3095.2445396749508</v>
      </c>
      <c r="N445">
        <v>3884.9599901666979</v>
      </c>
    </row>
    <row r="446" spans="1:14">
      <c r="A446" s="227" t="s">
        <v>1275</v>
      </c>
      <c r="B446" s="351"/>
      <c r="F446" s="391">
        <v>1682.9618879150644</v>
      </c>
      <c r="G446">
        <v>1025.27683635273</v>
      </c>
      <c r="H446">
        <v>720.90425432952043</v>
      </c>
      <c r="I446">
        <v>1500.9212646858437</v>
      </c>
      <c r="J446">
        <v>1005.1326964159778</v>
      </c>
      <c r="K446">
        <v>384.38974125204265</v>
      </c>
      <c r="L446">
        <v>300.52685718120324</v>
      </c>
      <c r="M446">
        <v>385.59002658787762</v>
      </c>
      <c r="N446">
        <v>774.74682957288451</v>
      </c>
    </row>
    <row r="447" spans="1:14">
      <c r="A447" s="351" t="str">
        <f>"Launch costs (" &amp; '[2]Cost Input'!$F$85 &amp; "% of direct annual materials + " &amp; '[2]Cost Input'!$F$86 &amp; "% of other annual costs), mil$"</f>
        <v>Launch costs (5% of direct annual materials + 10% of other annual costs), mil$</v>
      </c>
      <c r="B447" s="351"/>
      <c r="F447" s="242">
        <v>285.08250332696639</v>
      </c>
      <c r="G447">
        <v>134.67804423764792</v>
      </c>
      <c r="H447">
        <v>85.762859094083609</v>
      </c>
      <c r="I447">
        <v>226.40183442421039</v>
      </c>
      <c r="J447">
        <v>357.74730890561085</v>
      </c>
      <c r="K447">
        <v>70.535280898427303</v>
      </c>
      <c r="L447">
        <v>125.72592383295505</v>
      </c>
      <c r="M447">
        <v>111.61011474160281</v>
      </c>
      <c r="N447">
        <v>257.80685168116884</v>
      </c>
    </row>
    <row r="448" spans="1:14">
      <c r="A448" s="351" t="str">
        <f>"Working capital (" &amp; '[2]Cost Input'!$F$87 &amp; "% of annual variable costs), mil$"</f>
        <v>Working capital (15% of annual variable costs), mil$</v>
      </c>
      <c r="B448" s="351"/>
      <c r="F448" s="391">
        <v>830.17424513248557</v>
      </c>
      <c r="G448">
        <v>383.90185089867992</v>
      </c>
      <c r="H448">
        <v>241.6030169015757</v>
      </c>
      <c r="I448">
        <v>649.7867432420361</v>
      </c>
      <c r="J448">
        <v>1051.8522051525945</v>
      </c>
      <c r="K448">
        <v>199.47435059574687</v>
      </c>
      <c r="L448">
        <v>366.97891469682202</v>
      </c>
      <c r="M448">
        <v>323.22071298931735</v>
      </c>
      <c r="N448">
        <v>758.27657296064422</v>
      </c>
    </row>
    <row r="449" spans="1:14">
      <c r="A449" s="351" t="s">
        <v>369</v>
      </c>
      <c r="B449" s="351"/>
      <c r="F449" s="391">
        <v>8955.8912240051359</v>
      </c>
      <c r="G449">
        <v>6599.0381959859405</v>
      </c>
      <c r="H449">
        <v>5042.7755619661712</v>
      </c>
      <c r="I449">
        <v>9649.7006700435868</v>
      </c>
      <c r="J449">
        <v>7777.4060511247171</v>
      </c>
      <c r="K449">
        <v>3796.7329213553539</v>
      </c>
      <c r="L449">
        <v>3548.8036686743758</v>
      </c>
      <c r="M449">
        <v>3915.6653939937487</v>
      </c>
      <c r="N449">
        <v>5675.7902443813955</v>
      </c>
    </row>
    <row r="450" spans="1:14">
      <c r="A450" s="351"/>
      <c r="B450" s="351"/>
      <c r="F450" s="391"/>
    </row>
    <row r="451" spans="1:14" ht="16">
      <c r="A451" s="379" t="s">
        <v>1291</v>
      </c>
      <c r="B451" s="380"/>
      <c r="F451" s="391"/>
    </row>
    <row r="452" spans="1:14">
      <c r="A452" s="381" t="s">
        <v>370</v>
      </c>
      <c r="B452" s="382"/>
      <c r="F452" s="391"/>
    </row>
    <row r="453" spans="1:14">
      <c r="A453" s="227" t="s">
        <v>1292</v>
      </c>
      <c r="F453" s="435">
        <v>4472.7832238004003</v>
      </c>
      <c r="G453">
        <v>1515.7065378517336</v>
      </c>
      <c r="H453">
        <v>753.05818840300185</v>
      </c>
      <c r="I453">
        <v>1148.8295985397056</v>
      </c>
      <c r="J453">
        <v>2747.8999562356175</v>
      </c>
      <c r="K453">
        <v>499.58095598989814</v>
      </c>
      <c r="L453">
        <v>1982.1114327487708</v>
      </c>
      <c r="M453">
        <v>1731.1726764101459</v>
      </c>
      <c r="N453">
        <v>3096.3857953240927</v>
      </c>
    </row>
    <row r="454" spans="1:14">
      <c r="A454" s="227" t="str">
        <f>"Direct labor at $" &amp; '[2]Cost Input'!$F$91 &amp; "/hour, $/module"</f>
        <v>Direct labor at $25/hour, $/module</v>
      </c>
      <c r="B454" s="351"/>
      <c r="F454" s="245">
        <v>16.173826403369375</v>
      </c>
      <c r="G454">
        <v>10.20482787572649</v>
      </c>
      <c r="H454">
        <v>6.2397326291854256</v>
      </c>
      <c r="I454">
        <v>7.0761979503859802</v>
      </c>
      <c r="J454">
        <v>7.2266685669760378</v>
      </c>
      <c r="K454">
        <v>4.0531558891991777</v>
      </c>
      <c r="L454">
        <v>5.878375386433329</v>
      </c>
      <c r="M454">
        <v>6.9266372086682404</v>
      </c>
      <c r="N454">
        <v>6.925541273817621</v>
      </c>
    </row>
    <row r="455" spans="1:14">
      <c r="A455" s="351" t="s">
        <v>1293</v>
      </c>
      <c r="B455" s="351"/>
      <c r="F455" s="448">
        <v>123.12208942115028</v>
      </c>
      <c r="G455">
        <v>73.679679683706198</v>
      </c>
      <c r="H455">
        <v>46.045468639731688</v>
      </c>
      <c r="I455">
        <v>47.402987291456725</v>
      </c>
      <c r="J455">
        <v>49.81258893765861</v>
      </c>
      <c r="K455">
        <v>28.297489709560946</v>
      </c>
      <c r="L455">
        <v>50.781940180473278</v>
      </c>
      <c r="M455">
        <v>57.571314099615464</v>
      </c>
      <c r="N455">
        <v>56.174384071441303</v>
      </c>
    </row>
    <row r="456" spans="1:14">
      <c r="A456" s="351" t="s">
        <v>1294</v>
      </c>
      <c r="B456" s="351"/>
      <c r="F456" s="441">
        <v>4612.0791396249197</v>
      </c>
      <c r="G456">
        <v>1599.5910454111663</v>
      </c>
      <c r="H456">
        <v>805.343389671919</v>
      </c>
      <c r="I456">
        <v>1203.3087837815483</v>
      </c>
      <c r="J456">
        <v>2804.9392137402524</v>
      </c>
      <c r="K456">
        <v>531.93160158865828</v>
      </c>
      <c r="L456">
        <v>2038.7717483156775</v>
      </c>
      <c r="M456">
        <v>1795.6706277184296</v>
      </c>
      <c r="N456">
        <v>3159.4857206693514</v>
      </c>
    </row>
    <row r="457" spans="1:14">
      <c r="A457" s="351"/>
      <c r="B457" s="351"/>
      <c r="F457" s="441"/>
    </row>
    <row r="458" spans="1:14">
      <c r="A458" s="383" t="s">
        <v>372</v>
      </c>
      <c r="B458" s="384"/>
      <c r="F458" s="442"/>
    </row>
    <row r="459" spans="1:14">
      <c r="A459" s="227" t="s">
        <v>1295</v>
      </c>
      <c r="B459" s="385"/>
      <c r="F459" s="449">
        <v>583.26279429901263</v>
      </c>
      <c r="G459">
        <v>347.98874266707799</v>
      </c>
      <c r="H459">
        <v>217.74787794028757</v>
      </c>
      <c r="I459">
        <v>222.86254055651165</v>
      </c>
      <c r="J459">
        <v>234.60960755434095</v>
      </c>
      <c r="K459">
        <v>133.38113676940637</v>
      </c>
      <c r="L459">
        <v>242.15295012949971</v>
      </c>
      <c r="M459">
        <v>274.00329608074082</v>
      </c>
      <c r="N459">
        <v>267.02083780957128</v>
      </c>
    </row>
    <row r="460" spans="1:14">
      <c r="A460" s="227" t="s">
        <v>1296</v>
      </c>
      <c r="B460" s="385"/>
      <c r="F460" s="449">
        <v>180.63967753088306</v>
      </c>
      <c r="G460">
        <v>107.96831255662767</v>
      </c>
      <c r="H460">
        <v>67.508269802301172</v>
      </c>
      <c r="I460">
        <v>69.335431449588583</v>
      </c>
      <c r="J460">
        <v>72.912216264743904</v>
      </c>
      <c r="K460">
        <v>41.432945592041619</v>
      </c>
      <c r="L460">
        <v>74.703316424101587</v>
      </c>
      <c r="M460">
        <v>84.625311847256128</v>
      </c>
      <c r="N460">
        <v>82.530190788707557</v>
      </c>
    </row>
    <row r="461" spans="1:14">
      <c r="A461" s="227" t="s">
        <v>1297</v>
      </c>
      <c r="B461" s="385"/>
      <c r="F461" s="449">
        <v>233.30511771960505</v>
      </c>
      <c r="G461">
        <v>139.19549706683119</v>
      </c>
      <c r="H461">
        <v>87.099151176115029</v>
      </c>
      <c r="I461">
        <v>89.145016222604667</v>
      </c>
      <c r="J461">
        <v>93.843843021736376</v>
      </c>
      <c r="K461">
        <v>53.352454707762547</v>
      </c>
      <c r="L461">
        <v>96.861180051799892</v>
      </c>
      <c r="M461">
        <v>109.60131843229632</v>
      </c>
      <c r="N461">
        <v>106.80833512382851</v>
      </c>
    </row>
    <row r="462" spans="1:14">
      <c r="A462" s="227" t="s">
        <v>1298</v>
      </c>
      <c r="B462" s="385"/>
      <c r="F462" s="444">
        <v>997.20758954950077</v>
      </c>
      <c r="G462">
        <v>595.15255229053685</v>
      </c>
      <c r="H462">
        <v>372.35529891870374</v>
      </c>
      <c r="I462">
        <v>381.34298822870488</v>
      </c>
      <c r="J462">
        <v>401.36566684082123</v>
      </c>
      <c r="K462">
        <v>228.16653706921053</v>
      </c>
      <c r="L462">
        <v>413.71744660540116</v>
      </c>
      <c r="M462">
        <v>468.22992636029329</v>
      </c>
      <c r="N462">
        <v>456.35936372210733</v>
      </c>
    </row>
    <row r="463" spans="1:14">
      <c r="A463" s="227"/>
      <c r="B463" s="385"/>
      <c r="F463" s="385"/>
    </row>
    <row r="464" spans="1:14">
      <c r="A464" s="383" t="s">
        <v>1284</v>
      </c>
      <c r="B464" s="385"/>
      <c r="F464" s="385"/>
    </row>
    <row r="465" spans="1:14">
      <c r="A465" s="227" t="s">
        <v>1299</v>
      </c>
      <c r="B465" s="385"/>
      <c r="F465" s="446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</row>
    <row r="466" spans="1:14">
      <c r="A466" s="227" t="s">
        <v>1300</v>
      </c>
      <c r="B466" s="385"/>
      <c r="F466" s="450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</row>
    <row r="467" spans="1:14">
      <c r="A467" s="227"/>
      <c r="B467" s="385"/>
      <c r="F467" s="450"/>
    </row>
    <row r="468" spans="1:14">
      <c r="A468" s="383" t="s">
        <v>1287</v>
      </c>
      <c r="B468" s="385"/>
      <c r="F468" s="446"/>
    </row>
    <row r="469" spans="1:14">
      <c r="A469" s="227" t="s">
        <v>1301</v>
      </c>
      <c r="B469" s="385"/>
      <c r="F469" s="385">
        <v>5609.2867291744205</v>
      </c>
      <c r="G469">
        <v>2194.743597701703</v>
      </c>
      <c r="H469">
        <v>1177.6986885906226</v>
      </c>
      <c r="I469">
        <v>1584.6517720102531</v>
      </c>
      <c r="J469">
        <v>3206.3048805810736</v>
      </c>
      <c r="K469">
        <v>760.09813865786884</v>
      </c>
      <c r="L469">
        <v>2452.4891949210787</v>
      </c>
      <c r="M469">
        <v>2263.900554078723</v>
      </c>
      <c r="N469">
        <v>3615.8450843914588</v>
      </c>
    </row>
    <row r="470" spans="1:14">
      <c r="A470" s="227" t="s">
        <v>1302</v>
      </c>
      <c r="B470" s="385"/>
      <c r="F470" s="385">
        <v>67311.440750093054</v>
      </c>
      <c r="G470">
        <v>35115.897563227249</v>
      </c>
      <c r="H470">
        <v>23553.973771812452</v>
      </c>
      <c r="I470">
        <v>57047.463792369112</v>
      </c>
      <c r="J470">
        <v>80157.622014526845</v>
      </c>
      <c r="K470">
        <v>19002.453466446721</v>
      </c>
      <c r="L470">
        <v>29429.870339052944</v>
      </c>
      <c r="M470">
        <v>27166.806648944676</v>
      </c>
      <c r="N470">
        <v>57853.521350263341</v>
      </c>
    </row>
    <row r="474" spans="1:14" ht="16">
      <c r="A474" s="378" t="s">
        <v>368</v>
      </c>
    </row>
    <row r="475" spans="1:14">
      <c r="A475" s="351" t="s">
        <v>1274</v>
      </c>
      <c r="B475" s="351"/>
      <c r="F475" s="391">
        <v>6267.4445676489131</v>
      </c>
      <c r="G475">
        <v>5183.4487297049973</v>
      </c>
      <c r="H475">
        <v>4141.9574917913969</v>
      </c>
      <c r="I475">
        <v>7393.5655061604821</v>
      </c>
      <c r="J475">
        <v>5495.1864335102455</v>
      </c>
      <c r="K475">
        <v>3339.9094035297094</v>
      </c>
      <c r="L475">
        <v>2977.471850007194</v>
      </c>
      <c r="M475">
        <v>3288.5814931275117</v>
      </c>
      <c r="N475">
        <v>4026.9509570420232</v>
      </c>
    </row>
    <row r="476" spans="1:14">
      <c r="A476" s="227" t="s">
        <v>1275</v>
      </c>
      <c r="B476" s="351"/>
      <c r="F476" s="391">
        <v>1711.7944656133511</v>
      </c>
      <c r="G476">
        <v>1054.1089643276403</v>
      </c>
      <c r="H476">
        <v>749.7407069931046</v>
      </c>
      <c r="I476">
        <v>1529.7153548647177</v>
      </c>
      <c r="J476">
        <v>1033.9664690040156</v>
      </c>
      <c r="K476">
        <v>413.18221092422277</v>
      </c>
      <c r="L476">
        <v>329.39086974028584</v>
      </c>
      <c r="M476">
        <v>414.44723765355855</v>
      </c>
      <c r="N476">
        <v>803.59938053313124</v>
      </c>
    </row>
    <row r="477" spans="1:14">
      <c r="A477" s="351" t="str">
        <f>"Launch costs (" &amp; '[2]Cost Input'!$F$85 &amp; "% of direct annual materials + " &amp; '[2]Cost Input'!$F$86 &amp; "% of other annual costs), mil$"</f>
        <v>Launch costs (5% of direct annual materials + 10% of other annual costs), mil$</v>
      </c>
      <c r="B477" s="351"/>
      <c r="F477" s="242">
        <v>331.75336537374642</v>
      </c>
      <c r="G477">
        <v>156.45197638401871</v>
      </c>
      <c r="H477">
        <v>102.14491432228166</v>
      </c>
      <c r="I477">
        <v>253.57130226636841</v>
      </c>
      <c r="J477">
        <v>377.00240688728638</v>
      </c>
      <c r="K477">
        <v>80.270826038867952</v>
      </c>
      <c r="L477">
        <v>133.44565054273681</v>
      </c>
      <c r="M477">
        <v>120.87657218551304</v>
      </c>
      <c r="N477">
        <v>278.9384780949535</v>
      </c>
    </row>
    <row r="478" spans="1:14">
      <c r="A478" s="351" t="str">
        <f>"Working capital (" &amp; '[2]Cost Input'!$F$87 &amp; "% of annual variable costs), mil$"</f>
        <v>Working capital (15% of annual variable costs), mil$</v>
      </c>
      <c r="B478" s="351"/>
      <c r="F478" s="391">
        <v>969.7527271881487</v>
      </c>
      <c r="G478">
        <v>448.73037750799284</v>
      </c>
      <c r="H478">
        <v>290.1952623587178</v>
      </c>
      <c r="I478">
        <v>730.81161160146712</v>
      </c>
      <c r="J478">
        <v>1109.1051098111234</v>
      </c>
      <c r="K478">
        <v>227.9735364955163</v>
      </c>
      <c r="L478">
        <v>389.36750850258682</v>
      </c>
      <c r="M478">
        <v>350.33520908696568</v>
      </c>
      <c r="N478">
        <v>821.13694723583524</v>
      </c>
    </row>
    <row r="479" spans="1:14">
      <c r="A479" s="351" t="s">
        <v>369</v>
      </c>
      <c r="B479" s="351"/>
      <c r="F479" s="391">
        <v>9280.7451258241599</v>
      </c>
      <c r="G479">
        <v>6842.7400479246489</v>
      </c>
      <c r="H479">
        <v>5284.0383754655004</v>
      </c>
      <c r="I479">
        <v>9907.6637748930334</v>
      </c>
      <c r="J479">
        <v>8015.260419212671</v>
      </c>
      <c r="K479">
        <v>4061.3359769883168</v>
      </c>
      <c r="L479">
        <v>3829.6758787928038</v>
      </c>
      <c r="M479">
        <v>4174.2405120535486</v>
      </c>
      <c r="N479">
        <v>5930.6257629059428</v>
      </c>
    </row>
    <row r="480" spans="1:14">
      <c r="A480" s="351"/>
      <c r="B480" s="351"/>
      <c r="F480" s="391"/>
    </row>
    <row r="481" spans="1:14" ht="16">
      <c r="A481" s="379" t="s">
        <v>1303</v>
      </c>
      <c r="B481" s="380"/>
      <c r="F481" s="391"/>
    </row>
    <row r="482" spans="1:14">
      <c r="A482" s="381" t="s">
        <v>370</v>
      </c>
      <c r="B482" s="382"/>
      <c r="F482" s="391"/>
    </row>
    <row r="483" spans="1:14">
      <c r="A483" s="227" t="s">
        <v>1304</v>
      </c>
      <c r="F483" s="435">
        <v>62949.690550337225</v>
      </c>
      <c r="G483">
        <v>28540.321724261958</v>
      </c>
      <c r="H483">
        <v>18263.718783372708</v>
      </c>
      <c r="I483">
        <v>46727.287760255269</v>
      </c>
      <c r="J483">
        <v>72480.199930692528</v>
      </c>
      <c r="K483">
        <v>14342.306324961917</v>
      </c>
      <c r="L483">
        <v>25226.537691797537</v>
      </c>
      <c r="M483">
        <v>22536.046774492814</v>
      </c>
      <c r="N483">
        <v>53697.230679120679</v>
      </c>
    </row>
    <row r="484" spans="1:14">
      <c r="A484" s="227" t="str">
        <f>"Direct labor at $" &amp; '[2]Cost Input'!$F$91 &amp; "/hour, $/pack"</f>
        <v>Direct labor at $25/hour, $/pack</v>
      </c>
      <c r="B484" s="351"/>
      <c r="F484" s="242">
        <v>197.01635865350252</v>
      </c>
      <c r="G484">
        <v>166.38295278366368</v>
      </c>
      <c r="H484">
        <v>128.04747963158675</v>
      </c>
      <c r="I484">
        <v>258.42979270759906</v>
      </c>
      <c r="J484">
        <v>184.07627841422718</v>
      </c>
      <c r="K484">
        <v>104.73524257676543</v>
      </c>
      <c r="L484">
        <v>73.473393856747336</v>
      </c>
      <c r="M484">
        <v>86.052006367169028</v>
      </c>
      <c r="N484">
        <v>113.91595748091723</v>
      </c>
    </row>
    <row r="485" spans="1:14">
      <c r="A485" s="351" t="s">
        <v>1305</v>
      </c>
      <c r="B485" s="351"/>
      <c r="F485" s="441">
        <v>1503.4749035525192</v>
      </c>
      <c r="G485">
        <v>1208.6538234872289</v>
      </c>
      <c r="H485">
        <v>954.58456091022458</v>
      </c>
      <c r="I485">
        <v>1735.0565538016078</v>
      </c>
      <c r="J485">
        <v>1276.0644449681415</v>
      </c>
      <c r="K485">
        <v>751.1941988290705</v>
      </c>
      <c r="L485">
        <v>657.8228145181663</v>
      </c>
      <c r="M485">
        <v>733.58182493772597</v>
      </c>
      <c r="N485">
        <v>931.31651245408489</v>
      </c>
    </row>
    <row r="486" spans="1:14">
      <c r="A486" s="351" t="s">
        <v>371</v>
      </c>
      <c r="B486" s="351"/>
      <c r="F486" s="441">
        <v>64650.181812543247</v>
      </c>
      <c r="G486">
        <v>29915.35850053285</v>
      </c>
      <c r="H486">
        <v>19346.350823914519</v>
      </c>
      <c r="I486">
        <v>48720.774106764475</v>
      </c>
      <c r="J486">
        <v>73940.340654074898</v>
      </c>
      <c r="K486">
        <v>15198.235766367754</v>
      </c>
      <c r="L486">
        <v>25957.833900172453</v>
      </c>
      <c r="M486">
        <v>23355.680605797708</v>
      </c>
      <c r="N486">
        <v>54742.463149055679</v>
      </c>
    </row>
    <row r="487" spans="1:14">
      <c r="A487" s="351"/>
      <c r="B487" s="351"/>
      <c r="F487" s="441"/>
    </row>
    <row r="488" spans="1:14">
      <c r="A488" s="383" t="s">
        <v>372</v>
      </c>
      <c r="B488" s="384"/>
      <c r="F488" s="442"/>
    </row>
    <row r="489" spans="1:14">
      <c r="A489" s="227" t="s">
        <v>375</v>
      </c>
      <c r="B489" s="385"/>
      <c r="F489" s="443">
        <v>7123.3418004555897</v>
      </c>
      <c r="G489">
        <v>5710.5032118688177</v>
      </c>
      <c r="H489">
        <v>4516.8278452879495</v>
      </c>
      <c r="I489">
        <v>8158.4231835928413</v>
      </c>
      <c r="J489">
        <v>6012.1696680122532</v>
      </c>
      <c r="K489">
        <v>3546.5005089918209</v>
      </c>
      <c r="L489">
        <v>3142.1672848773364</v>
      </c>
      <c r="M489">
        <v>3495.8051119542915</v>
      </c>
      <c r="N489">
        <v>4428.7506473085896</v>
      </c>
    </row>
    <row r="490" spans="1:14">
      <c r="A490" s="227" t="s">
        <v>373</v>
      </c>
      <c r="B490" s="385"/>
      <c r="F490" s="446">
        <v>2205.9582656654029</v>
      </c>
      <c r="G490">
        <v>1771.3849970349277</v>
      </c>
      <c r="H490">
        <v>1399.8649714574403</v>
      </c>
      <c r="I490">
        <v>2537.977382525512</v>
      </c>
      <c r="J490">
        <v>1868.0775978486554</v>
      </c>
      <c r="K490">
        <v>1100.6074875994143</v>
      </c>
      <c r="L490">
        <v>968.36587331306248</v>
      </c>
      <c r="M490">
        <v>1078.8597358147967</v>
      </c>
      <c r="N490">
        <v>1368.4957793108979</v>
      </c>
    </row>
    <row r="491" spans="1:14">
      <c r="A491" s="227" t="s">
        <v>374</v>
      </c>
      <c r="B491" s="385"/>
      <c r="F491" s="446">
        <v>2849.3367201822357</v>
      </c>
      <c r="G491">
        <v>2284.2012847475271</v>
      </c>
      <c r="H491">
        <v>1806.7311381151799</v>
      </c>
      <c r="I491">
        <v>3263.3692734371366</v>
      </c>
      <c r="J491">
        <v>2404.8678672049014</v>
      </c>
      <c r="K491">
        <v>1418.6002035967283</v>
      </c>
      <c r="L491">
        <v>1256.8669139509345</v>
      </c>
      <c r="M491">
        <v>1398.3220447817166</v>
      </c>
      <c r="N491">
        <v>1771.5002589234357</v>
      </c>
    </row>
    <row r="492" spans="1:14">
      <c r="A492" s="227" t="s">
        <v>376</v>
      </c>
      <c r="B492" s="385"/>
      <c r="F492" s="385">
        <v>12178.636786303228</v>
      </c>
      <c r="G492">
        <v>9766.0894936512723</v>
      </c>
      <c r="H492">
        <v>7723.4239548605692</v>
      </c>
      <c r="I492">
        <v>13959.769839555491</v>
      </c>
      <c r="J492">
        <v>10285.11513306581</v>
      </c>
      <c r="K492">
        <v>6065.7082001879635</v>
      </c>
      <c r="L492">
        <v>5367.400072141334</v>
      </c>
      <c r="M492">
        <v>5972.9868925508054</v>
      </c>
      <c r="N492">
        <v>7568.7466855429229</v>
      </c>
    </row>
    <row r="493" spans="1:14">
      <c r="A493" s="227"/>
      <c r="B493" s="385"/>
      <c r="F493" s="385"/>
    </row>
    <row r="494" spans="1:14">
      <c r="A494" s="383" t="s">
        <v>1284</v>
      </c>
      <c r="B494" s="385"/>
      <c r="F494" s="385"/>
    </row>
    <row r="495" spans="1:14">
      <c r="A495" s="227" t="s">
        <v>1306</v>
      </c>
      <c r="B495" s="385"/>
      <c r="F495" s="446">
        <v>4640.37256291208</v>
      </c>
      <c r="G495">
        <v>3421.3700239623245</v>
      </c>
      <c r="H495">
        <v>2642.0191877327507</v>
      </c>
      <c r="I495">
        <v>4953.8318874465167</v>
      </c>
      <c r="J495">
        <v>4007.6302096063359</v>
      </c>
      <c r="K495">
        <v>2030.6679884941584</v>
      </c>
      <c r="L495">
        <v>1914.8379393964019</v>
      </c>
      <c r="M495">
        <v>2087.1202560267743</v>
      </c>
      <c r="N495">
        <v>2965.3128814529709</v>
      </c>
    </row>
    <row r="496" spans="1:14">
      <c r="A496" s="227" t="s">
        <v>1307</v>
      </c>
      <c r="B496" s="385"/>
      <c r="F496" s="450">
        <v>4562.2747050584776</v>
      </c>
      <c r="G496">
        <v>2413.7578090162006</v>
      </c>
      <c r="H496">
        <v>1663.8604621244388</v>
      </c>
      <c r="I496">
        <v>3787.5250466909224</v>
      </c>
      <c r="J496">
        <v>4941.0528158178331</v>
      </c>
      <c r="K496">
        <v>1304.4982694827929</v>
      </c>
      <c r="L496">
        <v>1861.44402705577</v>
      </c>
      <c r="M496">
        <v>1759.2841142450159</v>
      </c>
      <c r="N496">
        <v>3655.4852720988874</v>
      </c>
    </row>
    <row r="497" spans="1:14">
      <c r="A497" s="227"/>
      <c r="B497" s="385"/>
      <c r="F497" s="450"/>
    </row>
    <row r="498" spans="1:14">
      <c r="A498" s="383" t="s">
        <v>1287</v>
      </c>
      <c r="B498" s="385"/>
      <c r="F498" s="446"/>
    </row>
    <row r="499" spans="1:14">
      <c r="A499" s="227" t="s">
        <v>1308</v>
      </c>
      <c r="B499" s="385"/>
      <c r="F499" s="385">
        <v>86031.465866817016</v>
      </c>
      <c r="G499">
        <v>45516.57582716264</v>
      </c>
      <c r="H499">
        <v>31375.654428632275</v>
      </c>
      <c r="I499">
        <v>71421.900880457397</v>
      </c>
      <c r="J499">
        <v>93174.138812564866</v>
      </c>
      <c r="K499">
        <v>24599.110224532669</v>
      </c>
      <c r="L499">
        <v>35101.515938765951</v>
      </c>
      <c r="M499">
        <v>33175.071868620304</v>
      </c>
      <c r="N499">
        <v>68932.007988150464</v>
      </c>
    </row>
    <row r="500" spans="1:14">
      <c r="A500" s="227"/>
      <c r="B500" s="385"/>
      <c r="F500" s="385"/>
    </row>
    <row r="504" spans="1:14">
      <c r="A504" s="227" t="s">
        <v>1309</v>
      </c>
      <c r="F504" s="436">
        <v>86031.465866817016</v>
      </c>
      <c r="G504">
        <v>45516.57582716264</v>
      </c>
      <c r="H504">
        <v>31375.654428632275</v>
      </c>
      <c r="I504">
        <v>71421.900880457397</v>
      </c>
      <c r="J504">
        <v>93174.138812564866</v>
      </c>
      <c r="K504">
        <v>24599.110224532669</v>
      </c>
      <c r="L504">
        <v>35101.515938765951</v>
      </c>
      <c r="M504">
        <v>33175.071868620304</v>
      </c>
      <c r="N504">
        <v>68932.007988150464</v>
      </c>
    </row>
    <row r="505" spans="1:14">
      <c r="A505" s="227" t="s">
        <v>1310</v>
      </c>
      <c r="F505" s="249">
        <v>80</v>
      </c>
      <c r="G505">
        <v>120</v>
      </c>
      <c r="H505">
        <v>160</v>
      </c>
      <c r="I505">
        <v>440</v>
      </c>
      <c r="J505">
        <v>320</v>
      </c>
      <c r="K505">
        <v>680</v>
      </c>
      <c r="L505">
        <v>120</v>
      </c>
      <c r="M505">
        <v>80</v>
      </c>
      <c r="N505">
        <v>40</v>
      </c>
    </row>
    <row r="506" spans="1:14">
      <c r="A506" s="227" t="s">
        <v>1311</v>
      </c>
      <c r="F506" s="436">
        <v>86111.465866817016</v>
      </c>
      <c r="G506">
        <v>45636.57582716264</v>
      </c>
      <c r="H506">
        <v>31535.654428632275</v>
      </c>
      <c r="I506">
        <v>71861.900880457397</v>
      </c>
      <c r="J506">
        <v>93494.138812564866</v>
      </c>
      <c r="K506">
        <v>25279.110224532669</v>
      </c>
      <c r="L506">
        <v>35221.515938765951</v>
      </c>
      <c r="M506">
        <v>33255.071868620304</v>
      </c>
      <c r="N506">
        <v>68972.007988150464</v>
      </c>
    </row>
    <row r="507" spans="1:14">
      <c r="A507" s="371" t="s">
        <v>1312</v>
      </c>
      <c r="B507" s="227"/>
      <c r="F507" s="451">
        <v>10</v>
      </c>
      <c r="G507">
        <v>10</v>
      </c>
      <c r="H507">
        <v>10</v>
      </c>
      <c r="I507">
        <v>10</v>
      </c>
      <c r="J507">
        <v>10</v>
      </c>
      <c r="K507">
        <v>10</v>
      </c>
      <c r="L507">
        <v>10</v>
      </c>
      <c r="M507">
        <v>10</v>
      </c>
      <c r="N507">
        <v>10</v>
      </c>
    </row>
    <row r="508" spans="1:14">
      <c r="A508" s="371" t="s">
        <v>1313</v>
      </c>
      <c r="B508" s="227"/>
      <c r="F508" s="451">
        <v>5</v>
      </c>
      <c r="G508">
        <v>5</v>
      </c>
      <c r="H508">
        <v>5</v>
      </c>
      <c r="I508">
        <v>5</v>
      </c>
      <c r="J508">
        <v>5</v>
      </c>
      <c r="K508">
        <v>5</v>
      </c>
      <c r="L508">
        <v>5</v>
      </c>
      <c r="M508">
        <v>5</v>
      </c>
      <c r="N508">
        <v>5</v>
      </c>
    </row>
    <row r="509" spans="1:14">
      <c r="A509" s="227" t="s">
        <v>1314</v>
      </c>
      <c r="B509" s="227"/>
      <c r="F509" s="452">
        <v>99028.185746839561</v>
      </c>
      <c r="G509">
        <v>52482.062201237037</v>
      </c>
      <c r="H509">
        <v>36266.002592927114</v>
      </c>
      <c r="I509">
        <v>82641.186012525999</v>
      </c>
      <c r="J509">
        <v>107518.2596344496</v>
      </c>
      <c r="K509">
        <v>29070.976758212568</v>
      </c>
      <c r="L509">
        <v>40504.743329580844</v>
      </c>
      <c r="M509">
        <v>38243.332648913347</v>
      </c>
      <c r="N509">
        <v>79317.809186373037</v>
      </c>
    </row>
    <row r="510" spans="1:14">
      <c r="A510" s="227" t="s">
        <v>1315</v>
      </c>
      <c r="B510" s="227"/>
      <c r="F510" s="452">
        <v>73194.745986794471</v>
      </c>
      <c r="G510">
        <v>38791.089453088243</v>
      </c>
      <c r="H510">
        <v>26805.306264337432</v>
      </c>
      <c r="I510">
        <v>61082.615748388787</v>
      </c>
      <c r="J510">
        <v>79470.017990680135</v>
      </c>
      <c r="K510">
        <v>21487.243690852771</v>
      </c>
      <c r="L510">
        <v>29938.288547951059</v>
      </c>
      <c r="M510">
        <v>28266.811088327257</v>
      </c>
      <c r="N510">
        <v>58626.206789927892</v>
      </c>
    </row>
    <row r="514" spans="1:14" ht="16" thickBot="1"/>
    <row r="515" spans="1:14" ht="21" thickBot="1">
      <c r="A515" s="393" t="s">
        <v>1366</v>
      </c>
      <c r="B515" s="394"/>
      <c r="C515" s="394"/>
      <c r="D515" s="394"/>
      <c r="E515" s="394"/>
      <c r="F515" s="394"/>
      <c r="G515" s="394"/>
      <c r="H515" s="394"/>
      <c r="I515" s="394"/>
      <c r="J515" s="394"/>
      <c r="K515" s="394"/>
      <c r="L515" s="395"/>
    </row>
    <row r="516" spans="1:14">
      <c r="B516" s="226"/>
      <c r="C516" s="226"/>
      <c r="D516" s="226"/>
      <c r="E516" s="226"/>
      <c r="F516" s="388"/>
      <c r="G516" s="388"/>
      <c r="H516" s="388"/>
      <c r="I516" s="388"/>
      <c r="J516" s="388"/>
      <c r="K516" s="388"/>
      <c r="L516" s="388"/>
    </row>
    <row r="517" spans="1:14">
      <c r="A517" s="227" t="s">
        <v>1367</v>
      </c>
      <c r="B517" s="226"/>
      <c r="C517" s="226"/>
      <c r="D517" s="226"/>
      <c r="E517" s="226"/>
      <c r="F517" s="390">
        <v>8795.1863268680263</v>
      </c>
      <c r="G517" s="390">
        <v>4021.7936700881964</v>
      </c>
      <c r="H517" s="390">
        <v>2002.7019827225331</v>
      </c>
      <c r="I517" s="390">
        <v>12873.122710147481</v>
      </c>
      <c r="J517" s="390">
        <v>49955.234014938018</v>
      </c>
      <c r="K517" s="390">
        <v>5933.9774519950106</v>
      </c>
      <c r="L517" s="390">
        <v>14388.331688580201</v>
      </c>
      <c r="M517" s="97">
        <v>8863.3872133977111</v>
      </c>
      <c r="N517" s="97">
        <v>3751.2436188084089</v>
      </c>
    </row>
    <row r="518" spans="1:14">
      <c r="A518" s="227" t="s">
        <v>1368</v>
      </c>
      <c r="B518" s="226"/>
      <c r="C518" s="226"/>
      <c r="D518" s="226"/>
      <c r="E518" s="226"/>
      <c r="F518" s="390">
        <v>670.15303397242792</v>
      </c>
      <c r="G518" s="390">
        <v>965.02091077983005</v>
      </c>
      <c r="H518" s="390">
        <v>848.36454371495063</v>
      </c>
      <c r="I518" s="390">
        <v>1110.5116079758448</v>
      </c>
      <c r="J518" s="390">
        <v>735.12019007411095</v>
      </c>
      <c r="K518" s="390">
        <v>284.34538266390297</v>
      </c>
      <c r="L518" s="390">
        <v>3705.8352930857413</v>
      </c>
      <c r="M518" s="97">
        <v>4078.6034476824502</v>
      </c>
      <c r="N518" s="97">
        <v>3293.0440680816714</v>
      </c>
    </row>
    <row r="519" spans="1:14">
      <c r="A519" s="227" t="s">
        <v>1369</v>
      </c>
      <c r="B519" s="226"/>
      <c r="C519" s="226"/>
      <c r="D519" s="226"/>
      <c r="E519" s="226"/>
      <c r="F519" s="390">
        <v>256.52626786698397</v>
      </c>
      <c r="G519" s="390">
        <v>782.01543585048285</v>
      </c>
      <c r="H519" s="390">
        <v>389.41427441827034</v>
      </c>
      <c r="I519" s="390">
        <v>1042.961330683245</v>
      </c>
      <c r="J519" s="390">
        <v>607.09485782042748</v>
      </c>
      <c r="K519" s="390">
        <v>206.04088374982672</v>
      </c>
      <c r="L519" s="390">
        <v>91.230363967446905</v>
      </c>
      <c r="M519" s="97">
        <v>136.06076862671924</v>
      </c>
      <c r="N519" s="97">
        <v>109.41127221524526</v>
      </c>
    </row>
    <row r="520" spans="1:14">
      <c r="A520" s="227" t="s">
        <v>1370</v>
      </c>
      <c r="B520" s="226"/>
      <c r="C520" s="226"/>
      <c r="D520" s="226"/>
      <c r="E520" s="226"/>
      <c r="F520" s="390">
        <v>563.37573795930098</v>
      </c>
      <c r="G520" s="390">
        <v>1695.4416668383781</v>
      </c>
      <c r="H520" s="390">
        <v>851.7727215843538</v>
      </c>
      <c r="I520" s="390">
        <v>2257.5806393819707</v>
      </c>
      <c r="J520" s="390">
        <v>1315.9200053309999</v>
      </c>
      <c r="K520" s="390">
        <v>453.12211345019608</v>
      </c>
      <c r="L520" s="390">
        <v>279.52618340157539</v>
      </c>
      <c r="M520" s="97">
        <v>384.04412886411382</v>
      </c>
      <c r="N520" s="97">
        <v>301.65770715678411</v>
      </c>
    </row>
    <row r="521" spans="1:14">
      <c r="A521" s="227" t="s">
        <v>1371</v>
      </c>
      <c r="B521" s="226"/>
      <c r="C521" s="226"/>
      <c r="D521" s="226"/>
      <c r="E521" s="226"/>
      <c r="F521" s="390">
        <v>2255.9652928416476</v>
      </c>
      <c r="G521" s="390">
        <v>6877.2671758508186</v>
      </c>
      <c r="H521" s="390">
        <v>3424.6203904555318</v>
      </c>
      <c r="I521" s="390">
        <v>9172.0999309800827</v>
      </c>
      <c r="J521" s="390">
        <v>5338.9656353465016</v>
      </c>
      <c r="K521" s="390">
        <v>1811.9824005199046</v>
      </c>
      <c r="L521" s="390">
        <v>802.30588654800454</v>
      </c>
      <c r="M521" s="97">
        <v>1196.557273808691</v>
      </c>
      <c r="N521" s="97">
        <v>962.19398822435687</v>
      </c>
    </row>
    <row r="522" spans="1:14">
      <c r="A522" s="227" t="s">
        <v>1372</v>
      </c>
      <c r="B522" s="226"/>
      <c r="C522" s="226"/>
      <c r="D522" s="226"/>
      <c r="E522" s="226"/>
      <c r="F522" s="390">
        <v>784.89003420429992</v>
      </c>
      <c r="G522" s="390">
        <v>1015.6746326308848</v>
      </c>
      <c r="H522" s="390">
        <v>643.66526374936836</v>
      </c>
      <c r="I522" s="390">
        <v>1365.7267371281698</v>
      </c>
      <c r="J522" s="390">
        <v>858.06750851443041</v>
      </c>
      <c r="K522" s="390">
        <v>231.04959379028784</v>
      </c>
      <c r="L522" s="390">
        <v>142.49445283280903</v>
      </c>
      <c r="M522" s="97">
        <v>214.90272132098994</v>
      </c>
      <c r="N522" s="97">
        <v>335.6883316450398</v>
      </c>
    </row>
    <row r="523" spans="1:14">
      <c r="A523" s="227" t="s">
        <v>1373</v>
      </c>
      <c r="B523" s="226"/>
      <c r="C523" s="226"/>
      <c r="D523" s="226"/>
      <c r="E523" s="226"/>
      <c r="F523" s="390">
        <v>1764.2465700465173</v>
      </c>
      <c r="G523" s="390">
        <v>1067.3624310437144</v>
      </c>
      <c r="H523" s="390">
        <v>677.03372656548447</v>
      </c>
      <c r="I523" s="390">
        <v>1430.1203852981296</v>
      </c>
      <c r="J523" s="390">
        <v>1799.0085728275105</v>
      </c>
      <c r="K523" s="390">
        <v>242.31867161542633</v>
      </c>
      <c r="L523" s="390">
        <v>911.31470388766365</v>
      </c>
      <c r="M523" s="97">
        <v>1370.7106946146118</v>
      </c>
      <c r="N523" s="97">
        <v>2243.4070063148552</v>
      </c>
    </row>
    <row r="524" spans="1:14">
      <c r="A524" s="227" t="s">
        <v>1374</v>
      </c>
      <c r="B524" s="226"/>
      <c r="C524" s="226"/>
      <c r="D524" s="226"/>
      <c r="E524" s="226"/>
      <c r="F524" s="390">
        <v>16608.436195800412</v>
      </c>
      <c r="G524" s="390">
        <v>895.06329709789532</v>
      </c>
      <c r="H524" s="390">
        <v>566.86615876517658</v>
      </c>
      <c r="I524" s="390">
        <v>2406.6479762813146</v>
      </c>
      <c r="J524" s="390">
        <v>1510.2597264075293</v>
      </c>
      <c r="K524" s="390">
        <v>203.41566593544042</v>
      </c>
      <c r="L524" s="390">
        <v>250.99303951686005</v>
      </c>
      <c r="M524" s="97">
        <v>378.64521580977021</v>
      </c>
      <c r="N524" s="97">
        <v>2659.6206364499435</v>
      </c>
    </row>
    <row r="525" spans="1:14">
      <c r="A525" s="227" t="s">
        <v>21</v>
      </c>
      <c r="B525" s="226"/>
      <c r="C525" s="226"/>
      <c r="D525" s="226"/>
      <c r="E525" s="226"/>
      <c r="F525" s="390">
        <v>9555.6332871854975</v>
      </c>
      <c r="G525" s="390">
        <v>1377.9279951469168</v>
      </c>
      <c r="H525" s="390">
        <v>1244.6913354312776</v>
      </c>
      <c r="I525" s="390">
        <v>1412.6620705822229</v>
      </c>
      <c r="J525" s="390">
        <v>918.05175773979977</v>
      </c>
      <c r="K525" s="390">
        <v>250.56602923627563</v>
      </c>
      <c r="L525" s="390">
        <v>1399.4888929732069</v>
      </c>
      <c r="M525" s="97">
        <v>1889.9088122451844</v>
      </c>
      <c r="N525" s="97">
        <v>30051.524379096463</v>
      </c>
    </row>
    <row r="526" spans="1:14">
      <c r="A526" s="227" t="s">
        <v>1178</v>
      </c>
      <c r="B526" s="226"/>
      <c r="C526" s="226"/>
      <c r="D526" s="226"/>
      <c r="E526" s="226"/>
      <c r="F526" s="390">
        <v>0</v>
      </c>
      <c r="G526" s="390">
        <v>0</v>
      </c>
      <c r="H526" s="390">
        <v>0</v>
      </c>
      <c r="I526" s="390">
        <v>0</v>
      </c>
      <c r="J526" s="390">
        <v>0</v>
      </c>
      <c r="K526" s="390">
        <v>0</v>
      </c>
      <c r="L526" s="390">
        <v>0</v>
      </c>
      <c r="M526" s="97">
        <v>0</v>
      </c>
      <c r="N526" s="97">
        <v>0</v>
      </c>
    </row>
    <row r="527" spans="1:14">
      <c r="A527" s="223" t="s">
        <v>1375</v>
      </c>
      <c r="B527" s="226"/>
      <c r="C527" s="226"/>
      <c r="D527" s="226"/>
      <c r="E527" s="226"/>
      <c r="F527" s="390">
        <v>4651.4540429835324</v>
      </c>
      <c r="G527" s="390">
        <v>1858.2627381075179</v>
      </c>
      <c r="H527" s="390">
        <v>1280.1963448165052</v>
      </c>
      <c r="I527" s="390">
        <v>2137.619381242474</v>
      </c>
      <c r="J527" s="390">
        <v>1484.0093139819107</v>
      </c>
      <c r="K527" s="390">
        <v>462.24548440945114</v>
      </c>
      <c r="L527" s="390">
        <v>541.63955085358077</v>
      </c>
      <c r="M527" s="97">
        <v>735.06023222367821</v>
      </c>
      <c r="N527" s="97">
        <v>2383.9668492831993</v>
      </c>
    </row>
    <row r="528" spans="1:14">
      <c r="A528" s="387" t="s">
        <v>1376</v>
      </c>
      <c r="B528" s="226"/>
      <c r="C528" s="226"/>
      <c r="D528" s="226"/>
      <c r="E528" s="226"/>
      <c r="F528" s="390">
        <v>7767.53189587616</v>
      </c>
      <c r="G528" s="390">
        <v>3695.4746521930997</v>
      </c>
      <c r="H528" s="390">
        <v>3131.8370258365876</v>
      </c>
      <c r="I528" s="390">
        <v>6148.8127777284608</v>
      </c>
      <c r="J528" s="390">
        <v>4175.7673229092115</v>
      </c>
      <c r="K528" s="390">
        <v>2410.4602223817328</v>
      </c>
      <c r="L528" s="390">
        <v>1272.1771373381605</v>
      </c>
      <c r="M528" s="97">
        <v>1526.1916083278331</v>
      </c>
      <c r="N528" s="97">
        <v>3450.4148679095142</v>
      </c>
    </row>
    <row r="529" spans="1:14">
      <c r="A529" s="227" t="s">
        <v>1377</v>
      </c>
      <c r="B529" s="226"/>
      <c r="C529" s="226"/>
      <c r="D529" s="226"/>
      <c r="E529" s="226"/>
      <c r="F529" s="390">
        <v>8597.3374602732329</v>
      </c>
      <c r="G529" s="390">
        <v>3411.4254322640195</v>
      </c>
      <c r="H529" s="390">
        <v>2425.4889989257927</v>
      </c>
      <c r="I529" s="390">
        <v>3892.410248087629</v>
      </c>
      <c r="J529" s="390">
        <v>2696.2587409915891</v>
      </c>
      <c r="K529" s="390">
        <v>915.65226959821234</v>
      </c>
      <c r="L529" s="390">
        <v>974.03242407465825</v>
      </c>
      <c r="M529" s="97">
        <v>1284.3468894202326</v>
      </c>
      <c r="N529" s="97">
        <v>3723.944816259997</v>
      </c>
    </row>
    <row r="530" spans="1:14">
      <c r="A530" s="227" t="s">
        <v>1378</v>
      </c>
      <c r="F530" s="390">
        <v>678.95440445919223</v>
      </c>
      <c r="G530" s="390">
        <v>877.59168637019968</v>
      </c>
      <c r="H530" s="390">
        <v>777.06601638687812</v>
      </c>
      <c r="I530" s="390">
        <v>1477.0119647382389</v>
      </c>
      <c r="J530" s="390">
        <v>1086.442283810502</v>
      </c>
      <c r="K530" s="390">
        <v>937.1301556162515</v>
      </c>
      <c r="L530" s="390">
        <v>467.16807473763123</v>
      </c>
      <c r="M530" s="97">
        <v>477.62776815082873</v>
      </c>
      <c r="N530" s="97">
        <v>431.11313767520517</v>
      </c>
    </row>
    <row r="531" spans="1:14">
      <c r="A531" s="227" t="s">
        <v>1379</v>
      </c>
      <c r="F531" s="390">
        <v>62949.69055033724</v>
      </c>
      <c r="G531" s="390">
        <v>28540.321724261958</v>
      </c>
      <c r="H531" s="390">
        <v>18263.718783372711</v>
      </c>
      <c r="I531" s="390">
        <v>46727.287760255269</v>
      </c>
      <c r="J531" s="390">
        <v>72480.199930692528</v>
      </c>
      <c r="K531" s="390">
        <v>14342.306324961921</v>
      </c>
      <c r="L531" s="390">
        <v>25226.537691797541</v>
      </c>
      <c r="M531" s="97">
        <v>22536.046774492814</v>
      </c>
      <c r="N531" s="97">
        <v>53697.230679120679</v>
      </c>
    </row>
    <row r="532" spans="1:14">
      <c r="A532" s="227" t="s">
        <v>1411</v>
      </c>
      <c r="C532" s="227">
        <f>1.12/3.1</f>
        <v>0.3612903225806452</v>
      </c>
      <c r="F532" s="390">
        <f>F521*$C532</f>
        <v>815.05842838149863</v>
      </c>
      <c r="G532" s="390">
        <f t="shared" ref="G532:N532" si="5">G521*$C532</f>
        <v>2484.690076436425</v>
      </c>
      <c r="H532" s="390">
        <f t="shared" si="5"/>
        <v>1237.2822055839342</v>
      </c>
      <c r="I532" s="390">
        <f t="shared" si="5"/>
        <v>3313.7909428057078</v>
      </c>
      <c r="J532" s="390">
        <f t="shared" si="5"/>
        <v>1928.916616641317</v>
      </c>
      <c r="K532" s="390">
        <f t="shared" si="5"/>
        <v>654.65170599428814</v>
      </c>
      <c r="L532" s="390">
        <f t="shared" si="5"/>
        <v>289.86535255927907</v>
      </c>
      <c r="M532" s="390">
        <f t="shared" si="5"/>
        <v>432.30456344055938</v>
      </c>
      <c r="N532" s="390">
        <f t="shared" si="5"/>
        <v>347.6313763907354</v>
      </c>
    </row>
    <row r="533" spans="1:14" ht="16" thickBot="1">
      <c r="B533" s="226"/>
      <c r="C533" s="226"/>
      <c r="D533" s="226"/>
      <c r="E533" s="226"/>
      <c r="F533" s="396"/>
      <c r="G533" s="396"/>
      <c r="H533" s="396"/>
      <c r="I533" s="396"/>
      <c r="J533" s="396"/>
      <c r="K533" s="396"/>
      <c r="L533" s="396"/>
      <c r="M533" s="97"/>
      <c r="N533" s="97"/>
    </row>
    <row r="534" spans="1:14" ht="21" thickBot="1">
      <c r="A534" s="393" t="s">
        <v>1380</v>
      </c>
      <c r="B534" s="394"/>
      <c r="C534" s="394"/>
      <c r="D534" s="394"/>
      <c r="E534" s="394"/>
      <c r="F534" s="397"/>
      <c r="G534" s="397"/>
      <c r="H534" s="397"/>
      <c r="I534" s="397"/>
      <c r="J534" s="397"/>
      <c r="K534" s="397"/>
      <c r="L534" s="398"/>
      <c r="M534" s="97"/>
      <c r="N534" s="97"/>
    </row>
    <row r="535" spans="1:14">
      <c r="A535" s="351"/>
      <c r="B535" s="351"/>
      <c r="C535" s="351"/>
      <c r="D535" s="391"/>
      <c r="E535" s="391"/>
      <c r="F535" s="97"/>
      <c r="G535" s="97"/>
      <c r="H535" s="97"/>
      <c r="I535" s="97"/>
      <c r="J535" s="97"/>
      <c r="K535" s="97"/>
      <c r="L535" s="97"/>
      <c r="M535" s="97"/>
      <c r="N535" s="97"/>
    </row>
    <row r="536" spans="1:14">
      <c r="A536" s="227" t="s">
        <v>1381</v>
      </c>
      <c r="B536" s="385"/>
      <c r="C536" s="227"/>
      <c r="D536" s="227"/>
      <c r="E536" s="392"/>
      <c r="F536" s="399">
        <v>41254.412746745118</v>
      </c>
      <c r="G536" s="399">
        <v>18697.567215327119</v>
      </c>
      <c r="H536" s="399">
        <v>10649.130397406949</v>
      </c>
      <c r="I536" s="399">
        <v>33071.433388458463</v>
      </c>
      <c r="J536" s="399">
        <v>63037.722268999329</v>
      </c>
      <c r="K536" s="399">
        <v>9616.8181929562725</v>
      </c>
      <c r="L536" s="399">
        <v>21971.520504793509</v>
      </c>
      <c r="M536" s="97">
        <v>18512.820276370239</v>
      </c>
      <c r="N536" s="97">
        <v>43707.791007992768</v>
      </c>
    </row>
    <row r="537" spans="1:14">
      <c r="A537" s="227" t="s">
        <v>1382</v>
      </c>
      <c r="B537" s="385"/>
      <c r="C537" s="227"/>
      <c r="D537" s="227"/>
      <c r="E537" s="392"/>
      <c r="F537" s="399">
        <v>21016.323399132925</v>
      </c>
      <c r="G537" s="399">
        <v>8965.1628225646364</v>
      </c>
      <c r="H537" s="399">
        <v>6837.5223695788854</v>
      </c>
      <c r="I537" s="399">
        <v>12178.842407058564</v>
      </c>
      <c r="J537" s="399">
        <v>8356.0353778827121</v>
      </c>
      <c r="K537" s="399">
        <v>3788.3579763893958</v>
      </c>
      <c r="L537" s="399">
        <v>2787.8491122663995</v>
      </c>
      <c r="M537" s="97">
        <v>3545.5987299717435</v>
      </c>
      <c r="N537" s="97">
        <v>9558.3265334527096</v>
      </c>
    </row>
    <row r="538" spans="1:14">
      <c r="A538" s="227" t="s">
        <v>1383</v>
      </c>
      <c r="B538" s="385"/>
      <c r="C538" s="227"/>
      <c r="D538" s="227"/>
      <c r="E538" s="392"/>
      <c r="F538" s="400">
        <v>678.95440445919223</v>
      </c>
      <c r="G538" s="400">
        <v>877.59168637019968</v>
      </c>
      <c r="H538" s="400">
        <v>777.06601638687812</v>
      </c>
      <c r="I538" s="400">
        <v>1477.0119647382389</v>
      </c>
      <c r="J538" s="400">
        <v>1086.442283810502</v>
      </c>
      <c r="K538" s="400">
        <v>937.1301556162515</v>
      </c>
      <c r="L538" s="400">
        <v>467.16807473763123</v>
      </c>
      <c r="M538" s="97">
        <v>477.62776815082873</v>
      </c>
      <c r="N538" s="97">
        <v>431.11313767520517</v>
      </c>
    </row>
    <row r="539" spans="1:14">
      <c r="A539" s="227" t="s">
        <v>1384</v>
      </c>
      <c r="B539" s="385"/>
      <c r="C539" s="227"/>
      <c r="D539" s="227"/>
      <c r="E539" s="392"/>
      <c r="F539" s="399">
        <v>197.01635865350252</v>
      </c>
      <c r="G539" s="399">
        <v>166.38295278366368</v>
      </c>
      <c r="H539" s="399">
        <v>128.04747963158675</v>
      </c>
      <c r="I539" s="399">
        <v>258.42979270759906</v>
      </c>
      <c r="J539" s="399">
        <v>184.07627841422718</v>
      </c>
      <c r="K539" s="399">
        <v>104.73524257676543</v>
      </c>
      <c r="L539" s="399">
        <v>73.473393856747336</v>
      </c>
      <c r="M539" s="97">
        <v>86.052006367169028</v>
      </c>
      <c r="N539" s="97">
        <v>113.91595748091723</v>
      </c>
    </row>
    <row r="540" spans="1:14">
      <c r="A540" s="227" t="s">
        <v>1385</v>
      </c>
      <c r="B540" s="385"/>
      <c r="C540" s="227"/>
      <c r="D540" s="227"/>
      <c r="E540" s="392"/>
      <c r="F540" s="399">
        <v>1503.4749035525192</v>
      </c>
      <c r="G540" s="399">
        <v>1208.6538234872289</v>
      </c>
      <c r="H540" s="399">
        <v>954.58456091022458</v>
      </c>
      <c r="I540" s="399">
        <v>1735.0565538016078</v>
      </c>
      <c r="J540" s="399">
        <v>1276.0644449681415</v>
      </c>
      <c r="K540" s="399">
        <v>751.1941988290705</v>
      </c>
      <c r="L540" s="399">
        <v>657.8228145181663</v>
      </c>
      <c r="M540" s="97">
        <v>733.58182493772597</v>
      </c>
      <c r="N540" s="97">
        <v>931.31651245408489</v>
      </c>
    </row>
    <row r="541" spans="1:14">
      <c r="A541" s="227" t="s">
        <v>1386</v>
      </c>
      <c r="B541" s="385"/>
      <c r="C541" s="227"/>
      <c r="D541" s="227"/>
      <c r="E541" s="392"/>
      <c r="F541" s="401">
        <v>2205.9582656654029</v>
      </c>
      <c r="G541" s="401">
        <v>1771.3849970349277</v>
      </c>
      <c r="H541" s="401">
        <v>1399.8649714574403</v>
      </c>
      <c r="I541" s="401">
        <v>2537.977382525512</v>
      </c>
      <c r="J541" s="401">
        <v>1868.0775978486554</v>
      </c>
      <c r="K541" s="401">
        <v>1100.6074875994143</v>
      </c>
      <c r="L541" s="401">
        <v>968.36587331306248</v>
      </c>
      <c r="M541" s="97">
        <v>1078.8597358147967</v>
      </c>
      <c r="N541" s="97">
        <v>1368.4957793108979</v>
      </c>
    </row>
    <row r="542" spans="1:14">
      <c r="A542" s="227" t="s">
        <v>1387</v>
      </c>
      <c r="B542" s="385"/>
      <c r="C542" s="227"/>
      <c r="D542" s="227"/>
      <c r="E542" s="392"/>
      <c r="F542" s="399">
        <v>2849.3367201822357</v>
      </c>
      <c r="G542" s="399">
        <v>2284.2012847475271</v>
      </c>
      <c r="H542" s="399">
        <v>1806.7311381151799</v>
      </c>
      <c r="I542" s="399">
        <v>3263.3692734371366</v>
      </c>
      <c r="J542" s="399">
        <v>2404.8678672049014</v>
      </c>
      <c r="K542" s="399">
        <v>1418.6002035967283</v>
      </c>
      <c r="L542" s="399">
        <v>1256.8669139509345</v>
      </c>
      <c r="M542" s="97">
        <v>1398.3220447817166</v>
      </c>
      <c r="N542" s="97">
        <v>1771.5002589234357</v>
      </c>
    </row>
    <row r="543" spans="1:14">
      <c r="A543" s="227" t="s">
        <v>1388</v>
      </c>
      <c r="B543" s="385"/>
      <c r="C543" s="227"/>
      <c r="D543" s="227"/>
      <c r="E543" s="392"/>
      <c r="F543" s="399">
        <v>7123.3418004555897</v>
      </c>
      <c r="G543" s="399">
        <v>5710.5032118688177</v>
      </c>
      <c r="H543" s="399">
        <v>4516.8278452879495</v>
      </c>
      <c r="I543" s="399">
        <v>8158.4231835928413</v>
      </c>
      <c r="J543" s="399">
        <v>6012.1696680122532</v>
      </c>
      <c r="K543" s="399">
        <v>3546.5005089918209</v>
      </c>
      <c r="L543" s="399">
        <v>3142.1672848773364</v>
      </c>
      <c r="M543" s="97">
        <v>3495.8051119542915</v>
      </c>
      <c r="N543" s="97">
        <v>4428.7506473085896</v>
      </c>
    </row>
    <row r="544" spans="1:14">
      <c r="A544" s="227" t="s">
        <v>1389</v>
      </c>
      <c r="B544" s="385"/>
      <c r="C544" s="227"/>
      <c r="D544" s="227"/>
      <c r="E544" s="392"/>
      <c r="F544" s="400">
        <v>4640.37256291208</v>
      </c>
      <c r="G544" s="400">
        <v>3421.3700239623245</v>
      </c>
      <c r="H544" s="400">
        <v>2642.0191877327507</v>
      </c>
      <c r="I544" s="400">
        <v>4953.8318874465167</v>
      </c>
      <c r="J544" s="400">
        <v>4007.6302096063359</v>
      </c>
      <c r="K544" s="400">
        <v>2030.6679884941584</v>
      </c>
      <c r="L544" s="400">
        <v>1914.8379393964019</v>
      </c>
      <c r="M544" s="97">
        <v>2087.1202560267743</v>
      </c>
      <c r="N544" s="97">
        <v>2965.3128814529709</v>
      </c>
    </row>
    <row r="545" spans="1:16">
      <c r="A545" s="227" t="s">
        <v>1390</v>
      </c>
      <c r="B545" s="385"/>
      <c r="C545" s="227"/>
      <c r="D545" s="227"/>
      <c r="E545" s="392"/>
      <c r="F545" s="400">
        <v>4562.2747050584776</v>
      </c>
      <c r="G545" s="400">
        <v>2413.7578090162006</v>
      </c>
      <c r="H545" s="400">
        <v>1663.8604621244388</v>
      </c>
      <c r="I545" s="400">
        <v>3787.5250466909224</v>
      </c>
      <c r="J545" s="400">
        <v>4941.0528158178331</v>
      </c>
      <c r="K545" s="400">
        <v>1304.4982694827929</v>
      </c>
      <c r="L545" s="400">
        <v>1861.44402705577</v>
      </c>
      <c r="M545" s="97">
        <v>1759.2841142450159</v>
      </c>
      <c r="N545" s="97">
        <v>3655.4852720988874</v>
      </c>
    </row>
    <row r="546" spans="1:16">
      <c r="A546" s="227" t="s">
        <v>1391</v>
      </c>
      <c r="B546" s="385"/>
      <c r="C546" s="227"/>
      <c r="D546" s="227"/>
      <c r="E546" s="392"/>
      <c r="F546" s="400">
        <v>86031.46586681703</v>
      </c>
      <c r="G546" s="400">
        <v>45516.57582716264</v>
      </c>
      <c r="H546" s="400">
        <v>31375.654428632282</v>
      </c>
      <c r="I546" s="400">
        <v>71421.900880457397</v>
      </c>
      <c r="J546" s="400">
        <v>93174.138812564866</v>
      </c>
      <c r="K546" s="400">
        <v>24599.110224532669</v>
      </c>
      <c r="L546" s="400">
        <v>35101.515938765951</v>
      </c>
      <c r="M546" s="97">
        <v>33175.071868620296</v>
      </c>
      <c r="N546" s="97">
        <v>68932.007988150464</v>
      </c>
    </row>
    <row r="548" spans="1:16" ht="16" thickBot="1"/>
    <row r="549" spans="1:16" ht="21" thickBot="1">
      <c r="A549" s="393" t="s">
        <v>1396</v>
      </c>
      <c r="B549" s="394"/>
      <c r="C549" s="394"/>
      <c r="D549" s="394"/>
      <c r="E549" s="394"/>
      <c r="F549" s="397"/>
      <c r="G549" s="397"/>
      <c r="H549" s="397"/>
      <c r="I549" s="397"/>
      <c r="J549" s="397"/>
      <c r="K549" s="397"/>
      <c r="L549" s="398"/>
      <c r="M549" s="97"/>
      <c r="N549" s="97"/>
    </row>
    <row r="550" spans="1:16">
      <c r="A550" s="351"/>
      <c r="B550" s="351"/>
      <c r="C550" s="351"/>
      <c r="D550" s="391"/>
      <c r="E550" s="391"/>
      <c r="F550" s="97"/>
      <c r="G550" s="97"/>
      <c r="H550" s="97"/>
      <c r="I550" s="97"/>
      <c r="J550" s="97"/>
      <c r="K550" s="97"/>
      <c r="L550" s="97"/>
      <c r="M550" s="97"/>
      <c r="N550" s="97"/>
    </row>
    <row r="551" spans="1:16">
      <c r="A551" s="126" t="s">
        <v>1397</v>
      </c>
      <c r="F551" s="97">
        <f>F23</f>
        <v>9840</v>
      </c>
      <c r="G551" s="97">
        <f t="shared" ref="G551:K551" si="6">G23</f>
        <v>3600</v>
      </c>
      <c r="H551" s="97">
        <f t="shared" si="6"/>
        <v>2400</v>
      </c>
      <c r="I551" s="97">
        <f t="shared" si="6"/>
        <v>4212</v>
      </c>
      <c r="J551" s="97">
        <f t="shared" si="6"/>
        <v>2850</v>
      </c>
      <c r="K551" s="97">
        <f t="shared" si="6"/>
        <v>775</v>
      </c>
      <c r="L551">
        <f t="shared" ref="G551:N551" si="7">L23</f>
        <v>792</v>
      </c>
      <c r="M551">
        <f t="shared" si="7"/>
        <v>1104</v>
      </c>
      <c r="N551">
        <f t="shared" si="7"/>
        <v>4032</v>
      </c>
    </row>
    <row r="552" spans="1:16">
      <c r="A552" s="126" t="s">
        <v>1398</v>
      </c>
      <c r="F552" s="21">
        <f t="shared" ref="F552:K552" si="8">0.85*F8/F9</f>
        <v>349.49874115769063</v>
      </c>
      <c r="G552" s="21">
        <f t="shared" si="8"/>
        <v>349.48099701473473</v>
      </c>
      <c r="H552" s="21">
        <f t="shared" si="8"/>
        <v>349.65163242580616</v>
      </c>
      <c r="I552" s="21">
        <f t="shared" si="8"/>
        <v>347.98035303298542</v>
      </c>
      <c r="J552" s="21">
        <f t="shared" si="8"/>
        <v>349.54588656771193</v>
      </c>
      <c r="K552" s="21">
        <f t="shared" si="8"/>
        <v>347.91642896472649</v>
      </c>
      <c r="L552" s="21">
        <f t="shared" ref="G552:N552" si="9">0.85*L8/L9</f>
        <v>350.73913655291045</v>
      </c>
      <c r="M552" s="21">
        <f t="shared" si="9"/>
        <v>350.47073624024677</v>
      </c>
      <c r="N552" s="21">
        <f t="shared" si="9"/>
        <v>350.28684524281078</v>
      </c>
    </row>
    <row r="553" spans="1:16">
      <c r="A553" s="227" t="s">
        <v>1400</v>
      </c>
      <c r="B553" s="385"/>
      <c r="C553" s="227"/>
      <c r="D553" s="227"/>
      <c r="E553" s="392"/>
      <c r="F553" s="399">
        <f t="shared" ref="F553:K553" si="10">(F536-F521)/F552</f>
        <v>111.58394254790099</v>
      </c>
      <c r="G553" s="399">
        <f t="shared" si="10"/>
        <v>33.822439962244744</v>
      </c>
      <c r="H553" s="399">
        <f t="shared" si="10"/>
        <v>20.662022816336808</v>
      </c>
      <c r="I553" s="399">
        <f t="shared" si="10"/>
        <v>68.680123027557642</v>
      </c>
      <c r="J553" s="399">
        <f t="shared" si="10"/>
        <v>165.06776034532385</v>
      </c>
      <c r="K553" s="399">
        <f t="shared" si="10"/>
        <v>22.433076286913895</v>
      </c>
      <c r="L553" s="399">
        <f t="shared" ref="G553:N553" si="11">(L536-L521)/L552</f>
        <v>60.35600938719891</v>
      </c>
      <c r="M553" s="399">
        <f t="shared" si="11"/>
        <v>49.408584546389328</v>
      </c>
      <c r="N553" s="399">
        <f t="shared" si="11"/>
        <v>122.03026633825813</v>
      </c>
    </row>
    <row r="555" spans="1:16">
      <c r="A555" s="227" t="s">
        <v>1399</v>
      </c>
      <c r="B555" s="385"/>
      <c r="C555" s="227"/>
      <c r="D555" s="227"/>
      <c r="E555" s="392"/>
      <c r="F555" s="399">
        <f>'Mass and Cost Cell'!$R38</f>
        <v>124.25892470950188</v>
      </c>
      <c r="G555" s="399">
        <f>'Mass and Cost Cell'!$R39</f>
        <v>38.190932534374163</v>
      </c>
      <c r="H555" s="399">
        <f>'Mass and Cost Cell'!$R40</f>
        <v>23.972845858964735</v>
      </c>
      <c r="I555" s="399">
        <f>'Mass and Cost Cell'!$R41</f>
        <v>71.96081806088182</v>
      </c>
      <c r="J555" s="399">
        <f>'Mass and Cost Cell'!$R42</f>
        <v>175.36856347679264</v>
      </c>
      <c r="K555" s="399">
        <f>'Mass and Cost Cell'!$R43</f>
        <v>23.28177621406201</v>
      </c>
      <c r="L555" s="399">
        <f>'Mass and Cost Cell'!$R44</f>
        <v>58.725397767259878</v>
      </c>
      <c r="M555" s="399">
        <f>'Mass and Cost Cell'!$R45</f>
        <v>46.715031377787255</v>
      </c>
      <c r="N555" s="399">
        <f>'Mass and Cost Cell'!$R46</f>
        <v>113.19077538813487</v>
      </c>
      <c r="P555" s="88"/>
    </row>
    <row r="556" spans="1:16">
      <c r="A556" s="227" t="s">
        <v>1401</v>
      </c>
      <c r="B556" s="226"/>
      <c r="E556" s="226"/>
      <c r="F556" s="389">
        <f>F532/F552</f>
        <v>2.3320782949937771</v>
      </c>
      <c r="G556" s="389">
        <f t="shared" ref="G556:N556" si="12">G532/G552</f>
        <v>7.1096571706634633</v>
      </c>
      <c r="H556" s="389">
        <f t="shared" si="12"/>
        <v>3.5386141257226296</v>
      </c>
      <c r="I556" s="389">
        <f t="shared" si="12"/>
        <v>9.5229254005946427</v>
      </c>
      <c r="J556" s="389">
        <f t="shared" si="12"/>
        <v>5.5183502102739199</v>
      </c>
      <c r="K556" s="389">
        <f t="shared" si="12"/>
        <v>1.8816349315331125</v>
      </c>
      <c r="L556" s="389">
        <f t="shared" si="12"/>
        <v>0.82644142711901691</v>
      </c>
      <c r="M556" s="389">
        <f t="shared" si="12"/>
        <v>1.2334968907196171</v>
      </c>
      <c r="N556" s="389">
        <f t="shared" si="12"/>
        <v>0.99241915907451594</v>
      </c>
      <c r="P556" s="88"/>
    </row>
    <row r="557" spans="1:16">
      <c r="A557" s="223" t="s">
        <v>1375</v>
      </c>
      <c r="B557" s="226"/>
      <c r="C557" s="226"/>
      <c r="D557" s="226"/>
      <c r="E557" s="226"/>
      <c r="F557" s="389">
        <f t="shared" ref="F557:K557" si="13">F527/F$552</f>
        <v>13.308929318531762</v>
      </c>
      <c r="G557" s="389">
        <f t="shared" si="13"/>
        <v>5.3172068123325467</v>
      </c>
      <c r="H557" s="389">
        <f t="shared" si="13"/>
        <v>3.6613481136489607</v>
      </c>
      <c r="I557" s="389">
        <f t="shared" si="13"/>
        <v>6.142931239108913</v>
      </c>
      <c r="J557" s="389">
        <f t="shared" si="13"/>
        <v>4.2455350527903795</v>
      </c>
      <c r="K557" s="389">
        <f t="shared" si="13"/>
        <v>1.3286106832750801</v>
      </c>
      <c r="L557" s="389">
        <f t="shared" ref="G557:N557" si="14">L527/L$552</f>
        <v>1.5442803337456246</v>
      </c>
      <c r="M557" s="389">
        <f t="shared" si="14"/>
        <v>2.0973512371081289</v>
      </c>
      <c r="N557" s="389">
        <f t="shared" si="14"/>
        <v>6.8057561443127801</v>
      </c>
      <c r="P557" s="88"/>
    </row>
    <row r="558" spans="1:16">
      <c r="A558" s="387" t="s">
        <v>1376</v>
      </c>
      <c r="B558" s="226"/>
      <c r="C558" s="226"/>
      <c r="D558" s="226"/>
      <c r="E558" s="226"/>
      <c r="F558" s="389">
        <f t="shared" ref="F558:K558" si="15">F528/F$552</f>
        <v>22.224777892322997</v>
      </c>
      <c r="G558" s="389">
        <f t="shared" si="15"/>
        <v>10.574179093455236</v>
      </c>
      <c r="H558" s="389">
        <f t="shared" si="15"/>
        <v>8.9570210329309514</v>
      </c>
      <c r="I558" s="389">
        <f t="shared" si="15"/>
        <v>17.66999982652931</v>
      </c>
      <c r="J558" s="389">
        <f t="shared" si="15"/>
        <v>11.946263662010816</v>
      </c>
      <c r="K558" s="389">
        <f t="shared" si="15"/>
        <v>6.9282736361556454</v>
      </c>
      <c r="L558" s="389">
        <f t="shared" ref="G558:N559" si="16">L528/L$552</f>
        <v>3.6271319757504372</v>
      </c>
      <c r="M558" s="389">
        <f t="shared" si="16"/>
        <v>4.3546905647541223</v>
      </c>
      <c r="N558" s="389">
        <f t="shared" si="16"/>
        <v>9.8502553400706958</v>
      </c>
      <c r="P558" s="88"/>
    </row>
    <row r="559" spans="1:16">
      <c r="A559" s="227" t="s">
        <v>1377</v>
      </c>
      <c r="B559" s="226"/>
      <c r="C559" s="226"/>
      <c r="D559" s="226"/>
      <c r="E559" s="226"/>
      <c r="F559" s="389">
        <f t="shared" ref="F559:K559" si="17">F529/F$552</f>
        <v>24.599051292130959</v>
      </c>
      <c r="G559" s="389">
        <f t="shared" si="17"/>
        <v>9.7614046583488143</v>
      </c>
      <c r="H559" s="389">
        <f t="shared" si="17"/>
        <v>6.9368730873592188</v>
      </c>
      <c r="I559" s="389">
        <f t="shared" si="17"/>
        <v>11.185718429680033</v>
      </c>
      <c r="J559" s="389">
        <f t="shared" si="17"/>
        <v>7.7136045497971724</v>
      </c>
      <c r="K559" s="389">
        <f t="shared" si="17"/>
        <v>2.6318167047266563</v>
      </c>
      <c r="L559" s="389">
        <f t="shared" si="16"/>
        <v>2.777085082798342</v>
      </c>
      <c r="M559" s="389">
        <f t="shared" si="16"/>
        <v>3.6646337528729251</v>
      </c>
      <c r="N559" s="389">
        <f t="shared" si="16"/>
        <v>10.631129506672293</v>
      </c>
      <c r="P559" s="88"/>
    </row>
    <row r="560" spans="1:16">
      <c r="A560" s="227" t="s">
        <v>1383</v>
      </c>
      <c r="B560" s="385"/>
      <c r="C560" s="227"/>
      <c r="D560" s="227"/>
      <c r="E560" s="392"/>
      <c r="F560" s="389">
        <f t="shared" ref="F560:K560" si="18">F538/F$552</f>
        <v>1.9426519311920905</v>
      </c>
      <c r="G560" s="389">
        <f t="shared" si="18"/>
        <v>2.5111284844285793</v>
      </c>
      <c r="H560" s="389">
        <f t="shared" si="18"/>
        <v>2.2224006534611749</v>
      </c>
      <c r="I560" s="389">
        <f t="shared" si="18"/>
        <v>4.2445268874080124</v>
      </c>
      <c r="J560" s="389">
        <f t="shared" si="18"/>
        <v>3.1081535373755367</v>
      </c>
      <c r="K560" s="389">
        <f t="shared" si="18"/>
        <v>2.6935495929433744</v>
      </c>
      <c r="L560" s="389">
        <f t="shared" ref="G560:N560" si="19">L538/L$552</f>
        <v>1.3319530843606242</v>
      </c>
      <c r="M560" s="389">
        <f t="shared" si="19"/>
        <v>1.3628178297414713</v>
      </c>
      <c r="N560" s="389">
        <f t="shared" si="19"/>
        <v>1.2307431567302147</v>
      </c>
      <c r="P560" s="88"/>
    </row>
    <row r="561" spans="1:16">
      <c r="A561" s="227" t="s">
        <v>1384</v>
      </c>
      <c r="B561" s="385"/>
      <c r="C561" s="227"/>
      <c r="D561" s="227"/>
      <c r="E561" s="392"/>
      <c r="F561" s="389">
        <f t="shared" ref="F561:K561" si="20">F539/F$552</f>
        <v>0.56371121109306244</v>
      </c>
      <c r="G561" s="389">
        <f t="shared" si="20"/>
        <v>0.47608583644005309</v>
      </c>
      <c r="H561" s="389">
        <f t="shared" si="20"/>
        <v>0.36621444820154703</v>
      </c>
      <c r="I561" s="389">
        <f t="shared" si="20"/>
        <v>0.74265627485900687</v>
      </c>
      <c r="J561" s="389">
        <f t="shared" si="20"/>
        <v>0.52661549023426724</v>
      </c>
      <c r="K561" s="389">
        <f t="shared" si="20"/>
        <v>0.30103563343766099</v>
      </c>
      <c r="L561" s="389">
        <f t="shared" ref="G561:N567" si="21">L539/L$552</f>
        <v>0.20948159529286967</v>
      </c>
      <c r="M561" s="389">
        <f t="shared" si="21"/>
        <v>0.24553264358191837</v>
      </c>
      <c r="N561" s="389">
        <f t="shared" si="21"/>
        <v>0.32520763776314038</v>
      </c>
      <c r="P561" s="88"/>
    </row>
    <row r="562" spans="1:16">
      <c r="A562" s="227" t="s">
        <v>1385</v>
      </c>
      <c r="B562" s="385"/>
      <c r="C562" s="227"/>
      <c r="D562" s="227"/>
      <c r="E562" s="392"/>
      <c r="F562" s="389">
        <f t="shared" ref="F562:K562" si="22">F540/F$552</f>
        <v>4.3018034873955813</v>
      </c>
      <c r="G562" s="389">
        <f t="shared" si="22"/>
        <v>3.4584250182743697</v>
      </c>
      <c r="H562" s="389">
        <f t="shared" si="22"/>
        <v>2.7301018281754521</v>
      </c>
      <c r="I562" s="389">
        <f t="shared" si="22"/>
        <v>4.9860761927474107</v>
      </c>
      <c r="J562" s="389">
        <f t="shared" si="22"/>
        <v>3.6506349924416859</v>
      </c>
      <c r="K562" s="389">
        <f t="shared" si="22"/>
        <v>2.159122525671906</v>
      </c>
      <c r="L562" s="389">
        <f t="shared" si="21"/>
        <v>1.8755329701250234</v>
      </c>
      <c r="M562" s="389">
        <f t="shared" si="21"/>
        <v>2.0931328898024102</v>
      </c>
      <c r="N562" s="389">
        <f t="shared" si="21"/>
        <v>2.6587253421078878</v>
      </c>
      <c r="P562" s="88"/>
    </row>
    <row r="563" spans="1:16">
      <c r="A563" s="227" t="s">
        <v>1386</v>
      </c>
      <c r="B563" s="385"/>
      <c r="C563" s="227"/>
      <c r="D563" s="227"/>
      <c r="E563" s="392"/>
      <c r="F563" s="389">
        <f t="shared" ref="F563:K563" si="23">F541/F$552</f>
        <v>6.3117774283201058</v>
      </c>
      <c r="G563" s="389">
        <f t="shared" si="23"/>
        <v>5.0686160683015418</v>
      </c>
      <c r="H563" s="389">
        <f t="shared" si="23"/>
        <v>4.003599130212792</v>
      </c>
      <c r="I563" s="389">
        <f t="shared" si="23"/>
        <v>7.2934502204063643</v>
      </c>
      <c r="J563" s="389">
        <f t="shared" si="23"/>
        <v>5.3442986161039618</v>
      </c>
      <c r="K563" s="389">
        <f t="shared" si="23"/>
        <v>3.1634248801484435</v>
      </c>
      <c r="L563" s="389">
        <f t="shared" si="21"/>
        <v>2.7609290563643172</v>
      </c>
      <c r="M563" s="389">
        <f t="shared" si="21"/>
        <v>3.0783161738081359</v>
      </c>
      <c r="N563" s="389">
        <f t="shared" si="21"/>
        <v>3.9067861037210463</v>
      </c>
      <c r="P563" s="88"/>
    </row>
    <row r="564" spans="1:16">
      <c r="A564" s="227" t="s">
        <v>1387</v>
      </c>
      <c r="B564" s="385"/>
      <c r="C564" s="227"/>
      <c r="D564" s="227"/>
      <c r="E564" s="392"/>
      <c r="F564" s="389">
        <f t="shared" ref="F564:K564" si="24">F542/F$552</f>
        <v>8.1526380059167103</v>
      </c>
      <c r="G564" s="389">
        <f t="shared" si="24"/>
        <v>6.5359813673966976</v>
      </c>
      <c r="H564" s="389">
        <f t="shared" si="24"/>
        <v>5.1672320977896673</v>
      </c>
      <c r="I564" s="389">
        <f t="shared" si="24"/>
        <v>9.3780273656076165</v>
      </c>
      <c r="J564" s="389">
        <f t="shared" si="24"/>
        <v>6.8799775926959583</v>
      </c>
      <c r="K564" s="389">
        <f t="shared" si="24"/>
        <v>4.0774165445936816</v>
      </c>
      <c r="L564" s="389">
        <f t="shared" si="21"/>
        <v>3.5834806640157506</v>
      </c>
      <c r="M564" s="389">
        <f t="shared" si="21"/>
        <v>3.9898396647392853</v>
      </c>
      <c r="N564" s="389">
        <f t="shared" si="21"/>
        <v>5.057284574005263</v>
      </c>
    </row>
    <row r="565" spans="1:16">
      <c r="A565" s="227" t="s">
        <v>1388</v>
      </c>
      <c r="B565" s="385"/>
      <c r="C565" s="227"/>
      <c r="D565" s="227"/>
      <c r="E565" s="392"/>
      <c r="F565" s="389">
        <f t="shared" ref="F565:K565" si="25">F543/F$552</f>
        <v>20.381595014791777</v>
      </c>
      <c r="G565" s="389">
        <f t="shared" si="25"/>
        <v>16.339953418491746</v>
      </c>
      <c r="H565" s="389">
        <f t="shared" si="25"/>
        <v>12.918080244474167</v>
      </c>
      <c r="I565" s="389">
        <f t="shared" si="25"/>
        <v>23.44506841401904</v>
      </c>
      <c r="J565" s="389">
        <f t="shared" si="25"/>
        <v>17.199943981739896</v>
      </c>
      <c r="K565" s="389">
        <f t="shared" si="25"/>
        <v>10.193541361484206</v>
      </c>
      <c r="L565" s="389">
        <f t="shared" si="21"/>
        <v>8.9587016600393774</v>
      </c>
      <c r="M565" s="389">
        <f t="shared" si="21"/>
        <v>9.9745991618482126</v>
      </c>
      <c r="N565" s="389">
        <f t="shared" si="21"/>
        <v>12.643211435013157</v>
      </c>
    </row>
    <row r="566" spans="1:16">
      <c r="A566" s="227" t="s">
        <v>1389</v>
      </c>
      <c r="B566" s="385"/>
      <c r="C566" s="227"/>
      <c r="D566" s="227"/>
      <c r="E566" s="392"/>
      <c r="F566" s="389">
        <f t="shared" ref="F566:K566" si="26">F544/F$552</f>
        <v>13.277222537457972</v>
      </c>
      <c r="G566" s="389">
        <f t="shared" si="26"/>
        <v>9.789859972895961</v>
      </c>
      <c r="H566" s="389">
        <f t="shared" si="26"/>
        <v>7.5561471553929334</v>
      </c>
      <c r="I566" s="389">
        <f t="shared" si="26"/>
        <v>14.235952818224016</v>
      </c>
      <c r="J566" s="389">
        <f t="shared" si="26"/>
        <v>11.46524780754358</v>
      </c>
      <c r="K566" s="389">
        <f t="shared" si="26"/>
        <v>5.8366544935422917</v>
      </c>
      <c r="L566" s="389">
        <f t="shared" si="21"/>
        <v>5.4594362015473017</v>
      </c>
      <c r="M566" s="389">
        <f t="shared" si="21"/>
        <v>5.9551912334160155</v>
      </c>
      <c r="N566" s="389">
        <f t="shared" si="21"/>
        <v>8.465384646110488</v>
      </c>
    </row>
    <row r="567" spans="1:16">
      <c r="A567" s="227" t="s">
        <v>1390</v>
      </c>
      <c r="B567" s="385"/>
      <c r="C567" s="227"/>
      <c r="D567" s="227"/>
      <c r="E567" s="392"/>
      <c r="F567" s="389">
        <f t="shared" ref="F567:K567" si="27">F545/F$552</f>
        <v>13.053765773079054</v>
      </c>
      <c r="G567" s="389">
        <f t="shared" si="27"/>
        <v>6.906692580239012</v>
      </c>
      <c r="H567" s="389">
        <f t="shared" si="27"/>
        <v>4.7586234635340912</v>
      </c>
      <c r="I567" s="389">
        <f t="shared" si="27"/>
        <v>10.884307156076421</v>
      </c>
      <c r="J567" s="389">
        <f t="shared" si="27"/>
        <v>14.13563427776365</v>
      </c>
      <c r="K567" s="389">
        <f t="shared" si="27"/>
        <v>3.7494586655896307</v>
      </c>
      <c r="L567" s="389">
        <f t="shared" si="21"/>
        <v>5.307203653832806</v>
      </c>
      <c r="M567" s="389">
        <f t="shared" si="21"/>
        <v>5.0197746411530098</v>
      </c>
      <c r="N567" s="389">
        <f t="shared" si="21"/>
        <v>10.435690982243393</v>
      </c>
    </row>
    <row r="569" spans="1:16">
      <c r="A569" s="227" t="s">
        <v>1391</v>
      </c>
      <c r="B569" s="385"/>
      <c r="C569" s="227"/>
      <c r="D569" s="227"/>
      <c r="E569" s="392"/>
      <c r="F569" s="400">
        <f t="shared" ref="F569:K569" si="28">SUM(F555:F567)</f>
        <v>254.70892689672772</v>
      </c>
      <c r="G569" s="400">
        <f t="shared" si="28"/>
        <v>122.04012301564218</v>
      </c>
      <c r="H569" s="400">
        <f t="shared" si="28"/>
        <v>86.789101239868316</v>
      </c>
      <c r="I569" s="400">
        <f t="shared" si="28"/>
        <v>191.6924582861426</v>
      </c>
      <c r="J569" s="400">
        <f t="shared" si="28"/>
        <v>267.10282324756349</v>
      </c>
      <c r="K569" s="400">
        <f t="shared" si="28"/>
        <v>68.226315867163706</v>
      </c>
      <c r="L569" s="400">
        <f t="shared" ref="F569:N569" si="29">SUM(L555:L567)</f>
        <v>96.98705547225137</v>
      </c>
      <c r="M569" s="400">
        <f t="shared" si="29"/>
        <v>89.784408061332499</v>
      </c>
      <c r="N569" s="400">
        <f t="shared" si="29"/>
        <v>186.19336941595972</v>
      </c>
    </row>
    <row r="570" spans="1:16">
      <c r="F570" s="453"/>
    </row>
    <row r="578" spans="1:6">
      <c r="A578" s="372"/>
      <c r="B578" s="372"/>
      <c r="F578" s="454"/>
    </row>
    <row r="579" spans="1:6">
      <c r="A579" s="372"/>
      <c r="B579" s="372"/>
      <c r="F579" s="454"/>
    </row>
    <row r="580" spans="1:6">
      <c r="A580" s="372"/>
      <c r="B580" s="372"/>
      <c r="F580" s="454"/>
    </row>
    <row r="581" spans="1:6">
      <c r="A581" s="386"/>
      <c r="B581" s="386"/>
      <c r="F581" s="455"/>
    </row>
    <row r="582" spans="1:6">
      <c r="A582" s="386"/>
      <c r="B582" s="386"/>
      <c r="F582" s="456"/>
    </row>
    <row r="583" spans="1:6">
      <c r="A583" s="386"/>
      <c r="B583" s="386"/>
      <c r="F583" s="456"/>
    </row>
    <row r="584" spans="1:6">
      <c r="A584" s="237"/>
      <c r="B584" s="237"/>
      <c r="F584" s="457"/>
    </row>
  </sheetData>
  <mergeCells count="1">
    <mergeCell ref="A177:B177"/>
  </mergeCell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717EF-12A6-904E-93FE-1AC44B1A0432}">
  <dimension ref="A1:Z277"/>
  <sheetViews>
    <sheetView topLeftCell="A9" zoomScale="72" zoomScaleNormal="72" workbookViewId="0">
      <selection activeCell="Q28" sqref="Q28"/>
    </sheetView>
  </sheetViews>
  <sheetFormatPr baseColWidth="10" defaultRowHeight="15"/>
  <cols>
    <col min="14" max="20" width="10.83203125" style="8"/>
  </cols>
  <sheetData>
    <row r="1" spans="1:26">
      <c r="A1" s="197" t="s">
        <v>380</v>
      </c>
      <c r="B1" s="198"/>
      <c r="C1" s="198"/>
      <c r="D1" s="198"/>
      <c r="E1" s="198"/>
      <c r="F1" s="198"/>
      <c r="G1" s="198"/>
      <c r="H1" s="198"/>
      <c r="K1" s="198"/>
      <c r="L1" s="198"/>
      <c r="M1" s="198"/>
    </row>
    <row r="2" spans="1:26">
      <c r="A2" s="199" t="s">
        <v>381</v>
      </c>
      <c r="B2" s="8"/>
      <c r="C2" s="8"/>
      <c r="D2" s="8"/>
      <c r="E2" s="8"/>
      <c r="F2" s="8"/>
      <c r="G2" s="8"/>
      <c r="H2" s="8"/>
      <c r="K2" s="8"/>
      <c r="L2" s="8"/>
      <c r="M2" s="8"/>
    </row>
    <row r="3" spans="1:26">
      <c r="A3" s="7"/>
      <c r="B3" s="8"/>
      <c r="C3" s="8"/>
      <c r="D3" s="8"/>
      <c r="E3" s="8"/>
      <c r="F3" s="8"/>
      <c r="G3" s="8"/>
      <c r="H3" s="8"/>
      <c r="K3" s="8"/>
      <c r="L3" s="8"/>
      <c r="M3" s="8"/>
    </row>
    <row r="4" spans="1:26">
      <c r="A4" s="199" t="s">
        <v>419</v>
      </c>
      <c r="B4" s="8"/>
      <c r="C4" s="8"/>
      <c r="D4" s="8"/>
      <c r="E4" s="8"/>
      <c r="F4" s="200"/>
      <c r="H4" s="200"/>
      <c r="L4" s="126"/>
      <c r="N4" s="200"/>
      <c r="P4" s="200"/>
      <c r="R4" s="191"/>
      <c r="T4" s="200"/>
      <c r="V4" s="200"/>
      <c r="X4" s="191"/>
      <c r="Z4" s="191"/>
    </row>
    <row r="5" spans="1:26" ht="16">
      <c r="A5" s="217"/>
      <c r="B5" s="217"/>
      <c r="C5" s="217"/>
      <c r="D5" s="217"/>
      <c r="E5" s="217"/>
      <c r="F5" s="402" t="s">
        <v>728</v>
      </c>
      <c r="G5" s="614" t="s">
        <v>1395</v>
      </c>
      <c r="H5" s="614" t="s">
        <v>688</v>
      </c>
      <c r="I5" s="258" t="s">
        <v>1394</v>
      </c>
      <c r="J5" s="258" t="s">
        <v>1393</v>
      </c>
      <c r="K5" s="258" t="s">
        <v>1392</v>
      </c>
      <c r="L5" s="614" t="s">
        <v>687</v>
      </c>
      <c r="M5" s="258" t="s">
        <v>489</v>
      </c>
      <c r="N5" s="614" t="s">
        <v>378</v>
      </c>
      <c r="O5" s="220"/>
      <c r="P5" s="220"/>
      <c r="Q5" s="220"/>
      <c r="R5" s="220"/>
      <c r="S5" s="220"/>
      <c r="T5" s="200"/>
    </row>
    <row r="6" spans="1:26" ht="16">
      <c r="A6" s="585" t="s">
        <v>1316</v>
      </c>
      <c r="F6" s="8"/>
      <c r="G6" s="8"/>
      <c r="H6" s="8"/>
      <c r="K6" s="8"/>
      <c r="L6" s="8"/>
      <c r="M6" s="251"/>
      <c r="O6" s="368"/>
    </row>
    <row r="7" spans="1:26">
      <c r="A7" s="457" t="s">
        <v>1317</v>
      </c>
      <c r="D7" s="251"/>
      <c r="F7" s="8">
        <v>156.57934357121349</v>
      </c>
      <c r="G7" s="8">
        <v>489.2623716153127</v>
      </c>
      <c r="H7" s="8">
        <v>365.45138888888886</v>
      </c>
      <c r="I7">
        <v>1487.2280497280494</v>
      </c>
      <c r="J7">
        <v>1279.4090489381349</v>
      </c>
      <c r="K7" s="8">
        <v>1596.7959601236341</v>
      </c>
      <c r="L7" s="8">
        <v>691.85000691850007</v>
      </c>
      <c r="M7" s="252">
        <v>740.22128720585954</v>
      </c>
      <c r="N7" s="8">
        <v>162.98185941043084</v>
      </c>
      <c r="R7" s="678"/>
    </row>
    <row r="8" spans="1:26">
      <c r="A8" s="457" t="s">
        <v>1318</v>
      </c>
      <c r="D8" s="251"/>
      <c r="F8" s="8">
        <v>5.965315472118391</v>
      </c>
      <c r="G8" s="8">
        <v>23.479494882001475</v>
      </c>
      <c r="H8" s="8">
        <v>30.961770993330223</v>
      </c>
      <c r="I8">
        <v>23.093473823030443</v>
      </c>
      <c r="J8">
        <v>22.592693841611016</v>
      </c>
      <c r="K8" s="8">
        <v>64.273063400080673</v>
      </c>
      <c r="L8" s="8">
        <v>455.37894685939966</v>
      </c>
      <c r="M8" s="253">
        <v>359.54597019173292</v>
      </c>
      <c r="N8" s="8">
        <v>71.5371353976373</v>
      </c>
      <c r="O8" s="223"/>
      <c r="R8" s="678"/>
    </row>
    <row r="9" spans="1:26">
      <c r="A9" s="227" t="s">
        <v>1319</v>
      </c>
      <c r="F9" s="8">
        <v>365.3281750649578</v>
      </c>
      <c r="G9" s="8">
        <v>215.9902132392792</v>
      </c>
      <c r="H9" s="8">
        <v>292.65805024327915</v>
      </c>
      <c r="I9">
        <v>189.26049535364399</v>
      </c>
      <c r="J9">
        <v>181.77424803248039</v>
      </c>
      <c r="K9" s="8">
        <v>182.44440038455525</v>
      </c>
      <c r="L9" s="8">
        <v>199.427167248682</v>
      </c>
      <c r="M9" s="252">
        <v>193.20209107789086</v>
      </c>
      <c r="N9" s="8">
        <v>323.52860208951716</v>
      </c>
      <c r="O9" s="223"/>
    </row>
    <row r="10" spans="1:26">
      <c r="A10" s="227" t="s">
        <v>1320</v>
      </c>
      <c r="D10" s="251"/>
      <c r="F10" s="8">
        <v>0.30444014588746482</v>
      </c>
      <c r="G10" s="8">
        <v>0.179991844366066</v>
      </c>
      <c r="H10" s="8">
        <v>0.24388170853606594</v>
      </c>
      <c r="I10">
        <v>0.15771707946136998</v>
      </c>
      <c r="J10">
        <v>0.15147854002706698</v>
      </c>
      <c r="K10" s="8">
        <v>0.15203700032046272</v>
      </c>
      <c r="L10" s="8">
        <v>0.16618930604056834</v>
      </c>
      <c r="M10" s="252">
        <v>0.16100174256490904</v>
      </c>
      <c r="N10" s="8">
        <v>0.26960716840793097</v>
      </c>
      <c r="O10" s="223"/>
      <c r="R10" s="678"/>
    </row>
    <row r="11" spans="1:26" ht="16">
      <c r="A11" s="227" t="s">
        <v>1321</v>
      </c>
      <c r="D11" s="251"/>
      <c r="F11" s="8">
        <v>0</v>
      </c>
      <c r="G11" s="8">
        <v>0</v>
      </c>
      <c r="H11" s="8">
        <v>0</v>
      </c>
      <c r="I11">
        <v>0</v>
      </c>
      <c r="J11">
        <v>0</v>
      </c>
      <c r="K11" s="8">
        <v>0</v>
      </c>
      <c r="L11" s="8">
        <v>0</v>
      </c>
      <c r="M11" s="252">
        <v>0</v>
      </c>
      <c r="N11" s="8">
        <v>0</v>
      </c>
      <c r="O11" s="368"/>
      <c r="R11" s="678"/>
    </row>
    <row r="12" spans="1:26">
      <c r="A12" s="227" t="s">
        <v>1322</v>
      </c>
      <c r="D12" s="251"/>
      <c r="F12" s="8">
        <v>0</v>
      </c>
      <c r="G12" s="8">
        <v>0</v>
      </c>
      <c r="H12" s="8">
        <v>0</v>
      </c>
      <c r="I12">
        <v>0</v>
      </c>
      <c r="J12">
        <v>0</v>
      </c>
      <c r="K12" s="8">
        <v>0</v>
      </c>
      <c r="L12" s="8">
        <v>0</v>
      </c>
      <c r="M12" s="252">
        <v>0</v>
      </c>
      <c r="N12" s="8">
        <v>0</v>
      </c>
      <c r="O12" s="223"/>
      <c r="R12" s="678"/>
    </row>
    <row r="13" spans="1:26">
      <c r="A13" s="227" t="s">
        <v>1323</v>
      </c>
      <c r="D13" s="251"/>
      <c r="F13" s="8">
        <v>365.3281750649578</v>
      </c>
      <c r="G13" s="8">
        <v>215.9902132392792</v>
      </c>
      <c r="H13" s="8">
        <v>292.65805024327915</v>
      </c>
      <c r="I13">
        <v>189.26049535364399</v>
      </c>
      <c r="J13">
        <v>181.77424803248039</v>
      </c>
      <c r="K13" s="8">
        <v>182.44440038455525</v>
      </c>
      <c r="L13" s="8">
        <v>199.427167248682</v>
      </c>
      <c r="M13" s="252">
        <v>193.20209107789086</v>
      </c>
      <c r="N13" s="8">
        <v>323.52860208951716</v>
      </c>
      <c r="O13" s="223"/>
      <c r="R13" s="678"/>
    </row>
    <row r="14" spans="1:26">
      <c r="A14" s="227"/>
      <c r="D14" s="251"/>
      <c r="F14" s="8"/>
      <c r="G14" s="8"/>
      <c r="H14" s="8"/>
      <c r="K14" s="8"/>
      <c r="L14" s="8"/>
      <c r="M14" s="254"/>
      <c r="O14" s="223"/>
      <c r="R14" s="678"/>
    </row>
    <row r="15" spans="1:26">
      <c r="A15" s="585" t="s">
        <v>1324</v>
      </c>
      <c r="D15" s="251"/>
      <c r="F15" s="8"/>
      <c r="G15" s="8"/>
      <c r="H15" s="8"/>
      <c r="K15" s="8"/>
      <c r="L15" s="8"/>
      <c r="M15" s="255"/>
      <c r="O15" s="223"/>
      <c r="R15" s="678"/>
    </row>
    <row r="16" spans="1:26">
      <c r="A16" s="177" t="s">
        <v>1325</v>
      </c>
      <c r="D16" s="251"/>
      <c r="F16" s="8">
        <v>6.7908573390674016</v>
      </c>
      <c r="G16" s="8">
        <v>21.219344079714226</v>
      </c>
      <c r="H16" s="8">
        <v>15.849652896135542</v>
      </c>
      <c r="I16">
        <v>64.501186976615898</v>
      </c>
      <c r="J16">
        <v>55.488062036096601</v>
      </c>
      <c r="K16" s="8">
        <v>69.25315509364745</v>
      </c>
      <c r="L16" s="8">
        <v>49.349288740576505</v>
      </c>
      <c r="M16" s="253">
        <v>32.562980053300365</v>
      </c>
      <c r="N16" s="8">
        <v>7.0685349093241072</v>
      </c>
      <c r="O16" s="223"/>
      <c r="R16" s="678"/>
    </row>
    <row r="17" spans="1:20">
      <c r="A17" s="177" t="s">
        <v>1326</v>
      </c>
      <c r="D17" s="251"/>
      <c r="F17" s="8">
        <v>0</v>
      </c>
      <c r="G17" s="8">
        <v>0</v>
      </c>
      <c r="H17" s="8">
        <v>0</v>
      </c>
      <c r="I17">
        <v>0</v>
      </c>
      <c r="J17">
        <v>0</v>
      </c>
      <c r="K17" s="8">
        <v>0</v>
      </c>
      <c r="L17" s="8">
        <v>0</v>
      </c>
      <c r="M17" s="253">
        <v>0</v>
      </c>
      <c r="N17" s="8">
        <v>0</v>
      </c>
      <c r="O17" s="223"/>
      <c r="R17" s="678"/>
    </row>
    <row r="18" spans="1:20" s="6" customFormat="1" ht="16">
      <c r="A18" s="177" t="s">
        <v>1327</v>
      </c>
      <c r="D18" s="662"/>
      <c r="F18" s="10">
        <v>2.5353775349508068</v>
      </c>
      <c r="G18" s="10">
        <v>1.4989720798805974</v>
      </c>
      <c r="H18" s="10">
        <v>2.0310468686883572</v>
      </c>
      <c r="I18" s="6">
        <v>1.313467837754289</v>
      </c>
      <c r="J18" s="6">
        <v>1.2615132813454137</v>
      </c>
      <c r="K18" s="10">
        <v>1.2661641386688134</v>
      </c>
      <c r="L18" s="10">
        <v>1.3840245407058529</v>
      </c>
      <c r="M18" s="663">
        <v>1.3408225120805624</v>
      </c>
      <c r="N18" s="10">
        <v>2.2452884985012491</v>
      </c>
      <c r="O18" s="218"/>
      <c r="P18" s="10"/>
      <c r="Q18" s="10"/>
      <c r="R18" s="679"/>
      <c r="S18" s="10"/>
      <c r="T18" s="10"/>
    </row>
    <row r="19" spans="1:20" s="6" customFormat="1">
      <c r="A19" s="177" t="s">
        <v>1328</v>
      </c>
      <c r="D19" s="662"/>
      <c r="F19" s="10">
        <v>0</v>
      </c>
      <c r="G19" s="10">
        <v>0</v>
      </c>
      <c r="H19" s="10">
        <v>0</v>
      </c>
      <c r="I19" s="6">
        <v>0</v>
      </c>
      <c r="J19" s="6">
        <v>0</v>
      </c>
      <c r="K19" s="10">
        <v>0</v>
      </c>
      <c r="L19" s="10">
        <v>0</v>
      </c>
      <c r="M19" s="663">
        <v>0</v>
      </c>
      <c r="N19" s="10">
        <v>0</v>
      </c>
      <c r="O19" s="219"/>
      <c r="P19" s="10"/>
      <c r="Q19" s="10"/>
      <c r="R19" s="679"/>
      <c r="S19" s="10"/>
      <c r="T19" s="10"/>
    </row>
    <row r="20" spans="1:20" s="6" customFormat="1">
      <c r="A20" s="177" t="s">
        <v>1329</v>
      </c>
      <c r="D20" s="662"/>
      <c r="F20" s="10">
        <v>0</v>
      </c>
      <c r="G20" s="10">
        <v>0</v>
      </c>
      <c r="H20" s="10">
        <v>0</v>
      </c>
      <c r="I20" s="6">
        <v>0</v>
      </c>
      <c r="J20" s="6">
        <v>0</v>
      </c>
      <c r="K20" s="10">
        <v>0</v>
      </c>
      <c r="L20" s="10">
        <v>0</v>
      </c>
      <c r="M20" s="665">
        <v>0</v>
      </c>
      <c r="N20" s="10">
        <v>0</v>
      </c>
      <c r="O20" s="177"/>
      <c r="P20" s="10"/>
      <c r="Q20" s="10"/>
      <c r="R20" s="679"/>
      <c r="S20" s="10"/>
      <c r="T20" s="10"/>
    </row>
    <row r="21" spans="1:20" s="6" customFormat="1">
      <c r="A21" s="177" t="s">
        <v>1330</v>
      </c>
      <c r="D21" s="662"/>
      <c r="F21" s="10">
        <v>0</v>
      </c>
      <c r="G21" s="10">
        <v>0</v>
      </c>
      <c r="H21" s="10">
        <v>0</v>
      </c>
      <c r="I21" s="6">
        <v>0</v>
      </c>
      <c r="J21" s="6">
        <v>0</v>
      </c>
      <c r="K21" s="10">
        <v>0</v>
      </c>
      <c r="L21" s="10">
        <v>0</v>
      </c>
      <c r="M21" s="666">
        <v>0</v>
      </c>
      <c r="N21" s="10">
        <v>0</v>
      </c>
      <c r="O21" s="177"/>
      <c r="P21" s="10"/>
      <c r="Q21" s="10"/>
      <c r="R21" s="679"/>
      <c r="S21" s="10"/>
      <c r="T21" s="10"/>
    </row>
    <row r="22" spans="1:20" s="6" customFormat="1">
      <c r="A22" s="177" t="s">
        <v>1331</v>
      </c>
      <c r="F22" s="10">
        <v>9.3262348740182084</v>
      </c>
      <c r="G22" s="10">
        <v>22.718316159594824</v>
      </c>
      <c r="H22" s="10">
        <v>17.880699764823898</v>
      </c>
      <c r="I22" s="6">
        <v>65.814654814370186</v>
      </c>
      <c r="J22" s="6">
        <v>56.749575317442016</v>
      </c>
      <c r="K22" s="10">
        <v>70.519319232316263</v>
      </c>
      <c r="L22" s="10">
        <v>50.733313281282356</v>
      </c>
      <c r="M22" s="666">
        <v>33.903802565380929</v>
      </c>
      <c r="N22" s="10">
        <v>9.3138234078253568</v>
      </c>
      <c r="O22" s="177"/>
      <c r="P22" s="10"/>
      <c r="Q22" s="10"/>
      <c r="R22" s="10"/>
      <c r="S22" s="10"/>
      <c r="T22" s="10"/>
    </row>
    <row r="23" spans="1:20" s="6" customFormat="1">
      <c r="A23" s="177" t="s">
        <v>1332</v>
      </c>
      <c r="F23" s="10">
        <v>91.770151160339168</v>
      </c>
      <c r="G23" s="10">
        <v>81.785938174541371</v>
      </c>
      <c r="H23" s="10">
        <v>42.91367943557735</v>
      </c>
      <c r="I23" s="6">
        <v>277.21132607812717</v>
      </c>
      <c r="J23" s="6">
        <v>161.73628965470974</v>
      </c>
      <c r="K23" s="10">
        <v>54.652472405045103</v>
      </c>
      <c r="L23" s="10">
        <v>40.180784118775627</v>
      </c>
      <c r="M23" s="666">
        <v>37.429798032180543</v>
      </c>
      <c r="N23" s="10">
        <v>37.553335980351839</v>
      </c>
      <c r="O23" s="177"/>
      <c r="P23" s="10"/>
      <c r="Q23" s="10"/>
      <c r="R23" s="10"/>
      <c r="S23" s="10"/>
      <c r="T23" s="10"/>
    </row>
    <row r="24" spans="1:20" s="6" customFormat="1">
      <c r="A24" s="177" t="s">
        <v>1333</v>
      </c>
      <c r="F24" s="10">
        <v>0.22319001272480493</v>
      </c>
      <c r="G24" s="10">
        <v>0.19888106921925672</v>
      </c>
      <c r="H24" s="10">
        <v>0.104322771974991</v>
      </c>
      <c r="I24" s="6">
        <v>0.67713485865701306</v>
      </c>
      <c r="J24" s="6">
        <v>0.39329842372461243</v>
      </c>
      <c r="K24" s="10">
        <v>0.13352229925594614</v>
      </c>
      <c r="L24" s="10">
        <v>9.7376263272539204E-2</v>
      </c>
      <c r="M24" s="666">
        <v>9.0778844101677386E-2</v>
      </c>
      <c r="N24" s="10">
        <v>9.1126275556173461E-2</v>
      </c>
      <c r="O24" s="177"/>
      <c r="P24" s="10"/>
      <c r="Q24" s="10"/>
      <c r="R24" s="10"/>
      <c r="S24" s="10"/>
      <c r="T24" s="10"/>
    </row>
    <row r="25" spans="1:20" s="6" customFormat="1">
      <c r="A25" s="260"/>
      <c r="F25" s="10"/>
      <c r="G25" s="10"/>
      <c r="H25" s="10"/>
      <c r="K25" s="10"/>
      <c r="L25" s="10"/>
      <c r="M25" s="666"/>
      <c r="N25" s="10"/>
      <c r="O25" s="177"/>
      <c r="P25" s="10"/>
      <c r="Q25" s="10"/>
      <c r="R25" s="10"/>
      <c r="S25" s="10"/>
      <c r="T25" s="10"/>
    </row>
    <row r="26" spans="1:20" s="6" customFormat="1">
      <c r="A26" s="585" t="str">
        <f>C26 &amp;" Balance"</f>
        <v xml:space="preserve"> Balance</v>
      </c>
      <c r="F26" s="10"/>
      <c r="G26" s="10"/>
      <c r="H26" s="10"/>
      <c r="K26" s="10"/>
      <c r="L26" s="10"/>
      <c r="M26" s="666"/>
      <c r="N26" s="10"/>
      <c r="O26" s="177"/>
      <c r="P26" s="10"/>
      <c r="Q26" s="10"/>
      <c r="R26" s="10"/>
      <c r="S26" s="10"/>
      <c r="T26" s="10"/>
    </row>
    <row r="27" spans="1:20" s="6" customFormat="1">
      <c r="A27" s="177" t="str">
        <f>C26 &amp; " mass in positive electrode, g/cell"</f>
        <v xml:space="preserve"> mass in positive electrode, g/cell</v>
      </c>
      <c r="F27" s="10">
        <v>0</v>
      </c>
      <c r="G27" s="10">
        <v>0</v>
      </c>
      <c r="H27" s="10">
        <v>0</v>
      </c>
      <c r="I27" s="6">
        <v>0</v>
      </c>
      <c r="J27" s="6">
        <v>0</v>
      </c>
      <c r="K27" s="10">
        <v>0</v>
      </c>
      <c r="L27" s="10">
        <v>333.98233336706011</v>
      </c>
      <c r="M27" s="666">
        <v>0</v>
      </c>
      <c r="N27" s="10">
        <v>0</v>
      </c>
      <c r="O27" s="177"/>
      <c r="P27" s="10"/>
      <c r="Q27" s="10"/>
      <c r="R27" s="10"/>
      <c r="S27" s="10"/>
      <c r="T27" s="10"/>
    </row>
    <row r="28" spans="1:20" s="6" customFormat="1">
      <c r="A28" s="177" t="str">
        <f>C26 &amp; " mass in negative electrode, g/cell"</f>
        <v xml:space="preserve"> mass in negative electrode, g/cell</v>
      </c>
      <c r="F28" s="10">
        <v>0</v>
      </c>
      <c r="G28" s="10">
        <v>0</v>
      </c>
      <c r="H28" s="10">
        <v>0</v>
      </c>
      <c r="I28" s="6">
        <v>0</v>
      </c>
      <c r="J28" s="6">
        <v>0</v>
      </c>
      <c r="K28" s="10">
        <v>0</v>
      </c>
      <c r="L28" s="10">
        <v>0</v>
      </c>
      <c r="M28" s="6">
        <v>0</v>
      </c>
      <c r="N28" s="10">
        <v>0</v>
      </c>
      <c r="O28" s="219"/>
      <c r="P28" s="10"/>
      <c r="Q28" s="10"/>
      <c r="R28" s="10"/>
      <c r="S28" s="10"/>
      <c r="T28" s="10"/>
    </row>
    <row r="29" spans="1:20" s="6" customFormat="1">
      <c r="A29" s="177" t="str">
        <f xml:space="preserve"> C26 &amp; " mass, g/cell"</f>
        <v xml:space="preserve"> mass, g/cell</v>
      </c>
      <c r="F29" s="10">
        <v>0</v>
      </c>
      <c r="G29" s="10">
        <v>0</v>
      </c>
      <c r="H29" s="10">
        <v>0</v>
      </c>
      <c r="I29" s="6">
        <v>0</v>
      </c>
      <c r="J29" s="6">
        <v>0</v>
      </c>
      <c r="K29" s="10">
        <v>0</v>
      </c>
      <c r="L29" s="10">
        <v>333.98233336706011</v>
      </c>
      <c r="M29" s="6">
        <v>0</v>
      </c>
      <c r="N29" s="10">
        <v>0</v>
      </c>
      <c r="O29" s="680"/>
      <c r="P29" s="10"/>
      <c r="Q29" s="10"/>
      <c r="R29" s="10"/>
      <c r="S29" s="10"/>
      <c r="T29" s="10"/>
    </row>
    <row r="30" spans="1:20" s="6" customFormat="1">
      <c r="A30" s="177" t="str">
        <f xml:space="preserve"> C26 &amp; " mass, kg/pack"</f>
        <v xml:space="preserve"> mass, kg/pack</v>
      </c>
      <c r="F30" s="10">
        <v>0</v>
      </c>
      <c r="G30" s="10">
        <v>0</v>
      </c>
      <c r="H30" s="10">
        <v>0</v>
      </c>
      <c r="I30" s="6">
        <v>0</v>
      </c>
      <c r="J30" s="6">
        <v>0</v>
      </c>
      <c r="K30" s="10">
        <v>0</v>
      </c>
      <c r="L30" s="10">
        <v>264.51400802671156</v>
      </c>
      <c r="M30" s="667">
        <v>0</v>
      </c>
      <c r="N30" s="10">
        <v>0</v>
      </c>
      <c r="O30" s="177"/>
      <c r="P30" s="10"/>
      <c r="Q30" s="10"/>
      <c r="R30" s="10"/>
      <c r="S30" s="10"/>
      <c r="T30" s="10"/>
    </row>
    <row r="31" spans="1:20" s="6" customFormat="1">
      <c r="A31" s="260" t="str">
        <f xml:space="preserve"> C26 &amp; " mass, kg/kWh"</f>
        <v xml:space="preserve"> mass, kg/kWh</v>
      </c>
      <c r="F31" s="10">
        <v>0</v>
      </c>
      <c r="G31" s="10">
        <v>0</v>
      </c>
      <c r="H31" s="10">
        <v>0</v>
      </c>
      <c r="I31" s="6">
        <v>0</v>
      </c>
      <c r="J31" s="6">
        <v>0</v>
      </c>
      <c r="K31" s="10">
        <v>0</v>
      </c>
      <c r="L31" s="10">
        <v>0.64103740755143046</v>
      </c>
      <c r="M31" s="667">
        <v>0</v>
      </c>
      <c r="N31" s="10">
        <v>0</v>
      </c>
      <c r="O31" s="177"/>
      <c r="P31" s="10"/>
      <c r="Q31" s="10"/>
      <c r="R31" s="10"/>
      <c r="S31" s="10"/>
      <c r="T31" s="10"/>
    </row>
    <row r="32" spans="1:20" s="6" customFormat="1">
      <c r="A32" s="260"/>
      <c r="F32" s="10"/>
      <c r="G32" s="10"/>
      <c r="H32" s="10"/>
      <c r="K32" s="10"/>
      <c r="L32" s="10"/>
      <c r="M32" s="667"/>
      <c r="N32" s="10"/>
      <c r="O32" s="177"/>
      <c r="P32" s="10"/>
      <c r="Q32" s="10"/>
      <c r="R32" s="10"/>
      <c r="S32" s="10"/>
      <c r="T32" s="10"/>
    </row>
    <row r="33" spans="1:20" s="6" customFormat="1">
      <c r="A33" s="585" t="str">
        <f>C33 &amp;" Balance"</f>
        <v xml:space="preserve"> Balance</v>
      </c>
      <c r="D33" s="662"/>
      <c r="F33" s="10"/>
      <c r="G33" s="10"/>
      <c r="H33" s="10"/>
      <c r="K33" s="10"/>
      <c r="L33" s="10"/>
      <c r="M33" s="668"/>
      <c r="N33" s="10"/>
      <c r="O33" s="177"/>
      <c r="P33" s="10"/>
      <c r="Q33" s="10"/>
      <c r="R33" s="679"/>
      <c r="S33" s="10"/>
      <c r="T33" s="10"/>
    </row>
    <row r="34" spans="1:20" s="6" customFormat="1">
      <c r="A34" s="177" t="str">
        <f>C33 &amp; " mass in positive electrode, g/cell"</f>
        <v xml:space="preserve"> mass in positive electrode, g/cell</v>
      </c>
      <c r="D34" s="662"/>
      <c r="F34" s="10">
        <v>0</v>
      </c>
      <c r="G34" s="10">
        <v>0</v>
      </c>
      <c r="H34" s="10">
        <v>0</v>
      </c>
      <c r="I34" s="6">
        <v>0</v>
      </c>
      <c r="J34" s="6">
        <v>0</v>
      </c>
      <c r="K34" s="10">
        <v>0</v>
      </c>
      <c r="L34" s="10">
        <v>41.904230338359845</v>
      </c>
      <c r="M34" s="668">
        <v>0</v>
      </c>
      <c r="N34" s="10">
        <v>0</v>
      </c>
      <c r="O34" s="177"/>
      <c r="P34" s="10"/>
      <c r="Q34" s="10"/>
      <c r="R34" s="679"/>
      <c r="S34" s="10"/>
      <c r="T34" s="10"/>
    </row>
    <row r="35" spans="1:20" s="6" customFormat="1">
      <c r="A35" s="177" t="str">
        <f>C33 &amp; " mass in negative electrode, g/cell"</f>
        <v xml:space="preserve"> mass in negative electrode, g/cell</v>
      </c>
      <c r="D35" s="662"/>
      <c r="F35" s="10">
        <v>0</v>
      </c>
      <c r="G35" s="10">
        <v>0</v>
      </c>
      <c r="H35" s="10">
        <v>0</v>
      </c>
      <c r="I35" s="6">
        <v>0</v>
      </c>
      <c r="J35" s="6">
        <v>0</v>
      </c>
      <c r="K35" s="10">
        <v>0</v>
      </c>
      <c r="L35" s="10">
        <v>0</v>
      </c>
      <c r="M35" s="668">
        <v>0</v>
      </c>
      <c r="N35" s="10">
        <v>0</v>
      </c>
      <c r="O35" s="177"/>
      <c r="P35" s="10"/>
      <c r="Q35" s="10"/>
      <c r="R35" s="679"/>
      <c r="S35" s="10"/>
      <c r="T35" s="10"/>
    </row>
    <row r="36" spans="1:20" s="6" customFormat="1">
      <c r="A36" s="177" t="str">
        <f xml:space="preserve"> C33 &amp; " mass, g/cell"</f>
        <v xml:space="preserve"> mass, g/cell</v>
      </c>
      <c r="D36" s="662"/>
      <c r="F36" s="10">
        <v>0</v>
      </c>
      <c r="G36" s="10">
        <v>0</v>
      </c>
      <c r="H36" s="10">
        <v>0</v>
      </c>
      <c r="I36" s="6">
        <v>0</v>
      </c>
      <c r="J36" s="6">
        <v>0</v>
      </c>
      <c r="K36" s="10">
        <v>0</v>
      </c>
      <c r="L36" s="10">
        <v>41.904230338359845</v>
      </c>
      <c r="M36" s="668">
        <v>0</v>
      </c>
      <c r="N36" s="10">
        <v>0</v>
      </c>
      <c r="O36" s="177"/>
      <c r="P36" s="10"/>
      <c r="Q36" s="10"/>
      <c r="R36" s="679"/>
      <c r="S36" s="10"/>
      <c r="T36" s="10"/>
    </row>
    <row r="37" spans="1:20" s="6" customFormat="1">
      <c r="A37" s="177" t="str">
        <f xml:space="preserve"> C33 &amp; " mass, kg/pack"</f>
        <v xml:space="preserve"> mass, kg/pack</v>
      </c>
      <c r="D37" s="662"/>
      <c r="F37" s="10">
        <v>0</v>
      </c>
      <c r="G37" s="10">
        <v>0</v>
      </c>
      <c r="H37" s="10">
        <v>0</v>
      </c>
      <c r="I37" s="6">
        <v>0</v>
      </c>
      <c r="J37" s="6">
        <v>0</v>
      </c>
      <c r="K37" s="10">
        <v>0</v>
      </c>
      <c r="L37" s="10">
        <v>33.188150427980993</v>
      </c>
      <c r="M37" s="663">
        <v>0</v>
      </c>
      <c r="N37" s="10">
        <v>0</v>
      </c>
      <c r="O37" s="680"/>
      <c r="P37" s="10"/>
      <c r="Q37" s="10"/>
      <c r="R37" s="679"/>
      <c r="S37" s="10"/>
      <c r="T37" s="10"/>
    </row>
    <row r="38" spans="1:20" s="6" customFormat="1">
      <c r="A38" s="260" t="str">
        <f xml:space="preserve"> C33 &amp; " mass, kg/kWh"</f>
        <v xml:space="preserve"> mass, kg/kWh</v>
      </c>
      <c r="D38" s="662"/>
      <c r="F38" s="10">
        <v>0</v>
      </c>
      <c r="G38" s="10">
        <v>0</v>
      </c>
      <c r="H38" s="10">
        <v>0</v>
      </c>
      <c r="I38" s="6">
        <v>0</v>
      </c>
      <c r="J38" s="6">
        <v>0</v>
      </c>
      <c r="K38" s="10">
        <v>0</v>
      </c>
      <c r="L38" s="10">
        <v>8.0429940442441228E-2</v>
      </c>
      <c r="M38" s="667">
        <v>0</v>
      </c>
      <c r="N38" s="10">
        <v>0</v>
      </c>
      <c r="O38" s="177"/>
      <c r="P38" s="10"/>
      <c r="Q38" s="10"/>
      <c r="R38" s="679"/>
      <c r="S38" s="10"/>
      <c r="T38" s="10"/>
    </row>
    <row r="39" spans="1:20" s="6" customFormat="1">
      <c r="A39" s="260"/>
      <c r="D39" s="662"/>
      <c r="F39" s="10"/>
      <c r="G39" s="10"/>
      <c r="H39" s="10"/>
      <c r="K39" s="10"/>
      <c r="L39" s="10"/>
      <c r="M39" s="667"/>
      <c r="N39" s="10"/>
      <c r="O39" s="177"/>
      <c r="P39" s="10"/>
      <c r="Q39" s="10"/>
      <c r="R39" s="679"/>
      <c r="S39" s="10"/>
      <c r="T39" s="10"/>
    </row>
    <row r="40" spans="1:20" s="6" customFormat="1">
      <c r="A40" s="585" t="str">
        <f>C40 &amp;" Balance"</f>
        <v xml:space="preserve"> Balance</v>
      </c>
      <c r="D40" s="662"/>
      <c r="F40" s="10"/>
      <c r="G40" s="10"/>
      <c r="H40" s="10"/>
      <c r="K40" s="10"/>
      <c r="L40" s="10"/>
      <c r="M40" s="669"/>
      <c r="N40" s="10"/>
      <c r="O40" s="177"/>
      <c r="P40" s="10"/>
      <c r="Q40" s="10"/>
      <c r="R40" s="679"/>
      <c r="S40" s="10"/>
      <c r="T40" s="10"/>
    </row>
    <row r="41" spans="1:20" s="6" customFormat="1">
      <c r="A41" s="177" t="str">
        <f>C40 &amp; " mass in positive electrode, g/cell"</f>
        <v xml:space="preserve"> mass in positive electrode, g/cell</v>
      </c>
      <c r="D41" s="662"/>
      <c r="F41" s="10">
        <v>92.857012600981093</v>
      </c>
      <c r="G41" s="10">
        <v>290.14965301349866</v>
      </c>
      <c r="H41" s="10">
        <v>216.72542143253921</v>
      </c>
      <c r="I41" s="6">
        <v>881.97811157204956</v>
      </c>
      <c r="J41" s="6">
        <v>758.73419487817375</v>
      </c>
      <c r="K41" s="10">
        <v>946.95570442827898</v>
      </c>
      <c r="L41" s="10">
        <v>39.06700177820278</v>
      </c>
      <c r="M41" s="668">
        <v>0</v>
      </c>
      <c r="N41" s="10">
        <v>96.653927828753751</v>
      </c>
      <c r="O41" s="177"/>
      <c r="P41" s="10"/>
      <c r="Q41" s="10"/>
      <c r="R41" s="679"/>
      <c r="S41" s="10"/>
      <c r="T41" s="10"/>
    </row>
    <row r="42" spans="1:20" s="6" customFormat="1">
      <c r="A42" s="177" t="str">
        <f>C40 &amp; " mass in negative electrode, g/cell"</f>
        <v xml:space="preserve"> mass in negative electrode, g/cell</v>
      </c>
      <c r="D42" s="662"/>
      <c r="F42" s="10">
        <v>0</v>
      </c>
      <c r="G42" s="10">
        <v>0</v>
      </c>
      <c r="H42" s="10">
        <v>0</v>
      </c>
      <c r="I42" s="6">
        <v>0</v>
      </c>
      <c r="J42" s="6">
        <v>0</v>
      </c>
      <c r="K42" s="10">
        <v>0</v>
      </c>
      <c r="L42" s="10">
        <v>0</v>
      </c>
      <c r="M42" s="668">
        <v>0</v>
      </c>
      <c r="N42" s="10">
        <v>0</v>
      </c>
      <c r="O42" s="177"/>
      <c r="P42" s="10"/>
      <c r="Q42" s="10"/>
      <c r="R42" s="679"/>
      <c r="S42" s="10"/>
      <c r="T42" s="10"/>
    </row>
    <row r="43" spans="1:20" s="6" customFormat="1">
      <c r="A43" s="177" t="str">
        <f xml:space="preserve"> C40 &amp; " mass, g/cell"</f>
        <v xml:space="preserve"> mass, g/cell</v>
      </c>
      <c r="D43" s="662"/>
      <c r="F43" s="10">
        <v>92.857012600981093</v>
      </c>
      <c r="G43" s="10">
        <v>290.14965301349866</v>
      </c>
      <c r="H43" s="10">
        <v>216.72542143253921</v>
      </c>
      <c r="I43" s="6">
        <v>881.97811157204956</v>
      </c>
      <c r="J43" s="6">
        <v>758.73419487817375</v>
      </c>
      <c r="K43" s="10">
        <v>946.95570442827898</v>
      </c>
      <c r="L43" s="10">
        <v>39.06700177820278</v>
      </c>
      <c r="M43" s="668">
        <v>0</v>
      </c>
      <c r="N43" s="10">
        <v>96.653927828753751</v>
      </c>
      <c r="O43" s="177"/>
      <c r="P43" s="10"/>
      <c r="Q43" s="10"/>
      <c r="R43" s="679"/>
      <c r="S43" s="10"/>
      <c r="T43" s="10"/>
    </row>
    <row r="44" spans="1:20" s="6" customFormat="1">
      <c r="A44" s="177" t="str">
        <f xml:space="preserve"> C40 &amp; " mass, kg/pack"</f>
        <v xml:space="preserve"> mass, kg/pack</v>
      </c>
      <c r="D44" s="662"/>
      <c r="F44" s="10">
        <v>913.71300399365396</v>
      </c>
      <c r="G44" s="10">
        <v>1044.5387508485951</v>
      </c>
      <c r="H44" s="10">
        <v>520.1410114380941</v>
      </c>
      <c r="I44" s="6">
        <v>3714.8918059414727</v>
      </c>
      <c r="J44" s="6">
        <v>2162.3924554027953</v>
      </c>
      <c r="K44" s="10">
        <v>733.89067093191625</v>
      </c>
      <c r="L44" s="10">
        <v>30.941065408336602</v>
      </c>
      <c r="M44" s="668">
        <v>0</v>
      </c>
      <c r="N44" s="10">
        <v>389.70863700553514</v>
      </c>
      <c r="O44" s="177"/>
      <c r="P44" s="10"/>
      <c r="Q44" s="10"/>
      <c r="R44" s="679"/>
      <c r="S44" s="10"/>
      <c r="T44" s="10"/>
    </row>
    <row r="45" spans="1:20" s="6" customFormat="1">
      <c r="A45" s="260" t="str">
        <f xml:space="preserve"> C40 &amp; " mass, kg/kWh"</f>
        <v xml:space="preserve"> mass, kg/kWh</v>
      </c>
      <c r="D45" s="662"/>
      <c r="F45" s="10">
        <v>2.222199859209752</v>
      </c>
      <c r="G45" s="10">
        <v>2.5400330209133819</v>
      </c>
      <c r="H45" s="10">
        <v>1.264458159840552</v>
      </c>
      <c r="I45" s="6">
        <v>9.0742422884746432</v>
      </c>
      <c r="J45" s="6">
        <v>5.2583470660763254</v>
      </c>
      <c r="K45" s="10">
        <v>1.7929796306209314</v>
      </c>
      <c r="L45" s="10">
        <v>7.4984234310329564E-2</v>
      </c>
      <c r="M45" s="668">
        <v>0</v>
      </c>
      <c r="N45" s="10">
        <v>0.94566023804030774</v>
      </c>
      <c r="O45" s="177"/>
      <c r="P45" s="10"/>
      <c r="Q45" s="10"/>
      <c r="R45" s="679"/>
      <c r="S45" s="10"/>
      <c r="T45" s="10"/>
    </row>
    <row r="46" spans="1:20" s="6" customFormat="1">
      <c r="A46" s="260"/>
      <c r="D46" s="662"/>
      <c r="F46" s="10"/>
      <c r="G46" s="10"/>
      <c r="H46" s="10"/>
      <c r="K46" s="10"/>
      <c r="L46" s="10"/>
      <c r="M46" s="668"/>
      <c r="N46" s="10"/>
      <c r="O46" s="177"/>
      <c r="P46" s="10"/>
      <c r="Q46" s="10"/>
      <c r="R46" s="679"/>
      <c r="S46" s="10"/>
      <c r="T46" s="10"/>
    </row>
    <row r="47" spans="1:20" s="6" customFormat="1">
      <c r="A47" s="585" t="str">
        <f>C47 &amp;" Balance"</f>
        <v xml:space="preserve"> Balance</v>
      </c>
      <c r="D47" s="662"/>
      <c r="F47" s="10"/>
      <c r="G47" s="10"/>
      <c r="H47" s="10"/>
      <c r="K47" s="10"/>
      <c r="L47" s="10"/>
      <c r="M47" s="668"/>
      <c r="N47" s="10"/>
      <c r="O47" s="177"/>
      <c r="P47" s="10"/>
      <c r="Q47" s="10"/>
      <c r="R47" s="679"/>
      <c r="S47" s="10"/>
      <c r="T47" s="10"/>
    </row>
    <row r="48" spans="1:20" s="6" customFormat="1" ht="16">
      <c r="A48" s="177" t="str">
        <f>C47 &amp; " mass in positive electrode, g/cell"</f>
        <v xml:space="preserve"> mass in positive electrode, g/cell</v>
      </c>
      <c r="D48" s="662"/>
      <c r="F48" s="10">
        <v>0</v>
      </c>
      <c r="G48" s="10">
        <v>0</v>
      </c>
      <c r="H48" s="10">
        <v>0</v>
      </c>
      <c r="I48" s="6">
        <v>0</v>
      </c>
      <c r="J48" s="6">
        <v>0</v>
      </c>
      <c r="K48" s="10">
        <v>0</v>
      </c>
      <c r="L48" s="10">
        <v>0</v>
      </c>
      <c r="M48" s="663">
        <v>0</v>
      </c>
      <c r="N48" s="10">
        <v>0</v>
      </c>
      <c r="O48" s="218"/>
      <c r="P48" s="10"/>
      <c r="Q48" s="10"/>
      <c r="R48" s="679"/>
      <c r="S48" s="10"/>
      <c r="T48" s="10"/>
    </row>
    <row r="49" spans="1:20" s="6" customFormat="1">
      <c r="A49" s="177" t="str">
        <f>C47 &amp; " mass in negative electrode, g/cell"</f>
        <v xml:space="preserve"> mass in negative electrode, g/cell</v>
      </c>
      <c r="D49" s="662"/>
      <c r="F49" s="10">
        <v>0</v>
      </c>
      <c r="G49" s="10">
        <v>0</v>
      </c>
      <c r="H49" s="10">
        <v>0</v>
      </c>
      <c r="I49" s="6">
        <v>0</v>
      </c>
      <c r="J49" s="6">
        <v>0</v>
      </c>
      <c r="K49" s="10">
        <v>0</v>
      </c>
      <c r="L49" s="10">
        <v>0</v>
      </c>
      <c r="M49" s="668">
        <v>0</v>
      </c>
      <c r="N49" s="10">
        <v>0</v>
      </c>
      <c r="O49" s="177"/>
      <c r="P49" s="10"/>
      <c r="Q49" s="10"/>
      <c r="R49" s="679"/>
      <c r="S49" s="10"/>
      <c r="T49" s="10"/>
    </row>
    <row r="50" spans="1:20" s="6" customFormat="1">
      <c r="A50" s="177" t="str">
        <f xml:space="preserve"> C47 &amp; " mass, g/cell"</f>
        <v xml:space="preserve"> mass, g/cell</v>
      </c>
      <c r="D50" s="662"/>
      <c r="F50" s="10">
        <v>0</v>
      </c>
      <c r="G50" s="10">
        <v>0</v>
      </c>
      <c r="H50" s="10">
        <v>0</v>
      </c>
      <c r="I50" s="6">
        <v>0</v>
      </c>
      <c r="J50" s="6">
        <v>0</v>
      </c>
      <c r="K50" s="10">
        <v>0</v>
      </c>
      <c r="L50" s="10">
        <v>0</v>
      </c>
      <c r="M50" s="668">
        <v>0</v>
      </c>
      <c r="N50" s="10">
        <v>0</v>
      </c>
      <c r="O50" s="177"/>
      <c r="P50" s="10"/>
      <c r="Q50" s="10"/>
      <c r="R50" s="679"/>
      <c r="S50" s="10"/>
      <c r="T50" s="10"/>
    </row>
    <row r="51" spans="1:20" s="6" customFormat="1">
      <c r="A51" s="177" t="str">
        <f xml:space="preserve"> C47 &amp; " mass, kg/pack"</f>
        <v xml:space="preserve"> mass, kg/pack</v>
      </c>
      <c r="D51" s="662"/>
      <c r="F51" s="10">
        <v>0</v>
      </c>
      <c r="G51" s="10">
        <v>0</v>
      </c>
      <c r="H51" s="10">
        <v>0</v>
      </c>
      <c r="I51" s="6">
        <v>0</v>
      </c>
      <c r="J51" s="6">
        <v>0</v>
      </c>
      <c r="K51" s="10">
        <v>0</v>
      </c>
      <c r="L51" s="10">
        <v>0</v>
      </c>
      <c r="M51" s="668">
        <v>0</v>
      </c>
      <c r="N51" s="10">
        <v>0</v>
      </c>
      <c r="O51" s="177"/>
      <c r="P51" s="10"/>
      <c r="Q51" s="10"/>
      <c r="R51" s="679"/>
      <c r="S51" s="10"/>
      <c r="T51" s="10"/>
    </row>
    <row r="52" spans="1:20" s="6" customFormat="1">
      <c r="A52" s="260" t="str">
        <f xml:space="preserve"> C47 &amp; " mass, kg/kWh"</f>
        <v xml:space="preserve"> mass, kg/kWh</v>
      </c>
      <c r="D52" s="662"/>
      <c r="F52" s="10">
        <v>0</v>
      </c>
      <c r="G52" s="10">
        <v>0</v>
      </c>
      <c r="H52" s="10">
        <v>0</v>
      </c>
      <c r="I52" s="6">
        <v>0</v>
      </c>
      <c r="J52" s="6">
        <v>0</v>
      </c>
      <c r="K52" s="10">
        <v>0</v>
      </c>
      <c r="L52" s="10">
        <v>0</v>
      </c>
      <c r="M52" s="668">
        <v>0</v>
      </c>
      <c r="N52" s="10">
        <v>0</v>
      </c>
      <c r="O52" s="177"/>
      <c r="P52" s="10"/>
      <c r="Q52" s="10"/>
      <c r="R52" s="679"/>
      <c r="S52" s="10"/>
      <c r="T52" s="10"/>
    </row>
    <row r="53" spans="1:20" s="6" customFormat="1">
      <c r="A53" s="260"/>
      <c r="D53" s="662"/>
      <c r="F53" s="10"/>
      <c r="G53" s="10"/>
      <c r="H53" s="10"/>
      <c r="K53" s="10"/>
      <c r="L53" s="10"/>
      <c r="M53" s="668"/>
      <c r="N53" s="10"/>
      <c r="O53" s="177"/>
      <c r="P53" s="10"/>
      <c r="Q53" s="10"/>
      <c r="R53" s="679"/>
      <c r="S53" s="10"/>
      <c r="T53" s="10"/>
    </row>
    <row r="54" spans="1:20" s="6" customFormat="1" ht="16">
      <c r="A54" s="664" t="s">
        <v>1334</v>
      </c>
      <c r="D54" s="662"/>
      <c r="F54" s="10"/>
      <c r="G54" s="10"/>
      <c r="H54" s="10"/>
      <c r="K54" s="10"/>
      <c r="L54" s="10"/>
      <c r="M54" s="668"/>
      <c r="N54" s="10"/>
      <c r="O54" s="177"/>
      <c r="P54" s="10"/>
      <c r="Q54" s="10"/>
      <c r="R54" s="679"/>
      <c r="S54" s="10"/>
      <c r="T54" s="10"/>
    </row>
    <row r="55" spans="1:20" s="6" customFormat="1">
      <c r="A55" s="670" t="s">
        <v>479</v>
      </c>
      <c r="D55" s="662"/>
      <c r="F55" s="10"/>
      <c r="G55" s="10"/>
      <c r="H55" s="10"/>
      <c r="K55" s="10"/>
      <c r="L55" s="10"/>
      <c r="M55" s="668"/>
      <c r="N55" s="10"/>
      <c r="O55" s="177"/>
      <c r="P55" s="10"/>
      <c r="Q55" s="10"/>
      <c r="R55" s="679"/>
      <c r="S55" s="10"/>
      <c r="T55" s="10"/>
    </row>
    <row r="56" spans="1:20" s="6" customFormat="1">
      <c r="A56" s="671" t="s">
        <v>480</v>
      </c>
      <c r="D56" s="662"/>
      <c r="F56" s="10">
        <v>187.21855713591611</v>
      </c>
      <c r="G56" s="10">
        <v>237.97919105542627</v>
      </c>
      <c r="H56" s="10">
        <v>150.85038333247641</v>
      </c>
      <c r="I56" s="6">
        <v>319.70321198757136</v>
      </c>
      <c r="J56" s="6">
        <v>200.92180728370451</v>
      </c>
      <c r="K56" s="10">
        <v>54.108139081316757</v>
      </c>
      <c r="L56" s="10">
        <v>24.7259580680679</v>
      </c>
      <c r="M56" s="668">
        <v>37.29040373474114</v>
      </c>
      <c r="N56" s="10">
        <v>58.249394605793519</v>
      </c>
      <c r="O56" s="177"/>
      <c r="P56" s="10"/>
      <c r="Q56" s="10"/>
      <c r="R56" s="679"/>
      <c r="S56" s="10"/>
      <c r="T56" s="10"/>
    </row>
    <row r="57" spans="1:20" s="6" customFormat="1">
      <c r="A57" s="671" t="s">
        <v>481</v>
      </c>
      <c r="D57" s="662"/>
      <c r="F57" s="10">
        <v>166.7718523944574</v>
      </c>
      <c r="G57" s="10">
        <v>60.451888630915967</v>
      </c>
      <c r="H57" s="10">
        <v>39.815481836645333</v>
      </c>
      <c r="I57" s="6">
        <v>70.480242784992654</v>
      </c>
      <c r="J57" s="6">
        <v>46.638320811177969</v>
      </c>
      <c r="K57" s="10">
        <v>12.779293858441449</v>
      </c>
      <c r="L57" s="10">
        <v>6.573317039484901</v>
      </c>
      <c r="M57" s="667">
        <v>9.2133217626375981</v>
      </c>
      <c r="N57" s="10">
        <v>33.18837602318105</v>
      </c>
      <c r="O57" s="177"/>
      <c r="P57" s="10"/>
      <c r="Q57" s="10"/>
      <c r="R57" s="679"/>
      <c r="S57" s="10"/>
      <c r="T57" s="10"/>
    </row>
    <row r="58" spans="1:20" s="6" customFormat="1">
      <c r="A58" s="671" t="s">
        <v>482</v>
      </c>
      <c r="B58" s="266"/>
      <c r="C58" s="260"/>
      <c r="D58" s="267"/>
      <c r="E58" s="267"/>
      <c r="F58" s="10">
        <v>482.87833001585955</v>
      </c>
      <c r="G58" s="10">
        <v>173.72865103918991</v>
      </c>
      <c r="H58" s="10">
        <v>113.26271856806572</v>
      </c>
      <c r="I58" s="6">
        <v>202.54856794044946</v>
      </c>
      <c r="J58" s="6">
        <v>130.6351456029694</v>
      </c>
      <c r="K58" s="10">
        <v>36.954328130149584</v>
      </c>
      <c r="L58" s="10">
        <v>37.676009268984437</v>
      </c>
      <c r="M58" s="10">
        <v>52.921252055041165</v>
      </c>
      <c r="N58" s="10">
        <v>186.3293780283696</v>
      </c>
      <c r="O58" s="681"/>
      <c r="P58" s="652"/>
      <c r="Q58" s="177"/>
      <c r="R58" s="682"/>
      <c r="S58" s="682"/>
      <c r="T58" s="10"/>
    </row>
    <row r="59" spans="1:20" s="6" customFormat="1">
      <c r="A59" s="671" t="s">
        <v>1335</v>
      </c>
      <c r="B59" s="266"/>
      <c r="C59" s="260"/>
      <c r="D59" s="267"/>
      <c r="E59" s="267"/>
      <c r="F59" s="10">
        <v>1008.6189321126629</v>
      </c>
      <c r="G59" s="10">
        <v>369.05546664310339</v>
      </c>
      <c r="H59" s="10">
        <v>244.91071774120007</v>
      </c>
      <c r="I59" s="6">
        <v>415.5221038612853</v>
      </c>
      <c r="J59" s="6">
        <v>281.99527614444997</v>
      </c>
      <c r="K59" s="10">
        <v>81.850357496660678</v>
      </c>
      <c r="L59" s="10">
        <v>87.042168183870572</v>
      </c>
      <c r="M59" s="10">
        <v>120.42532198675178</v>
      </c>
      <c r="N59" s="10">
        <v>404.92912806289252</v>
      </c>
      <c r="O59" s="681"/>
      <c r="P59" s="652"/>
      <c r="Q59" s="177"/>
      <c r="R59" s="682"/>
      <c r="S59" s="682"/>
      <c r="T59" s="10"/>
    </row>
    <row r="60" spans="1:20" s="6" customFormat="1">
      <c r="A60" s="671" t="s">
        <v>483</v>
      </c>
      <c r="C60" s="260"/>
      <c r="D60" s="267"/>
      <c r="E60" s="267"/>
      <c r="F60" s="10">
        <v>1845.487671658896</v>
      </c>
      <c r="G60" s="10">
        <v>841.21519736863547</v>
      </c>
      <c r="H60" s="10">
        <v>548.8393014783876</v>
      </c>
      <c r="I60" s="10">
        <v>1008.2541265742989</v>
      </c>
      <c r="J60" s="10">
        <v>660.19054984230183</v>
      </c>
      <c r="K60" s="10">
        <v>185.69211856656847</v>
      </c>
      <c r="L60" s="10">
        <v>156.01745256040783</v>
      </c>
      <c r="M60" s="10">
        <v>219.85029953917169</v>
      </c>
      <c r="N60" s="10">
        <v>682.69627672023671</v>
      </c>
      <c r="O60" s="219"/>
      <c r="P60" s="10"/>
      <c r="Q60" s="177"/>
      <c r="R60" s="682"/>
      <c r="S60" s="682"/>
      <c r="T60" s="10"/>
    </row>
    <row r="61" spans="1:20" s="6" customFormat="1">
      <c r="A61" s="671" t="s">
        <v>484</v>
      </c>
      <c r="B61" s="266"/>
      <c r="C61" s="260"/>
      <c r="D61" s="267"/>
      <c r="E61" s="267"/>
      <c r="F61" s="10">
        <v>4.488326669543838</v>
      </c>
      <c r="G61" s="10">
        <v>2.0456056582626645</v>
      </c>
      <c r="H61" s="10">
        <v>1.3342234469779592</v>
      </c>
      <c r="I61" s="10">
        <v>2.4628287204103061</v>
      </c>
      <c r="J61" s="10">
        <v>1.6054028639162705</v>
      </c>
      <c r="K61" s="10">
        <v>0.45366728225871056</v>
      </c>
      <c r="L61" s="10">
        <v>0.37810104677708578</v>
      </c>
      <c r="M61" s="10">
        <v>0.53320501623905947</v>
      </c>
      <c r="N61" s="10">
        <v>1.6566189769700208</v>
      </c>
      <c r="O61" s="10"/>
      <c r="P61" s="652"/>
      <c r="Q61" s="177"/>
      <c r="R61" s="682"/>
      <c r="S61" s="682"/>
      <c r="T61" s="10"/>
    </row>
    <row r="62" spans="1:20" s="6" customFormat="1">
      <c r="A62" s="672"/>
      <c r="B62" s="266"/>
      <c r="C62" s="260"/>
      <c r="D62" s="267"/>
      <c r="E62" s="267"/>
      <c r="F62" s="10"/>
      <c r="G62" s="10"/>
      <c r="H62" s="10"/>
      <c r="I62" s="10"/>
      <c r="J62" s="10"/>
      <c r="K62" s="10"/>
      <c r="L62" s="10"/>
      <c r="M62" s="10"/>
      <c r="N62" s="10"/>
      <c r="O62" s="177"/>
      <c r="P62" s="652"/>
      <c r="Q62" s="177"/>
      <c r="R62" s="682"/>
      <c r="S62" s="682"/>
      <c r="T62" s="10"/>
    </row>
    <row r="63" spans="1:20" s="6" customFormat="1">
      <c r="A63" s="586" t="s">
        <v>485</v>
      </c>
      <c r="B63" s="266"/>
      <c r="C63" s="260"/>
      <c r="D63" s="267"/>
      <c r="E63" s="267"/>
      <c r="F63" s="10"/>
      <c r="G63" s="10"/>
      <c r="H63" s="10"/>
      <c r="I63" s="10"/>
      <c r="K63" s="10"/>
      <c r="L63" s="10"/>
      <c r="M63" s="10"/>
      <c r="N63" s="10"/>
      <c r="O63" s="681"/>
      <c r="P63" s="652"/>
      <c r="Q63" s="177"/>
      <c r="R63" s="682"/>
      <c r="S63" s="682"/>
      <c r="T63" s="10"/>
    </row>
    <row r="64" spans="1:20" s="6" customFormat="1">
      <c r="A64" s="587" t="s">
        <v>486</v>
      </c>
      <c r="B64" s="260"/>
      <c r="C64" s="260"/>
      <c r="D64" s="267"/>
      <c r="E64" s="267"/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58.307615875513314</v>
      </c>
      <c r="M64" s="10">
        <v>87.700628901406148</v>
      </c>
      <c r="N64" s="10">
        <v>143.5373679571029</v>
      </c>
      <c r="O64" s="683"/>
      <c r="P64" s="177"/>
      <c r="Q64" s="177"/>
      <c r="R64" s="682"/>
      <c r="S64" s="682"/>
      <c r="T64" s="10"/>
    </row>
    <row r="65" spans="1:20" s="6" customFormat="1">
      <c r="A65" s="588" t="s">
        <v>1336</v>
      </c>
      <c r="B65" s="260"/>
      <c r="C65" s="260"/>
      <c r="D65" s="267"/>
      <c r="E65" s="267"/>
      <c r="F65" s="10">
        <v>0</v>
      </c>
      <c r="G65" s="10">
        <v>0</v>
      </c>
      <c r="H65" s="10">
        <v>0</v>
      </c>
      <c r="I65" s="6">
        <v>0</v>
      </c>
      <c r="J65" s="6">
        <v>0</v>
      </c>
      <c r="K65" s="10">
        <v>0</v>
      </c>
      <c r="L65" s="10">
        <v>14.542449549082647</v>
      </c>
      <c r="M65" s="10">
        <v>20.383052590921704</v>
      </c>
      <c r="N65" s="10">
        <v>73.424160288321531</v>
      </c>
      <c r="O65" s="10"/>
      <c r="P65" s="10"/>
      <c r="Q65" s="10"/>
      <c r="R65" s="10"/>
      <c r="S65" s="10"/>
      <c r="T65" s="10"/>
    </row>
    <row r="66" spans="1:20" s="6" customFormat="1">
      <c r="A66" s="588" t="s">
        <v>1337</v>
      </c>
      <c r="B66" s="260"/>
      <c r="C66" s="260"/>
      <c r="D66" s="267"/>
      <c r="E66" s="267"/>
      <c r="F66" s="10">
        <v>278.3434752</v>
      </c>
      <c r="G66" s="10">
        <v>93.826252800000006</v>
      </c>
      <c r="H66" s="10">
        <v>60.673536000000006</v>
      </c>
      <c r="I66" s="6">
        <v>101.37415679999999</v>
      </c>
      <c r="J66" s="6">
        <v>68.584319999999991</v>
      </c>
      <c r="K66" s="10">
        <v>10.886400000000002</v>
      </c>
      <c r="L66" s="10">
        <v>18.985881599999999</v>
      </c>
      <c r="M66" s="10">
        <v>27.869184000000001</v>
      </c>
      <c r="N66" s="10">
        <v>113.56692480000001</v>
      </c>
      <c r="O66" s="10"/>
      <c r="P66" s="10"/>
      <c r="Q66" s="10"/>
      <c r="R66" s="10"/>
      <c r="S66" s="10"/>
      <c r="T66" s="10"/>
    </row>
    <row r="67" spans="1:20" s="6" customFormat="1">
      <c r="A67" s="588" t="s">
        <v>1338</v>
      </c>
      <c r="B67" s="260"/>
      <c r="C67" s="260"/>
      <c r="D67" s="267"/>
      <c r="E67" s="267"/>
      <c r="F67" s="10">
        <v>0.16858313952123921</v>
      </c>
      <c r="G67" s="10">
        <v>0.21942567366256538</v>
      </c>
      <c r="H67" s="10">
        <v>0.28799619668211707</v>
      </c>
      <c r="I67" s="6">
        <v>0.55383883977330195</v>
      </c>
      <c r="J67" s="6">
        <v>0.38293123104547411</v>
      </c>
      <c r="K67" s="10">
        <v>0.34302276527894832</v>
      </c>
      <c r="L67" s="10">
        <v>0.17215214745630908</v>
      </c>
      <c r="M67" s="10">
        <v>0.18213198209145742</v>
      </c>
      <c r="N67" s="10">
        <v>0.21942567366256535</v>
      </c>
      <c r="O67" s="10"/>
      <c r="P67" s="10"/>
      <c r="Q67" s="10"/>
      <c r="R67" s="10"/>
      <c r="S67" s="10"/>
      <c r="T67" s="10"/>
    </row>
    <row r="68" spans="1:20" s="6" customFormat="1">
      <c r="A68" s="588" t="s">
        <v>1339</v>
      </c>
      <c r="C68" s="260"/>
      <c r="D68" s="267"/>
      <c r="E68" s="268"/>
      <c r="F68" s="10">
        <v>0.1430475373790234</v>
      </c>
      <c r="G68" s="10">
        <v>0.18618885817587172</v>
      </c>
      <c r="H68" s="10">
        <v>0.24437287635583158</v>
      </c>
      <c r="I68" s="6">
        <v>0.46994783914582988</v>
      </c>
      <c r="J68" s="6">
        <v>0.32492792424044081</v>
      </c>
      <c r="K68" s="10">
        <v>0.29106446811612696</v>
      </c>
      <c r="L68" s="10">
        <v>0.14607594103461913</v>
      </c>
      <c r="M68" s="10">
        <v>0.15454411152937969</v>
      </c>
      <c r="N68" s="10">
        <v>0.18618885817587166</v>
      </c>
      <c r="O68" s="10"/>
      <c r="P68" s="10"/>
      <c r="Q68" s="10"/>
      <c r="R68" s="10"/>
      <c r="S68" s="10"/>
      <c r="T68" s="10"/>
    </row>
    <row r="69" spans="1:20" s="6" customFormat="1">
      <c r="A69" s="588" t="s">
        <v>1340</v>
      </c>
      <c r="B69" s="177"/>
      <c r="C69" s="177"/>
      <c r="D69" s="269"/>
      <c r="E69" s="268"/>
      <c r="F69" s="10">
        <v>0.30799588190088051</v>
      </c>
      <c r="G69" s="10">
        <v>0.34246859178281264</v>
      </c>
      <c r="H69" s="10">
        <v>0.40304789350678755</v>
      </c>
      <c r="I69" s="6">
        <v>0.80352359454896305</v>
      </c>
      <c r="J69" s="6">
        <v>3.2136087055437317</v>
      </c>
      <c r="K69" s="10">
        <v>1.2215158096898169</v>
      </c>
      <c r="L69" s="10">
        <v>1.4236350783494562</v>
      </c>
      <c r="M69" s="10">
        <v>1.9670966358009745</v>
      </c>
      <c r="N69" s="10">
        <v>0.33947812624466922</v>
      </c>
      <c r="O69" s="10"/>
      <c r="P69" s="10"/>
      <c r="Q69" s="10"/>
      <c r="R69" s="10"/>
      <c r="S69" s="10"/>
      <c r="T69" s="10"/>
    </row>
    <row r="70" spans="1:20" s="6" customFormat="1">
      <c r="A70" s="588" t="s">
        <v>1341</v>
      </c>
      <c r="B70" s="177"/>
      <c r="C70" s="177"/>
      <c r="D70" s="269"/>
      <c r="E70" s="268"/>
      <c r="F70" s="10">
        <v>0.16409687108507728</v>
      </c>
      <c r="G70" s="10">
        <v>0.15877333438608204</v>
      </c>
      <c r="H70" s="10">
        <v>0.16478433905985176</v>
      </c>
      <c r="I70" s="6">
        <v>0.35502178774510551</v>
      </c>
      <c r="J70" s="6">
        <v>2.8998211672772487</v>
      </c>
      <c r="K70" s="10">
        <v>0.94043069476624286</v>
      </c>
      <c r="L70" s="10">
        <v>1.2766896376658217</v>
      </c>
      <c r="M70" s="10">
        <v>1.8116326188458247</v>
      </c>
      <c r="N70" s="10">
        <v>0.15578286884793865</v>
      </c>
      <c r="O70" s="10"/>
      <c r="P70" s="10"/>
      <c r="Q70" s="10"/>
      <c r="R70" s="10"/>
      <c r="S70" s="10"/>
      <c r="T70" s="10"/>
    </row>
    <row r="71" spans="1:20" s="6" customFormat="1">
      <c r="A71" s="588" t="s">
        <v>1342</v>
      </c>
      <c r="B71" s="177"/>
      <c r="C71" s="177"/>
      <c r="D71" s="269"/>
      <c r="E71" s="268"/>
      <c r="F71" s="10">
        <v>5.6194379840413075E-2</v>
      </c>
      <c r="G71" s="10">
        <v>5.4856418415641345E-2</v>
      </c>
      <c r="H71" s="10">
        <v>5.7599239336423406E-2</v>
      </c>
      <c r="I71" s="6">
        <v>6.1537648863700223E-2</v>
      </c>
      <c r="J71" s="6">
        <v>6.1268996967275863E-2</v>
      </c>
      <c r="K71" s="10">
        <v>5.4883642444631731E-2</v>
      </c>
      <c r="L71" s="10">
        <v>5.7384049152103024E-2</v>
      </c>
      <c r="M71" s="10">
        <v>6.0710660697152467E-2</v>
      </c>
      <c r="N71" s="10">
        <v>5.4856418415641338E-2</v>
      </c>
      <c r="O71" s="10"/>
      <c r="P71" s="10"/>
      <c r="Q71" s="10"/>
      <c r="R71" s="10"/>
      <c r="S71" s="10"/>
      <c r="T71" s="10"/>
    </row>
    <row r="72" spans="1:20" s="6" customFormat="1">
      <c r="A72" s="588" t="s">
        <v>487</v>
      </c>
      <c r="B72" s="259"/>
      <c r="C72" s="259"/>
      <c r="D72" s="267"/>
      <c r="E72" s="268"/>
      <c r="F72" s="10">
        <v>279.18339300972656</v>
      </c>
      <c r="G72" s="10">
        <v>94.787965676422985</v>
      </c>
      <c r="H72" s="10">
        <v>61.831336544941017</v>
      </c>
      <c r="I72" s="6">
        <v>103.6180265100769</v>
      </c>
      <c r="J72" s="6">
        <v>75.466878025074166</v>
      </c>
      <c r="K72" s="10">
        <v>13.737317380295769</v>
      </c>
      <c r="L72" s="10">
        <v>94.911883878254287</v>
      </c>
      <c r="M72" s="10">
        <v>140.12898150129263</v>
      </c>
      <c r="N72" s="10">
        <v>331.4841849907711</v>
      </c>
      <c r="O72" s="10"/>
      <c r="P72" s="10"/>
      <c r="Q72" s="10"/>
      <c r="R72" s="10"/>
      <c r="S72" s="10"/>
      <c r="T72" s="10"/>
    </row>
    <row r="73" spans="1:20" s="6" customFormat="1">
      <c r="A73" s="588" t="s">
        <v>488</v>
      </c>
      <c r="C73" s="260"/>
      <c r="D73" s="267"/>
      <c r="E73" s="268"/>
      <c r="F73" s="10">
        <v>0.67898923833661906</v>
      </c>
      <c r="G73" s="10">
        <v>0.230498449777683</v>
      </c>
      <c r="H73" s="10">
        <v>0.15031142768753422</v>
      </c>
      <c r="I73" s="6">
        <v>0.25310429673946738</v>
      </c>
      <c r="J73" s="6">
        <v>0.18351480817350974</v>
      </c>
      <c r="K73" s="10">
        <v>3.3561852218353415E-2</v>
      </c>
      <c r="L73" s="10">
        <v>0.23001454040571825</v>
      </c>
      <c r="M73" s="10">
        <v>0.33985614763125155</v>
      </c>
      <c r="N73" s="10">
        <v>0.80437378984884467</v>
      </c>
      <c r="O73" s="10"/>
      <c r="P73" s="10"/>
      <c r="Q73" s="10"/>
      <c r="R73" s="10"/>
      <c r="S73" s="10"/>
      <c r="T73" s="10"/>
    </row>
    <row r="74" spans="1:20" s="6" customFormat="1">
      <c r="A74" s="589"/>
      <c r="B74" s="266"/>
      <c r="C74" s="266"/>
      <c r="D74" s="267"/>
      <c r="E74" s="268"/>
      <c r="F74" s="10"/>
      <c r="G74" s="10"/>
      <c r="H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s="6" customFormat="1">
      <c r="A75" s="670" t="s">
        <v>572</v>
      </c>
      <c r="B75" s="266"/>
      <c r="C75" s="266"/>
      <c r="D75" s="267"/>
      <c r="E75" s="268"/>
      <c r="F75" s="10"/>
      <c r="G75" s="10"/>
      <c r="H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s="6" customFormat="1">
      <c r="A76" s="671" t="s">
        <v>1343</v>
      </c>
      <c r="B76" s="266"/>
      <c r="C76" s="266"/>
      <c r="D76" s="267"/>
      <c r="E76" s="268"/>
      <c r="F76" s="10">
        <v>952.37009597226393</v>
      </c>
      <c r="G76" s="10">
        <v>467.68343359990922</v>
      </c>
      <c r="H76" s="10">
        <v>389.89873446331188</v>
      </c>
      <c r="I76" s="6">
        <v>549.46945729633603</v>
      </c>
      <c r="J76" s="6">
        <v>366.02004590206633</v>
      </c>
      <c r="K76" s="10">
        <v>110.51765645167558</v>
      </c>
      <c r="L76" s="10">
        <v>143.54463801985486</v>
      </c>
      <c r="M76" s="10">
        <v>196.7809527516383</v>
      </c>
      <c r="N76" s="10">
        <v>512.21418501740334</v>
      </c>
      <c r="O76" s="10"/>
      <c r="P76" s="10"/>
      <c r="Q76" s="10"/>
      <c r="R76" s="10"/>
      <c r="S76" s="10"/>
      <c r="T76" s="10"/>
    </row>
    <row r="77" spans="1:20" s="6" customFormat="1">
      <c r="A77" s="671" t="s">
        <v>1344</v>
      </c>
      <c r="B77" s="266"/>
      <c r="C77" s="266"/>
      <c r="D77" s="267"/>
      <c r="E77" s="268"/>
      <c r="F77" s="10">
        <v>1517.4727319741348</v>
      </c>
      <c r="G77" s="10">
        <v>556.98110979311707</v>
      </c>
      <c r="H77" s="10">
        <v>370.81737388046349</v>
      </c>
      <c r="I77" s="6">
        <v>620.40469350077967</v>
      </c>
      <c r="J77" s="6">
        <v>424.66055369646193</v>
      </c>
      <c r="K77" s="10">
        <v>124.66590771384215</v>
      </c>
      <c r="L77" s="10">
        <v>133.83426331735473</v>
      </c>
      <c r="M77" s="10">
        <v>184.532230911867</v>
      </c>
      <c r="N77" s="10">
        <v>612.72507643580707</v>
      </c>
      <c r="O77" s="10"/>
      <c r="P77" s="10"/>
      <c r="Q77" s="10"/>
      <c r="R77" s="10"/>
      <c r="S77" s="10"/>
      <c r="T77" s="10"/>
    </row>
    <row r="78" spans="1:20" s="6" customFormat="1">
      <c r="A78" s="671" t="s">
        <v>1345</v>
      </c>
      <c r="C78" s="260"/>
      <c r="D78" s="267"/>
      <c r="E78" s="268"/>
      <c r="F78" s="10">
        <v>2469.8428279463988</v>
      </c>
      <c r="G78" s="10">
        <v>1024.6645433930262</v>
      </c>
      <c r="H78" s="10">
        <v>760.71610834377543</v>
      </c>
      <c r="I78" s="6">
        <v>1169.8741507971158</v>
      </c>
      <c r="J78" s="6">
        <v>790.68059959852826</v>
      </c>
      <c r="K78" s="10">
        <v>235.18356416551774</v>
      </c>
      <c r="L78" s="10">
        <v>277.37890133720958</v>
      </c>
      <c r="M78" s="10">
        <v>381.3131836635053</v>
      </c>
      <c r="N78" s="10">
        <v>1124.9392614532103</v>
      </c>
      <c r="O78" s="10"/>
      <c r="P78" s="10"/>
      <c r="Q78" s="10"/>
      <c r="R78" s="10"/>
      <c r="S78" s="10"/>
      <c r="T78" s="10"/>
    </row>
    <row r="79" spans="1:20" s="6" customFormat="1">
      <c r="A79" s="671" t="s">
        <v>1346</v>
      </c>
      <c r="B79" s="266"/>
      <c r="C79" s="260"/>
      <c r="D79" s="267"/>
      <c r="E79" s="268"/>
      <c r="F79" s="10">
        <v>6.0067924616850723</v>
      </c>
      <c r="G79" s="10">
        <v>2.4917043752210928</v>
      </c>
      <c r="H79" s="10">
        <v>1.8492940748086322</v>
      </c>
      <c r="I79" s="6">
        <v>2.8576125620611945</v>
      </c>
      <c r="J79" s="6">
        <v>1.9227189776371694</v>
      </c>
      <c r="K79" s="10">
        <v>0.57458059723002486</v>
      </c>
      <c r="L79" s="10">
        <v>0.67221487870961039</v>
      </c>
      <c r="M79" s="10">
        <v>0.92480248020422073</v>
      </c>
      <c r="N79" s="10">
        <v>2.7297581545559155</v>
      </c>
      <c r="O79" s="10"/>
      <c r="P79" s="10"/>
      <c r="Q79" s="10"/>
      <c r="R79" s="10"/>
      <c r="S79" s="10"/>
      <c r="T79" s="10"/>
    </row>
    <row r="80" spans="1:20" s="6" customFormat="1">
      <c r="A80" s="672"/>
      <c r="B80" s="266"/>
      <c r="C80" s="260"/>
      <c r="D80" s="267"/>
      <c r="E80" s="268"/>
      <c r="F80" s="10"/>
      <c r="G80" s="10"/>
      <c r="H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s="6" customFormat="1">
      <c r="A81" s="673" t="s">
        <v>896</v>
      </c>
      <c r="B81" s="266"/>
      <c r="C81" s="260"/>
      <c r="D81" s="267"/>
      <c r="E81" s="268"/>
      <c r="F81" s="10"/>
      <c r="G81" s="10"/>
      <c r="H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s="6" customFormat="1">
      <c r="A82" s="674" t="s">
        <v>1347</v>
      </c>
      <c r="B82" s="260"/>
      <c r="C82" s="260"/>
      <c r="D82" s="267"/>
      <c r="E82" s="268"/>
      <c r="F82" s="10">
        <v>448.88337056685066</v>
      </c>
      <c r="G82" s="10">
        <v>216.87834215933336</v>
      </c>
      <c r="H82" s="10">
        <v>178.31692279723367</v>
      </c>
      <c r="I82" s="6">
        <v>252.90539284251611</v>
      </c>
      <c r="J82" s="6">
        <v>166.58691672626762</v>
      </c>
      <c r="K82" s="10">
        <v>46.29640734298065</v>
      </c>
      <c r="L82" s="10">
        <v>63.144660570112045</v>
      </c>
      <c r="M82" s="10">
        <v>88.37970886793542</v>
      </c>
      <c r="N82" s="10">
        <v>236.93891896240766</v>
      </c>
      <c r="O82" s="10"/>
      <c r="P82" s="10"/>
      <c r="Q82" s="10"/>
      <c r="R82" s="10"/>
      <c r="S82" s="10"/>
      <c r="T82" s="10"/>
    </row>
    <row r="83" spans="1:20" s="6" customFormat="1">
      <c r="A83" s="674" t="s">
        <v>1348</v>
      </c>
      <c r="B83" s="260"/>
      <c r="C83" s="260"/>
      <c r="D83" s="267"/>
      <c r="E83" s="268"/>
      <c r="F83" s="10">
        <v>1.2548712772897175</v>
      </c>
      <c r="G83" s="10">
        <v>1.2446641170561412</v>
      </c>
      <c r="H83" s="10">
        <v>1.2314347319776899</v>
      </c>
      <c r="I83" s="6">
        <v>1.8612127495150153</v>
      </c>
      <c r="J83" s="6">
        <v>1.5208731792938472</v>
      </c>
      <c r="K83" s="10">
        <v>1.5310929361767696</v>
      </c>
      <c r="L83" s="10">
        <v>0.92404180719344253</v>
      </c>
      <c r="M83" s="10">
        <v>0.92852788210944037</v>
      </c>
      <c r="N83" s="10">
        <v>1.2231146336949033</v>
      </c>
      <c r="O83" s="10"/>
      <c r="P83" s="10"/>
      <c r="Q83" s="10"/>
      <c r="R83" s="10"/>
      <c r="S83" s="10"/>
      <c r="T83" s="10"/>
    </row>
    <row r="84" spans="1:20" s="6" customFormat="1">
      <c r="A84" s="674" t="s">
        <v>1349</v>
      </c>
      <c r="B84" s="260"/>
      <c r="C84" s="260"/>
      <c r="D84" s="267"/>
      <c r="E84" s="268"/>
      <c r="F84" s="10">
        <v>450.1382418441404</v>
      </c>
      <c r="G84" s="10">
        <v>218.1230062763895</v>
      </c>
      <c r="H84" s="10">
        <v>179.54835752921136</v>
      </c>
      <c r="I84" s="6">
        <v>254.76660559203111</v>
      </c>
      <c r="J84" s="6">
        <v>168.10778990556148</v>
      </c>
      <c r="K84" s="10">
        <v>47.82750027915742</v>
      </c>
      <c r="L84" s="10">
        <v>64.068702377305485</v>
      </c>
      <c r="M84" s="10">
        <v>89.308236750044856</v>
      </c>
      <c r="N84" s="10">
        <v>238.16203359610256</v>
      </c>
      <c r="O84" s="10"/>
      <c r="P84" s="10"/>
      <c r="Q84" s="10"/>
      <c r="R84" s="10"/>
      <c r="S84" s="10"/>
      <c r="T84" s="10"/>
    </row>
    <row r="85" spans="1:20" s="6" customFormat="1">
      <c r="A85" s="674" t="s">
        <v>1350</v>
      </c>
      <c r="B85" s="260"/>
      <c r="C85" s="260"/>
      <c r="D85" s="267"/>
      <c r="E85" s="675"/>
      <c r="F85" s="10">
        <v>1.0947607545026485</v>
      </c>
      <c r="G85" s="10">
        <v>0.53041559072156785</v>
      </c>
      <c r="H85" s="10">
        <v>0.43648045582116313</v>
      </c>
      <c r="I85" s="6">
        <v>0.62230988866402837</v>
      </c>
      <c r="J85" s="6">
        <v>0.4087921698144405</v>
      </c>
      <c r="K85" s="10">
        <v>0.11684810446650523</v>
      </c>
      <c r="L85" s="10">
        <v>0.15526752319667184</v>
      </c>
      <c r="M85" s="10">
        <v>0.21660011346996072</v>
      </c>
      <c r="N85" s="10">
        <v>0.5779198714024274</v>
      </c>
      <c r="O85" s="10"/>
      <c r="P85" s="10"/>
      <c r="Q85" s="10"/>
      <c r="R85" s="10"/>
      <c r="S85" s="10"/>
      <c r="T85" s="10"/>
    </row>
    <row r="86" spans="1:20" s="6" customFormat="1">
      <c r="A86" s="262"/>
      <c r="B86" s="177"/>
      <c r="C86" s="177"/>
      <c r="D86" s="267"/>
      <c r="E86" s="676"/>
      <c r="F86" s="10"/>
      <c r="G86" s="10"/>
      <c r="H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s="6" customFormat="1">
      <c r="A87" s="262"/>
      <c r="B87" s="177"/>
      <c r="C87" s="177"/>
      <c r="D87" s="267"/>
      <c r="E87" s="676"/>
      <c r="F87" s="10"/>
      <c r="G87" s="10"/>
      <c r="H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s="6" customFormat="1">
      <c r="A88" s="262"/>
      <c r="B88" s="177"/>
      <c r="C88" s="177"/>
      <c r="D88" s="267"/>
      <c r="E88" s="676"/>
      <c r="F88" s="10"/>
      <c r="G88" s="10"/>
      <c r="H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s="6" customFormat="1" ht="16">
      <c r="A89" s="677" t="s">
        <v>1351</v>
      </c>
      <c r="B89" s="260"/>
      <c r="C89" s="260"/>
      <c r="D89" s="265"/>
      <c r="E89" s="260"/>
      <c r="F89" s="10"/>
      <c r="G89" s="10"/>
      <c r="H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s="6" customFormat="1">
      <c r="A90" s="260" t="s">
        <v>1352</v>
      </c>
      <c r="B90" s="177"/>
      <c r="C90" s="177"/>
      <c r="D90" s="265"/>
      <c r="E90" s="260"/>
      <c r="F90" s="10">
        <v>0.08</v>
      </c>
      <c r="G90" s="10">
        <v>0.08</v>
      </c>
      <c r="H90" s="10">
        <v>0.08</v>
      </c>
      <c r="I90" s="6">
        <v>0.08</v>
      </c>
      <c r="J90" s="6">
        <v>0.08</v>
      </c>
      <c r="K90" s="10">
        <v>0.08</v>
      </c>
      <c r="L90" s="10">
        <v>0.08</v>
      </c>
      <c r="M90" s="10">
        <v>0.08</v>
      </c>
      <c r="N90" s="10">
        <v>0.08</v>
      </c>
      <c r="O90" s="10"/>
      <c r="P90" s="10"/>
      <c r="Q90" s="10"/>
      <c r="R90" s="10"/>
      <c r="S90" s="10"/>
      <c r="T90" s="10"/>
    </row>
    <row r="91" spans="1:20" s="6" customFormat="1">
      <c r="A91" s="260" t="s">
        <v>1353</v>
      </c>
      <c r="B91" s="259"/>
      <c r="C91" s="259"/>
      <c r="D91" s="265"/>
      <c r="E91" s="260"/>
      <c r="F91" s="10">
        <v>0.2</v>
      </c>
      <c r="G91" s="10">
        <v>0.2</v>
      </c>
      <c r="H91" s="10">
        <v>0.2</v>
      </c>
      <c r="I91" s="6">
        <v>0.2</v>
      </c>
      <c r="J91" s="6">
        <v>0.2</v>
      </c>
      <c r="K91" s="10">
        <v>0.2</v>
      </c>
      <c r="L91" s="10">
        <v>0.2</v>
      </c>
      <c r="M91" s="10">
        <v>0.2</v>
      </c>
      <c r="N91" s="10">
        <v>0.2</v>
      </c>
      <c r="O91" s="10"/>
      <c r="P91" s="10"/>
      <c r="Q91" s="10"/>
      <c r="R91" s="10"/>
      <c r="S91" s="10"/>
      <c r="T91" s="10"/>
    </row>
    <row r="92" spans="1:20" s="6" customFormat="1">
      <c r="A92" s="260" t="s">
        <v>1354</v>
      </c>
      <c r="B92" s="177"/>
      <c r="C92" s="177"/>
      <c r="D92" s="269"/>
      <c r="E92" s="676"/>
      <c r="F92" s="10">
        <v>2.444</v>
      </c>
      <c r="G92" s="10">
        <v>2.444</v>
      </c>
      <c r="H92" s="10">
        <v>2.444</v>
      </c>
      <c r="I92" s="6">
        <v>2.444</v>
      </c>
      <c r="J92" s="6">
        <v>2.444</v>
      </c>
      <c r="K92" s="10">
        <v>2.444</v>
      </c>
      <c r="L92" s="10">
        <v>2.444</v>
      </c>
      <c r="M92" s="10">
        <v>2.444</v>
      </c>
      <c r="N92" s="10">
        <v>2.444</v>
      </c>
      <c r="O92" s="10"/>
      <c r="P92" s="10"/>
      <c r="Q92" s="10"/>
      <c r="R92" s="10"/>
      <c r="S92" s="10"/>
      <c r="T92" s="10"/>
    </row>
    <row r="93" spans="1:20" s="6" customFormat="1">
      <c r="A93" s="260" t="s">
        <v>1355</v>
      </c>
      <c r="B93" s="177"/>
      <c r="C93" s="177"/>
      <c r="D93" s="267"/>
      <c r="E93" s="260"/>
      <c r="F93" s="10">
        <v>2.8000000000000004E-2</v>
      </c>
      <c r="G93" s="10">
        <v>2.8000000000000004E-2</v>
      </c>
      <c r="H93" s="10">
        <v>2.8000000000000004E-2</v>
      </c>
      <c r="I93" s="6">
        <v>2.8000000000000004E-2</v>
      </c>
      <c r="J93" s="6">
        <v>2.8000000000000004E-2</v>
      </c>
      <c r="K93" s="10">
        <v>2.8000000000000004E-2</v>
      </c>
      <c r="L93" s="10">
        <v>2.8000000000000004E-2</v>
      </c>
      <c r="M93" s="10">
        <v>2.8000000000000004E-2</v>
      </c>
      <c r="N93" s="10">
        <v>2.8000000000000004E-2</v>
      </c>
      <c r="O93" s="10"/>
      <c r="P93" s="10"/>
      <c r="Q93" s="10"/>
      <c r="R93" s="10"/>
      <c r="S93" s="10"/>
      <c r="T93" s="10"/>
    </row>
    <row r="94" spans="1:20" s="6" customFormat="1">
      <c r="A94" s="260" t="s">
        <v>1356</v>
      </c>
      <c r="B94" s="260"/>
      <c r="C94" s="177"/>
      <c r="D94" s="260"/>
      <c r="E94" s="260"/>
      <c r="F94" s="10">
        <v>0.8256</v>
      </c>
      <c r="G94" s="10">
        <v>0.8256</v>
      </c>
      <c r="H94" s="10">
        <v>0.8256</v>
      </c>
      <c r="I94" s="6">
        <v>0.8256</v>
      </c>
      <c r="J94" s="6">
        <v>0.8256</v>
      </c>
      <c r="K94" s="10">
        <v>0.8256</v>
      </c>
      <c r="L94" s="10">
        <v>0.8256</v>
      </c>
      <c r="M94" s="10">
        <v>0.8256</v>
      </c>
      <c r="N94" s="10">
        <v>0.8256</v>
      </c>
      <c r="O94" s="10"/>
      <c r="P94" s="10"/>
      <c r="Q94" s="10"/>
      <c r="R94" s="10"/>
      <c r="S94" s="10"/>
      <c r="T94" s="10"/>
    </row>
    <row r="95" spans="1:20" s="6" customFormat="1">
      <c r="A95" s="219" t="s">
        <v>1351</v>
      </c>
      <c r="B95" s="260"/>
      <c r="C95" s="260"/>
      <c r="D95" s="260"/>
      <c r="E95" s="260"/>
      <c r="F95" s="10">
        <v>3.5776000000000003</v>
      </c>
      <c r="G95" s="10">
        <v>3.5776000000000003</v>
      </c>
      <c r="H95" s="10">
        <v>3.5776000000000003</v>
      </c>
      <c r="I95" s="6">
        <v>3.5776000000000003</v>
      </c>
      <c r="J95" s="6">
        <v>3.5776000000000003</v>
      </c>
      <c r="K95" s="10">
        <v>3.5776000000000003</v>
      </c>
      <c r="L95" s="10">
        <v>3.5776000000000003</v>
      </c>
      <c r="M95" s="10">
        <v>3.5776000000000003</v>
      </c>
      <c r="N95" s="10">
        <v>3.5776000000000003</v>
      </c>
      <c r="O95" s="10"/>
      <c r="P95" s="10"/>
      <c r="Q95" s="10"/>
      <c r="R95" s="10"/>
      <c r="S95" s="10"/>
      <c r="T95" s="10"/>
    </row>
    <row r="96" spans="1:20" s="6" customFormat="1">
      <c r="A96" s="262"/>
      <c r="B96" s="260"/>
      <c r="C96" s="260"/>
      <c r="D96" s="260"/>
      <c r="E96" s="260"/>
      <c r="F96" s="10"/>
      <c r="G96" s="10"/>
      <c r="H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s="6" customFormat="1">
      <c r="A97" s="219" t="s">
        <v>1408</v>
      </c>
      <c r="B97" s="260"/>
      <c r="C97" s="260"/>
      <c r="D97" s="260"/>
      <c r="E97" s="260"/>
      <c r="F97" s="10">
        <f>F90+F91+F92</f>
        <v>2.7240000000000002</v>
      </c>
      <c r="G97" s="10">
        <f t="shared" ref="G97:N97" si="0">G90+G91+G92</f>
        <v>2.7240000000000002</v>
      </c>
      <c r="H97" s="10">
        <f t="shared" si="0"/>
        <v>2.7240000000000002</v>
      </c>
      <c r="I97" s="10">
        <f t="shared" si="0"/>
        <v>2.7240000000000002</v>
      </c>
      <c r="J97" s="10">
        <f t="shared" si="0"/>
        <v>2.7240000000000002</v>
      </c>
      <c r="K97" s="10">
        <f t="shared" si="0"/>
        <v>2.7240000000000002</v>
      </c>
      <c r="L97" s="10">
        <f t="shared" si="0"/>
        <v>2.7240000000000002</v>
      </c>
      <c r="M97" s="10">
        <f t="shared" si="0"/>
        <v>2.7240000000000002</v>
      </c>
      <c r="N97" s="10">
        <f t="shared" si="0"/>
        <v>2.7240000000000002</v>
      </c>
      <c r="O97" s="10"/>
      <c r="P97" s="10"/>
      <c r="Q97" s="10"/>
      <c r="R97" s="10"/>
      <c r="S97" s="10"/>
      <c r="T97" s="10"/>
    </row>
    <row r="98" spans="1:20" s="6" customFormat="1">
      <c r="A98" s="262"/>
      <c r="B98" s="260"/>
      <c r="C98" s="260"/>
      <c r="D98" s="260"/>
      <c r="E98" s="260"/>
      <c r="F98" s="10"/>
      <c r="G98" s="10"/>
      <c r="H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s="6" customFormat="1">
      <c r="A99" s="262"/>
      <c r="B99" s="260"/>
      <c r="C99" s="260"/>
      <c r="D99" s="260"/>
      <c r="E99" s="260"/>
      <c r="F99" s="10"/>
      <c r="G99" s="10"/>
      <c r="H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s="6" customFormat="1">
      <c r="A100" s="270"/>
      <c r="B100" s="260"/>
      <c r="C100" s="260"/>
      <c r="D100" s="260"/>
      <c r="E100" s="260"/>
      <c r="F100" s="10"/>
      <c r="G100" s="10"/>
      <c r="H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s="6" customFormat="1">
      <c r="A101" s="262"/>
      <c r="B101" s="260"/>
      <c r="C101" s="260"/>
      <c r="D101" s="260"/>
      <c r="E101" s="260"/>
      <c r="F101" s="10"/>
      <c r="G101" s="10"/>
      <c r="H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>
      <c r="A102" s="222"/>
      <c r="B102" s="227"/>
      <c r="C102" s="227"/>
      <c r="D102" s="227"/>
      <c r="E102" s="227"/>
      <c r="F102" s="8"/>
      <c r="G102" s="8"/>
      <c r="H102" s="8"/>
      <c r="K102" s="8"/>
      <c r="L102" s="8"/>
      <c r="M102" s="8"/>
    </row>
    <row r="103" spans="1:20">
      <c r="A103" s="222"/>
      <c r="B103" s="227"/>
      <c r="C103" s="227"/>
      <c r="D103" s="227"/>
      <c r="E103" s="227"/>
      <c r="F103" s="8"/>
      <c r="G103" s="8"/>
      <c r="H103" s="8"/>
      <c r="K103" s="8"/>
      <c r="L103" s="8"/>
      <c r="M103" s="8"/>
    </row>
    <row r="104" spans="1:20">
      <c r="A104" s="222"/>
      <c r="B104" s="227"/>
      <c r="C104" s="227"/>
      <c r="D104" s="227"/>
      <c r="E104" s="227"/>
      <c r="F104" s="8"/>
      <c r="G104" s="8"/>
      <c r="H104" s="8"/>
      <c r="K104" s="8"/>
      <c r="L104" s="8"/>
      <c r="M104" s="8"/>
    </row>
    <row r="105" spans="1:20">
      <c r="A105" s="222"/>
      <c r="B105" s="227"/>
      <c r="C105" s="227"/>
      <c r="D105" s="227"/>
      <c r="E105" s="227"/>
      <c r="F105" s="8"/>
      <c r="G105" s="8"/>
      <c r="H105" s="8"/>
      <c r="K105" s="8"/>
      <c r="L105" s="8"/>
      <c r="M105" s="8"/>
    </row>
    <row r="106" spans="1:20">
      <c r="A106" s="222"/>
      <c r="B106" s="227"/>
      <c r="C106" s="227"/>
      <c r="D106" s="227"/>
      <c r="E106" s="227"/>
      <c r="F106" s="8"/>
      <c r="G106" s="8"/>
      <c r="H106" s="8"/>
      <c r="K106" s="8"/>
      <c r="L106" s="8"/>
      <c r="M106" s="8"/>
    </row>
    <row r="107" spans="1:20">
      <c r="A107" s="222"/>
      <c r="B107" s="227"/>
      <c r="C107" s="227"/>
      <c r="D107" s="227"/>
      <c r="E107" s="227"/>
      <c r="F107" s="8"/>
      <c r="G107" s="8"/>
      <c r="H107" s="8"/>
      <c r="K107" s="8"/>
      <c r="L107" s="8"/>
      <c r="M107" s="8"/>
    </row>
    <row r="108" spans="1:20">
      <c r="A108" s="222"/>
      <c r="B108" s="227"/>
      <c r="C108" s="227"/>
      <c r="D108" s="227"/>
      <c r="E108" s="227"/>
      <c r="F108" s="8"/>
      <c r="G108" s="8"/>
      <c r="H108" s="8"/>
      <c r="K108" s="8"/>
      <c r="L108" s="8"/>
      <c r="M108" s="8"/>
    </row>
    <row r="109" spans="1:20">
      <c r="A109" s="222"/>
      <c r="B109" s="227"/>
      <c r="C109" s="227"/>
      <c r="D109" s="227"/>
      <c r="E109" s="227"/>
      <c r="F109" s="8"/>
      <c r="G109" s="8"/>
      <c r="H109" s="8"/>
      <c r="K109" s="8"/>
      <c r="L109" s="8"/>
      <c r="M109" s="8"/>
    </row>
    <row r="110" spans="1:20">
      <c r="A110" s="222"/>
      <c r="B110" s="227"/>
      <c r="C110" s="227"/>
      <c r="D110" s="227"/>
      <c r="E110" s="227"/>
      <c r="F110" s="8"/>
      <c r="G110" s="8"/>
      <c r="H110" s="8"/>
      <c r="K110" s="8"/>
      <c r="L110" s="8"/>
      <c r="M110" s="8"/>
    </row>
    <row r="111" spans="1:20">
      <c r="A111" s="222"/>
      <c r="B111" s="227"/>
      <c r="C111" s="227"/>
      <c r="D111" s="227"/>
      <c r="E111" s="227"/>
      <c r="F111" s="8"/>
      <c r="G111" s="8"/>
      <c r="H111" s="8"/>
      <c r="K111" s="8"/>
      <c r="L111" s="8"/>
      <c r="M111" s="8"/>
    </row>
    <row r="112" spans="1:20">
      <c r="A112" s="225"/>
      <c r="B112" s="227"/>
      <c r="C112" s="227"/>
      <c r="D112" s="227"/>
      <c r="E112" s="227"/>
      <c r="F112" s="8"/>
      <c r="G112" s="8"/>
      <c r="H112" s="8"/>
      <c r="K112" s="8"/>
      <c r="L112" s="8"/>
      <c r="M112" s="8"/>
    </row>
    <row r="113" spans="1:19">
      <c r="A113" s="222"/>
      <c r="B113" s="227"/>
      <c r="C113" s="227"/>
      <c r="D113" s="227"/>
      <c r="E113" s="227"/>
      <c r="F113" s="8"/>
      <c r="G113" s="8"/>
      <c r="H113" s="8"/>
      <c r="K113" s="8"/>
      <c r="L113" s="8"/>
      <c r="M113" s="8"/>
    </row>
    <row r="114" spans="1:19">
      <c r="A114" s="222"/>
      <c r="B114" s="227"/>
      <c r="C114" s="227"/>
      <c r="D114" s="227"/>
      <c r="E114" s="227"/>
      <c r="F114" s="8"/>
      <c r="G114" s="8"/>
      <c r="H114" s="8"/>
      <c r="K114" s="8"/>
      <c r="L114" s="8"/>
      <c r="M114" s="8"/>
    </row>
    <row r="115" spans="1:19">
      <c r="A115" s="222"/>
      <c r="B115" s="227"/>
      <c r="C115" s="227"/>
      <c r="D115" s="227"/>
      <c r="E115" s="227"/>
      <c r="F115" s="8"/>
      <c r="G115" s="8"/>
      <c r="H115" s="8"/>
      <c r="K115" s="8"/>
      <c r="L115" s="8"/>
      <c r="M115" s="8"/>
    </row>
    <row r="116" spans="1:19">
      <c r="F116" s="8"/>
      <c r="G116" s="8"/>
      <c r="H116" s="8"/>
      <c r="K116" s="8"/>
      <c r="L116" s="8"/>
      <c r="M116" s="8"/>
    </row>
    <row r="117" spans="1:19">
      <c r="F117" s="8"/>
      <c r="G117" s="8"/>
      <c r="H117" s="8"/>
      <c r="K117" s="8"/>
      <c r="L117" s="8"/>
      <c r="M117" s="8"/>
    </row>
    <row r="118" spans="1:19">
      <c r="F118" s="8"/>
      <c r="G118" s="8"/>
      <c r="H118" s="8"/>
      <c r="K118" s="8"/>
      <c r="L118" s="8"/>
      <c r="M118" s="8"/>
    </row>
    <row r="119" spans="1:19" ht="16">
      <c r="A119" s="224"/>
      <c r="B119" s="227"/>
      <c r="C119" s="227"/>
      <c r="D119" s="227"/>
      <c r="E119" s="227"/>
      <c r="F119" s="8"/>
      <c r="G119" s="8"/>
      <c r="H119" s="8"/>
      <c r="K119" s="8"/>
      <c r="L119" s="8"/>
      <c r="M119" s="8"/>
    </row>
    <row r="120" spans="1:19">
      <c r="A120" s="227"/>
      <c r="B120" s="237"/>
      <c r="C120" s="227"/>
      <c r="D120" s="227"/>
      <c r="E120" s="227"/>
      <c r="F120" s="8"/>
      <c r="G120" s="8"/>
      <c r="H120" s="8"/>
      <c r="K120" s="8"/>
      <c r="L120" s="8"/>
      <c r="M120" s="8"/>
    </row>
    <row r="121" spans="1:19">
      <c r="A121" s="10"/>
      <c r="B121" s="177"/>
      <c r="C121" s="177"/>
      <c r="D121" s="177"/>
      <c r="E121" s="177"/>
      <c r="F121" s="10"/>
      <c r="G121" s="10"/>
      <c r="H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>
      <c r="A122" s="10"/>
      <c r="B122" s="177"/>
      <c r="C122" s="177"/>
      <c r="D122" s="177"/>
      <c r="E122" s="177"/>
      <c r="F122" s="10"/>
      <c r="G122" s="10"/>
      <c r="H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>
      <c r="A123" s="177"/>
      <c r="B123" s="177"/>
      <c r="C123" s="177"/>
      <c r="D123" s="177"/>
      <c r="E123" s="177"/>
      <c r="F123" s="10"/>
      <c r="G123" s="10"/>
      <c r="H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 ht="16">
      <c r="A124" s="218"/>
      <c r="B124" s="218"/>
      <c r="C124" s="218"/>
      <c r="D124" s="177"/>
      <c r="E124" s="177"/>
      <c r="F124" s="10"/>
      <c r="G124" s="10"/>
      <c r="H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>
      <c r="A125" s="336"/>
      <c r="B125" s="336"/>
      <c r="C125" s="336"/>
      <c r="D125" s="337"/>
      <c r="E125" s="333"/>
      <c r="F125" s="10"/>
      <c r="G125" s="10"/>
      <c r="H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>
      <c r="A126" s="338"/>
      <c r="B126" s="339"/>
      <c r="C126" s="339"/>
      <c r="D126" s="337"/>
      <c r="E126" s="334"/>
      <c r="F126" s="10"/>
      <c r="G126" s="10"/>
      <c r="H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>
      <c r="A127" s="219"/>
      <c r="B127" s="219"/>
      <c r="C127" s="219"/>
      <c r="D127" s="177"/>
      <c r="E127" s="335"/>
      <c r="F127" s="177"/>
      <c r="G127" s="177"/>
      <c r="H127" s="177"/>
      <c r="K127" s="177"/>
      <c r="L127" s="177"/>
      <c r="M127" s="177"/>
      <c r="N127" s="177"/>
      <c r="O127" s="177"/>
      <c r="P127" s="177"/>
      <c r="Q127" s="10"/>
      <c r="R127" s="10"/>
      <c r="S127" s="10"/>
    </row>
    <row r="128" spans="1:19">
      <c r="A128" s="10"/>
      <c r="B128" s="177"/>
      <c r="C128" s="177"/>
      <c r="D128" s="340"/>
      <c r="E128" s="335"/>
      <c r="F128" s="10"/>
      <c r="G128" s="10"/>
      <c r="H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>
      <c r="A129" s="10"/>
      <c r="B129" s="177"/>
      <c r="C129" s="177"/>
      <c r="D129" s="271"/>
      <c r="E129" s="272"/>
      <c r="F129" s="273"/>
      <c r="G129" s="273"/>
      <c r="H129" s="273"/>
      <c r="K129" s="273"/>
      <c r="L129" s="273"/>
      <c r="M129" s="273"/>
      <c r="N129" s="273"/>
      <c r="O129" s="273"/>
      <c r="P129" s="273"/>
      <c r="Q129" s="10"/>
      <c r="R129" s="10"/>
      <c r="S129" s="10"/>
    </row>
    <row r="130" spans="1:19">
      <c r="A130" s="10"/>
      <c r="B130" s="177"/>
      <c r="C130" s="177"/>
      <c r="D130" s="274"/>
      <c r="E130" s="272"/>
      <c r="F130" s="341"/>
      <c r="G130" s="341"/>
      <c r="H130" s="341"/>
      <c r="K130" s="341"/>
      <c r="L130" s="341"/>
      <c r="M130" s="341"/>
      <c r="N130" s="341"/>
      <c r="O130" s="341"/>
      <c r="P130" s="341"/>
      <c r="Q130" s="10"/>
      <c r="R130" s="10"/>
      <c r="S130" s="10"/>
    </row>
    <row r="131" spans="1:19">
      <c r="A131" s="10"/>
      <c r="B131" s="177"/>
      <c r="C131" s="177"/>
      <c r="D131" s="271"/>
      <c r="E131" s="272"/>
      <c r="F131" s="177"/>
      <c r="G131" s="177"/>
      <c r="H131" s="177"/>
      <c r="K131" s="177"/>
      <c r="L131" s="177"/>
      <c r="M131" s="177"/>
      <c r="N131" s="177"/>
      <c r="O131" s="177"/>
      <c r="P131" s="177"/>
      <c r="Q131" s="10"/>
      <c r="R131" s="10"/>
      <c r="S131" s="10"/>
    </row>
    <row r="132" spans="1:19">
      <c r="A132" s="219"/>
      <c r="B132" s="219"/>
      <c r="C132" s="219"/>
      <c r="D132" s="271"/>
      <c r="E132" s="272"/>
      <c r="F132" s="10"/>
      <c r="G132" s="10"/>
      <c r="H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>
      <c r="A133" s="177"/>
      <c r="B133" s="177"/>
      <c r="C133" s="177"/>
      <c r="D133" s="271"/>
      <c r="E133" s="272"/>
      <c r="F133" s="10"/>
      <c r="G133" s="10"/>
      <c r="H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>
      <c r="A134" s="10"/>
      <c r="B134" s="177"/>
      <c r="C134" s="177"/>
      <c r="D134" s="271"/>
      <c r="E134" s="272"/>
      <c r="F134" s="10"/>
      <c r="G134" s="10"/>
      <c r="H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>
      <c r="A135" s="10"/>
      <c r="B135" s="177"/>
      <c r="C135" s="177"/>
      <c r="D135" s="271"/>
      <c r="E135" s="272"/>
      <c r="F135" s="273"/>
      <c r="G135" s="273"/>
      <c r="H135" s="273"/>
      <c r="K135" s="273"/>
      <c r="L135" s="273"/>
      <c r="M135" s="273"/>
      <c r="N135" s="273"/>
      <c r="O135" s="273"/>
      <c r="P135" s="273"/>
      <c r="Q135" s="10"/>
      <c r="R135" s="10"/>
      <c r="S135" s="10"/>
    </row>
    <row r="136" spans="1:19">
      <c r="A136" s="10"/>
      <c r="B136" s="177"/>
      <c r="C136" s="177"/>
      <c r="D136" s="271"/>
      <c r="E136" s="272"/>
      <c r="F136" s="273"/>
      <c r="G136" s="273"/>
      <c r="H136" s="273"/>
      <c r="K136" s="273"/>
      <c r="L136" s="273"/>
      <c r="M136" s="273"/>
      <c r="N136" s="273"/>
      <c r="O136" s="273"/>
      <c r="P136" s="273"/>
      <c r="Q136" s="10"/>
      <c r="R136" s="10"/>
      <c r="S136" s="10"/>
    </row>
    <row r="137" spans="1:19">
      <c r="A137" s="10"/>
      <c r="B137" s="177"/>
      <c r="C137" s="177"/>
      <c r="D137" s="274"/>
      <c r="E137" s="272"/>
      <c r="F137" s="273"/>
      <c r="G137" s="273"/>
      <c r="H137" s="273"/>
      <c r="K137" s="273"/>
      <c r="L137" s="273"/>
      <c r="M137" s="273"/>
      <c r="N137" s="273"/>
      <c r="O137" s="273"/>
      <c r="P137" s="273"/>
      <c r="Q137" s="10"/>
      <c r="R137" s="10"/>
      <c r="S137" s="10"/>
    </row>
    <row r="138" spans="1:19">
      <c r="A138" s="10"/>
      <c r="B138" s="177"/>
      <c r="C138" s="177"/>
      <c r="D138" s="271"/>
      <c r="E138" s="272"/>
      <c r="F138" s="273"/>
      <c r="G138" s="273"/>
      <c r="H138" s="273"/>
      <c r="K138" s="273"/>
      <c r="L138" s="273"/>
      <c r="M138" s="273"/>
      <c r="N138" s="273"/>
      <c r="O138" s="273"/>
      <c r="P138" s="273"/>
      <c r="Q138" s="10"/>
      <c r="R138" s="10"/>
      <c r="S138" s="10"/>
    </row>
    <row r="139" spans="1:19">
      <c r="A139" s="10"/>
      <c r="B139" s="177"/>
      <c r="C139" s="177"/>
      <c r="D139" s="271"/>
      <c r="E139" s="272"/>
      <c r="F139" s="273"/>
      <c r="G139" s="273"/>
      <c r="H139" s="273"/>
      <c r="K139" s="273"/>
      <c r="L139" s="273"/>
      <c r="M139" s="273"/>
      <c r="N139" s="273"/>
      <c r="O139" s="273"/>
      <c r="P139" s="273"/>
      <c r="Q139" s="10"/>
      <c r="R139" s="10"/>
      <c r="S139" s="10"/>
    </row>
    <row r="140" spans="1:19">
      <c r="A140" s="10"/>
      <c r="B140" s="177"/>
      <c r="C140" s="177"/>
      <c r="D140" s="271"/>
      <c r="E140" s="272"/>
      <c r="F140" s="273"/>
      <c r="G140" s="273"/>
      <c r="H140" s="273"/>
      <c r="K140" s="273"/>
      <c r="L140" s="273"/>
      <c r="M140" s="273"/>
      <c r="N140" s="273"/>
      <c r="O140" s="273"/>
      <c r="P140" s="273"/>
      <c r="Q140" s="10"/>
      <c r="R140" s="10"/>
      <c r="S140" s="10"/>
    </row>
    <row r="141" spans="1:19">
      <c r="A141" s="10"/>
      <c r="B141" s="177"/>
      <c r="C141" s="177"/>
      <c r="D141" s="271"/>
      <c r="E141" s="272"/>
      <c r="F141" s="273"/>
      <c r="G141" s="273"/>
      <c r="H141" s="273"/>
      <c r="K141" s="273"/>
      <c r="L141" s="273"/>
      <c r="M141" s="273"/>
      <c r="N141" s="273"/>
      <c r="O141" s="273"/>
      <c r="P141" s="273"/>
      <c r="Q141" s="273"/>
      <c r="R141" s="10"/>
      <c r="S141" s="10"/>
    </row>
    <row r="142" spans="1:19">
      <c r="A142" s="10"/>
      <c r="B142" s="177"/>
      <c r="C142" s="177"/>
      <c r="D142" s="274"/>
      <c r="E142" s="272"/>
      <c r="F142" s="273"/>
      <c r="G142" s="273"/>
      <c r="H142" s="273"/>
      <c r="K142" s="273"/>
      <c r="L142" s="273"/>
      <c r="M142" s="273"/>
      <c r="N142" s="273"/>
      <c r="O142" s="273"/>
      <c r="P142" s="273"/>
      <c r="Q142" s="273"/>
      <c r="R142" s="10"/>
      <c r="S142" s="10"/>
    </row>
    <row r="143" spans="1:19">
      <c r="A143" s="10"/>
      <c r="B143" s="177"/>
      <c r="C143" s="177"/>
      <c r="D143" s="271"/>
      <c r="E143" s="272"/>
      <c r="F143" s="273"/>
      <c r="G143" s="273"/>
      <c r="H143" s="273"/>
      <c r="K143" s="273"/>
      <c r="L143" s="273"/>
      <c r="M143" s="273"/>
      <c r="N143" s="273"/>
      <c r="O143" s="273"/>
      <c r="P143" s="273"/>
      <c r="Q143" s="273"/>
      <c r="R143" s="10"/>
      <c r="S143" s="10"/>
    </row>
    <row r="144" spans="1:19">
      <c r="A144" s="10"/>
      <c r="B144" s="177"/>
      <c r="C144" s="177"/>
      <c r="D144" s="271"/>
      <c r="E144" s="272"/>
      <c r="F144" s="273"/>
      <c r="G144" s="273"/>
      <c r="H144" s="273"/>
      <c r="K144" s="273"/>
      <c r="L144" s="273"/>
      <c r="M144" s="273"/>
      <c r="N144" s="273"/>
      <c r="O144" s="273"/>
      <c r="P144" s="273"/>
      <c r="Q144" s="273"/>
      <c r="R144" s="10"/>
      <c r="S144" s="10"/>
    </row>
    <row r="145" spans="1:19">
      <c r="A145" s="10"/>
      <c r="B145" s="177"/>
      <c r="C145" s="177"/>
      <c r="D145" s="271"/>
      <c r="E145" s="272"/>
      <c r="F145" s="10"/>
      <c r="G145" s="10"/>
      <c r="H145" s="10"/>
      <c r="K145" s="10"/>
      <c r="L145" s="10"/>
      <c r="M145" s="10"/>
      <c r="N145" s="10"/>
      <c r="O145" s="10"/>
      <c r="P145" s="10"/>
      <c r="Q145" s="273"/>
      <c r="R145" s="10"/>
      <c r="S145" s="10"/>
    </row>
    <row r="146" spans="1:19">
      <c r="A146" s="10"/>
      <c r="B146" s="177"/>
      <c r="C146" s="177"/>
      <c r="D146" s="271"/>
      <c r="E146" s="272"/>
      <c r="F146" s="273"/>
      <c r="G146" s="273"/>
      <c r="H146" s="273"/>
      <c r="K146" s="273"/>
      <c r="L146" s="273"/>
      <c r="M146" s="273"/>
      <c r="N146" s="273"/>
      <c r="O146" s="273"/>
      <c r="P146" s="273"/>
      <c r="Q146" s="273"/>
      <c r="R146" s="10"/>
      <c r="S146" s="10"/>
    </row>
    <row r="147" spans="1:19">
      <c r="A147" s="10"/>
      <c r="B147" s="177"/>
      <c r="C147" s="177"/>
      <c r="D147" s="275"/>
      <c r="E147" s="274"/>
      <c r="F147" s="273"/>
      <c r="G147" s="273"/>
      <c r="H147" s="273"/>
      <c r="K147" s="273"/>
      <c r="L147" s="273"/>
      <c r="M147" s="273"/>
      <c r="N147" s="273"/>
      <c r="O147" s="273"/>
      <c r="P147" s="273"/>
      <c r="Q147" s="10"/>
      <c r="R147" s="10"/>
      <c r="S147" s="10"/>
    </row>
    <row r="148" spans="1:19">
      <c r="A148" s="10"/>
      <c r="B148" s="177"/>
      <c r="C148" s="177"/>
      <c r="D148" s="271"/>
      <c r="E148" s="272"/>
      <c r="F148" s="10"/>
      <c r="G148" s="10"/>
      <c r="H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>
      <c r="A149" s="10"/>
      <c r="B149" s="177"/>
      <c r="C149" s="177"/>
      <c r="D149" s="274"/>
      <c r="E149" s="272"/>
      <c r="F149" s="10"/>
      <c r="G149" s="10"/>
      <c r="H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>
      <c r="A150" s="10"/>
      <c r="B150" s="177"/>
      <c r="C150" s="177"/>
      <c r="D150" s="271"/>
      <c r="E150" s="272"/>
      <c r="F150" s="10"/>
      <c r="G150" s="10"/>
      <c r="H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>
      <c r="A151" s="10"/>
      <c r="B151" s="177"/>
      <c r="C151" s="177"/>
      <c r="D151" s="271"/>
      <c r="E151" s="272"/>
      <c r="F151" s="10"/>
      <c r="G151" s="10"/>
      <c r="H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>
      <c r="A152" s="10"/>
      <c r="B152" s="177"/>
      <c r="C152" s="177"/>
      <c r="D152" s="271"/>
      <c r="E152" s="272"/>
      <c r="F152" s="10"/>
      <c r="G152" s="10"/>
      <c r="H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>
      <c r="A153" s="10"/>
      <c r="B153" s="177"/>
      <c r="C153" s="177"/>
      <c r="D153" s="275"/>
      <c r="E153" s="274"/>
      <c r="F153" s="341"/>
      <c r="G153" s="341"/>
      <c r="H153" s="341"/>
      <c r="K153" s="341"/>
      <c r="L153" s="341"/>
      <c r="M153" s="341"/>
      <c r="N153" s="341"/>
      <c r="O153" s="341"/>
      <c r="P153" s="341"/>
      <c r="Q153" s="10"/>
      <c r="R153" s="10"/>
      <c r="S153" s="10"/>
    </row>
    <row r="154" spans="1:19">
      <c r="A154" s="10"/>
      <c r="B154" s="177"/>
      <c r="C154" s="177"/>
      <c r="D154" s="271"/>
      <c r="E154" s="272"/>
      <c r="F154" s="341"/>
      <c r="G154" s="341"/>
      <c r="H154" s="341"/>
      <c r="K154" s="341"/>
      <c r="L154" s="341"/>
      <c r="M154" s="341"/>
      <c r="N154" s="341"/>
      <c r="O154" s="341"/>
      <c r="P154" s="341"/>
      <c r="Q154" s="10"/>
      <c r="R154" s="10"/>
      <c r="S154" s="10"/>
    </row>
    <row r="155" spans="1:19">
      <c r="A155" s="10"/>
      <c r="B155" s="177"/>
      <c r="C155" s="177"/>
      <c r="D155" s="274"/>
      <c r="E155" s="272"/>
      <c r="F155" s="341"/>
      <c r="G155" s="341"/>
      <c r="H155" s="341"/>
      <c r="K155" s="341"/>
      <c r="L155" s="341"/>
      <c r="M155" s="341"/>
      <c r="N155" s="341"/>
      <c r="O155" s="341"/>
      <c r="P155" s="341"/>
      <c r="Q155" s="273"/>
      <c r="R155" s="10"/>
      <c r="S155" s="10"/>
    </row>
    <row r="156" spans="1:19">
      <c r="B156" s="227"/>
      <c r="C156" s="227"/>
      <c r="D156" s="231"/>
      <c r="E156" s="235"/>
      <c r="F156" s="88"/>
      <c r="G156" s="88"/>
      <c r="H156" s="88"/>
      <c r="K156" s="88"/>
      <c r="L156" s="88"/>
      <c r="M156" s="88"/>
      <c r="N156" s="606"/>
      <c r="O156" s="606"/>
      <c r="P156" s="606"/>
      <c r="Q156" s="612"/>
    </row>
    <row r="157" spans="1:19">
      <c r="B157" s="227"/>
      <c r="C157" s="227"/>
      <c r="D157" s="231"/>
      <c r="E157" s="235"/>
      <c r="F157" s="88"/>
      <c r="G157" s="88"/>
      <c r="H157" s="88"/>
      <c r="K157" s="88"/>
      <c r="L157" s="88"/>
      <c r="M157" s="88"/>
      <c r="N157" s="606"/>
      <c r="O157" s="606"/>
      <c r="P157" s="606"/>
      <c r="Q157" s="612"/>
    </row>
    <row r="158" spans="1:19">
      <c r="B158" s="227"/>
      <c r="C158" s="227"/>
      <c r="D158" s="231"/>
      <c r="E158" s="235"/>
      <c r="F158" s="88"/>
      <c r="G158" s="88"/>
      <c r="H158" s="88"/>
      <c r="K158" s="88"/>
      <c r="L158" s="88"/>
      <c r="M158" s="88"/>
      <c r="N158" s="606"/>
      <c r="O158" s="606"/>
      <c r="P158" s="606"/>
      <c r="Q158" s="612"/>
    </row>
    <row r="159" spans="1:19">
      <c r="B159" s="227"/>
      <c r="C159" s="227"/>
      <c r="D159" s="231"/>
      <c r="E159" s="235"/>
      <c r="F159" s="88"/>
      <c r="G159" s="88"/>
      <c r="H159" s="88"/>
      <c r="K159" s="88"/>
      <c r="L159" s="88"/>
      <c r="M159" s="88"/>
      <c r="N159" s="606"/>
      <c r="O159" s="606"/>
      <c r="P159" s="606"/>
    </row>
    <row r="160" spans="1:19">
      <c r="B160" s="227"/>
      <c r="C160" s="227"/>
      <c r="D160" s="231"/>
      <c r="E160" s="235"/>
      <c r="F160" s="88"/>
      <c r="G160" s="88"/>
      <c r="H160" s="88"/>
      <c r="K160" s="88"/>
      <c r="L160" s="88"/>
      <c r="M160" s="88"/>
      <c r="N160" s="606"/>
      <c r="O160" s="606"/>
      <c r="P160" s="606"/>
    </row>
    <row r="161" spans="2:16">
      <c r="B161" s="227"/>
      <c r="C161" s="227"/>
      <c r="D161" s="231"/>
      <c r="E161" s="235"/>
      <c r="F161" s="88"/>
      <c r="G161" s="88"/>
      <c r="H161" s="88"/>
      <c r="K161" s="88"/>
      <c r="L161" s="88"/>
      <c r="M161" s="88"/>
      <c r="N161" s="606"/>
      <c r="O161" s="606"/>
      <c r="P161" s="606"/>
    </row>
    <row r="162" spans="2:16">
      <c r="B162" s="227"/>
      <c r="C162" s="227"/>
      <c r="D162" s="231"/>
      <c r="E162" s="235"/>
      <c r="F162" s="88"/>
      <c r="G162" s="88"/>
      <c r="H162" s="88"/>
      <c r="K162" s="88"/>
      <c r="L162" s="88"/>
      <c r="M162" s="88"/>
      <c r="N162" s="606"/>
      <c r="O162" s="606"/>
      <c r="P162" s="606"/>
    </row>
    <row r="163" spans="2:16">
      <c r="B163" s="227"/>
      <c r="C163" s="227"/>
      <c r="D163" s="231"/>
      <c r="E163" s="235"/>
    </row>
    <row r="164" spans="2:16">
      <c r="B164" s="227"/>
      <c r="C164" s="227"/>
      <c r="D164" s="231"/>
      <c r="E164" s="235"/>
    </row>
    <row r="165" spans="2:16">
      <c r="B165" s="227"/>
      <c r="C165" s="227"/>
      <c r="D165" s="231"/>
      <c r="E165" s="235"/>
      <c r="M165" s="126"/>
    </row>
    <row r="166" spans="2:16">
      <c r="B166" s="227"/>
      <c r="C166" s="227"/>
      <c r="D166" s="244"/>
      <c r="E166" s="235"/>
    </row>
    <row r="167" spans="2:16">
      <c r="B167" s="227"/>
      <c r="C167" s="227"/>
      <c r="D167" s="231"/>
      <c r="E167" s="235"/>
    </row>
    <row r="168" spans="2:16">
      <c r="B168" s="227"/>
      <c r="C168" s="227"/>
      <c r="D168" s="231"/>
      <c r="E168" s="235"/>
    </row>
    <row r="169" spans="2:16">
      <c r="B169" s="227"/>
      <c r="C169" s="227"/>
      <c r="D169" s="231"/>
      <c r="E169" s="235"/>
    </row>
    <row r="170" spans="2:16">
      <c r="B170" s="227"/>
      <c r="C170" s="227"/>
      <c r="D170" s="231"/>
      <c r="E170" s="235"/>
    </row>
    <row r="171" spans="2:16">
      <c r="B171" s="227"/>
      <c r="C171" s="227"/>
      <c r="D171" s="244"/>
      <c r="E171" s="235"/>
    </row>
    <row r="172" spans="2:16">
      <c r="B172" s="227"/>
      <c r="C172" s="227"/>
      <c r="D172" s="231"/>
      <c r="E172" s="235"/>
    </row>
    <row r="173" spans="2:16">
      <c r="B173" s="227"/>
      <c r="C173" s="227"/>
      <c r="D173" s="237"/>
      <c r="E173" s="247"/>
    </row>
    <row r="174" spans="2:16">
      <c r="B174" s="227"/>
      <c r="C174" s="227"/>
      <c r="D174" s="237"/>
      <c r="E174" s="247"/>
    </row>
    <row r="175" spans="2:16">
      <c r="B175" s="227"/>
      <c r="C175" s="227"/>
      <c r="D175" s="242"/>
      <c r="E175" s="245"/>
    </row>
    <row r="176" spans="2:16">
      <c r="B176" s="227"/>
      <c r="C176" s="227"/>
      <c r="D176" s="245"/>
      <c r="E176" s="245"/>
    </row>
    <row r="177" spans="1:5">
      <c r="B177" s="227"/>
      <c r="C177" s="227"/>
      <c r="D177" s="242"/>
      <c r="E177" s="245"/>
    </row>
    <row r="178" spans="1:5">
      <c r="B178" s="227"/>
      <c r="C178" s="227"/>
      <c r="D178" s="242"/>
      <c r="E178" s="245"/>
    </row>
    <row r="179" spans="1:5">
      <c r="B179" s="227"/>
      <c r="C179" s="227"/>
      <c r="D179" s="242"/>
      <c r="E179" s="245"/>
    </row>
    <row r="180" spans="1:5">
      <c r="B180" s="227"/>
      <c r="C180" s="227"/>
      <c r="D180" s="242"/>
      <c r="E180" s="245"/>
    </row>
    <row r="181" spans="1:5">
      <c r="B181" s="227"/>
      <c r="C181" s="227"/>
      <c r="D181" s="245"/>
      <c r="E181" s="245"/>
    </row>
    <row r="182" spans="1:5">
      <c r="B182" s="227"/>
      <c r="C182" s="227"/>
      <c r="D182" s="242"/>
      <c r="E182" s="245"/>
    </row>
    <row r="183" spans="1:5">
      <c r="A183" s="226"/>
      <c r="B183" s="227"/>
      <c r="C183" s="227"/>
      <c r="D183" s="242"/>
      <c r="E183" s="245"/>
    </row>
    <row r="184" spans="1:5">
      <c r="B184" s="227"/>
      <c r="C184" s="227"/>
      <c r="D184" s="242"/>
      <c r="E184" s="245"/>
    </row>
    <row r="185" spans="1:5">
      <c r="B185" s="227"/>
      <c r="C185" s="227"/>
      <c r="D185" s="242"/>
      <c r="E185" s="245"/>
    </row>
    <row r="186" spans="1:5">
      <c r="B186" s="227"/>
      <c r="C186" s="227"/>
      <c r="D186" s="245"/>
      <c r="E186" s="245"/>
    </row>
    <row r="187" spans="1:5">
      <c r="B187" s="227"/>
      <c r="C187" s="227"/>
      <c r="D187" s="242"/>
      <c r="E187" s="245"/>
    </row>
    <row r="188" spans="1:5">
      <c r="A188" s="226"/>
      <c r="B188" s="227"/>
      <c r="C188" s="227"/>
      <c r="D188" s="242"/>
      <c r="E188" s="245"/>
    </row>
    <row r="189" spans="1:5">
      <c r="B189" s="227"/>
      <c r="C189" s="227"/>
      <c r="D189" s="242"/>
      <c r="E189" s="245"/>
    </row>
    <row r="190" spans="1:5">
      <c r="B190" s="227"/>
      <c r="C190" s="227"/>
      <c r="D190" s="242"/>
      <c r="E190" s="245"/>
    </row>
    <row r="191" spans="1:5">
      <c r="B191" s="227"/>
      <c r="C191" s="227"/>
      <c r="D191" s="245"/>
      <c r="E191" s="245"/>
    </row>
    <row r="192" spans="1:5">
      <c r="B192" s="227"/>
      <c r="C192" s="227"/>
      <c r="D192" s="242"/>
      <c r="E192" s="245"/>
    </row>
    <row r="193" spans="1:5">
      <c r="A193" s="226"/>
      <c r="B193" s="227"/>
      <c r="C193" s="227"/>
      <c r="D193" s="242"/>
      <c r="E193" s="245"/>
    </row>
    <row r="194" spans="1:5">
      <c r="A194" s="227"/>
      <c r="B194" s="227"/>
      <c r="C194" s="227"/>
      <c r="D194" s="242"/>
      <c r="E194" s="245"/>
    </row>
    <row r="195" spans="1:5">
      <c r="A195" s="227"/>
      <c r="B195" s="227"/>
      <c r="C195" s="227"/>
      <c r="D195" s="242"/>
      <c r="E195" s="245"/>
    </row>
    <row r="196" spans="1:5">
      <c r="A196" s="227"/>
      <c r="B196" s="227"/>
      <c r="C196" s="227"/>
      <c r="D196" s="242"/>
      <c r="E196" s="245"/>
    </row>
    <row r="197" spans="1:5">
      <c r="A197" s="227"/>
      <c r="B197" s="227"/>
      <c r="C197" s="227"/>
      <c r="D197" s="242"/>
      <c r="E197" s="245"/>
    </row>
    <row r="198" spans="1:5">
      <c r="A198" s="227"/>
      <c r="B198" s="227"/>
      <c r="C198" s="227"/>
      <c r="D198" s="245"/>
      <c r="E198" s="245"/>
    </row>
    <row r="199" spans="1:5">
      <c r="A199" s="227"/>
      <c r="B199" s="227"/>
      <c r="C199" s="227"/>
      <c r="D199" s="242"/>
      <c r="E199" s="245"/>
    </row>
    <row r="200" spans="1:5">
      <c r="A200" s="227"/>
      <c r="B200" s="227"/>
      <c r="C200" s="227"/>
      <c r="D200" s="242"/>
      <c r="E200" s="245"/>
    </row>
    <row r="201" spans="1:5">
      <c r="A201" s="227"/>
      <c r="B201" s="227"/>
      <c r="C201" s="227"/>
      <c r="D201" s="242"/>
      <c r="E201" s="245"/>
    </row>
    <row r="202" spans="1:5">
      <c r="A202" s="227"/>
      <c r="B202" s="227"/>
      <c r="C202" s="227"/>
      <c r="D202" s="242"/>
      <c r="E202" s="245"/>
    </row>
    <row r="203" spans="1:5">
      <c r="A203" s="227"/>
      <c r="B203" s="227"/>
      <c r="C203" s="227"/>
      <c r="D203" s="245"/>
      <c r="E203" s="245"/>
    </row>
    <row r="204" spans="1:5">
      <c r="A204" s="227"/>
      <c r="B204" s="227"/>
      <c r="C204" s="227"/>
      <c r="D204" s="242"/>
      <c r="E204" s="245"/>
    </row>
    <row r="205" spans="1:5">
      <c r="A205" s="227"/>
      <c r="B205" s="227"/>
      <c r="C205" s="227"/>
      <c r="D205" s="242"/>
      <c r="E205" s="245"/>
    </row>
    <row r="206" spans="1:5">
      <c r="A206" s="227"/>
      <c r="B206" s="227"/>
      <c r="C206" s="227"/>
      <c r="D206" s="242"/>
      <c r="E206" s="245"/>
    </row>
    <row r="207" spans="1:5">
      <c r="A207" s="227"/>
      <c r="B207" s="227"/>
      <c r="C207" s="227"/>
      <c r="D207" s="242"/>
      <c r="E207" s="245"/>
    </row>
    <row r="208" spans="1:5">
      <c r="A208" s="227"/>
      <c r="B208" s="227"/>
      <c r="C208" s="227"/>
      <c r="D208" s="245"/>
      <c r="E208" s="245"/>
    </row>
    <row r="209" spans="1:5">
      <c r="A209" s="227"/>
      <c r="B209" s="227"/>
      <c r="C209" s="227"/>
      <c r="D209" s="242"/>
      <c r="E209" s="245"/>
    </row>
    <row r="210" spans="1:5">
      <c r="A210" s="227"/>
      <c r="B210" s="227"/>
      <c r="C210" s="227"/>
      <c r="D210" s="242"/>
      <c r="E210" s="245"/>
    </row>
    <row r="211" spans="1:5">
      <c r="A211" s="227"/>
      <c r="B211" s="227"/>
      <c r="C211" s="227"/>
      <c r="D211" s="242"/>
      <c r="E211" s="245"/>
    </row>
    <row r="212" spans="1:5">
      <c r="A212" s="227"/>
      <c r="B212" s="227"/>
      <c r="C212" s="227"/>
      <c r="D212" s="242"/>
      <c r="E212" s="245"/>
    </row>
    <row r="213" spans="1:5">
      <c r="A213" s="227"/>
      <c r="B213" s="227"/>
      <c r="C213" s="227"/>
      <c r="D213" s="245"/>
      <c r="E213" s="245"/>
    </row>
    <row r="214" spans="1:5">
      <c r="A214" s="227"/>
      <c r="B214" s="227"/>
      <c r="C214" s="227"/>
      <c r="D214" s="242"/>
      <c r="E214" s="245"/>
    </row>
    <row r="215" spans="1:5">
      <c r="A215" s="227"/>
      <c r="B215" s="227"/>
      <c r="C215" s="227"/>
      <c r="D215" s="242"/>
      <c r="E215" s="245"/>
    </row>
    <row r="216" spans="1:5">
      <c r="A216" s="227"/>
      <c r="B216" s="227"/>
      <c r="C216" s="227"/>
      <c r="D216" s="242"/>
      <c r="E216" s="245"/>
    </row>
    <row r="217" spans="1:5">
      <c r="A217" s="227"/>
      <c r="B217" s="227"/>
      <c r="C217" s="227"/>
      <c r="D217" s="242"/>
      <c r="E217" s="245"/>
    </row>
    <row r="218" spans="1:5">
      <c r="A218" s="227"/>
      <c r="B218" s="227"/>
      <c r="C218" s="227"/>
      <c r="D218" s="242"/>
      <c r="E218" s="245"/>
    </row>
    <row r="219" spans="1:5">
      <c r="A219" s="227"/>
      <c r="B219" s="227"/>
      <c r="C219" s="227"/>
      <c r="D219" s="242"/>
      <c r="E219" s="245"/>
    </row>
    <row r="220" spans="1:5">
      <c r="A220" s="226"/>
      <c r="B220" s="226"/>
      <c r="C220" s="226"/>
      <c r="D220" s="242"/>
      <c r="E220" s="245"/>
    </row>
    <row r="221" spans="1:5">
      <c r="A221" s="227"/>
      <c r="B221" s="226"/>
      <c r="C221" s="227"/>
      <c r="D221" s="242"/>
      <c r="E221" s="245"/>
    </row>
    <row r="222" spans="1:5">
      <c r="A222" s="227"/>
      <c r="B222" s="226"/>
      <c r="C222" s="227"/>
      <c r="D222" s="242"/>
      <c r="E222" s="245"/>
    </row>
    <row r="223" spans="1:5">
      <c r="A223" s="227"/>
      <c r="B223" s="227"/>
      <c r="C223" s="227"/>
      <c r="D223" s="245"/>
      <c r="E223" s="245"/>
    </row>
    <row r="224" spans="1:5">
      <c r="A224" s="227"/>
      <c r="B224" s="226"/>
      <c r="C224" s="227"/>
      <c r="D224" s="245"/>
      <c r="E224" s="245"/>
    </row>
    <row r="225" spans="1:5">
      <c r="A225" s="227"/>
      <c r="B225" s="226"/>
      <c r="C225" s="227"/>
      <c r="D225" s="245"/>
      <c r="E225" s="245"/>
    </row>
    <row r="226" spans="1:5">
      <c r="A226" s="227"/>
      <c r="B226" s="226"/>
      <c r="C226" s="227"/>
      <c r="D226" s="245"/>
      <c r="E226" s="245"/>
    </row>
    <row r="227" spans="1:5">
      <c r="A227" s="227"/>
      <c r="B227" s="226"/>
      <c r="C227" s="227"/>
      <c r="D227" s="245"/>
      <c r="E227" s="245"/>
    </row>
    <row r="228" spans="1:5">
      <c r="A228" s="227"/>
      <c r="B228" s="226"/>
      <c r="C228" s="227"/>
      <c r="D228" s="245"/>
      <c r="E228" s="245"/>
    </row>
    <row r="229" spans="1:5">
      <c r="A229" s="227"/>
      <c r="B229" s="227"/>
      <c r="C229" s="227"/>
      <c r="D229" s="245"/>
      <c r="E229" s="245"/>
    </row>
    <row r="230" spans="1:5">
      <c r="A230" s="227"/>
      <c r="B230" s="226"/>
      <c r="C230" s="227"/>
      <c r="D230" s="245"/>
      <c r="E230" s="245"/>
    </row>
    <row r="231" spans="1:5">
      <c r="A231" s="227"/>
      <c r="B231" s="226"/>
      <c r="C231" s="227"/>
      <c r="D231" s="245"/>
      <c r="E231" s="245"/>
    </row>
    <row r="232" spans="1:5">
      <c r="A232" s="227"/>
      <c r="B232" s="226"/>
      <c r="C232" s="227"/>
      <c r="D232" s="245"/>
      <c r="E232" s="245"/>
    </row>
    <row r="233" spans="1:5">
      <c r="A233" s="227"/>
      <c r="B233" s="226"/>
      <c r="C233" s="227"/>
      <c r="D233" s="245"/>
      <c r="E233" s="245"/>
    </row>
    <row r="234" spans="1:5">
      <c r="A234" s="227"/>
      <c r="B234" s="226"/>
      <c r="C234" s="227"/>
      <c r="D234" s="245"/>
      <c r="E234" s="245"/>
    </row>
    <row r="235" spans="1:5">
      <c r="A235" s="227"/>
      <c r="B235" s="226"/>
      <c r="C235" s="227"/>
      <c r="D235" s="245"/>
      <c r="E235" s="245"/>
    </row>
    <row r="236" spans="1:5">
      <c r="A236" s="227"/>
      <c r="B236" s="226"/>
      <c r="C236" s="227"/>
      <c r="D236" s="245"/>
      <c r="E236" s="245"/>
    </row>
    <row r="237" spans="1:5">
      <c r="A237" s="227"/>
      <c r="B237" s="226"/>
      <c r="C237" s="227"/>
      <c r="D237" s="245"/>
      <c r="E237" s="245"/>
    </row>
    <row r="238" spans="1:5">
      <c r="A238" s="227"/>
      <c r="B238" s="226"/>
      <c r="C238" s="227"/>
      <c r="D238" s="245"/>
      <c r="E238" s="245"/>
    </row>
    <row r="239" spans="1:5">
      <c r="A239" s="227"/>
      <c r="B239" s="226"/>
      <c r="C239" s="227"/>
      <c r="D239" s="245"/>
      <c r="E239" s="245"/>
    </row>
    <row r="240" spans="1:5">
      <c r="A240" s="227"/>
      <c r="B240" s="226"/>
      <c r="C240" s="227"/>
      <c r="D240" s="245"/>
      <c r="E240" s="245"/>
    </row>
    <row r="241" spans="1:5">
      <c r="A241" s="227"/>
      <c r="B241" s="226"/>
      <c r="C241" s="227"/>
      <c r="D241" s="245"/>
      <c r="E241" s="245"/>
    </row>
    <row r="242" spans="1:5">
      <c r="A242" s="227"/>
      <c r="B242" s="226"/>
      <c r="C242" s="227"/>
      <c r="D242" s="245"/>
      <c r="E242" s="245"/>
    </row>
    <row r="243" spans="1:5">
      <c r="A243" s="226"/>
      <c r="B243" s="226"/>
      <c r="C243" s="226"/>
      <c r="D243" s="242"/>
      <c r="E243" s="245"/>
    </row>
    <row r="244" spans="1:5">
      <c r="A244" s="227"/>
      <c r="B244" s="227"/>
      <c r="C244" s="227"/>
      <c r="D244" s="242"/>
      <c r="E244" s="245"/>
    </row>
    <row r="245" spans="1:5">
      <c r="A245" s="227"/>
      <c r="B245" s="227"/>
      <c r="C245" s="227"/>
      <c r="D245" s="242"/>
      <c r="E245" s="245"/>
    </row>
    <row r="246" spans="1:5">
      <c r="A246" s="227"/>
      <c r="B246" s="227"/>
      <c r="C246" s="227"/>
      <c r="D246" s="245"/>
      <c r="E246" s="245"/>
    </row>
    <row r="247" spans="1:5">
      <c r="A247" s="227"/>
      <c r="B247" s="227"/>
      <c r="C247" s="227"/>
      <c r="D247" s="242"/>
      <c r="E247" s="245"/>
    </row>
    <row r="248" spans="1:5">
      <c r="A248" s="248"/>
      <c r="B248" s="226"/>
      <c r="C248" s="226"/>
      <c r="D248" s="242"/>
      <c r="E248" s="245"/>
    </row>
    <row r="249" spans="1:5">
      <c r="A249" s="227"/>
      <c r="B249" s="227"/>
      <c r="C249" s="227"/>
      <c r="D249" s="242"/>
      <c r="E249" s="245"/>
    </row>
    <row r="250" spans="1:5">
      <c r="A250" s="227"/>
      <c r="B250" s="227"/>
      <c r="C250" s="227"/>
      <c r="D250" s="242"/>
      <c r="E250" s="245"/>
    </row>
    <row r="251" spans="1:5">
      <c r="A251" s="227"/>
      <c r="B251" s="227"/>
      <c r="C251" s="227"/>
      <c r="D251" s="242"/>
      <c r="E251" s="245"/>
    </row>
    <row r="252" spans="1:5">
      <c r="A252" s="227"/>
      <c r="B252" s="227"/>
      <c r="C252" s="227"/>
      <c r="D252" s="245"/>
      <c r="E252" s="245"/>
    </row>
    <row r="253" spans="1:5">
      <c r="A253" s="227"/>
      <c r="B253" s="227"/>
      <c r="C253" s="227"/>
      <c r="D253" s="242"/>
      <c r="E253" s="245"/>
    </row>
    <row r="254" spans="1:5">
      <c r="A254" s="226"/>
      <c r="B254" s="226"/>
      <c r="C254" s="226"/>
      <c r="D254" s="242"/>
      <c r="E254" s="245"/>
    </row>
    <row r="255" spans="1:5">
      <c r="A255" s="227"/>
      <c r="B255" s="227"/>
      <c r="C255" s="227"/>
      <c r="D255" s="242"/>
      <c r="E255" s="245"/>
    </row>
    <row r="256" spans="1:5">
      <c r="A256" s="227"/>
      <c r="B256" s="227"/>
      <c r="C256" s="227"/>
      <c r="D256" s="242"/>
      <c r="E256" s="245"/>
    </row>
    <row r="257" spans="1:5">
      <c r="A257" s="227"/>
      <c r="B257" s="227"/>
      <c r="C257" s="227"/>
      <c r="D257" s="245"/>
      <c r="E257" s="245"/>
    </row>
    <row r="258" spans="1:5">
      <c r="A258" s="227"/>
      <c r="B258" s="227"/>
      <c r="C258" s="227"/>
      <c r="D258" s="242"/>
      <c r="E258" s="245"/>
    </row>
    <row r="259" spans="1:5">
      <c r="A259" s="226"/>
      <c r="B259" s="226"/>
      <c r="C259" s="226"/>
      <c r="D259" s="242"/>
      <c r="E259" s="245"/>
    </row>
    <row r="260" spans="1:5">
      <c r="A260" s="227"/>
      <c r="B260" s="227"/>
      <c r="C260" s="227"/>
      <c r="D260" s="242"/>
      <c r="E260" s="245"/>
    </row>
    <row r="261" spans="1:5">
      <c r="A261" s="227"/>
      <c r="B261" s="227"/>
      <c r="C261" s="227"/>
      <c r="D261" s="242"/>
      <c r="E261" s="245"/>
    </row>
    <row r="262" spans="1:5">
      <c r="A262" s="227"/>
      <c r="B262" s="227"/>
      <c r="C262" s="227"/>
      <c r="D262" s="245"/>
      <c r="E262" s="245"/>
    </row>
    <row r="263" spans="1:5">
      <c r="A263" s="227"/>
      <c r="B263" s="227"/>
      <c r="C263" s="227"/>
      <c r="D263" s="242"/>
      <c r="E263" s="245"/>
    </row>
    <row r="264" spans="1:5">
      <c r="A264" s="226"/>
    </row>
    <row r="265" spans="1:5">
      <c r="A265" s="227"/>
    </row>
    <row r="266" spans="1:5">
      <c r="A266" s="227"/>
      <c r="D266" s="249"/>
    </row>
    <row r="267" spans="1:5">
      <c r="A267" s="227"/>
    </row>
    <row r="269" spans="1:5">
      <c r="A269" s="226"/>
    </row>
    <row r="270" spans="1:5">
      <c r="A270" s="227"/>
    </row>
    <row r="271" spans="1:5">
      <c r="A271" s="227"/>
      <c r="D271" s="250"/>
    </row>
    <row r="272" spans="1:5">
      <c r="A272" s="227"/>
    </row>
    <row r="274" spans="1:5">
      <c r="A274" s="226"/>
      <c r="B274" s="227"/>
      <c r="C274" s="227"/>
      <c r="D274" s="227"/>
      <c r="E274" s="227"/>
    </row>
    <row r="275" spans="1:5">
      <c r="A275" s="227"/>
      <c r="B275" s="227"/>
      <c r="C275" s="227"/>
      <c r="D275" s="227"/>
      <c r="E275" s="227"/>
    </row>
    <row r="276" spans="1:5">
      <c r="A276" s="227"/>
      <c r="B276" s="227"/>
      <c r="C276" s="227"/>
      <c r="D276" s="227"/>
      <c r="E276" s="227"/>
    </row>
    <row r="277" spans="1:5">
      <c r="A277" s="227"/>
      <c r="B277" s="227"/>
      <c r="C277" s="227"/>
      <c r="D277" s="227"/>
      <c r="E277" s="22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11A56-2BE7-7645-8EFD-2CB33D005CF8}">
  <dimension ref="A1:AN97"/>
  <sheetViews>
    <sheetView topLeftCell="A17" zoomScale="59" zoomScaleNormal="59" workbookViewId="0">
      <selection activeCell="E7" sqref="E7"/>
    </sheetView>
  </sheetViews>
  <sheetFormatPr baseColWidth="10" defaultColWidth="11.5" defaultRowHeight="16"/>
  <cols>
    <col min="1" max="1" width="30.6640625" style="730" customWidth="1"/>
    <col min="2" max="2" width="18.5" style="730" customWidth="1"/>
    <col min="3" max="3" width="17.6640625" style="730" customWidth="1"/>
    <col min="4" max="4" width="16.1640625" style="730" customWidth="1"/>
    <col min="5" max="5" width="19.1640625" style="730" customWidth="1"/>
    <col min="6" max="6" width="18.6640625" style="730" customWidth="1"/>
    <col min="7" max="7" width="17.33203125" style="730" customWidth="1"/>
    <col min="8" max="11" width="18.1640625" style="730" customWidth="1"/>
    <col min="12" max="12" width="17.5" style="730" customWidth="1"/>
    <col min="13" max="13" width="17.83203125" style="730" customWidth="1"/>
    <col min="14" max="14" width="18.83203125" style="730" customWidth="1"/>
    <col min="15" max="15" width="16.5" style="730" customWidth="1"/>
    <col min="16" max="16" width="19.1640625" style="730" customWidth="1"/>
    <col min="17" max="17" width="18.83203125" style="730" customWidth="1"/>
    <col min="18" max="18" width="17" style="730" customWidth="1"/>
    <col min="19" max="19" width="16" style="730" customWidth="1"/>
    <col min="20" max="20" width="16.83203125" style="730" customWidth="1"/>
    <col min="21" max="21" width="17.1640625" style="730" customWidth="1"/>
    <col min="22" max="22" width="18.83203125" style="730" customWidth="1"/>
    <col min="23" max="23" width="18" style="730" customWidth="1"/>
    <col min="24" max="24" width="16.1640625" style="730" customWidth="1"/>
    <col min="25" max="25" width="22.5" style="730" customWidth="1"/>
    <col min="26" max="26" width="22.83203125" style="730" customWidth="1"/>
    <col min="27" max="27" width="16.1640625" style="730" customWidth="1"/>
    <col min="28" max="28" width="19" style="730" customWidth="1"/>
    <col min="29" max="29" width="14.83203125" style="730" customWidth="1"/>
    <col min="30" max="30" width="13.6640625" style="730" bestFit="1" customWidth="1"/>
    <col min="31" max="31" width="15.33203125" style="730" bestFit="1" customWidth="1"/>
    <col min="32" max="32" width="16.1640625" style="730" customWidth="1"/>
    <col min="33" max="36" width="11.5" style="730"/>
    <col min="37" max="37" width="18.1640625" style="730" customWidth="1"/>
    <col min="38" max="39" width="11.5" style="730"/>
    <col min="40" max="40" width="12.5" style="730" customWidth="1"/>
    <col min="41" max="41" width="13.5" style="730" customWidth="1"/>
    <col min="42" max="42" width="19.6640625" style="730" customWidth="1"/>
    <col min="43" max="43" width="22.1640625" style="730" customWidth="1"/>
    <col min="44" max="44" width="19" style="730" customWidth="1"/>
    <col min="45" max="16384" width="11.5" style="730"/>
  </cols>
  <sheetData>
    <row r="1" spans="1:27" ht="18" customHeight="1">
      <c r="A1" s="505" t="s">
        <v>42</v>
      </c>
      <c r="B1" s="703" t="s">
        <v>0</v>
      </c>
      <c r="C1" s="547" t="s">
        <v>529</v>
      </c>
      <c r="D1" s="547" t="s">
        <v>530</v>
      </c>
      <c r="E1" s="547" t="s">
        <v>963</v>
      </c>
      <c r="F1" s="701" t="s">
        <v>650</v>
      </c>
      <c r="G1" s="557"/>
      <c r="H1" s="1206"/>
      <c r="I1" s="743"/>
      <c r="J1" s="743"/>
      <c r="K1" s="743"/>
      <c r="L1" s="743"/>
      <c r="M1" s="743"/>
      <c r="N1" s="743"/>
      <c r="O1" s="881"/>
      <c r="S1" s="558"/>
      <c r="T1" s="558"/>
      <c r="U1" s="558"/>
      <c r="V1" s="466"/>
      <c r="W1" s="466"/>
      <c r="X1" s="466"/>
      <c r="Y1" s="466"/>
      <c r="Z1" s="466"/>
      <c r="AA1" s="466"/>
    </row>
    <row r="2" spans="1:27" ht="36" customHeight="1">
      <c r="A2" s="695"/>
      <c r="B2" s="688"/>
      <c r="C2" s="548"/>
      <c r="D2" s="548"/>
      <c r="E2" s="548"/>
      <c r="F2" s="702"/>
      <c r="G2" s="557"/>
      <c r="H2" s="759" t="s">
        <v>26</v>
      </c>
      <c r="I2" s="488"/>
      <c r="J2" s="466" t="s">
        <v>67</v>
      </c>
      <c r="K2" s="466" t="s">
        <v>69</v>
      </c>
      <c r="L2" s="466" t="s">
        <v>70</v>
      </c>
      <c r="M2" s="466" t="s">
        <v>527</v>
      </c>
      <c r="N2" s="132" t="s">
        <v>647</v>
      </c>
      <c r="O2" s="756" t="s">
        <v>647</v>
      </c>
      <c r="S2" s="558"/>
      <c r="T2" s="558"/>
      <c r="U2" s="558"/>
      <c r="V2" s="466"/>
      <c r="W2" s="466"/>
      <c r="X2" s="466"/>
      <c r="Y2" s="466"/>
      <c r="Z2" s="466"/>
      <c r="AA2" s="466"/>
    </row>
    <row r="3" spans="1:27" ht="18.75" customHeight="1">
      <c r="A3" s="695"/>
      <c r="B3" s="689"/>
      <c r="C3" s="466"/>
      <c r="D3" s="466"/>
      <c r="E3" s="466"/>
      <c r="F3" s="357"/>
      <c r="G3" s="483"/>
      <c r="H3" s="759"/>
      <c r="I3" s="488"/>
      <c r="J3" s="466" t="s">
        <v>68</v>
      </c>
      <c r="K3" s="466" t="s">
        <v>71</v>
      </c>
      <c r="L3" s="466" t="s">
        <v>72</v>
      </c>
      <c r="M3" s="466"/>
      <c r="N3" s="466"/>
      <c r="O3" s="357"/>
      <c r="S3" s="558"/>
      <c r="T3" s="558"/>
      <c r="U3" s="558"/>
      <c r="V3" s="466"/>
      <c r="W3" s="466"/>
      <c r="X3" s="466"/>
      <c r="Y3" s="466"/>
      <c r="Z3" s="466"/>
      <c r="AA3" s="466"/>
    </row>
    <row r="4" spans="1:27">
      <c r="A4" s="873" t="s">
        <v>66</v>
      </c>
      <c r="B4" s="731" t="s">
        <v>25</v>
      </c>
      <c r="C4" s="728">
        <f>6.94/(6.94+0.8*58.7+0.15*58.9+0.05*27+2*16)</f>
        <v>7.2227715043971477E-2</v>
      </c>
      <c r="D4" s="728">
        <f>0.05*27/(6.94+0.8*58.7+0.15*58.9+0.05*27+2*16)</f>
        <v>1.4050059842847478E-2</v>
      </c>
      <c r="E4" s="728">
        <f>0.8*58.7/(6.94+0.8*58.7+0.15*58.9+0.05*27+2*16)</f>
        <v>0.48873393349638344</v>
      </c>
      <c r="F4" s="760">
        <f>0.15*58.9/(6.94+0.8*58.7+0.15*58.9+0.05*27+2*16)</f>
        <v>9.1949836082635156E-2</v>
      </c>
      <c r="G4" s="729"/>
      <c r="H4" s="761" t="s">
        <v>11</v>
      </c>
      <c r="I4" s="775"/>
      <c r="L4" s="730">
        <v>1.8</v>
      </c>
      <c r="M4" s="768"/>
      <c r="O4" s="758"/>
      <c r="S4" s="866"/>
      <c r="T4" s="866"/>
      <c r="U4" s="866"/>
      <c r="V4" s="860"/>
      <c r="W4" s="860"/>
      <c r="X4" s="860"/>
      <c r="Y4" s="860"/>
      <c r="Z4" s="860"/>
      <c r="AA4" s="735"/>
    </row>
    <row r="5" spans="1:27">
      <c r="A5" s="874" t="s">
        <v>199</v>
      </c>
      <c r="B5" s="191" t="s">
        <v>144</v>
      </c>
      <c r="C5" s="728">
        <f>6.94/(6.94+55.8+31+4*16)</f>
        <v>4.3996449854190441E-2</v>
      </c>
      <c r="D5" s="735">
        <v>0</v>
      </c>
      <c r="E5" s="728">
        <f>55.8/(6.94+55.8+31+4*16)</f>
        <v>0.35374667173830349</v>
      </c>
      <c r="F5" s="760">
        <f>31/(6.94+55.8+31+4*16)</f>
        <v>0.19652592874350194</v>
      </c>
      <c r="G5" s="729"/>
      <c r="H5" s="761" t="s">
        <v>12</v>
      </c>
      <c r="I5" s="775"/>
      <c r="J5" s="730" t="s">
        <v>13</v>
      </c>
      <c r="K5" s="763"/>
      <c r="L5" s="730">
        <v>2.25</v>
      </c>
      <c r="M5" s="768"/>
      <c r="O5" s="758"/>
      <c r="S5" s="866"/>
      <c r="T5" s="866"/>
      <c r="U5" s="866"/>
      <c r="V5" s="860"/>
      <c r="W5" s="860"/>
      <c r="X5" s="860"/>
      <c r="Y5" s="860"/>
      <c r="Z5" s="860"/>
      <c r="AA5" s="735"/>
    </row>
    <row r="6" spans="1:27">
      <c r="A6" s="766" t="s">
        <v>2</v>
      </c>
      <c r="B6" s="731" t="s">
        <v>35</v>
      </c>
      <c r="C6" s="735"/>
      <c r="D6" s="735"/>
      <c r="E6" s="731"/>
      <c r="F6" s="767"/>
      <c r="G6" s="729"/>
      <c r="H6" s="761" t="s">
        <v>14</v>
      </c>
      <c r="I6" s="775"/>
      <c r="J6" s="730">
        <v>7.5</v>
      </c>
      <c r="K6" s="736">
        <f>J6*L6/10</f>
        <v>2.0249999999999999</v>
      </c>
      <c r="L6" s="730">
        <v>2.7</v>
      </c>
      <c r="M6" s="768"/>
      <c r="N6" s="730">
        <f>0.3/2</f>
        <v>0.15</v>
      </c>
      <c r="O6" s="758"/>
      <c r="S6" s="866"/>
      <c r="T6" s="866"/>
      <c r="U6" s="866"/>
      <c r="V6" s="860"/>
      <c r="W6" s="860"/>
      <c r="X6" s="860"/>
      <c r="Y6" s="860"/>
      <c r="Z6" s="860"/>
      <c r="AA6" s="735"/>
    </row>
    <row r="7" spans="1:27">
      <c r="A7" s="766" t="s">
        <v>148</v>
      </c>
      <c r="B7" s="731" t="s">
        <v>35</v>
      </c>
      <c r="C7" s="735"/>
      <c r="D7" s="735"/>
      <c r="E7" s="731"/>
      <c r="F7" s="767"/>
      <c r="G7" s="729"/>
      <c r="H7" s="761" t="s">
        <v>15</v>
      </c>
      <c r="I7" s="775"/>
      <c r="J7" s="730">
        <v>5</v>
      </c>
      <c r="K7" s="736">
        <f>L7*J7/10</f>
        <v>4.4800000000000004</v>
      </c>
      <c r="L7" s="730">
        <v>8.9600000000000009</v>
      </c>
      <c r="M7" s="768"/>
      <c r="N7" s="730">
        <f>1.2/2</f>
        <v>0.6</v>
      </c>
      <c r="O7" s="758"/>
      <c r="S7" s="866"/>
      <c r="T7" s="866"/>
      <c r="U7" s="866"/>
      <c r="V7" s="860"/>
      <c r="W7" s="860"/>
      <c r="X7" s="860"/>
      <c r="Y7" s="860"/>
      <c r="Z7" s="860"/>
      <c r="AA7" s="735"/>
    </row>
    <row r="8" spans="1:27">
      <c r="A8" s="766" t="s">
        <v>413</v>
      </c>
      <c r="B8" s="731" t="s">
        <v>414</v>
      </c>
      <c r="C8" s="735"/>
      <c r="D8" s="735"/>
      <c r="E8" s="731"/>
      <c r="F8" s="767"/>
      <c r="G8" s="729"/>
      <c r="H8" s="761" t="s">
        <v>16</v>
      </c>
      <c r="I8" s="775"/>
      <c r="J8" s="730">
        <v>1E-3</v>
      </c>
      <c r="K8" s="763" t="s">
        <v>528</v>
      </c>
      <c r="L8" s="730">
        <v>1.2</v>
      </c>
      <c r="M8" s="768">
        <f>6.94*J8/L8</f>
        <v>5.7833333333333339E-3</v>
      </c>
      <c r="N8" s="730">
        <f>6*19*J8/L8</f>
        <v>9.5000000000000001E-2</v>
      </c>
      <c r="O8" s="758">
        <f>31*J8/L8</f>
        <v>2.5833333333333333E-2</v>
      </c>
      <c r="S8" s="772"/>
      <c r="T8" s="772"/>
      <c r="U8" s="772"/>
      <c r="V8" s="860"/>
      <c r="W8" s="860"/>
      <c r="X8" s="860"/>
      <c r="Y8" s="860"/>
      <c r="Z8" s="860"/>
      <c r="AA8" s="735"/>
    </row>
    <row r="9" spans="1:27">
      <c r="A9" s="766" t="s">
        <v>146</v>
      </c>
      <c r="B9" s="731" t="s">
        <v>147</v>
      </c>
      <c r="C9" s="735"/>
      <c r="D9" s="735"/>
      <c r="E9" s="731"/>
      <c r="F9" s="767"/>
      <c r="G9" s="729"/>
      <c r="H9" s="761" t="s">
        <v>792</v>
      </c>
      <c r="I9" s="775"/>
      <c r="J9" s="730">
        <v>7.5</v>
      </c>
      <c r="K9" s="736">
        <f>L9*J9/10</f>
        <v>2.2265000000000001</v>
      </c>
      <c r="L9" s="736">
        <f>'Mass and Cost Cell'!L9</f>
        <v>2.9686666666666666</v>
      </c>
      <c r="M9" s="768"/>
      <c r="N9" s="730">
        <f>M9*J9*(L9)/1000</f>
        <v>0</v>
      </c>
      <c r="O9" s="758"/>
      <c r="S9" s="772"/>
      <c r="T9" s="772"/>
      <c r="U9" s="772"/>
      <c r="V9" s="860"/>
      <c r="W9" s="860"/>
      <c r="X9" s="860"/>
      <c r="Y9" s="860"/>
      <c r="Z9" s="860"/>
      <c r="AA9" s="735"/>
    </row>
    <row r="10" spans="1:27">
      <c r="A10" s="766" t="s">
        <v>150</v>
      </c>
      <c r="B10" s="731" t="s">
        <v>151</v>
      </c>
      <c r="C10" s="735"/>
      <c r="D10" s="735"/>
      <c r="E10" s="731"/>
      <c r="F10" s="767"/>
      <c r="G10" s="729"/>
      <c r="H10" s="761" t="s">
        <v>17</v>
      </c>
      <c r="I10" s="775"/>
      <c r="K10" s="736"/>
      <c r="L10" s="730">
        <v>1.1000000000000001</v>
      </c>
      <c r="M10" s="768"/>
      <c r="O10" s="758"/>
      <c r="S10" s="772"/>
      <c r="T10" s="772"/>
      <c r="U10" s="772"/>
      <c r="V10" s="860"/>
      <c r="W10" s="860"/>
      <c r="X10" s="860"/>
      <c r="Y10" s="860"/>
      <c r="Z10" s="860"/>
      <c r="AA10" s="735"/>
    </row>
    <row r="11" spans="1:27">
      <c r="A11" s="766" t="s">
        <v>244</v>
      </c>
      <c r="B11" s="730" t="s">
        <v>149</v>
      </c>
      <c r="C11" s="730">
        <v>0</v>
      </c>
      <c r="E11" s="728">
        <f>54.9/(54.9+2*16)</f>
        <v>0.63176064441887225</v>
      </c>
      <c r="F11" s="765"/>
      <c r="G11" s="733"/>
      <c r="H11" s="761" t="s">
        <v>18</v>
      </c>
      <c r="I11" s="775"/>
      <c r="J11" s="730">
        <f>'Energy Contents Cell'!Z81</f>
        <v>4.0000000000000001E-3</v>
      </c>
      <c r="K11" s="763" t="s">
        <v>528</v>
      </c>
      <c r="L11" s="730">
        <v>1.4</v>
      </c>
      <c r="M11" s="768">
        <f>6.94*J11/L11</f>
        <v>1.9828571428571432E-2</v>
      </c>
      <c r="N11" s="730">
        <f>6*19*J11/L11</f>
        <v>0.32571428571428573</v>
      </c>
      <c r="O11" s="758">
        <f>31*J11/L11</f>
        <v>8.8571428571428579E-2</v>
      </c>
      <c r="S11" s="772"/>
      <c r="T11" s="772"/>
      <c r="U11" s="772"/>
      <c r="V11" s="860"/>
      <c r="W11" s="860"/>
      <c r="X11" s="860"/>
      <c r="Y11" s="860"/>
      <c r="Z11" s="860"/>
      <c r="AA11" s="735"/>
    </row>
    <row r="12" spans="1:27">
      <c r="A12" s="766" t="s">
        <v>955</v>
      </c>
      <c r="B12" s="730" t="s">
        <v>956</v>
      </c>
      <c r="E12" s="730">
        <f>2*51/(2*51+12)</f>
        <v>0.89473684210526316</v>
      </c>
      <c r="F12" s="767"/>
      <c r="G12" s="729"/>
      <c r="H12" s="761" t="s">
        <v>152</v>
      </c>
      <c r="I12" s="775"/>
      <c r="K12" s="736" t="s">
        <v>10</v>
      </c>
      <c r="L12" s="730">
        <v>1.2</v>
      </c>
      <c r="M12" s="768">
        <f>'Energy Contents Cell'!Z79*27/('Energy Contents Cell'!Z79*133+147)</f>
        <v>0.13075060532687652</v>
      </c>
      <c r="N12" s="730">
        <f>('Energy Contents Cell'!Z79+1)*3*35.45/('Energy Contents Cell'!Z79*133+147)</f>
        <v>0.77251815980629546</v>
      </c>
      <c r="O12" s="758"/>
      <c r="S12" s="772"/>
      <c r="T12" s="772"/>
      <c r="U12" s="772"/>
      <c r="V12" s="860"/>
      <c r="W12" s="860"/>
      <c r="X12" s="860"/>
      <c r="Y12" s="860"/>
      <c r="Z12" s="860"/>
      <c r="AA12" s="735"/>
    </row>
    <row r="13" spans="1:27">
      <c r="A13" s="873" t="s">
        <v>3</v>
      </c>
      <c r="B13" s="731" t="s">
        <v>4</v>
      </c>
      <c r="C13" s="735"/>
      <c r="D13" s="735"/>
      <c r="E13" s="731"/>
      <c r="F13" s="767"/>
      <c r="G13" s="729"/>
      <c r="H13" s="761" t="s">
        <v>19</v>
      </c>
      <c r="I13" s="775"/>
      <c r="J13" s="730">
        <v>20</v>
      </c>
      <c r="K13" s="771">
        <v>0.39</v>
      </c>
      <c r="L13" s="736">
        <v>0.95</v>
      </c>
      <c r="M13" s="768"/>
      <c r="N13" s="730">
        <v>0.2</v>
      </c>
      <c r="O13" s="758"/>
      <c r="P13" s="860"/>
      <c r="Q13" s="735"/>
      <c r="S13" s="772"/>
      <c r="T13" s="772"/>
      <c r="U13" s="772"/>
      <c r="V13" s="860"/>
      <c r="W13" s="860"/>
      <c r="X13" s="860"/>
      <c r="Y13" s="860"/>
      <c r="Z13" s="860"/>
      <c r="AA13" s="735"/>
    </row>
    <row r="14" spans="1:27">
      <c r="A14" s="706" t="s">
        <v>958</v>
      </c>
      <c r="B14" s="191" t="s">
        <v>959</v>
      </c>
      <c r="E14" s="730">
        <f>48/(48+2*16)</f>
        <v>0.6</v>
      </c>
      <c r="F14" s="767"/>
      <c r="G14" s="729"/>
      <c r="H14" s="761" t="s">
        <v>40</v>
      </c>
      <c r="I14" s="775"/>
      <c r="J14" s="736">
        <f>K27</f>
        <v>282.59532505772836</v>
      </c>
      <c r="K14" s="771">
        <v>0.8</v>
      </c>
      <c r="L14" s="736">
        <v>0.95</v>
      </c>
      <c r="M14" s="768"/>
      <c r="N14" s="860">
        <v>1.4</v>
      </c>
      <c r="O14" s="758"/>
      <c r="P14" s="860"/>
      <c r="Q14" s="735"/>
      <c r="S14" s="772"/>
      <c r="T14" s="772"/>
      <c r="U14" s="772"/>
      <c r="V14" s="860"/>
      <c r="W14" s="860"/>
      <c r="X14" s="860"/>
      <c r="Y14" s="860"/>
      <c r="Z14" s="860"/>
      <c r="AA14" s="735"/>
    </row>
    <row r="15" spans="1:27" ht="17" thickBot="1">
      <c r="A15" s="876" t="s">
        <v>145</v>
      </c>
      <c r="B15" s="739" t="s">
        <v>38</v>
      </c>
      <c r="C15" s="738">
        <f>M6</f>
        <v>0</v>
      </c>
      <c r="D15" s="738">
        <v>1</v>
      </c>
      <c r="E15" s="739"/>
      <c r="F15" s="776"/>
      <c r="G15" s="729"/>
      <c r="H15" s="878" t="s">
        <v>253</v>
      </c>
      <c r="I15" s="879"/>
      <c r="J15" s="714"/>
      <c r="K15" s="714"/>
      <c r="L15" s="714"/>
      <c r="M15" s="741"/>
      <c r="N15" s="882">
        <v>1</v>
      </c>
      <c r="O15" s="774"/>
      <c r="P15" s="860"/>
      <c r="Q15" s="735"/>
      <c r="S15" s="772"/>
      <c r="T15" s="772"/>
      <c r="U15" s="772"/>
      <c r="V15" s="860"/>
      <c r="W15" s="860"/>
      <c r="X15" s="860"/>
      <c r="Y15" s="860"/>
      <c r="Z15" s="860"/>
      <c r="AA15" s="735"/>
    </row>
    <row r="16" spans="1:27" ht="16.5" customHeight="1" thickBot="1"/>
    <row r="17" spans="1:40" ht="82.5" customHeight="1">
      <c r="A17" s="505" t="s">
        <v>523</v>
      </c>
      <c r="B17" s="465" t="s">
        <v>190</v>
      </c>
      <c r="C17" s="465" t="s">
        <v>192</v>
      </c>
      <c r="D17" s="465" t="s">
        <v>193</v>
      </c>
      <c r="E17" s="465" t="s">
        <v>191</v>
      </c>
      <c r="F17" s="465" t="s">
        <v>192</v>
      </c>
      <c r="G17" s="465" t="s">
        <v>193</v>
      </c>
      <c r="H17" s="465" t="s">
        <v>122</v>
      </c>
      <c r="I17" s="465" t="s">
        <v>194</v>
      </c>
      <c r="J17" s="465" t="s">
        <v>195</v>
      </c>
      <c r="K17" s="465" t="s">
        <v>174</v>
      </c>
      <c r="L17" s="465" t="s">
        <v>196</v>
      </c>
      <c r="M17" s="465" t="s">
        <v>213</v>
      </c>
      <c r="N17" s="465" t="s">
        <v>215</v>
      </c>
      <c r="O17" s="465" t="s">
        <v>214</v>
      </c>
      <c r="P17" s="465" t="s">
        <v>218</v>
      </c>
      <c r="Q17" s="465" t="s">
        <v>216</v>
      </c>
      <c r="R17" s="465" t="s">
        <v>83</v>
      </c>
      <c r="S17" s="465" t="s">
        <v>250</v>
      </c>
      <c r="T17" s="465" t="s">
        <v>521</v>
      </c>
      <c r="U17" s="465" t="s">
        <v>216</v>
      </c>
      <c r="V17" s="356" t="s">
        <v>83</v>
      </c>
    </row>
    <row r="18" spans="1:40" ht="18" customHeight="1" thickBot="1">
      <c r="A18" s="695"/>
      <c r="B18" s="466" t="str">
        <f>'Energy Contents Cell'!G37</f>
        <v>[mg cm-2]</v>
      </c>
      <c r="C18" s="466" t="s">
        <v>177</v>
      </c>
      <c r="D18" s="466" t="s">
        <v>177</v>
      </c>
      <c r="E18" s="466" t="str">
        <f>'Energy Contents Cell'!M37</f>
        <v>[mg cm-2]</v>
      </c>
      <c r="F18" s="466" t="s">
        <v>177</v>
      </c>
      <c r="G18" s="466" t="s">
        <v>177</v>
      </c>
      <c r="H18" s="466" t="str">
        <f>'Energy Contents Cell'!R57</f>
        <v>[mg cm-2]</v>
      </c>
      <c r="I18" s="466" t="s">
        <v>177</v>
      </c>
      <c r="J18" s="466" t="s">
        <v>177</v>
      </c>
      <c r="K18" s="466" t="str">
        <f>'Energy Contents Cell'!Q18</f>
        <v>[µm]</v>
      </c>
      <c r="L18" s="466" t="str">
        <f>'Energy Contents Cell'!D57</f>
        <v>[mg cm-2]</v>
      </c>
      <c r="M18" s="466" t="s">
        <v>177</v>
      </c>
      <c r="N18" s="466" t="str">
        <f>'Energy Contents Cell'!I37</f>
        <v xml:space="preserve"> [mAh cm-2] </v>
      </c>
      <c r="O18" s="466" t="str">
        <f>'Energy Contents Cell'!M18</f>
        <v>[V]</v>
      </c>
      <c r="P18" s="466" t="s">
        <v>219</v>
      </c>
      <c r="Q18" s="466" t="s">
        <v>217</v>
      </c>
      <c r="R18" s="466" t="s">
        <v>283</v>
      </c>
      <c r="S18" s="466" t="s">
        <v>251</v>
      </c>
      <c r="T18" s="466" t="s">
        <v>522</v>
      </c>
      <c r="U18" s="466" t="s">
        <v>217</v>
      </c>
      <c r="V18" s="357" t="s">
        <v>283</v>
      </c>
    </row>
    <row r="19" spans="1:40" ht="18" customHeight="1">
      <c r="A19" s="873" t="str">
        <f>'Energy Contents Cell'!A19</f>
        <v>Al-gra</v>
      </c>
      <c r="B19" s="867">
        <f>'Energy Contents Cell'!G38</f>
        <v>24.762022521527939</v>
      </c>
      <c r="C19" s="731">
        <f>B19*'Energy Contents Cell'!C19/'Energy Contents Cell'!B19</f>
        <v>0.77381320379774809</v>
      </c>
      <c r="D19" s="731">
        <f>B19*'Energy Contents Cell'!D19/'Energy Contents Cell'!B19</f>
        <v>0.2579377345992494</v>
      </c>
      <c r="E19" s="867">
        <f>'Energy Contents Cell'!M38</f>
        <v>2.0249999999999999</v>
      </c>
      <c r="F19" s="731">
        <f>E19*'Energy Contents Cell'!F19/'Energy Contents Cell'!E19</f>
        <v>0</v>
      </c>
      <c r="G19" s="731">
        <f>E19*'Energy Contents Cell'!G19/'Energy Contents Cell'!E19</f>
        <v>0</v>
      </c>
      <c r="H19" s="867">
        <f>'Energy Contents Cell'!R58</f>
        <v>82.421197160571054</v>
      </c>
      <c r="I19" s="731">
        <f t="shared" ref="I19:I24" si="0">K$9</f>
        <v>2.2265000000000001</v>
      </c>
      <c r="J19" s="731">
        <v>0</v>
      </c>
      <c r="K19" s="867">
        <f>'Energy Contents Cell'!Q19</f>
        <v>612.96178090773492</v>
      </c>
      <c r="L19" s="867">
        <f>'Energy Contents Cell'!D58</f>
        <v>11.646273837246961</v>
      </c>
      <c r="M19" s="731">
        <f t="shared" ref="M19:M21" si="1">SUM(B19:J19)+L19</f>
        <v>124.11274445774296</v>
      </c>
      <c r="N19" s="867">
        <f>'Energy Contents Cell'!I38</f>
        <v>3.3428730404062716</v>
      </c>
      <c r="O19" s="867">
        <f>'Energy Contents Cell'!M19</f>
        <v>2</v>
      </c>
      <c r="P19" s="731">
        <f t="shared" ref="P19:P21" si="2">N19*O19</f>
        <v>6.6857460808125433</v>
      </c>
      <c r="Q19" s="731">
        <f t="shared" ref="Q19:Q21" si="3">1000*P19/M19</f>
        <v>53.868328430114275</v>
      </c>
      <c r="R19" s="731">
        <v>1.2</v>
      </c>
      <c r="S19" s="731">
        <f>P19*'Energy Contents Cell'!V38*Z$23*AA$23/1000</f>
        <v>41.435301234558786</v>
      </c>
      <c r="T19" s="731">
        <f t="shared" ref="T19:T27" si="4">AB$25</f>
        <v>14.662999999999998</v>
      </c>
      <c r="U19" s="731">
        <f t="shared" ref="U19:U21" si="5">1000*T19/Q19</f>
        <v>272.20076113969168</v>
      </c>
      <c r="V19" s="883">
        <v>1.2</v>
      </c>
      <c r="X19" s="550" t="s">
        <v>226</v>
      </c>
      <c r="Y19" s="547"/>
      <c r="Z19" s="465" t="s">
        <v>235</v>
      </c>
      <c r="AA19" s="465" t="s">
        <v>236</v>
      </c>
      <c r="AB19" s="356" t="s">
        <v>131</v>
      </c>
    </row>
    <row r="20" spans="1:40" ht="18" customHeight="1">
      <c r="A20" s="873" t="str">
        <f>'Energy Contents Cell'!A20</f>
        <v>Al-PPQ</v>
      </c>
      <c r="B20" s="867">
        <f>'Energy Contents Cell'!G39</f>
        <v>22.040816326530617</v>
      </c>
      <c r="C20" s="731">
        <f>B20*'Energy Contents Cell'!C20/'Energy Contents Cell'!B20</f>
        <v>1.2244897959183678</v>
      </c>
      <c r="D20" s="731">
        <f>B20*'Energy Contents Cell'!D20/'Energy Contents Cell'!B20</f>
        <v>1.2244897959183678</v>
      </c>
      <c r="E20" s="867">
        <f>'Energy Contents Cell'!M39</f>
        <v>2.0249999999999999</v>
      </c>
      <c r="F20" s="731">
        <f>E20*'Energy Contents Cell'!F20/'Energy Contents Cell'!E20</f>
        <v>0</v>
      </c>
      <c r="G20" s="731">
        <f>E20*'Energy Contents Cell'!G20/'Energy Contents Cell'!E20</f>
        <v>0</v>
      </c>
      <c r="H20" s="867">
        <f>'Energy Contents Cell'!R59</f>
        <v>11.547969958477031</v>
      </c>
      <c r="I20" s="731">
        <f t="shared" si="0"/>
        <v>2.2265000000000001</v>
      </c>
      <c r="J20" s="731">
        <v>0</v>
      </c>
      <c r="K20" s="867">
        <f>'Energy Contents Cell'!Q20</f>
        <v>37.742794778446459</v>
      </c>
      <c r="L20" s="867">
        <f>'Energy Contents Cell'!D59</f>
        <v>0.71711310079048263</v>
      </c>
      <c r="M20" s="731">
        <f t="shared" si="1"/>
        <v>41.006378977634867</v>
      </c>
      <c r="N20" s="867">
        <f>'Energy Contents Cell'!I39</f>
        <v>3.7469387755102046</v>
      </c>
      <c r="O20" s="867">
        <f>'Energy Contents Cell'!M20</f>
        <v>1.4</v>
      </c>
      <c r="P20" s="731">
        <f t="shared" si="2"/>
        <v>5.2457142857142864</v>
      </c>
      <c r="Q20" s="731">
        <f t="shared" si="3"/>
        <v>127.92434778441012</v>
      </c>
      <c r="R20" s="731">
        <v>1.2</v>
      </c>
      <c r="S20" s="731">
        <f>P20*'Energy Contents Cell'!V39*Z$23*AA$23/1000</f>
        <v>113.99278529036532</v>
      </c>
      <c r="T20" s="731">
        <f t="shared" si="4"/>
        <v>14.662999999999998</v>
      </c>
      <c r="U20" s="731">
        <f t="shared" si="5"/>
        <v>114.62243313299072</v>
      </c>
      <c r="V20" s="883">
        <v>1.2</v>
      </c>
      <c r="X20" s="551"/>
      <c r="Y20" s="548"/>
      <c r="Z20" s="466"/>
      <c r="AA20" s="466"/>
      <c r="AB20" s="357"/>
    </row>
    <row r="21" spans="1:40" ht="18" customHeight="1">
      <c r="A21" s="873" t="str">
        <f>'Energy Contents Cell'!A21</f>
        <v>Al-PBQS</v>
      </c>
      <c r="B21" s="867">
        <f>'Energy Contents Cell'!G40</f>
        <v>17.338775510204087</v>
      </c>
      <c r="C21" s="731">
        <f>B21*'Energy Contents Cell'!C21/'Energy Contents Cell'!B21</f>
        <v>0.96326530612244943</v>
      </c>
      <c r="D21" s="731">
        <f>B21*'Energy Contents Cell'!D21/'Energy Contents Cell'!B21</f>
        <v>0.96326530612244943</v>
      </c>
      <c r="E21" s="867">
        <f>'Energy Contents Cell'!M40</f>
        <v>2.6173931498127603</v>
      </c>
      <c r="F21" s="731">
        <f>E21*'Energy Contents Cell'!F21/'Energy Contents Cell'!E21</f>
        <v>0</v>
      </c>
      <c r="G21" s="731">
        <f>E21*'Energy Contents Cell'!G21/'Energy Contents Cell'!E21</f>
        <v>0</v>
      </c>
      <c r="H21" s="867">
        <f>'Energy Contents Cell'!R60</f>
        <v>16.031299471768111</v>
      </c>
      <c r="I21" s="731">
        <f t="shared" si="0"/>
        <v>2.2265000000000001</v>
      </c>
      <c r="J21" s="731">
        <v>0</v>
      </c>
      <c r="K21" s="867">
        <f>'Energy Contents Cell'!Q21</f>
        <v>36.660585692431567</v>
      </c>
      <c r="L21" s="867">
        <f>'Energy Contents Cell'!D60</f>
        <v>0.69655112815619957</v>
      </c>
      <c r="M21" s="731">
        <f t="shared" si="1"/>
        <v>40.837049872186057</v>
      </c>
      <c r="N21" s="867">
        <f>'Energy Contents Cell'!I40</f>
        <v>5.2016326530612256</v>
      </c>
      <c r="O21" s="867">
        <f>'Energy Contents Cell'!M21</f>
        <v>1.6</v>
      </c>
      <c r="P21" s="731">
        <f t="shared" si="2"/>
        <v>8.3226122448979609</v>
      </c>
      <c r="Q21" s="731">
        <f t="shared" si="3"/>
        <v>203.80052601611794</v>
      </c>
      <c r="R21" s="731">
        <v>1.2</v>
      </c>
      <c r="S21" s="731">
        <f>P21*'Energy Contents Cell'!V40*Z$23*AA$23/1000</f>
        <v>176.04902157474686</v>
      </c>
      <c r="T21" s="731">
        <f t="shared" si="4"/>
        <v>14.662999999999998</v>
      </c>
      <c r="U21" s="731">
        <f t="shared" si="5"/>
        <v>71.947802523533952</v>
      </c>
      <c r="V21" s="883">
        <v>1.2</v>
      </c>
      <c r="X21" s="551"/>
      <c r="Y21" s="548"/>
      <c r="Z21" s="132" t="s">
        <v>234</v>
      </c>
      <c r="AA21" s="132" t="s">
        <v>234</v>
      </c>
      <c r="AB21" s="756" t="s">
        <v>108</v>
      </c>
      <c r="AC21" s="736"/>
    </row>
    <row r="22" spans="1:40">
      <c r="A22" s="873" t="str">
        <f>'Energy Contents Cell'!A22</f>
        <v>Al-TiO2</v>
      </c>
      <c r="B22" s="867">
        <f>'Energy Contents Cell'!G41</f>
        <v>58.311315336013791</v>
      </c>
      <c r="C22" s="731">
        <f>B22*'Energy Contents Cell'!C22/'Energy Contents Cell'!B22</f>
        <v>1.2148190695002874</v>
      </c>
      <c r="D22" s="731">
        <f>B22*'Energy Contents Cell'!D22/'Energy Contents Cell'!B22</f>
        <v>1.2148190695002874</v>
      </c>
      <c r="E22" s="867">
        <f>'Energy Contents Cell'!M41</f>
        <v>3.2275635794841584</v>
      </c>
      <c r="F22" s="731">
        <f>E22*'Energy Contents Cell'!F22/'Energy Contents Cell'!E22</f>
        <v>0</v>
      </c>
      <c r="G22" s="731">
        <f>E22*'Energy Contents Cell'!G22/'Energy Contents Cell'!E22</f>
        <v>0</v>
      </c>
      <c r="H22" s="867">
        <f>'Energy Contents Cell'!R61</f>
        <v>7.9350000000000005</v>
      </c>
      <c r="I22" s="731">
        <f t="shared" si="0"/>
        <v>2.2265000000000001</v>
      </c>
      <c r="J22" s="731">
        <v>0</v>
      </c>
      <c r="K22" s="867">
        <f>'Energy Contents Cell'!Q22</f>
        <v>15</v>
      </c>
      <c r="L22" s="867">
        <f>'Energy Contents Cell'!D61</f>
        <v>0.71250000000000002</v>
      </c>
      <c r="M22" s="731">
        <f t="shared" ref="M22:M27" si="6">SUM(B22:J22)+L22</f>
        <v>74.842517054498529</v>
      </c>
      <c r="N22" s="867">
        <f>'Energy Contents Cell'!I41</f>
        <v>6.4142446869615171</v>
      </c>
      <c r="O22" s="867">
        <f>'Energy Contents Cell'!M22</f>
        <v>0.64</v>
      </c>
      <c r="P22" s="731">
        <f t="shared" ref="P22:P27" si="7">N22*O22</f>
        <v>4.1051165996553713</v>
      </c>
      <c r="Q22" s="731">
        <f t="shared" ref="Q22:Q27" si="8">1000*P22/M22</f>
        <v>54.850060650233388</v>
      </c>
      <c r="R22" s="731">
        <v>1.2</v>
      </c>
      <c r="S22" s="731">
        <f>P22*'Energy Contents Cell'!V41*Z$23*AA$23/1000</f>
        <v>97.982099964381945</v>
      </c>
      <c r="T22" s="731">
        <f t="shared" si="4"/>
        <v>14.662999999999998</v>
      </c>
      <c r="U22" s="731">
        <f t="shared" ref="U22:U27" si="9">1000*T22/Q22</f>
        <v>267.32878370914995</v>
      </c>
      <c r="V22" s="883">
        <v>1.2</v>
      </c>
      <c r="X22" s="750" t="s">
        <v>230</v>
      </c>
      <c r="Y22" s="552"/>
      <c r="Z22" s="692">
        <f>'Energy Contents Cell'!Z38</f>
        <v>10</v>
      </c>
      <c r="AA22" s="692">
        <f>'Energy Contents Cell'!AA38</f>
        <v>30</v>
      </c>
      <c r="AB22" s="877"/>
    </row>
    <row r="23" spans="1:40">
      <c r="A23" s="873" t="str">
        <f>'Energy Contents Cell'!A23</f>
        <v>Al-V2C</v>
      </c>
      <c r="B23" s="867">
        <f>'Energy Contents Cell'!G42</f>
        <v>54.104046242774572</v>
      </c>
      <c r="C23" s="731">
        <f>B23*'Energy Contents Cell'!C23/'Energy Contents Cell'!B23</f>
        <v>1.1271676300578037</v>
      </c>
      <c r="D23" s="731">
        <f>B23*'Energy Contents Cell'!D23/'Energy Contents Cell'!B23</f>
        <v>1.1271676300578037</v>
      </c>
      <c r="E23" s="867">
        <f>'Energy Contents Cell'!M42</f>
        <v>3.4030555754848142</v>
      </c>
      <c r="F23" s="731">
        <f>E23*'Energy Contents Cell'!F23/'Energy Contents Cell'!E23</f>
        <v>0</v>
      </c>
      <c r="G23" s="731">
        <f>E23*'Energy Contents Cell'!G23/'Energy Contents Cell'!E23</f>
        <v>0</v>
      </c>
      <c r="H23" s="867">
        <f>'Energy Contents Cell'!R62</f>
        <v>7.9350000000000005</v>
      </c>
      <c r="I23" s="731">
        <f t="shared" ref="I23" si="10">K$9</f>
        <v>2.2265000000000001</v>
      </c>
      <c r="J23" s="731">
        <v>0</v>
      </c>
      <c r="K23" s="867">
        <f>'Energy Contents Cell'!Q23</f>
        <v>15</v>
      </c>
      <c r="L23" s="867">
        <f>'Energy Contents Cell'!D62</f>
        <v>0.71250000000000002</v>
      </c>
      <c r="M23" s="731">
        <f t="shared" si="6"/>
        <v>70.635437078375006</v>
      </c>
      <c r="N23" s="867">
        <f>'Energy Contents Cell'!I42</f>
        <v>6.7630057803468215</v>
      </c>
      <c r="O23" s="867">
        <f>'Energy Contents Cell'!M23</f>
        <v>0.95</v>
      </c>
      <c r="P23" s="731">
        <f t="shared" si="7"/>
        <v>6.4248554913294802</v>
      </c>
      <c r="Q23" s="731">
        <f t="shared" si="8"/>
        <v>90.957963269918594</v>
      </c>
      <c r="R23" s="731">
        <v>1.2</v>
      </c>
      <c r="S23" s="731">
        <f>P23*'Energy Contents Cell'!V42*Z$23*AA$23/1000</f>
        <v>153.21464239076931</v>
      </c>
      <c r="T23" s="731">
        <f t="shared" ref="T23" si="11">AB$25</f>
        <v>14.662999999999998</v>
      </c>
      <c r="U23" s="731">
        <f t="shared" si="9"/>
        <v>161.20633612350588</v>
      </c>
      <c r="V23" s="883">
        <v>1.2</v>
      </c>
      <c r="X23" s="750" t="s">
        <v>231</v>
      </c>
      <c r="Y23" s="552"/>
      <c r="Z23" s="692">
        <f>'Energy Contents Cell'!Z39</f>
        <v>9.8000000000000007</v>
      </c>
      <c r="AA23" s="692">
        <f>'Energy Contents Cell'!AA39</f>
        <v>29.8</v>
      </c>
      <c r="AB23" s="877"/>
    </row>
    <row r="24" spans="1:40">
      <c r="A24" s="873" t="str">
        <f>'Energy Contents Cell'!A24</f>
        <v>Al-MnO2</v>
      </c>
      <c r="B24" s="867">
        <f>'Energy Contents Cell'!G43</f>
        <v>68.293418819536129</v>
      </c>
      <c r="C24" s="731">
        <f>B24*'Energy Contents Cell'!C24/'Energy Contents Cell'!B24</f>
        <v>1.4227795587403362</v>
      </c>
      <c r="D24" s="731">
        <f>B24*'Energy Contents Cell'!D24/'Energy Contents Cell'!B24</f>
        <v>1.4227795587403362</v>
      </c>
      <c r="E24" s="867">
        <f>'Energy Contents Cell'!M43</f>
        <v>9.7938398340663184</v>
      </c>
      <c r="F24" s="731">
        <f>E24*'Energy Contents Cell'!F24/'Energy Contents Cell'!E24</f>
        <v>0</v>
      </c>
      <c r="G24" s="731">
        <f>E24*'Energy Contents Cell'!G24/'Energy Contents Cell'!E24</f>
        <v>0</v>
      </c>
      <c r="H24" s="867">
        <f>'Energy Contents Cell'!R63</f>
        <v>7.9350000000000005</v>
      </c>
      <c r="I24" s="731">
        <f t="shared" si="0"/>
        <v>2.2265000000000001</v>
      </c>
      <c r="J24" s="731">
        <v>0</v>
      </c>
      <c r="K24" s="867">
        <f>'Energy Contents Cell'!Q24</f>
        <v>15</v>
      </c>
      <c r="L24" s="867">
        <f>'Energy Contents Cell'!D63</f>
        <v>0.71250000000000002</v>
      </c>
      <c r="M24" s="731">
        <f t="shared" si="6"/>
        <v>91.806817771083118</v>
      </c>
      <c r="N24" s="867">
        <f>'Energy Contents Cell'!I43</f>
        <v>19.463624363567796</v>
      </c>
      <c r="O24" s="867">
        <f>'Energy Contents Cell'!M24</f>
        <v>1.3</v>
      </c>
      <c r="P24" s="731">
        <f t="shared" si="7"/>
        <v>25.302711672638136</v>
      </c>
      <c r="Q24" s="731">
        <f t="shared" si="8"/>
        <v>275.60819868225371</v>
      </c>
      <c r="R24" s="731">
        <v>1.2</v>
      </c>
      <c r="S24" s="731">
        <f>P24*'Energy Contents Cell'!V43*Z$23*AA$23/1000</f>
        <v>552.68854878461673</v>
      </c>
      <c r="T24" s="731">
        <f t="shared" si="4"/>
        <v>14.662999999999998</v>
      </c>
      <c r="U24" s="731">
        <f t="shared" si="9"/>
        <v>53.202336033932148</v>
      </c>
      <c r="V24" s="883">
        <v>1.2</v>
      </c>
      <c r="X24" s="750" t="s">
        <v>233</v>
      </c>
      <c r="Y24" s="552"/>
      <c r="Z24" s="692">
        <f>'Energy Contents Cell'!Z40</f>
        <v>1.5299999999999999E-2</v>
      </c>
      <c r="AA24" s="692">
        <f>'Energy Contents Cell'!AA40</f>
        <v>0</v>
      </c>
      <c r="AB24" s="319">
        <v>2.1499999999999998E-2</v>
      </c>
    </row>
    <row r="25" spans="1:40">
      <c r="A25" s="873" t="str">
        <f>'Energy Contents Cell'!A25</f>
        <v>LIB-NMC</v>
      </c>
      <c r="B25" s="867">
        <f>'Energy Contents Cell'!G44</f>
        <v>48.964102564102575</v>
      </c>
      <c r="C25" s="731">
        <f>B25*'Energy Contents Cell'!C25/'Energy Contents Cell'!B25</f>
        <v>1.0200854700854702</v>
      </c>
      <c r="D25" s="731">
        <f>B25*'Energy Contents Cell'!D25/'Energy Contents Cell'!B25</f>
        <v>1.0200854700854702</v>
      </c>
      <c r="E25" s="867">
        <f>'Energy Contents Cell'!M44</f>
        <v>31.418632478632489</v>
      </c>
      <c r="F25" s="731">
        <f>E25*'Energy Contents Cell'!F25/'Energy Contents Cell'!E25</f>
        <v>0.98183226495726528</v>
      </c>
      <c r="G25" s="731">
        <f>E25*'Energy Contents Cell'!G25/'Energy Contents Cell'!E25</f>
        <v>0.3272774216524218</v>
      </c>
      <c r="H25" s="867">
        <f>'Energy Contents Cell'!R64</f>
        <v>13.235173167932889</v>
      </c>
      <c r="I25" s="731">
        <f>K$6</f>
        <v>2.0249999999999999</v>
      </c>
      <c r="J25" s="731">
        <f>K$7</f>
        <v>4.4800000000000004</v>
      </c>
      <c r="K25" s="867">
        <f>'Energy Contents Cell'!Q25</f>
        <v>15</v>
      </c>
      <c r="L25" s="867">
        <f>'Energy Contents Cell'!D64</f>
        <v>0.71250000000000002</v>
      </c>
      <c r="M25" s="731">
        <f t="shared" si="6"/>
        <v>104.18468883744859</v>
      </c>
      <c r="N25" s="867">
        <f>'Energy Contents Cell'!I44</f>
        <v>10.282461538461542</v>
      </c>
      <c r="O25" s="867">
        <f>'Energy Contents Cell'!M25</f>
        <v>3.65</v>
      </c>
      <c r="P25" s="731">
        <f t="shared" si="7"/>
        <v>37.530984615384625</v>
      </c>
      <c r="Q25" s="731">
        <f t="shared" si="8"/>
        <v>360.23512700547917</v>
      </c>
      <c r="R25" s="731">
        <f>L8</f>
        <v>1.2</v>
      </c>
      <c r="S25" s="731">
        <f>P25*'Energy Contents Cell'!V44*Z$23*AA$23/1000</f>
        <v>534.11045352735448</v>
      </c>
      <c r="T25" s="731">
        <f t="shared" si="4"/>
        <v>14.662999999999998</v>
      </c>
      <c r="U25" s="731">
        <f t="shared" si="9"/>
        <v>40.703970548038683</v>
      </c>
      <c r="V25" s="883">
        <v>1.2</v>
      </c>
      <c r="X25" s="750" t="s">
        <v>232</v>
      </c>
      <c r="Y25" s="552"/>
      <c r="Z25" s="692">
        <f>'Energy Contents Cell'!Z41</f>
        <v>11</v>
      </c>
      <c r="AA25" s="692">
        <f>'Energy Contents Cell'!AA41</f>
        <v>31</v>
      </c>
      <c r="AB25" s="877">
        <f>2*Z25*AA25*AB24</f>
        <v>14.662999999999998</v>
      </c>
      <c r="AC25" s="201"/>
      <c r="AL25" s="731"/>
      <c r="AM25" s="731"/>
    </row>
    <row r="26" spans="1:40">
      <c r="A26" s="873" t="str">
        <f>'Energy Contents Cell'!A26</f>
        <v>LIB-LFP</v>
      </c>
      <c r="B26" s="867">
        <f>'Energy Contents Cell'!G45</f>
        <v>50.880929332042591</v>
      </c>
      <c r="C26" s="731">
        <f>B26*'Energy Contents Cell'!C26/'Energy Contents Cell'!B26</f>
        <v>1.0600193610842206</v>
      </c>
      <c r="D26" s="731">
        <f>B26*'Energy Contents Cell'!D26/'Energy Contents Cell'!B26</f>
        <v>1.0600193610842206</v>
      </c>
      <c r="E26" s="867">
        <f>'Energy Contents Cell'!M45</f>
        <v>24.097773475314618</v>
      </c>
      <c r="F26" s="731">
        <f>E26*'Energy Contents Cell'!F26/'Energy Contents Cell'!E26</f>
        <v>0.75305542110358181</v>
      </c>
      <c r="G26" s="731">
        <f>E26*'Energy Contents Cell'!G26/'Energy Contents Cell'!E26</f>
        <v>0.25101847370119396</v>
      </c>
      <c r="H26" s="867">
        <f>'Energy Contents Cell'!R65</f>
        <v>13.217392191925709</v>
      </c>
      <c r="I26" s="731">
        <f>K$6</f>
        <v>2.0249999999999999</v>
      </c>
      <c r="J26" s="731">
        <f>K$7</f>
        <v>4.4800000000000004</v>
      </c>
      <c r="K26" s="867">
        <f>'Energy Contents Cell'!Q26</f>
        <v>15</v>
      </c>
      <c r="L26" s="867">
        <f>'Energy Contents Cell'!D65</f>
        <v>0.71250000000000002</v>
      </c>
      <c r="M26" s="731">
        <f t="shared" si="6"/>
        <v>98.537707616256156</v>
      </c>
      <c r="N26" s="867">
        <f>'Energy Contents Cell'!I45</f>
        <v>7.8865440464666019</v>
      </c>
      <c r="O26" s="867">
        <f>'Energy Contents Cell'!M26</f>
        <v>3.3</v>
      </c>
      <c r="P26" s="731">
        <f t="shared" si="7"/>
        <v>26.025595353339785</v>
      </c>
      <c r="Q26" s="731">
        <f t="shared" si="8"/>
        <v>264.11813287450821</v>
      </c>
      <c r="R26" s="731">
        <f>L8</f>
        <v>1.2</v>
      </c>
      <c r="S26" s="731">
        <f>P26*'Energy Contents Cell'!V45*Z$23*AA$23/1000</f>
        <v>377.68068487594957</v>
      </c>
      <c r="T26" s="731">
        <f t="shared" si="4"/>
        <v>14.662999999999998</v>
      </c>
      <c r="U26" s="731">
        <f t="shared" si="9"/>
        <v>55.516824386180652</v>
      </c>
      <c r="V26" s="883">
        <v>1.2</v>
      </c>
      <c r="X26" s="750" t="s">
        <v>238</v>
      </c>
      <c r="Y26" s="552"/>
      <c r="Z26" s="692">
        <f>'Energy Contents Cell'!Z42</f>
        <v>2</v>
      </c>
      <c r="AA26" s="692">
        <f>'Energy Contents Cell'!AA42</f>
        <v>0</v>
      </c>
      <c r="AB26" s="877"/>
    </row>
    <row r="27" spans="1:40" ht="17" thickBot="1">
      <c r="A27" s="876" t="str">
        <f>'Energy Contents Cell'!A27</f>
        <v>Li-DIB</v>
      </c>
      <c r="B27" s="884">
        <f>'Energy Contents Cell'!G46</f>
        <v>24.762022521527939</v>
      </c>
      <c r="C27" s="739">
        <f>B27*'Energy Contents Cell'!C27/'Energy Contents Cell'!B27</f>
        <v>0.77381320379774809</v>
      </c>
      <c r="D27" s="739">
        <f>B27*'Energy Contents Cell'!D27/'Energy Contents Cell'!B27</f>
        <v>0.2579377345992494</v>
      </c>
      <c r="E27" s="884">
        <f>'Energy Contents Cell'!M46</f>
        <v>9.6296754250386432</v>
      </c>
      <c r="F27" s="739">
        <f>E27*'Energy Contents Cell'!F27/'Energy Contents Cell'!E27</f>
        <v>0.3009273570324576</v>
      </c>
      <c r="G27" s="739">
        <f>E27*'Energy Contents Cell'!G27/'Energy Contents Cell'!E27</f>
        <v>0.10030911901081921</v>
      </c>
      <c r="H27" s="884">
        <f>'Energy Contents Cell'!R66</f>
        <v>54.326589465536458</v>
      </c>
      <c r="I27" s="739">
        <f>K$6</f>
        <v>2.0249999999999999</v>
      </c>
      <c r="J27" s="739">
        <f t="shared" ref="J27" si="12">K$7</f>
        <v>4.4800000000000004</v>
      </c>
      <c r="K27" s="884">
        <f>'Energy Contents Cell'!Q27</f>
        <v>282.59532505772836</v>
      </c>
      <c r="L27" s="884">
        <f>'Energy Contents Cell'!D66</f>
        <v>5.3693111760968373</v>
      </c>
      <c r="M27" s="739">
        <f t="shared" si="6"/>
        <v>102.02558600264015</v>
      </c>
      <c r="N27" s="884">
        <f>'Energy Contents Cell'!I46</f>
        <v>3.4666831530139115</v>
      </c>
      <c r="O27" s="884">
        <f>'Energy Contents Cell'!M27</f>
        <v>4.5</v>
      </c>
      <c r="P27" s="739">
        <f t="shared" si="7"/>
        <v>15.600074188562601</v>
      </c>
      <c r="Q27" s="739">
        <f t="shared" si="8"/>
        <v>152.90354899955108</v>
      </c>
      <c r="R27" s="739">
        <v>1.4</v>
      </c>
      <c r="S27" s="739">
        <f>P27*'Energy Contents Cell'!V46*Z$23*AA$23/1000</f>
        <v>106.45313301681604</v>
      </c>
      <c r="T27" s="739">
        <f t="shared" si="4"/>
        <v>14.662999999999998</v>
      </c>
      <c r="U27" s="739">
        <f t="shared" si="9"/>
        <v>95.897054685388952</v>
      </c>
      <c r="V27" s="885">
        <v>1.4</v>
      </c>
      <c r="X27" s="750" t="s">
        <v>239</v>
      </c>
      <c r="Y27" s="552"/>
      <c r="Z27" s="692">
        <f>'Energy Contents Cell'!Z43</f>
        <v>10.1</v>
      </c>
      <c r="AA27" s="692">
        <f>'Energy Contents Cell'!AA43</f>
        <v>30.1</v>
      </c>
      <c r="AB27" s="877"/>
    </row>
    <row r="28" spans="1:40" ht="18" customHeight="1" thickBot="1">
      <c r="A28" s="865"/>
      <c r="B28" s="867"/>
      <c r="C28" s="731"/>
      <c r="D28" s="731"/>
      <c r="E28" s="867"/>
      <c r="F28" s="731"/>
      <c r="G28" s="731"/>
      <c r="H28" s="867"/>
      <c r="I28" s="731"/>
      <c r="J28" s="731"/>
      <c r="K28" s="867"/>
      <c r="L28" s="867"/>
      <c r="M28" s="731"/>
      <c r="N28" s="867"/>
      <c r="O28" s="867"/>
      <c r="P28" s="731"/>
      <c r="Q28" s="731"/>
      <c r="R28" s="731"/>
      <c r="S28" s="731"/>
      <c r="T28" s="731"/>
      <c r="U28" s="731"/>
      <c r="V28" s="731"/>
      <c r="X28" s="878" t="s">
        <v>33</v>
      </c>
      <c r="Y28" s="879"/>
      <c r="Z28" s="714">
        <f>SUM(Z22:Z27)</f>
        <v>42.915300000000002</v>
      </c>
      <c r="AA28" s="714">
        <f>SUM(AA22:AA27)</f>
        <v>120.9</v>
      </c>
      <c r="AB28" s="880">
        <f>SUM(AB22:AB27)</f>
        <v>14.684499999999998</v>
      </c>
    </row>
    <row r="29" spans="1:40" ht="18" customHeight="1">
      <c r="A29" s="865"/>
      <c r="B29" s="867"/>
      <c r="C29" s="731"/>
      <c r="D29" s="731"/>
      <c r="E29" s="867"/>
      <c r="F29" s="731"/>
      <c r="G29" s="731"/>
      <c r="H29" s="867"/>
      <c r="I29" s="731"/>
      <c r="J29" s="731"/>
      <c r="K29" s="867"/>
      <c r="L29" s="867"/>
      <c r="M29" s="731"/>
      <c r="N29" s="867"/>
      <c r="O29" s="867"/>
      <c r="P29" s="731"/>
      <c r="Q29" s="731"/>
      <c r="R29" s="731"/>
      <c r="S29" s="731"/>
      <c r="T29" s="731"/>
      <c r="U29" s="731"/>
      <c r="V29" s="731"/>
    </row>
    <row r="30" spans="1:40" ht="18" customHeight="1">
      <c r="A30" s="865"/>
      <c r="B30" s="867"/>
      <c r="C30" s="731"/>
      <c r="D30" s="731"/>
      <c r="E30" s="867"/>
      <c r="F30" s="731"/>
      <c r="G30" s="731"/>
      <c r="H30" s="867"/>
      <c r="I30" s="731"/>
      <c r="J30" s="731"/>
      <c r="K30" s="867"/>
      <c r="L30" s="867"/>
      <c r="M30" s="731"/>
      <c r="N30" s="867"/>
      <c r="O30" s="867"/>
      <c r="P30" s="731"/>
      <c r="Q30" s="731"/>
      <c r="R30" s="731"/>
      <c r="S30" s="731"/>
      <c r="T30" s="731"/>
      <c r="U30" s="731"/>
      <c r="V30" s="731"/>
    </row>
    <row r="31" spans="1:40" ht="15.75" customHeight="1" thickBot="1">
      <c r="AM31" s="731"/>
      <c r="AN31" s="731"/>
    </row>
    <row r="32" spans="1:40" ht="15.75" customHeight="1">
      <c r="A32" s="505" t="s">
        <v>551</v>
      </c>
      <c r="B32" s="547" t="str">
        <f>'Energy Contents Cell'!V32:V36</f>
        <v>Number of Stack layers within Pouch cell</v>
      </c>
      <c r="C32" s="547" t="s">
        <v>524</v>
      </c>
      <c r="D32" s="547" t="s">
        <v>525</v>
      </c>
      <c r="E32" s="547" t="s">
        <v>526</v>
      </c>
      <c r="F32" s="547" t="s">
        <v>531</v>
      </c>
      <c r="G32" s="547" t="s">
        <v>964</v>
      </c>
      <c r="H32" s="547" t="s">
        <v>651</v>
      </c>
      <c r="I32" s="547" t="s">
        <v>537</v>
      </c>
      <c r="J32" s="547" t="s">
        <v>538</v>
      </c>
      <c r="K32" s="547" t="s">
        <v>648</v>
      </c>
      <c r="L32" s="547" t="s">
        <v>649</v>
      </c>
      <c r="M32" s="547" t="s">
        <v>533</v>
      </c>
      <c r="N32" s="547" t="s">
        <v>793</v>
      </c>
      <c r="O32" s="547" t="s">
        <v>534</v>
      </c>
      <c r="P32" s="547" t="s">
        <v>535</v>
      </c>
      <c r="Q32" s="547" t="s">
        <v>539</v>
      </c>
      <c r="R32" s="547" t="s">
        <v>536</v>
      </c>
      <c r="S32" s="547" t="s">
        <v>196</v>
      </c>
      <c r="T32" s="547" t="s">
        <v>540</v>
      </c>
      <c r="U32" s="547" t="s">
        <v>543</v>
      </c>
      <c r="V32" s="547" t="s">
        <v>541</v>
      </c>
      <c r="W32" s="547" t="s">
        <v>542</v>
      </c>
      <c r="X32" s="701" t="s">
        <v>544</v>
      </c>
    </row>
    <row r="33" spans="1:24" ht="15.75" customHeight="1">
      <c r="A33" s="695"/>
      <c r="B33" s="548"/>
      <c r="C33" s="548"/>
      <c r="D33" s="548"/>
      <c r="E33" s="548"/>
      <c r="F33" s="548"/>
      <c r="G33" s="548"/>
      <c r="H33" s="548"/>
      <c r="I33" s="548"/>
      <c r="J33" s="548"/>
      <c r="K33" s="548"/>
      <c r="L33" s="548"/>
      <c r="M33" s="548"/>
      <c r="N33" s="548"/>
      <c r="O33" s="548"/>
      <c r="P33" s="548"/>
      <c r="Q33" s="548"/>
      <c r="R33" s="548"/>
      <c r="S33" s="548"/>
      <c r="T33" s="548"/>
      <c r="U33" s="548"/>
      <c r="V33" s="548"/>
      <c r="W33" s="548"/>
      <c r="X33" s="702"/>
    </row>
    <row r="34" spans="1:24" ht="15.75" customHeight="1">
      <c r="A34" s="695"/>
      <c r="B34" s="548"/>
      <c r="C34" s="548"/>
      <c r="D34" s="548"/>
      <c r="E34" s="548"/>
      <c r="F34" s="548"/>
      <c r="G34" s="548"/>
      <c r="H34" s="548"/>
      <c r="I34" s="548"/>
      <c r="J34" s="548"/>
      <c r="K34" s="548"/>
      <c r="L34" s="548"/>
      <c r="M34" s="548"/>
      <c r="N34" s="548"/>
      <c r="O34" s="548"/>
      <c r="P34" s="548"/>
      <c r="Q34" s="548"/>
      <c r="R34" s="548"/>
      <c r="S34" s="548"/>
      <c r="T34" s="548"/>
      <c r="U34" s="548"/>
      <c r="V34" s="548"/>
      <c r="W34" s="548"/>
      <c r="X34" s="702"/>
    </row>
    <row r="35" spans="1:24" ht="15.75" customHeight="1">
      <c r="A35" s="695"/>
      <c r="B35" s="548"/>
      <c r="C35" s="548"/>
      <c r="D35" s="548"/>
      <c r="E35" s="548"/>
      <c r="F35" s="548"/>
      <c r="G35" s="548"/>
      <c r="H35" s="548"/>
      <c r="I35" s="548"/>
      <c r="J35" s="548"/>
      <c r="K35" s="548"/>
      <c r="L35" s="548"/>
      <c r="M35" s="548"/>
      <c r="N35" s="548"/>
      <c r="O35" s="548"/>
      <c r="P35" s="548"/>
      <c r="Q35" s="548"/>
      <c r="R35" s="548"/>
      <c r="S35" s="548"/>
      <c r="T35" s="548"/>
      <c r="U35" s="548"/>
      <c r="V35" s="548"/>
      <c r="W35" s="548"/>
      <c r="X35" s="702"/>
    </row>
    <row r="36" spans="1:24" ht="16.5" customHeight="1">
      <c r="A36" s="695"/>
      <c r="B36" s="548"/>
      <c r="C36" s="548"/>
      <c r="D36" s="548"/>
      <c r="E36" s="548"/>
      <c r="F36" s="548"/>
      <c r="G36" s="548"/>
      <c r="H36" s="548"/>
      <c r="I36" s="548"/>
      <c r="J36" s="548"/>
      <c r="K36" s="548"/>
      <c r="L36" s="548"/>
      <c r="M36" s="548"/>
      <c r="N36" s="548"/>
      <c r="O36" s="548"/>
      <c r="P36" s="548"/>
      <c r="Q36" s="548"/>
      <c r="R36" s="548"/>
      <c r="S36" s="548"/>
      <c r="T36" s="548"/>
      <c r="U36" s="548"/>
      <c r="V36" s="548"/>
      <c r="W36" s="548"/>
      <c r="X36" s="702"/>
    </row>
    <row r="37" spans="1:24" ht="17.25" customHeight="1">
      <c r="A37" s="695"/>
      <c r="B37" s="466"/>
      <c r="C37" s="466" t="s">
        <v>108</v>
      </c>
      <c r="D37" s="466" t="s">
        <v>108</v>
      </c>
      <c r="E37" s="466" t="s">
        <v>108</v>
      </c>
      <c r="F37" s="466" t="s">
        <v>108</v>
      </c>
      <c r="G37" s="466" t="s">
        <v>108</v>
      </c>
      <c r="H37" s="466" t="s">
        <v>108</v>
      </c>
      <c r="I37" s="466" t="s">
        <v>108</v>
      </c>
      <c r="J37" s="466" t="s">
        <v>108</v>
      </c>
      <c r="K37" s="466" t="s">
        <v>108</v>
      </c>
      <c r="L37" s="466" t="s">
        <v>108</v>
      </c>
      <c r="M37" s="466" t="s">
        <v>108</v>
      </c>
      <c r="N37" s="466" t="s">
        <v>108</v>
      </c>
      <c r="O37" s="466" t="s">
        <v>108</v>
      </c>
      <c r="P37" s="466" t="s">
        <v>108</v>
      </c>
      <c r="Q37" s="466" t="s">
        <v>108</v>
      </c>
      <c r="R37" s="466" t="s">
        <v>108</v>
      </c>
      <c r="S37" s="466" t="s">
        <v>108</v>
      </c>
      <c r="T37" s="466" t="s">
        <v>108</v>
      </c>
      <c r="U37" s="466" t="s">
        <v>108</v>
      </c>
      <c r="V37" s="466" t="s">
        <v>108</v>
      </c>
      <c r="W37" s="466" t="s">
        <v>108</v>
      </c>
      <c r="X37" s="357" t="s">
        <v>108</v>
      </c>
    </row>
    <row r="38" spans="1:24" ht="16.5" customHeight="1">
      <c r="A38" s="873" t="str">
        <f t="shared" ref="A38:A40" si="13">A19</f>
        <v>Al-gra</v>
      </c>
      <c r="B38" s="466">
        <f>'Energy Contents Cell'!V38</f>
        <v>21.221607717804854</v>
      </c>
      <c r="C38" s="731">
        <f t="shared" ref="C38:C43" si="14">B38*E19*Z$22*AA$22/1000</f>
        <v>12.892126688566448</v>
      </c>
      <c r="D38" s="731">
        <f>B38*I19*Z$23*AA$23/1000</f>
        <v>13.798863594821562</v>
      </c>
      <c r="E38" s="731">
        <f t="shared" ref="E38:E43" si="15">B38*M$12*H19*Z$22*AA$22/1000</f>
        <v>68.609169692810042</v>
      </c>
      <c r="F38" s="731">
        <v>0</v>
      </c>
      <c r="G38" s="731">
        <v>0</v>
      </c>
      <c r="H38" s="731">
        <f t="shared" ref="H38:H43" si="16">L19*M$14/1000000</f>
        <v>0</v>
      </c>
      <c r="I38" s="731">
        <v>0</v>
      </c>
      <c r="J38" s="731">
        <v>0</v>
      </c>
      <c r="K38" s="731">
        <v>0</v>
      </c>
      <c r="L38" s="730">
        <f>B38*N$12*H19*Z$22*AA$22/1000</f>
        <v>405.36584426835259</v>
      </c>
      <c r="M38" s="731">
        <v>0</v>
      </c>
      <c r="N38" s="731">
        <f t="shared" ref="N38:N43" si="17">B38*I19*Z$23*AA$23/1000</f>
        <v>13.798863594821562</v>
      </c>
      <c r="O38" s="731">
        <f>B38*B19*Z23*AA23/1000</f>
        <v>153.46407864651405</v>
      </c>
      <c r="P38" s="731">
        <f t="shared" ref="P38:P40" si="18">B38*(C19*Z$23*AA$23+F19*Z$22*AA$22)/1000</f>
        <v>4.7957524577035633</v>
      </c>
      <c r="Q38" s="731">
        <f t="shared" ref="Q38:Q40" si="19">B38*(D19*Z$23*AA$23+G19*Z$22*AA$22)/1000</f>
        <v>1.5985841525678548</v>
      </c>
      <c r="R38" s="731">
        <v>0</v>
      </c>
      <c r="S38" s="731">
        <f t="shared" ref="S38:S40" si="20">B38*L19*Z$22*AA$22/1000</f>
        <v>74.145796424456663</v>
      </c>
      <c r="T38" s="731">
        <f t="shared" ref="T38:T40" si="21">B38*H19*Z$22*AA$22/1000-E38-J38-K38-L38</f>
        <v>50.758080170884455</v>
      </c>
      <c r="U38" s="731">
        <v>0</v>
      </c>
      <c r="V38" s="731">
        <f t="shared" ref="V38:V46" si="22">AB$25</f>
        <v>14.662999999999998</v>
      </c>
      <c r="W38" s="736">
        <f t="shared" ref="W38:W40" si="23">SUM(C38:V38)</f>
        <v>813.89015969149875</v>
      </c>
      <c r="X38" s="769">
        <f>'Energy Contents Cell'!V19+V38</f>
        <v>790.76799919731423</v>
      </c>
    </row>
    <row r="39" spans="1:24" ht="16.5" customHeight="1">
      <c r="A39" s="873" t="str">
        <f t="shared" si="13"/>
        <v>Al-PPQ</v>
      </c>
      <c r="B39" s="466">
        <f>'Energy Contents Cell'!V39</f>
        <v>74.409843824979376</v>
      </c>
      <c r="C39" s="731">
        <f t="shared" si="14"/>
        <v>45.203980123674967</v>
      </c>
      <c r="D39" s="731">
        <f>B39*I20*Z$23*AA$23/1000</f>
        <v>48.383293985375502</v>
      </c>
      <c r="E39" s="731">
        <f t="shared" si="15"/>
        <v>33.705517641439322</v>
      </c>
      <c r="F39" s="731">
        <v>0</v>
      </c>
      <c r="G39" s="731">
        <v>0</v>
      </c>
      <c r="H39" s="731">
        <f t="shared" si="16"/>
        <v>0</v>
      </c>
      <c r="I39" s="731">
        <v>0</v>
      </c>
      <c r="J39" s="731">
        <v>0</v>
      </c>
      <c r="K39" s="731">
        <v>0</v>
      </c>
      <c r="L39" s="730">
        <f t="shared" ref="L39:L40" si="24">B39*N$12*H20*Z$22*AA$22/1000</f>
        <v>199.14343339817063</v>
      </c>
      <c r="M39" s="731">
        <v>0</v>
      </c>
      <c r="N39" s="731">
        <f t="shared" si="17"/>
        <v>48.383293985375502</v>
      </c>
      <c r="O39" s="731">
        <v>0</v>
      </c>
      <c r="P39" s="731">
        <f t="shared" si="18"/>
        <v>26.608960151812639</v>
      </c>
      <c r="Q39" s="731">
        <f t="shared" si="19"/>
        <v>26.608960151812639</v>
      </c>
      <c r="R39" s="731">
        <f>B39*B20*Z$23*AA$23/1000</f>
        <v>478.96128273262735</v>
      </c>
      <c r="S39" s="731">
        <f t="shared" si="20"/>
        <v>16.008082150399954</v>
      </c>
      <c r="T39" s="731">
        <f t="shared" si="21"/>
        <v>24.935841292138917</v>
      </c>
      <c r="U39" s="731">
        <v>0</v>
      </c>
      <c r="V39" s="731">
        <f t="shared" si="22"/>
        <v>14.662999999999998</v>
      </c>
      <c r="W39" s="736">
        <f t="shared" si="23"/>
        <v>962.6056456128274</v>
      </c>
      <c r="X39" s="769">
        <f>'Energy Contents Cell'!V20+V39</f>
        <v>923.51022646604144</v>
      </c>
    </row>
    <row r="40" spans="1:24" ht="16.5" customHeight="1">
      <c r="A40" s="873" t="str">
        <f t="shared" si="13"/>
        <v>Al-PBQS</v>
      </c>
      <c r="B40" s="466">
        <f>'Energy Contents Cell'!V40</f>
        <v>72.432189752814821</v>
      </c>
      <c r="C40" s="731">
        <f t="shared" si="14"/>
        <v>56.875055185486659</v>
      </c>
      <c r="D40" s="731">
        <f t="shared" ref="D40:D43" si="25">B40*I21*Z$23*AA$23/1000</f>
        <v>47.097369792334909</v>
      </c>
      <c r="E40" s="731">
        <f t="shared" si="15"/>
        <v>45.547579734231448</v>
      </c>
      <c r="F40" s="731">
        <v>0</v>
      </c>
      <c r="G40" s="731">
        <v>0</v>
      </c>
      <c r="H40" s="731">
        <f t="shared" si="16"/>
        <v>0</v>
      </c>
      <c r="I40" s="731">
        <v>0</v>
      </c>
      <c r="J40" s="731">
        <v>0</v>
      </c>
      <c r="K40" s="731">
        <v>0</v>
      </c>
      <c r="L40" s="730">
        <f t="shared" si="24"/>
        <v>269.11028359641739</v>
      </c>
      <c r="M40" s="731">
        <v>0</v>
      </c>
      <c r="N40" s="731">
        <f t="shared" si="17"/>
        <v>47.097369792334909</v>
      </c>
      <c r="O40" s="731">
        <v>0</v>
      </c>
      <c r="P40" s="731">
        <f t="shared" si="18"/>
        <v>20.376044163743853</v>
      </c>
      <c r="Q40" s="731">
        <f t="shared" si="19"/>
        <v>20.376044163743853</v>
      </c>
      <c r="R40" s="731">
        <f>B40*B21*Z$23*AA$23/1000</f>
        <v>366.76879494738932</v>
      </c>
      <c r="S40" s="731">
        <f t="shared" si="20"/>
        <v>15.135817046144124</v>
      </c>
      <c r="T40" s="731">
        <f t="shared" si="21"/>
        <v>33.696774266343596</v>
      </c>
      <c r="U40" s="731">
        <v>0</v>
      </c>
      <c r="V40" s="731">
        <f t="shared" si="22"/>
        <v>14.662999999999998</v>
      </c>
      <c r="W40" s="736">
        <f t="shared" si="23"/>
        <v>936.74413268817011</v>
      </c>
      <c r="X40" s="769">
        <f>'Energy Contents Cell'!V21+V40</f>
        <v>896.10287644237326</v>
      </c>
    </row>
    <row r="41" spans="1:24">
      <c r="A41" s="873" t="str">
        <f t="shared" ref="A41:A46" si="26">A22</f>
        <v>Al-TiO2</v>
      </c>
      <c r="B41" s="466">
        <f>'Energy Contents Cell'!V41</f>
        <v>81.729512075563406</v>
      </c>
      <c r="C41" s="731">
        <f t="shared" si="14"/>
        <v>79.136158963229747</v>
      </c>
      <c r="D41" s="731">
        <f t="shared" si="25"/>
        <v>53.142740352128094</v>
      </c>
      <c r="E41" s="731">
        <f t="shared" si="15"/>
        <v>25.4384590527299</v>
      </c>
      <c r="F41" s="731">
        <v>0</v>
      </c>
      <c r="G41" s="731">
        <f>B41*B22*E14*Z$23*AA$23/1000</f>
        <v>835.07471560552779</v>
      </c>
      <c r="H41" s="731">
        <f t="shared" si="16"/>
        <v>0</v>
      </c>
      <c r="I41" s="731">
        <v>0</v>
      </c>
      <c r="J41" s="731">
        <v>0</v>
      </c>
      <c r="K41" s="731">
        <v>0</v>
      </c>
      <c r="L41" s="730">
        <f>B41*N$12*H22*Z$22*AA$22/1000</f>
        <v>150.29889556987922</v>
      </c>
      <c r="M41" s="731">
        <v>0</v>
      </c>
      <c r="N41" s="731">
        <f t="shared" si="17"/>
        <v>53.142740352128094</v>
      </c>
      <c r="O41" s="731">
        <v>0</v>
      </c>
      <c r="P41" s="731">
        <f t="shared" ref="P41:P46" si="27">B41*(C22*Z$23*AA$23+F22*Z$22*AA$22)/1000</f>
        <v>28.995649847414164</v>
      </c>
      <c r="Q41" s="731">
        <f t="shared" ref="Q41:Q46" si="28">B41*(D22*Z$23*AA$23+G22*Z$22*AA$22)/1000</f>
        <v>28.995649847414164</v>
      </c>
      <c r="R41" s="731">
        <v>0</v>
      </c>
      <c r="S41" s="731">
        <f t="shared" ref="S41:S46" si="29">B41*L22*Z$22*AA$22/1000</f>
        <v>17.469683206151679</v>
      </c>
      <c r="T41" s="731">
        <f t="shared" ref="T41:T46" si="30">B41*H22*Z$22*AA$22/1000-E41-J41-K41-L41</f>
        <v>18.81974887326956</v>
      </c>
      <c r="U41" s="731">
        <f>B41*B22*Z$23*AA$23/1000-F41-G41-H41-I41</f>
        <v>556.71647707035174</v>
      </c>
      <c r="V41" s="731">
        <f t="shared" si="22"/>
        <v>14.662999999999998</v>
      </c>
      <c r="W41" s="736">
        <f t="shared" ref="W41" si="31">SUM(C41:V41)</f>
        <v>1861.8939187402243</v>
      </c>
      <c r="X41" s="769">
        <f>'Energy Contents Cell'!V22+V41</f>
        <v>1821.3031766927154</v>
      </c>
    </row>
    <row r="42" spans="1:24">
      <c r="A42" s="873" t="str">
        <f t="shared" si="26"/>
        <v>Al-V2C</v>
      </c>
      <c r="B42" s="466">
        <f>'Energy Contents Cell'!V42</f>
        <v>81.657215825176095</v>
      </c>
      <c r="C42" s="731">
        <f t="shared" si="14"/>
        <v>83.365213077729692</v>
      </c>
      <c r="D42" s="731">
        <f t="shared" si="25"/>
        <v>53.095731373789732</v>
      </c>
      <c r="E42" s="731">
        <f t="shared" si="15"/>
        <v>25.415956713508262</v>
      </c>
      <c r="F42" s="731">
        <v>0</v>
      </c>
      <c r="G42" s="731">
        <f>B42*B23*E12*Z$23*AA$23/1000</f>
        <v>1154.415034080035</v>
      </c>
      <c r="H42" s="731">
        <f t="shared" si="16"/>
        <v>0</v>
      </c>
      <c r="I42" s="731">
        <v>0</v>
      </c>
      <c r="J42" s="731">
        <v>0</v>
      </c>
      <c r="K42" s="731">
        <v>0</v>
      </c>
      <c r="L42" s="730">
        <f>B42*N$12*H23*Z$22*AA$22/1000</f>
        <v>150.16594424897801</v>
      </c>
      <c r="M42" s="731">
        <v>0</v>
      </c>
      <c r="N42" s="731">
        <f t="shared" si="17"/>
        <v>53.095731373789732</v>
      </c>
      <c r="O42" s="731">
        <f>B42*B23*Z$23*AA$23/1000-F42-G42-H42-I42</f>
        <v>135.81353342118064</v>
      </c>
      <c r="P42" s="731">
        <f t="shared" si="27"/>
        <v>26.879761822941994</v>
      </c>
      <c r="Q42" s="731">
        <f t="shared" si="28"/>
        <v>26.879761822941994</v>
      </c>
      <c r="R42" s="731">
        <v>0</v>
      </c>
      <c r="S42" s="731">
        <f t="shared" si="29"/>
        <v>17.454229882631388</v>
      </c>
      <c r="T42" s="731">
        <f t="shared" si="30"/>
        <v>18.803101309345436</v>
      </c>
      <c r="U42" s="731">
        <v>0</v>
      </c>
      <c r="V42" s="731">
        <f t="shared" ref="V42" si="32">AB$25</f>
        <v>14.662999999999998</v>
      </c>
      <c r="W42" s="736">
        <f t="shared" ref="W42:W46" si="33">SUM(C42:V42)</f>
        <v>1760.0469991268722</v>
      </c>
      <c r="X42" s="769">
        <f>'Energy Contents Cell'!V23+V42</f>
        <v>1719.492162817399</v>
      </c>
    </row>
    <row r="43" spans="1:24">
      <c r="A43" s="873" t="str">
        <f t="shared" si="26"/>
        <v>Al-MnO2</v>
      </c>
      <c r="B43" s="466">
        <f>'Energy Contents Cell'!V43</f>
        <v>74.794740550355868</v>
      </c>
      <c r="C43" s="731">
        <f t="shared" si="14"/>
        <v>219.75831281421921</v>
      </c>
      <c r="D43" s="731">
        <f t="shared" si="25"/>
        <v>48.633564251520689</v>
      </c>
      <c r="E43" s="731">
        <f t="shared" si="15"/>
        <v>23.279998822098296</v>
      </c>
      <c r="F43" s="731">
        <v>0</v>
      </c>
      <c r="G43" s="731">
        <f>B43*B24*E11*Z$23*AA$23/1000</f>
        <v>942.42071185722216</v>
      </c>
      <c r="H43" s="731">
        <f t="shared" si="16"/>
        <v>0</v>
      </c>
      <c r="I43" s="731">
        <v>0</v>
      </c>
      <c r="J43" s="731">
        <v>0</v>
      </c>
      <c r="K43" s="731">
        <v>0</v>
      </c>
      <c r="L43" s="730">
        <f>B43*N$12*H24*Z$22*AA$22/1000</f>
        <v>137.54599304056413</v>
      </c>
      <c r="M43" s="731">
        <v>0</v>
      </c>
      <c r="N43" s="731">
        <f t="shared" si="17"/>
        <v>48.633564251520689</v>
      </c>
      <c r="O43" s="731">
        <v>0</v>
      </c>
      <c r="P43" s="731">
        <f t="shared" si="27"/>
        <v>31.077853620367566</v>
      </c>
      <c r="Q43" s="731">
        <f t="shared" si="28"/>
        <v>31.077853620367566</v>
      </c>
      <c r="R43" s="731">
        <v>0</v>
      </c>
      <c r="S43" s="731">
        <f t="shared" si="29"/>
        <v>15.987375792638566</v>
      </c>
      <c r="T43" s="731">
        <f t="shared" si="30"/>
        <v>17.22288801745978</v>
      </c>
      <c r="U43" s="731">
        <f>B43*B24*Z$23*AA$23/1000-F43-G43-H43-I43</f>
        <v>549.31626192042108</v>
      </c>
      <c r="V43" s="731">
        <f t="shared" si="22"/>
        <v>14.662999999999998</v>
      </c>
      <c r="W43" s="736">
        <f t="shared" si="33"/>
        <v>2079.6173780083996</v>
      </c>
      <c r="X43" s="769">
        <f>'Energy Contents Cell'!V24+V43</f>
        <v>2042.4707715612328</v>
      </c>
    </row>
    <row r="44" spans="1:24">
      <c r="A44" s="873" t="str">
        <f t="shared" si="26"/>
        <v>LIB-NMC</v>
      </c>
      <c r="B44" s="466">
        <f>'Energy Contents Cell'!V44</f>
        <v>48.730265778873218</v>
      </c>
      <c r="C44" s="731">
        <v>0</v>
      </c>
      <c r="D44" s="731">
        <f>B44*I25*Z$23*AA$23/1000</f>
        <v>28.818153306575823</v>
      </c>
      <c r="E44" s="731">
        <v>0</v>
      </c>
      <c r="F44" s="731">
        <f>B44*B25*D4*Z$23*AA$23/1000</f>
        <v>9.7903246376382747</v>
      </c>
      <c r="G44" s="731">
        <f>B44*B25*E4*Z$23*AA$23/1000</f>
        <v>340.55825554332847</v>
      </c>
      <c r="H44" s="731">
        <f>B44*B25*F4*Z$23*AA$23/1000</f>
        <v>64.072235684099368</v>
      </c>
      <c r="I44" s="731">
        <f>B44*B25*C4*Z$23*AA$23/1000</f>
        <v>50.329520729784903</v>
      </c>
      <c r="J44" s="731">
        <f>B44*M$8*H25*Z$22*AA$22/1000</f>
        <v>1.1189943330883252</v>
      </c>
      <c r="K44" s="730">
        <f>B44*O$8*H25*Z$22*AA$22/1000</f>
        <v>4.9983896722965531</v>
      </c>
      <c r="L44" s="730">
        <f>B44*N$8*H25*Z$22*AA$22/1000</f>
        <v>18.381174923929258</v>
      </c>
      <c r="M44" s="731">
        <f>B44*J25*Z$22*AA$22/1000</f>
        <v>65.493477206805608</v>
      </c>
      <c r="N44" s="731">
        <v>0</v>
      </c>
      <c r="O44" s="731">
        <f>B44*E25*Z$22*AA$22/1000</f>
        <v>459.31149332774982</v>
      </c>
      <c r="P44" s="731">
        <f t="shared" si="27"/>
        <v>28.870511061669248</v>
      </c>
      <c r="Q44" s="731">
        <f t="shared" si="28"/>
        <v>19.301521617341123</v>
      </c>
      <c r="R44" s="731">
        <v>0</v>
      </c>
      <c r="S44" s="731">
        <f t="shared" si="29"/>
        <v>10.416094310234151</v>
      </c>
      <c r="T44" s="731">
        <f t="shared" si="30"/>
        <v>168.98749290152017</v>
      </c>
      <c r="U44" s="731">
        <f>B44*B25*Z$23*AA$23/1000-F44-G44-H44-I44</f>
        <v>232.066954373648</v>
      </c>
      <c r="V44" s="731">
        <f t="shared" si="22"/>
        <v>14.662999999999998</v>
      </c>
      <c r="W44" s="736">
        <f t="shared" si="33"/>
        <v>1517.1775936297095</v>
      </c>
      <c r="X44" s="769">
        <f>'Energy Contents Cell'!V25+V44</f>
        <v>1510.5836922401547</v>
      </c>
    </row>
    <row r="45" spans="1:24">
      <c r="A45" s="873" t="str">
        <f t="shared" si="26"/>
        <v>LIB-LFP</v>
      </c>
      <c r="B45" s="466">
        <f>'Energy Contents Cell'!V45</f>
        <v>49.691460576742891</v>
      </c>
      <c r="C45" s="731">
        <v>0</v>
      </c>
      <c r="D45" s="731">
        <f>B45*I26*Z$23*AA$23/1000</f>
        <v>29.38658564733479</v>
      </c>
      <c r="E45" s="731">
        <v>0</v>
      </c>
      <c r="F45" s="731">
        <v>0</v>
      </c>
      <c r="G45" s="731">
        <f>B45*B26*E5*Z$23*AA$23/1000</f>
        <v>261.19899365534741</v>
      </c>
      <c r="H45" s="731">
        <f>B45*B26*F5*Z$23*AA$23/1000</f>
        <v>145.11055203074858</v>
      </c>
      <c r="I45" s="731">
        <f>B45*B26*C5*Z$23*AA$23/1000</f>
        <v>32.486039712690165</v>
      </c>
      <c r="J45" s="731">
        <f>B45*M$8*H26*Z$22*AA$22/1000</f>
        <v>1.1395332924612587</v>
      </c>
      <c r="K45" s="730">
        <f>B45*O$8*H26*Z$22*AA$22/1000</f>
        <v>5.0901343035012987</v>
      </c>
      <c r="L45" s="730">
        <f>B45*N$8*H26*Z$22*AA$22/1000</f>
        <v>18.718558406424133</v>
      </c>
      <c r="M45" s="731">
        <f>B45*J26*Z$22*AA$22/1000</f>
        <v>66.785323015142467</v>
      </c>
      <c r="N45" s="731">
        <v>0</v>
      </c>
      <c r="O45" s="731">
        <f>B45*E26*Z$22*AA$22/1000</f>
        <v>359.23606819076298</v>
      </c>
      <c r="P45" s="731">
        <f t="shared" si="27"/>
        <v>26.609015892608035</v>
      </c>
      <c r="Q45" s="731">
        <f t="shared" si="28"/>
        <v>19.124931138633809</v>
      </c>
      <c r="R45" s="731">
        <v>0</v>
      </c>
      <c r="S45" s="731">
        <f t="shared" si="29"/>
        <v>10.621549698278793</v>
      </c>
      <c r="T45" s="731">
        <f t="shared" si="30"/>
        <v>172.08923090734103</v>
      </c>
      <c r="U45" s="731">
        <f>B45*B26*Z$23*AA$23/1000-F45-G45-H45-I45</f>
        <v>299.58307516025519</v>
      </c>
      <c r="V45" s="731">
        <f t="shared" si="22"/>
        <v>14.662999999999998</v>
      </c>
      <c r="W45" s="736">
        <f t="shared" si="33"/>
        <v>1461.84259105153</v>
      </c>
      <c r="X45" s="769">
        <f>'Energy Contents Cell'!V26+V45</f>
        <v>1455.2463145129489</v>
      </c>
    </row>
    <row r="46" spans="1:24" ht="17" thickBot="1">
      <c r="A46" s="876" t="str">
        <f t="shared" si="26"/>
        <v>Li-DIB</v>
      </c>
      <c r="B46" s="316">
        <f>'Energy Contents Cell'!V46</f>
        <v>23.366272876761212</v>
      </c>
      <c r="C46" s="739">
        <v>0</v>
      </c>
      <c r="D46" s="739">
        <f>B46*I27*Z$23*AA$23/1000</f>
        <v>13.818369820131922</v>
      </c>
      <c r="E46" s="739">
        <v>0</v>
      </c>
      <c r="F46" s="739">
        <v>0</v>
      </c>
      <c r="G46" s="739">
        <v>0</v>
      </c>
      <c r="H46" s="739">
        <f>L27*M$14/1000000</f>
        <v>0</v>
      </c>
      <c r="I46" s="739">
        <v>0</v>
      </c>
      <c r="J46" s="739">
        <f>B46*M$11*H27*Z$22*AA$22/1000</f>
        <v>7.5511755450630957</v>
      </c>
      <c r="K46" s="741">
        <f>B46*O$8*H27*Z$22*AA$22/1000</f>
        <v>9.8379268328451701</v>
      </c>
      <c r="L46" s="741">
        <f>B46*N$8*H27*Z$22*AA$22/1000</f>
        <v>36.17818254659192</v>
      </c>
      <c r="M46" s="739">
        <f>B46*J27*Z$22*AA$22/1000</f>
        <v>31.404270746367072</v>
      </c>
      <c r="N46" s="739">
        <v>0</v>
      </c>
      <c r="O46" s="739">
        <f>B46*(E27*Z$22*AA$22+B27*Z23*AA23)/1000</f>
        <v>236.47611411964743</v>
      </c>
      <c r="P46" s="739">
        <f t="shared" si="27"/>
        <v>7.3898785662389823</v>
      </c>
      <c r="Q46" s="739">
        <f t="shared" si="28"/>
        <v>2.4632928554129943</v>
      </c>
      <c r="R46" s="739">
        <v>0</v>
      </c>
      <c r="S46" s="739">
        <f t="shared" si="29"/>
        <v>37.638237030276706</v>
      </c>
      <c r="T46" s="739">
        <f t="shared" si="30"/>
        <v>327.25568925015165</v>
      </c>
      <c r="U46" s="739">
        <v>0</v>
      </c>
      <c r="V46" s="739">
        <f t="shared" si="22"/>
        <v>14.662999999999998</v>
      </c>
      <c r="W46" s="742">
        <f t="shared" si="33"/>
        <v>724.67613731272695</v>
      </c>
      <c r="X46" s="862">
        <f>'Energy Contents Cell'!V27+V46</f>
        <v>714.04038717479705</v>
      </c>
    </row>
    <row r="47" spans="1:24">
      <c r="A47" s="865"/>
      <c r="B47" s="466"/>
      <c r="C47" s="731"/>
      <c r="D47" s="731"/>
      <c r="E47" s="731"/>
      <c r="F47" s="731"/>
      <c r="G47" s="731"/>
      <c r="H47" s="731"/>
      <c r="I47" s="731"/>
      <c r="J47" s="731"/>
      <c r="K47" s="731"/>
      <c r="M47" s="731"/>
      <c r="N47" s="731"/>
      <c r="O47" s="731"/>
      <c r="P47" s="731"/>
      <c r="Q47" s="731"/>
      <c r="R47" s="731"/>
      <c r="S47" s="731"/>
      <c r="T47" s="731"/>
      <c r="U47" s="731"/>
      <c r="V47" s="731"/>
      <c r="W47" s="736"/>
      <c r="X47" s="736"/>
    </row>
    <row r="48" spans="1:24">
      <c r="A48" s="865"/>
      <c r="B48" s="466"/>
      <c r="C48" s="731"/>
      <c r="D48" s="731"/>
      <c r="E48" s="731"/>
      <c r="F48" s="731"/>
      <c r="G48" s="731"/>
      <c r="H48" s="731"/>
      <c r="I48" s="731"/>
      <c r="J48" s="731"/>
      <c r="K48" s="731"/>
      <c r="M48" s="731"/>
      <c r="N48" s="731"/>
      <c r="O48" s="731"/>
      <c r="P48" s="731"/>
      <c r="Q48" s="731"/>
      <c r="R48" s="731"/>
      <c r="S48" s="731"/>
      <c r="T48" s="731"/>
      <c r="U48" s="731"/>
      <c r="V48" s="731"/>
      <c r="W48" s="736"/>
      <c r="X48" s="736"/>
    </row>
    <row r="49" spans="1:27">
      <c r="A49" s="865"/>
      <c r="B49" s="466"/>
      <c r="C49" s="731"/>
      <c r="D49" s="731"/>
      <c r="E49" s="731"/>
      <c r="F49" s="731"/>
      <c r="G49" s="731"/>
      <c r="H49" s="731"/>
      <c r="I49" s="731"/>
      <c r="J49" s="731"/>
      <c r="M49" s="731"/>
      <c r="N49" s="731"/>
      <c r="O49" s="731"/>
      <c r="P49" s="731"/>
      <c r="Q49" s="731"/>
      <c r="R49" s="731"/>
      <c r="S49" s="731"/>
      <c r="T49" s="731"/>
      <c r="U49" s="731"/>
      <c r="V49" s="731"/>
      <c r="W49" s="736"/>
      <c r="X49" s="736"/>
    </row>
    <row r="50" spans="1:27" ht="17" thickBot="1">
      <c r="M50" s="736"/>
      <c r="N50" s="736"/>
      <c r="O50" s="736"/>
      <c r="P50" s="736"/>
      <c r="Q50" s="736"/>
      <c r="R50" s="736"/>
      <c r="S50" s="736"/>
      <c r="T50" s="736"/>
    </row>
    <row r="51" spans="1:27" ht="15.75" customHeight="1">
      <c r="A51" s="505" t="s">
        <v>545</v>
      </c>
      <c r="B51" s="547" t="s">
        <v>250</v>
      </c>
      <c r="C51" s="547" t="s">
        <v>524</v>
      </c>
      <c r="D51" s="547" t="s">
        <v>525</v>
      </c>
      <c r="E51" s="547" t="s">
        <v>526</v>
      </c>
      <c r="F51" s="547" t="s">
        <v>531</v>
      </c>
      <c r="G51" s="547" t="s">
        <v>532</v>
      </c>
      <c r="H51" s="547" t="s">
        <v>651</v>
      </c>
      <c r="I51" s="547" t="s">
        <v>537</v>
      </c>
      <c r="J51" s="547" t="s">
        <v>538</v>
      </c>
      <c r="K51" s="547" t="s">
        <v>648</v>
      </c>
      <c r="L51" s="547" t="s">
        <v>649</v>
      </c>
      <c r="M51" s="547" t="s">
        <v>533</v>
      </c>
      <c r="N51" s="547" t="s">
        <v>793</v>
      </c>
      <c r="O51" s="547" t="s">
        <v>534</v>
      </c>
      <c r="P51" s="547" t="s">
        <v>535</v>
      </c>
      <c r="Q51" s="547" t="s">
        <v>539</v>
      </c>
      <c r="R51" s="547" t="s">
        <v>536</v>
      </c>
      <c r="S51" s="547" t="s">
        <v>196</v>
      </c>
      <c r="T51" s="547" t="s">
        <v>540</v>
      </c>
      <c r="U51" s="547" t="s">
        <v>543</v>
      </c>
      <c r="V51" s="547" t="s">
        <v>541</v>
      </c>
      <c r="W51" s="547" t="s">
        <v>542</v>
      </c>
      <c r="X51" s="701" t="s">
        <v>544</v>
      </c>
    </row>
    <row r="52" spans="1:27" ht="16.5" customHeight="1">
      <c r="A52" s="695"/>
      <c r="B52" s="548"/>
      <c r="C52" s="548"/>
      <c r="D52" s="548"/>
      <c r="E52" s="548"/>
      <c r="F52" s="548"/>
      <c r="G52" s="548"/>
      <c r="H52" s="548"/>
      <c r="I52" s="548"/>
      <c r="J52" s="548"/>
      <c r="K52" s="548"/>
      <c r="L52" s="548"/>
      <c r="M52" s="548"/>
      <c r="N52" s="548"/>
      <c r="O52" s="548"/>
      <c r="P52" s="548"/>
      <c r="Q52" s="548"/>
      <c r="R52" s="548"/>
      <c r="S52" s="548"/>
      <c r="T52" s="548"/>
      <c r="U52" s="548"/>
      <c r="V52" s="548"/>
      <c r="W52" s="548"/>
      <c r="X52" s="702"/>
      <c r="Y52" s="466"/>
      <c r="Z52" s="466"/>
      <c r="AA52" s="736"/>
    </row>
    <row r="53" spans="1:27" ht="16.5" customHeight="1">
      <c r="A53" s="695"/>
      <c r="B53" s="548"/>
      <c r="C53" s="548"/>
      <c r="D53" s="548"/>
      <c r="E53" s="548"/>
      <c r="F53" s="548"/>
      <c r="G53" s="548"/>
      <c r="H53" s="548"/>
      <c r="I53" s="548"/>
      <c r="J53" s="548"/>
      <c r="K53" s="548"/>
      <c r="L53" s="548"/>
      <c r="M53" s="548"/>
      <c r="N53" s="548"/>
      <c r="O53" s="548"/>
      <c r="P53" s="548"/>
      <c r="Q53" s="548"/>
      <c r="R53" s="548"/>
      <c r="S53" s="548"/>
      <c r="T53" s="548"/>
      <c r="U53" s="548"/>
      <c r="V53" s="548"/>
      <c r="W53" s="548"/>
      <c r="X53" s="702"/>
      <c r="Y53" s="466"/>
      <c r="Z53" s="466"/>
      <c r="AA53" s="736"/>
    </row>
    <row r="54" spans="1:27" ht="16.5" customHeight="1">
      <c r="A54" s="695"/>
      <c r="B54" s="548"/>
      <c r="C54" s="548"/>
      <c r="D54" s="548"/>
      <c r="E54" s="548"/>
      <c r="F54" s="548"/>
      <c r="G54" s="548"/>
      <c r="H54" s="548"/>
      <c r="I54" s="548"/>
      <c r="J54" s="548"/>
      <c r="K54" s="548"/>
      <c r="L54" s="548"/>
      <c r="M54" s="548"/>
      <c r="N54" s="548"/>
      <c r="O54" s="548"/>
      <c r="P54" s="548"/>
      <c r="Q54" s="548"/>
      <c r="R54" s="548"/>
      <c r="S54" s="548"/>
      <c r="T54" s="548"/>
      <c r="U54" s="548"/>
      <c r="V54" s="548"/>
      <c r="W54" s="548"/>
      <c r="X54" s="702"/>
      <c r="Y54" s="466"/>
      <c r="Z54" s="132"/>
    </row>
    <row r="55" spans="1:27" ht="16.5" customHeight="1">
      <c r="A55" s="695"/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  <c r="P55" s="548"/>
      <c r="Q55" s="548"/>
      <c r="R55" s="548"/>
      <c r="S55" s="548"/>
      <c r="T55" s="548"/>
      <c r="U55" s="548"/>
      <c r="V55" s="548"/>
      <c r="W55" s="548"/>
      <c r="X55" s="702"/>
      <c r="Y55" s="486"/>
      <c r="Z55" s="692"/>
    </row>
    <row r="56" spans="1:27" ht="16.5" customHeight="1">
      <c r="A56" s="695"/>
      <c r="B56" s="466" t="s">
        <v>828</v>
      </c>
      <c r="C56" s="466" t="s">
        <v>546</v>
      </c>
      <c r="D56" s="466" t="s">
        <v>546</v>
      </c>
      <c r="E56" s="466" t="s">
        <v>546</v>
      </c>
      <c r="F56" s="466" t="s">
        <v>546</v>
      </c>
      <c r="G56" s="466" t="s">
        <v>546</v>
      </c>
      <c r="H56" s="466" t="s">
        <v>546</v>
      </c>
      <c r="I56" s="466" t="s">
        <v>546</v>
      </c>
      <c r="J56" s="466" t="s">
        <v>546</v>
      </c>
      <c r="K56" s="466" t="s">
        <v>546</v>
      </c>
      <c r="L56" s="466" t="s">
        <v>546</v>
      </c>
      <c r="M56" s="466" t="s">
        <v>546</v>
      </c>
      <c r="N56" s="466" t="s">
        <v>546</v>
      </c>
      <c r="O56" s="466" t="s">
        <v>546</v>
      </c>
      <c r="P56" s="466" t="s">
        <v>546</v>
      </c>
      <c r="Q56" s="466" t="s">
        <v>546</v>
      </c>
      <c r="R56" s="466" t="s">
        <v>546</v>
      </c>
      <c r="S56" s="466" t="s">
        <v>546</v>
      </c>
      <c r="T56" s="466" t="s">
        <v>546</v>
      </c>
      <c r="U56" s="466" t="s">
        <v>546</v>
      </c>
      <c r="V56" s="466" t="s">
        <v>546</v>
      </c>
      <c r="W56" s="466" t="s">
        <v>546</v>
      </c>
      <c r="X56" s="357" t="s">
        <v>546</v>
      </c>
      <c r="Y56" s="486"/>
      <c r="Z56" s="692"/>
    </row>
    <row r="57" spans="1:27" ht="16.5" customHeight="1">
      <c r="A57" s="873" t="str">
        <f t="shared" ref="A57:A59" si="34">A38</f>
        <v>Al-gra</v>
      </c>
      <c r="B57" s="731">
        <f t="shared" ref="B57:B59" si="35">B38*P19*Z$23*AA$23/1000</f>
        <v>41.435301234558786</v>
      </c>
      <c r="C57" s="731">
        <f>C38/$B57</f>
        <v>0.31113872240450546</v>
      </c>
      <c r="D57" s="731">
        <f t="shared" ref="D57:L57" si="36">D38/$B57</f>
        <v>0.33302192052878643</v>
      </c>
      <c r="E57" s="731">
        <f t="shared" si="36"/>
        <v>1.6558144299331679</v>
      </c>
      <c r="F57" s="731">
        <f t="shared" si="36"/>
        <v>0</v>
      </c>
      <c r="G57" s="731">
        <f t="shared" si="36"/>
        <v>0</v>
      </c>
      <c r="H57" s="731">
        <f t="shared" si="36"/>
        <v>0</v>
      </c>
      <c r="I57" s="731">
        <f t="shared" si="36"/>
        <v>0</v>
      </c>
      <c r="J57" s="731">
        <f t="shared" si="36"/>
        <v>0</v>
      </c>
      <c r="K57" s="731">
        <f t="shared" si="36"/>
        <v>0</v>
      </c>
      <c r="L57" s="731">
        <f t="shared" si="36"/>
        <v>9.7831035901884658</v>
      </c>
      <c r="M57" s="731">
        <f t="shared" ref="M57:W57" si="37">M38/$B57</f>
        <v>0</v>
      </c>
      <c r="N57" s="731">
        <f t="shared" si="37"/>
        <v>0.33302192052878643</v>
      </c>
      <c r="O57" s="731">
        <f t="shared" si="37"/>
        <v>3.7037037037037046</v>
      </c>
      <c r="P57" s="731">
        <f t="shared" si="37"/>
        <v>0.11574074074074074</v>
      </c>
      <c r="Q57" s="731">
        <f t="shared" si="37"/>
        <v>3.8580246913580259E-2</v>
      </c>
      <c r="R57" s="731">
        <f t="shared" si="37"/>
        <v>0</v>
      </c>
      <c r="S57" s="731">
        <f t="shared" si="37"/>
        <v>1.7894354382686604</v>
      </c>
      <c r="T57" s="731">
        <f t="shared" si="37"/>
        <v>1.2249960458487044</v>
      </c>
      <c r="U57" s="731">
        <f t="shared" si="37"/>
        <v>0</v>
      </c>
      <c r="V57" s="731">
        <f t="shared" si="37"/>
        <v>0.35387699770770437</v>
      </c>
      <c r="W57" s="731">
        <f t="shared" si="37"/>
        <v>19.642433756766806</v>
      </c>
      <c r="X57" s="769">
        <f t="shared" ref="X57:X59" si="38">X38/B57</f>
        <v>19.084403289863872</v>
      </c>
      <c r="Y57" s="486"/>
      <c r="Z57" s="191"/>
    </row>
    <row r="58" spans="1:27" ht="15.75" customHeight="1">
      <c r="A58" s="873" t="str">
        <f t="shared" si="34"/>
        <v>Al-PPQ</v>
      </c>
      <c r="B58" s="731">
        <f t="shared" si="35"/>
        <v>113.99278529036532</v>
      </c>
      <c r="C58" s="731">
        <f t="shared" ref="C58:L59" si="39">C39/$B58</f>
        <v>0.39655123794484221</v>
      </c>
      <c r="D58" s="731">
        <f t="shared" si="39"/>
        <v>0.42444172113289752</v>
      </c>
      <c r="E58" s="731">
        <f t="shared" si="39"/>
        <v>0.29568114820235131</v>
      </c>
      <c r="F58" s="731">
        <f t="shared" si="39"/>
        <v>0</v>
      </c>
      <c r="G58" s="731">
        <f t="shared" si="39"/>
        <v>0</v>
      </c>
      <c r="H58" s="731">
        <f t="shared" si="39"/>
        <v>0</v>
      </c>
      <c r="I58" s="731">
        <f t="shared" si="39"/>
        <v>0</v>
      </c>
      <c r="J58" s="731">
        <f t="shared" si="39"/>
        <v>0</v>
      </c>
      <c r="K58" s="731">
        <f t="shared" si="39"/>
        <v>0</v>
      </c>
      <c r="L58" s="731">
        <f t="shared" si="39"/>
        <v>1.7469827839622254</v>
      </c>
      <c r="M58" s="731">
        <f t="shared" ref="M58:W58" si="40">M39/$B58</f>
        <v>0</v>
      </c>
      <c r="N58" s="731">
        <f t="shared" si="40"/>
        <v>0.42444172113289752</v>
      </c>
      <c r="O58" s="731">
        <f t="shared" si="40"/>
        <v>0</v>
      </c>
      <c r="P58" s="731">
        <f t="shared" si="40"/>
        <v>0.23342670401493937</v>
      </c>
      <c r="Q58" s="731">
        <f t="shared" si="40"/>
        <v>0.23342670401493937</v>
      </c>
      <c r="R58" s="731">
        <f t="shared" si="40"/>
        <v>4.2016806722689068</v>
      </c>
      <c r="S58" s="731">
        <f t="shared" si="40"/>
        <v>0.14043066067403967</v>
      </c>
      <c r="T58" s="731">
        <f t="shared" si="40"/>
        <v>0.21874929390155445</v>
      </c>
      <c r="U58" s="731">
        <f t="shared" si="40"/>
        <v>0</v>
      </c>
      <c r="V58" s="731">
        <f t="shared" si="40"/>
        <v>0.12863094767489042</v>
      </c>
      <c r="W58" s="731">
        <f t="shared" si="40"/>
        <v>8.4444435949244845</v>
      </c>
      <c r="X58" s="769">
        <f t="shared" si="38"/>
        <v>8.1014796165709324</v>
      </c>
      <c r="Y58" s="486"/>
      <c r="Z58" s="692"/>
    </row>
    <row r="59" spans="1:27">
      <c r="A59" s="873" t="str">
        <f t="shared" si="34"/>
        <v>Al-PBQS</v>
      </c>
      <c r="B59" s="731">
        <f t="shared" si="35"/>
        <v>176.04902157474686</v>
      </c>
      <c r="C59" s="731">
        <f t="shared" si="39"/>
        <v>0.32306373916050796</v>
      </c>
      <c r="D59" s="731">
        <f t="shared" si="39"/>
        <v>0.2675241780445699</v>
      </c>
      <c r="E59" s="731">
        <f t="shared" si="39"/>
        <v>0.25872100467705733</v>
      </c>
      <c r="F59" s="731">
        <f t="shared" si="39"/>
        <v>0</v>
      </c>
      <c r="G59" s="731">
        <f t="shared" si="39"/>
        <v>0</v>
      </c>
      <c r="H59" s="731">
        <f t="shared" si="39"/>
        <v>0</v>
      </c>
      <c r="I59" s="731">
        <f t="shared" si="39"/>
        <v>0</v>
      </c>
      <c r="J59" s="731">
        <f t="shared" si="39"/>
        <v>0</v>
      </c>
      <c r="K59" s="731">
        <f t="shared" si="39"/>
        <v>0</v>
      </c>
      <c r="L59" s="731">
        <f t="shared" si="39"/>
        <v>1.5286099359669465</v>
      </c>
      <c r="M59" s="731">
        <f t="shared" ref="M59:W59" si="41">M40/$B59</f>
        <v>0</v>
      </c>
      <c r="N59" s="731">
        <f t="shared" si="41"/>
        <v>0.2675241780445699</v>
      </c>
      <c r="O59" s="731">
        <f t="shared" si="41"/>
        <v>0</v>
      </c>
      <c r="P59" s="731">
        <f t="shared" si="41"/>
        <v>0.11574074074074076</v>
      </c>
      <c r="Q59" s="731">
        <f t="shared" si="41"/>
        <v>0.11574074074074076</v>
      </c>
      <c r="R59" s="731">
        <f t="shared" si="41"/>
        <v>2.0833333333333335</v>
      </c>
      <c r="S59" s="731">
        <f t="shared" si="41"/>
        <v>8.5975013724900268E-2</v>
      </c>
      <c r="T59" s="731">
        <f t="shared" si="41"/>
        <v>0.19140563216386083</v>
      </c>
      <c r="U59" s="731">
        <f t="shared" si="41"/>
        <v>0</v>
      </c>
      <c r="V59" s="731">
        <f t="shared" si="41"/>
        <v>8.3289301291426865E-2</v>
      </c>
      <c r="W59" s="731">
        <f t="shared" si="41"/>
        <v>5.3209277978886549</v>
      </c>
      <c r="X59" s="769">
        <f t="shared" si="38"/>
        <v>5.0900758687937726</v>
      </c>
      <c r="Y59" s="486"/>
      <c r="Z59" s="692"/>
    </row>
    <row r="60" spans="1:27">
      <c r="A60" s="873" t="str">
        <f t="shared" ref="A60:A65" si="42">A41</f>
        <v>Al-TiO2</v>
      </c>
      <c r="B60" s="731">
        <f t="shared" ref="B60:B65" si="43">B41*P22*Z$23*AA$23/1000</f>
        <v>97.982099964381945</v>
      </c>
      <c r="C60" s="731">
        <f t="shared" ref="C60:W60" si="44">C41/$B60</f>
        <v>0.8076593479012697</v>
      </c>
      <c r="D60" s="731">
        <f t="shared" si="44"/>
        <v>0.54237192682588276</v>
      </c>
      <c r="E60" s="731">
        <f t="shared" si="44"/>
        <v>0.25962353391055293</v>
      </c>
      <c r="F60" s="731">
        <f t="shared" si="44"/>
        <v>0</v>
      </c>
      <c r="G60" s="731">
        <f t="shared" si="44"/>
        <v>8.5227272727272716</v>
      </c>
      <c r="H60" s="731">
        <f t="shared" si="44"/>
        <v>0</v>
      </c>
      <c r="I60" s="731">
        <f t="shared" si="44"/>
        <v>0</v>
      </c>
      <c r="J60" s="731">
        <f t="shared" si="44"/>
        <v>0</v>
      </c>
      <c r="K60" s="731">
        <f t="shared" si="44"/>
        <v>0</v>
      </c>
      <c r="L60" s="731">
        <f t="shared" si="44"/>
        <v>1.5339423795215175</v>
      </c>
      <c r="M60" s="731">
        <f t="shared" si="44"/>
        <v>0</v>
      </c>
      <c r="N60" s="731">
        <f t="shared" si="44"/>
        <v>0.54237192682588276</v>
      </c>
      <c r="O60" s="731">
        <f t="shared" si="44"/>
        <v>0</v>
      </c>
      <c r="P60" s="731">
        <f t="shared" si="44"/>
        <v>0.29592803030303028</v>
      </c>
      <c r="Q60" s="731">
        <f t="shared" si="44"/>
        <v>0.29592803030303028</v>
      </c>
      <c r="R60" s="731">
        <f t="shared" si="44"/>
        <v>0</v>
      </c>
      <c r="S60" s="731">
        <f t="shared" si="44"/>
        <v>0.17829463965869466</v>
      </c>
      <c r="T60" s="731">
        <f t="shared" si="44"/>
        <v>0.19207333666160287</v>
      </c>
      <c r="U60" s="731">
        <f t="shared" si="44"/>
        <v>5.6818181818181799</v>
      </c>
      <c r="V60" s="731">
        <f t="shared" si="44"/>
        <v>0.14964978302496307</v>
      </c>
      <c r="W60" s="731">
        <f t="shared" si="44"/>
        <v>19.002388389481879</v>
      </c>
      <c r="X60" s="769">
        <f t="shared" ref="X60:X65" si="45">X41/B60</f>
        <v>18.58812147682881</v>
      </c>
      <c r="Y60" s="486"/>
      <c r="Z60" s="692"/>
    </row>
    <row r="61" spans="1:27">
      <c r="A61" s="873" t="str">
        <f t="shared" si="42"/>
        <v>Al-V2C</v>
      </c>
      <c r="B61" s="731">
        <f t="shared" si="43"/>
        <v>153.21464239076931</v>
      </c>
      <c r="C61" s="731">
        <f t="shared" ref="C61:W61" si="46">C42/$B61</f>
        <v>0.54410735016506606</v>
      </c>
      <c r="D61" s="731">
        <f t="shared" si="46"/>
        <v>0.34654475933423307</v>
      </c>
      <c r="E61" s="731">
        <f t="shared" si="46"/>
        <v>0.16588464599020264</v>
      </c>
      <c r="F61" s="731">
        <f t="shared" si="46"/>
        <v>0</v>
      </c>
      <c r="G61" s="731">
        <f t="shared" si="46"/>
        <v>7.5346260387811652</v>
      </c>
      <c r="H61" s="731">
        <f t="shared" si="46"/>
        <v>0</v>
      </c>
      <c r="I61" s="731">
        <f t="shared" si="46"/>
        <v>0</v>
      </c>
      <c r="J61" s="731">
        <f t="shared" si="46"/>
        <v>0</v>
      </c>
      <c r="K61" s="731">
        <f t="shared" si="46"/>
        <v>0</v>
      </c>
      <c r="L61" s="731">
        <f t="shared" si="46"/>
        <v>0.98010178339211407</v>
      </c>
      <c r="M61" s="731">
        <f t="shared" si="46"/>
        <v>0</v>
      </c>
      <c r="N61" s="731">
        <f t="shared" si="46"/>
        <v>0.34654475933423307</v>
      </c>
      <c r="O61" s="731">
        <f t="shared" si="46"/>
        <v>0.88642659279778446</v>
      </c>
      <c r="P61" s="731">
        <f t="shared" si="46"/>
        <v>0.17543859649122812</v>
      </c>
      <c r="Q61" s="731">
        <f t="shared" si="46"/>
        <v>0.17543859649122812</v>
      </c>
      <c r="R61" s="731">
        <f t="shared" si="46"/>
        <v>0</v>
      </c>
      <c r="S61" s="731">
        <f t="shared" si="46"/>
        <v>0.11392011631704822</v>
      </c>
      <c r="T61" s="731">
        <f t="shared" si="46"/>
        <v>0.1227239186538627</v>
      </c>
      <c r="U61" s="731">
        <f t="shared" si="46"/>
        <v>0</v>
      </c>
      <c r="V61" s="731">
        <f t="shared" si="46"/>
        <v>9.5702341311494632E-2</v>
      </c>
      <c r="W61" s="731">
        <f t="shared" si="46"/>
        <v>11.487459499059662</v>
      </c>
      <c r="X61" s="769">
        <f t="shared" si="45"/>
        <v>11.22276654493561</v>
      </c>
      <c r="Y61" s="486"/>
      <c r="Z61" s="692"/>
    </row>
    <row r="62" spans="1:27">
      <c r="A62" s="873" t="str">
        <f t="shared" si="42"/>
        <v>Al-MnO2</v>
      </c>
      <c r="B62" s="731">
        <f t="shared" si="43"/>
        <v>552.68854878461673</v>
      </c>
      <c r="C62" s="731">
        <f t="shared" ref="C62:W62" si="47">C43/$B62</f>
        <v>0.39761690973600983</v>
      </c>
      <c r="D62" s="731">
        <f t="shared" si="47"/>
        <v>8.7994521251557961E-2</v>
      </c>
      <c r="E62" s="731">
        <f t="shared" si="47"/>
        <v>4.2121369934824786E-2</v>
      </c>
      <c r="F62" s="731">
        <f t="shared" si="47"/>
        <v>0</v>
      </c>
      <c r="G62" s="731">
        <f t="shared" si="47"/>
        <v>1.7051569350037039</v>
      </c>
      <c r="H62" s="731">
        <f t="shared" si="47"/>
        <v>0</v>
      </c>
      <c r="I62" s="731">
        <f t="shared" si="47"/>
        <v>0</v>
      </c>
      <c r="J62" s="731">
        <f t="shared" si="47"/>
        <v>0</v>
      </c>
      <c r="K62" s="731">
        <f t="shared" si="47"/>
        <v>0</v>
      </c>
      <c r="L62" s="731">
        <f t="shared" si="47"/>
        <v>0.24886709403158983</v>
      </c>
      <c r="M62" s="731">
        <f t="shared" si="47"/>
        <v>0</v>
      </c>
      <c r="N62" s="731">
        <f t="shared" si="47"/>
        <v>8.7994521251557961E-2</v>
      </c>
      <c r="O62" s="731">
        <f t="shared" si="47"/>
        <v>0</v>
      </c>
      <c r="P62" s="731">
        <f t="shared" si="47"/>
        <v>5.6230319388214135E-2</v>
      </c>
      <c r="Q62" s="731">
        <f t="shared" si="47"/>
        <v>5.6230319388214135E-2</v>
      </c>
      <c r="R62" s="731">
        <f t="shared" si="47"/>
        <v>0</v>
      </c>
      <c r="S62" s="731">
        <f t="shared" si="47"/>
        <v>2.8926555159855254E-2</v>
      </c>
      <c r="T62" s="731">
        <f t="shared" si="47"/>
        <v>3.1162013498078747E-2</v>
      </c>
      <c r="U62" s="731">
        <f t="shared" si="47"/>
        <v>0.99389839563057447</v>
      </c>
      <c r="V62" s="731">
        <f t="shared" si="47"/>
        <v>2.6530312654829736E-2</v>
      </c>
      <c r="W62" s="731">
        <f t="shared" si="47"/>
        <v>3.7627292669290107</v>
      </c>
      <c r="X62" s="769">
        <f t="shared" si="45"/>
        <v>3.6955185267592467</v>
      </c>
      <c r="Y62" s="486"/>
      <c r="Z62" s="692"/>
    </row>
    <row r="63" spans="1:27">
      <c r="A63" s="873" t="str">
        <f t="shared" si="42"/>
        <v>LIB-NMC</v>
      </c>
      <c r="B63" s="731">
        <f t="shared" si="43"/>
        <v>534.11045352735448</v>
      </c>
      <c r="C63" s="731">
        <f t="shared" ref="C63:W63" si="48">C44/$B63</f>
        <v>0</v>
      </c>
      <c r="D63" s="731">
        <f t="shared" si="48"/>
        <v>5.3955418989192094E-2</v>
      </c>
      <c r="E63" s="731">
        <f t="shared" si="48"/>
        <v>0</v>
      </c>
      <c r="F63" s="731">
        <f t="shared" si="48"/>
        <v>1.8330149827589664E-2</v>
      </c>
      <c r="G63" s="731">
        <f t="shared" si="48"/>
        <v>0.63761765622489686</v>
      </c>
      <c r="H63" s="731">
        <f t="shared" si="48"/>
        <v>0.11996064720500346</v>
      </c>
      <c r="I63" s="731">
        <f t="shared" si="48"/>
        <v>9.4230548002572051E-2</v>
      </c>
      <c r="J63" s="731">
        <f t="shared" si="48"/>
        <v>2.0950616594344858E-3</v>
      </c>
      <c r="K63" s="731">
        <f t="shared" si="48"/>
        <v>9.3583445882520263E-3</v>
      </c>
      <c r="L63" s="731">
        <f t="shared" si="48"/>
        <v>3.4414557518088092E-2</v>
      </c>
      <c r="M63" s="731">
        <f t="shared" si="48"/>
        <v>0.12262159778801512</v>
      </c>
      <c r="N63" s="731">
        <f t="shared" si="48"/>
        <v>0</v>
      </c>
      <c r="O63" s="731">
        <f t="shared" si="48"/>
        <v>0.85995600777775483</v>
      </c>
      <c r="P63" s="731">
        <f t="shared" si="48"/>
        <v>5.4053446943424489E-2</v>
      </c>
      <c r="Q63" s="731">
        <f t="shared" si="48"/>
        <v>3.6137696781387924E-2</v>
      </c>
      <c r="R63" s="731">
        <f t="shared" si="48"/>
        <v>0</v>
      </c>
      <c r="S63" s="731">
        <f t="shared" si="48"/>
        <v>1.9501760808919816E-2</v>
      </c>
      <c r="T63" s="731">
        <f t="shared" si="48"/>
        <v>0.31639053642462639</v>
      </c>
      <c r="U63" s="731">
        <f t="shared" si="48"/>
        <v>0.43449244035768098</v>
      </c>
      <c r="V63" s="731">
        <f t="shared" si="48"/>
        <v>2.7453123044424804E-2</v>
      </c>
      <c r="W63" s="731">
        <f t="shared" si="48"/>
        <v>2.8405689939412637</v>
      </c>
      <c r="X63" s="769">
        <f t="shared" si="45"/>
        <v>2.8282234175796566</v>
      </c>
    </row>
    <row r="64" spans="1:27">
      <c r="A64" s="873" t="str">
        <f t="shared" si="42"/>
        <v>LIB-LFP</v>
      </c>
      <c r="B64" s="731">
        <f t="shared" si="43"/>
        <v>377.68068487594957</v>
      </c>
      <c r="C64" s="731">
        <f t="shared" ref="C64:W64" si="49">C45/$B64</f>
        <v>0</v>
      </c>
      <c r="D64" s="731">
        <f t="shared" si="49"/>
        <v>7.7808018318402783E-2</v>
      </c>
      <c r="E64" s="731">
        <f t="shared" si="49"/>
        <v>0</v>
      </c>
      <c r="F64" s="731">
        <f t="shared" si="49"/>
        <v>0</v>
      </c>
      <c r="G64" s="731">
        <f t="shared" si="49"/>
        <v>0.69158684601818876</v>
      </c>
      <c r="H64" s="731">
        <f t="shared" si="49"/>
        <v>0.38421491445454936</v>
      </c>
      <c r="I64" s="731">
        <f t="shared" si="49"/>
        <v>8.6014564719824924E-2</v>
      </c>
      <c r="J64" s="731">
        <f t="shared" si="49"/>
        <v>3.0171871056512778E-3</v>
      </c>
      <c r="K64" s="731">
        <f t="shared" si="49"/>
        <v>1.347734874282271E-2</v>
      </c>
      <c r="L64" s="731">
        <f t="shared" si="49"/>
        <v>4.9561863118767389E-2</v>
      </c>
      <c r="M64" s="731">
        <f t="shared" si="49"/>
        <v>0.17683012579019847</v>
      </c>
      <c r="N64" s="731">
        <f t="shared" si="49"/>
        <v>0</v>
      </c>
      <c r="O64" s="731">
        <f t="shared" si="49"/>
        <v>0.95116346314812261</v>
      </c>
      <c r="P64" s="731">
        <f t="shared" si="49"/>
        <v>7.0453737662935695E-2</v>
      </c>
      <c r="Q64" s="731">
        <f t="shared" si="49"/>
        <v>5.0637832180683143E-2</v>
      </c>
      <c r="R64" s="731">
        <f t="shared" si="49"/>
        <v>0</v>
      </c>
      <c r="S64" s="731">
        <f t="shared" si="49"/>
        <v>2.8123094782481331E-2</v>
      </c>
      <c r="T64" s="731">
        <f t="shared" si="49"/>
        <v>0.45564742333557323</v>
      </c>
      <c r="U64" s="731">
        <f t="shared" si="49"/>
        <v>0.79321788790616654</v>
      </c>
      <c r="V64" s="731">
        <f t="shared" si="49"/>
        <v>3.8823801658843388E-2</v>
      </c>
      <c r="W64" s="731">
        <f t="shared" si="49"/>
        <v>3.8705781089432119</v>
      </c>
      <c r="X64" s="769">
        <f t="shared" si="45"/>
        <v>3.8531128881820611</v>
      </c>
    </row>
    <row r="65" spans="1:37" ht="17" thickBot="1">
      <c r="A65" s="876" t="str">
        <f t="shared" si="42"/>
        <v>Li-DIB</v>
      </c>
      <c r="B65" s="739">
        <f t="shared" si="43"/>
        <v>106.45313301681604</v>
      </c>
      <c r="C65" s="739">
        <f t="shared" ref="C65:W65" si="50">C46/$B65</f>
        <v>0</v>
      </c>
      <c r="D65" s="739">
        <f t="shared" si="50"/>
        <v>0.12980707498715965</v>
      </c>
      <c r="E65" s="739">
        <f t="shared" si="50"/>
        <v>0</v>
      </c>
      <c r="F65" s="739">
        <f t="shared" si="50"/>
        <v>0</v>
      </c>
      <c r="G65" s="739">
        <f t="shared" si="50"/>
        <v>0</v>
      </c>
      <c r="H65" s="739">
        <f t="shared" si="50"/>
        <v>0</v>
      </c>
      <c r="I65" s="739">
        <f t="shared" si="50"/>
        <v>0</v>
      </c>
      <c r="J65" s="739">
        <f t="shared" si="50"/>
        <v>7.0934272492198636E-2</v>
      </c>
      <c r="K65" s="739">
        <f t="shared" si="50"/>
        <v>9.2415568748841867E-2</v>
      </c>
      <c r="L65" s="739">
        <f t="shared" si="50"/>
        <v>0.3398508012054185</v>
      </c>
      <c r="M65" s="739">
        <f t="shared" si="50"/>
        <v>0.29500560346501259</v>
      </c>
      <c r="N65" s="739">
        <f t="shared" si="50"/>
        <v>0</v>
      </c>
      <c r="O65" s="739">
        <f t="shared" si="50"/>
        <v>2.2214105627336691</v>
      </c>
      <c r="P65" s="739">
        <f t="shared" si="50"/>
        <v>6.9419080085427159E-2</v>
      </c>
      <c r="Q65" s="739">
        <f t="shared" si="50"/>
        <v>2.3139693361809054E-2</v>
      </c>
      <c r="R65" s="739">
        <f t="shared" si="50"/>
        <v>0</v>
      </c>
      <c r="S65" s="739">
        <f t="shared" si="50"/>
        <v>0.35356626868211688</v>
      </c>
      <c r="T65" s="739">
        <f t="shared" si="50"/>
        <v>3.0741762123474201</v>
      </c>
      <c r="U65" s="739">
        <f t="shared" si="50"/>
        <v>0</v>
      </c>
      <c r="V65" s="739">
        <f t="shared" si="50"/>
        <v>0.13774136640660201</v>
      </c>
      <c r="W65" s="739">
        <f t="shared" si="50"/>
        <v>6.8074665045156753</v>
      </c>
      <c r="X65" s="862">
        <f t="shared" si="45"/>
        <v>6.70755633901355</v>
      </c>
    </row>
    <row r="66" spans="1:37">
      <c r="A66" s="865"/>
      <c r="B66" s="731"/>
      <c r="C66" s="731"/>
      <c r="D66" s="731"/>
      <c r="E66" s="731"/>
      <c r="F66" s="731"/>
      <c r="G66" s="731"/>
      <c r="H66" s="731"/>
      <c r="I66" s="731"/>
      <c r="J66" s="731"/>
      <c r="K66" s="731"/>
      <c r="L66" s="731"/>
      <c r="M66" s="731"/>
      <c r="N66" s="731"/>
      <c r="O66" s="731"/>
      <c r="P66" s="731"/>
      <c r="Q66" s="731"/>
      <c r="R66" s="731"/>
      <c r="S66" s="731"/>
      <c r="T66" s="731"/>
      <c r="U66" s="731"/>
      <c r="V66" s="731"/>
      <c r="W66" s="731"/>
      <c r="X66" s="736"/>
    </row>
    <row r="67" spans="1:37">
      <c r="A67" s="865"/>
      <c r="B67" s="731"/>
      <c r="C67" s="731"/>
      <c r="D67" s="731"/>
      <c r="E67" s="731"/>
      <c r="F67" s="731"/>
      <c r="G67" s="731"/>
      <c r="H67" s="731"/>
      <c r="I67" s="731"/>
      <c r="J67" s="731"/>
      <c r="K67" s="731"/>
      <c r="L67" s="731"/>
      <c r="M67" s="731"/>
      <c r="N67" s="731"/>
      <c r="O67" s="731"/>
      <c r="P67" s="731"/>
      <c r="Q67" s="731"/>
      <c r="R67" s="731"/>
      <c r="S67" s="731"/>
      <c r="T67" s="731"/>
      <c r="U67" s="731"/>
      <c r="V67" s="731"/>
      <c r="W67" s="731"/>
      <c r="X67" s="736"/>
    </row>
    <row r="68" spans="1:37">
      <c r="A68" s="865"/>
      <c r="B68" s="731"/>
      <c r="C68" s="731"/>
      <c r="D68" s="731"/>
      <c r="E68" s="731"/>
      <c r="F68" s="731"/>
      <c r="G68" s="731"/>
      <c r="H68" s="731"/>
      <c r="I68" s="731"/>
      <c r="J68" s="731"/>
      <c r="K68" s="731"/>
      <c r="L68" s="731"/>
      <c r="M68" s="731"/>
      <c r="N68" s="731"/>
      <c r="O68" s="731"/>
      <c r="P68" s="731"/>
      <c r="Q68" s="731"/>
      <c r="R68" s="731"/>
      <c r="S68" s="731"/>
      <c r="T68" s="731"/>
      <c r="U68" s="731"/>
      <c r="V68" s="731"/>
      <c r="W68" s="731"/>
      <c r="X68" s="736"/>
    </row>
    <row r="69" spans="1:37" ht="17" thickBot="1">
      <c r="A69" s="865"/>
      <c r="B69" s="731"/>
      <c r="C69" s="731"/>
      <c r="D69" s="731"/>
      <c r="E69" s="731"/>
      <c r="F69" s="731"/>
      <c r="G69" s="731"/>
      <c r="H69" s="731"/>
      <c r="I69" s="731"/>
      <c r="J69" s="731"/>
      <c r="K69" s="871"/>
      <c r="L69" s="871"/>
      <c r="M69" s="731"/>
      <c r="N69" s="731"/>
      <c r="O69" s="731"/>
      <c r="P69" s="731"/>
      <c r="Q69" s="731"/>
      <c r="R69" s="731"/>
      <c r="S69" s="731"/>
      <c r="T69" s="731"/>
      <c r="U69" s="731"/>
      <c r="V69" s="731"/>
    </row>
    <row r="70" spans="1:37" ht="15.75" customHeight="1">
      <c r="A70" s="505" t="s">
        <v>552</v>
      </c>
      <c r="B70" s="547" t="s">
        <v>547</v>
      </c>
      <c r="C70" s="547" t="s">
        <v>548</v>
      </c>
      <c r="D70" s="547" t="s">
        <v>549</v>
      </c>
      <c r="E70" s="547" t="s">
        <v>550</v>
      </c>
      <c r="F70" s="547" t="s">
        <v>1402</v>
      </c>
      <c r="G70" s="547" t="s">
        <v>557</v>
      </c>
      <c r="H70" s="547" t="s">
        <v>558</v>
      </c>
      <c r="I70" s="547" t="s">
        <v>1407</v>
      </c>
      <c r="J70" s="547" t="s">
        <v>1403</v>
      </c>
      <c r="K70" s="547" t="s">
        <v>1405</v>
      </c>
      <c r="L70" s="547" t="s">
        <v>1406</v>
      </c>
      <c r="M70" s="547" t="s">
        <v>554</v>
      </c>
      <c r="N70" s="547" t="s">
        <v>555</v>
      </c>
      <c r="O70" s="547" t="s">
        <v>556</v>
      </c>
      <c r="P70" s="547" t="s">
        <v>534</v>
      </c>
      <c r="Q70" s="547" t="s">
        <v>649</v>
      </c>
      <c r="R70" s="547" t="s">
        <v>535</v>
      </c>
      <c r="S70" s="547" t="s">
        <v>539</v>
      </c>
      <c r="T70" s="547" t="s">
        <v>536</v>
      </c>
      <c r="U70" s="547" t="s">
        <v>196</v>
      </c>
      <c r="V70" s="547" t="s">
        <v>540</v>
      </c>
      <c r="W70" s="547" t="s">
        <v>543</v>
      </c>
      <c r="X70" s="547" t="s">
        <v>541</v>
      </c>
      <c r="Y70" s="547" t="s">
        <v>561</v>
      </c>
      <c r="Z70" s="547" t="s">
        <v>562</v>
      </c>
      <c r="AA70" s="701" t="s">
        <v>563</v>
      </c>
      <c r="AF70" s="548" t="s">
        <v>553</v>
      </c>
      <c r="AG70" s="466" t="s">
        <v>560</v>
      </c>
      <c r="AH70" s="548" t="s">
        <v>559</v>
      </c>
      <c r="AI70" s="548" t="s">
        <v>564</v>
      </c>
      <c r="AJ70" s="548" t="s">
        <v>566</v>
      </c>
      <c r="AK70" s="548" t="s">
        <v>565</v>
      </c>
    </row>
    <row r="71" spans="1:37" ht="16.5" customHeight="1">
      <c r="A71" s="695"/>
      <c r="B71" s="548"/>
      <c r="C71" s="548"/>
      <c r="D71" s="548"/>
      <c r="E71" s="548"/>
      <c r="F71" s="548"/>
      <c r="G71" s="548"/>
      <c r="H71" s="548"/>
      <c r="I71" s="548"/>
      <c r="J71" s="548"/>
      <c r="K71" s="548"/>
      <c r="L71" s="548"/>
      <c r="M71" s="548"/>
      <c r="N71" s="548"/>
      <c r="O71" s="548"/>
      <c r="P71" s="548"/>
      <c r="Q71" s="548"/>
      <c r="R71" s="548"/>
      <c r="S71" s="548"/>
      <c r="T71" s="548"/>
      <c r="U71" s="548"/>
      <c r="V71" s="548"/>
      <c r="W71" s="548"/>
      <c r="X71" s="548"/>
      <c r="Y71" s="548"/>
      <c r="Z71" s="548"/>
      <c r="AA71" s="702"/>
      <c r="AF71" s="548"/>
      <c r="AG71" s="466"/>
      <c r="AH71" s="548"/>
      <c r="AI71" s="548"/>
      <c r="AJ71" s="548"/>
      <c r="AK71" s="548"/>
    </row>
    <row r="72" spans="1:37" ht="16.5" customHeight="1">
      <c r="A72" s="695"/>
      <c r="B72" s="548"/>
      <c r="C72" s="548"/>
      <c r="D72" s="548"/>
      <c r="E72" s="548"/>
      <c r="F72" s="548"/>
      <c r="G72" s="548"/>
      <c r="H72" s="548"/>
      <c r="I72" s="548"/>
      <c r="J72" s="548"/>
      <c r="K72" s="548"/>
      <c r="L72" s="548"/>
      <c r="M72" s="548"/>
      <c r="N72" s="548"/>
      <c r="O72" s="548"/>
      <c r="P72" s="548"/>
      <c r="Q72" s="548"/>
      <c r="R72" s="548"/>
      <c r="S72" s="548"/>
      <c r="T72" s="548"/>
      <c r="U72" s="548"/>
      <c r="V72" s="548"/>
      <c r="W72" s="548"/>
      <c r="X72" s="548"/>
      <c r="Y72" s="548"/>
      <c r="Z72" s="548"/>
      <c r="AA72" s="702"/>
      <c r="AF72" s="548"/>
      <c r="AG72" s="466"/>
      <c r="AH72" s="548"/>
      <c r="AI72" s="548"/>
      <c r="AJ72" s="548"/>
      <c r="AK72" s="548"/>
    </row>
    <row r="73" spans="1:37" ht="16.5" customHeight="1">
      <c r="A73" s="695"/>
      <c r="B73" s="548"/>
      <c r="C73" s="548"/>
      <c r="D73" s="548"/>
      <c r="E73" s="548"/>
      <c r="F73" s="548"/>
      <c r="G73" s="548"/>
      <c r="H73" s="548"/>
      <c r="I73" s="548"/>
      <c r="J73" s="548"/>
      <c r="K73" s="548"/>
      <c r="L73" s="548"/>
      <c r="M73" s="548"/>
      <c r="N73" s="548"/>
      <c r="O73" s="548"/>
      <c r="P73" s="548"/>
      <c r="Q73" s="548"/>
      <c r="R73" s="548"/>
      <c r="S73" s="548"/>
      <c r="T73" s="548"/>
      <c r="U73" s="548"/>
      <c r="V73" s="548"/>
      <c r="W73" s="548"/>
      <c r="X73" s="548"/>
      <c r="Y73" s="548"/>
      <c r="Z73" s="548"/>
      <c r="AA73" s="702"/>
      <c r="AF73" s="548"/>
      <c r="AG73" s="466"/>
      <c r="AH73" s="548"/>
      <c r="AI73" s="548"/>
      <c r="AJ73" s="548"/>
      <c r="AK73" s="548"/>
    </row>
    <row r="74" spans="1:37" ht="16.5" customHeight="1">
      <c r="A74" s="695"/>
      <c r="B74" s="548"/>
      <c r="C74" s="548"/>
      <c r="D74" s="548"/>
      <c r="E74" s="548"/>
      <c r="F74" s="548"/>
      <c r="G74" s="548"/>
      <c r="H74" s="548"/>
      <c r="I74" s="548"/>
      <c r="J74" s="548"/>
      <c r="K74" s="548"/>
      <c r="L74" s="548"/>
      <c r="M74" s="548"/>
      <c r="N74" s="548"/>
      <c r="O74" s="548"/>
      <c r="P74" s="548"/>
      <c r="Q74" s="548"/>
      <c r="R74" s="548"/>
      <c r="S74" s="548"/>
      <c r="T74" s="548"/>
      <c r="U74" s="548"/>
      <c r="V74" s="548"/>
      <c r="W74" s="548"/>
      <c r="X74" s="548"/>
      <c r="Y74" s="548"/>
      <c r="Z74" s="548"/>
      <c r="AA74" s="702"/>
      <c r="AF74" s="548"/>
      <c r="AG74" s="466"/>
      <c r="AH74" s="548"/>
      <c r="AI74" s="548"/>
      <c r="AJ74" s="548"/>
      <c r="AK74" s="548"/>
    </row>
    <row r="75" spans="1:37" ht="16.5" customHeight="1">
      <c r="A75" s="695"/>
      <c r="B75" s="466"/>
      <c r="C75" s="466" t="s">
        <v>284</v>
      </c>
      <c r="D75" s="466" t="s">
        <v>284</v>
      </c>
      <c r="E75" s="466" t="s">
        <v>284</v>
      </c>
      <c r="F75" s="466" t="s">
        <v>284</v>
      </c>
      <c r="G75" s="466" t="s">
        <v>284</v>
      </c>
      <c r="H75" s="466" t="s">
        <v>284</v>
      </c>
      <c r="I75" s="466" t="s">
        <v>284</v>
      </c>
      <c r="J75" s="466" t="s">
        <v>284</v>
      </c>
      <c r="K75" s="466" t="s">
        <v>284</v>
      </c>
      <c r="L75" s="466" t="s">
        <v>284</v>
      </c>
      <c r="M75" s="466" t="s">
        <v>284</v>
      </c>
      <c r="N75" s="466" t="s">
        <v>284</v>
      </c>
      <c r="O75" s="466" t="s">
        <v>284</v>
      </c>
      <c r="P75" s="466" t="s">
        <v>284</v>
      </c>
      <c r="Q75" s="466" t="s">
        <v>284</v>
      </c>
      <c r="R75" s="466" t="s">
        <v>284</v>
      </c>
      <c r="S75" s="466" t="s">
        <v>284</v>
      </c>
      <c r="T75" s="466" t="s">
        <v>284</v>
      </c>
      <c r="U75" s="466" t="s">
        <v>284</v>
      </c>
      <c r="V75" s="466" t="s">
        <v>284</v>
      </c>
      <c r="W75" s="466" t="s">
        <v>284</v>
      </c>
      <c r="X75" s="466" t="s">
        <v>284</v>
      </c>
      <c r="Y75" s="466" t="s">
        <v>284</v>
      </c>
      <c r="Z75" s="466" t="s">
        <v>284</v>
      </c>
      <c r="AA75" s="357" t="s">
        <v>284</v>
      </c>
      <c r="AF75" s="466" t="s">
        <v>284</v>
      </c>
      <c r="AG75" s="466" t="s">
        <v>284</v>
      </c>
      <c r="AH75" s="466" t="s">
        <v>284</v>
      </c>
      <c r="AI75" s="466" t="s">
        <v>284</v>
      </c>
      <c r="AJ75" s="466" t="s">
        <v>284</v>
      </c>
      <c r="AK75" s="466" t="s">
        <v>284</v>
      </c>
    </row>
    <row r="76" spans="1:37" ht="16.5" customHeight="1">
      <c r="A76" s="873" t="str">
        <f t="shared" ref="A76:A78" si="51">A57</f>
        <v>Al-gra</v>
      </c>
      <c r="B76" s="867">
        <f>'BatPac Summary'!F$32</f>
        <v>9840</v>
      </c>
      <c r="C76" s="867">
        <f t="shared" ref="C76" si="52">B76*(C38+D38+E38+F38)/1000</f>
        <v>937.75357416578879</v>
      </c>
      <c r="D76" s="867">
        <f>'BatPac Recycling'!F$57</f>
        <v>166.7718523944574</v>
      </c>
      <c r="E76" s="867">
        <f>'BatPac Recycling'!F$58</f>
        <v>482.87833001585955</v>
      </c>
      <c r="F76" s="867">
        <f>'BatPac Recycling'!F$59</f>
        <v>1008.6189321126629</v>
      </c>
      <c r="G76" s="867">
        <f>B76*M38/1000</f>
        <v>0</v>
      </c>
      <c r="H76" s="730">
        <f>'BatPac Recycling'!F$65</f>
        <v>0</v>
      </c>
      <c r="I76" s="867">
        <f>'BatPac Recycling'!F$66</f>
        <v>278.3434752</v>
      </c>
      <c r="J76" s="867">
        <f>SUM('BatPac Recycling'!F$67:F$71)</f>
        <v>0.83991780972663355</v>
      </c>
      <c r="K76" s="867">
        <f>'BatPac Recycling'!F$78</f>
        <v>2469.8428279463988</v>
      </c>
      <c r="L76" s="867">
        <f>'BatPac Recycling'!F$84</f>
        <v>450.1382418441404</v>
      </c>
      <c r="M76" s="867">
        <f>B76*(I38+J38)/1000</f>
        <v>0</v>
      </c>
      <c r="N76" s="731">
        <f>B76*G38/1000</f>
        <v>0</v>
      </c>
      <c r="O76" s="731">
        <f>B76*H38/1000</f>
        <v>0</v>
      </c>
      <c r="P76" s="731">
        <f>$B76*O38/1000</f>
        <v>1510.0865338816982</v>
      </c>
      <c r="Q76" s="731">
        <f>$B76*L38/1000</f>
        <v>3988.7999076005894</v>
      </c>
      <c r="R76" s="731">
        <f>$B76*P38/1000</f>
        <v>47.190204183803061</v>
      </c>
      <c r="S76" s="731">
        <f>$B76*Q38/1000</f>
        <v>15.730068061267691</v>
      </c>
      <c r="T76" s="731">
        <f>$B76*R38/1000</f>
        <v>0</v>
      </c>
      <c r="U76" s="731">
        <f>$B76*S38/1000</f>
        <v>729.59463681665352</v>
      </c>
      <c r="V76" s="731">
        <f>$B76*T38/1000</f>
        <v>499.45950888150304</v>
      </c>
      <c r="W76" s="731">
        <f>$B76*U38/1000</f>
        <v>0</v>
      </c>
      <c r="X76" s="731">
        <f>$B76*V38/1000</f>
        <v>144.28391999999999</v>
      </c>
      <c r="Y76" s="731">
        <f>SUM(C76:X76)</f>
        <v>12730.33193091455</v>
      </c>
      <c r="Z76" s="736">
        <f>'Mass and Cost System'!K19</f>
        <v>13602.085267408002</v>
      </c>
      <c r="AA76" s="883">
        <f t="shared" ref="AA76:AA78" si="53">Z76-Y76</f>
        <v>871.75333649345157</v>
      </c>
      <c r="AF76" s="867"/>
      <c r="AG76" s="867"/>
      <c r="AH76" s="867"/>
      <c r="AI76" s="731"/>
      <c r="AJ76" s="731"/>
      <c r="AK76" s="731"/>
    </row>
    <row r="77" spans="1:37" ht="15.75" customHeight="1">
      <c r="A77" s="873" t="str">
        <f t="shared" si="51"/>
        <v>Al-PPQ</v>
      </c>
      <c r="B77" s="867">
        <f>'BatPac Summary'!G$32</f>
        <v>3600</v>
      </c>
      <c r="C77" s="867">
        <f t="shared" ref="C77:C84" si="54">B77*(C39+D39+E39+F39)/1000</f>
        <v>458.25405030176324</v>
      </c>
      <c r="D77" s="867">
        <f>'BatPac Recycling'!G$57</f>
        <v>60.451888630915967</v>
      </c>
      <c r="E77" s="867">
        <f>'BatPac Recycling'!G$58</f>
        <v>173.72865103918991</v>
      </c>
      <c r="F77" s="867">
        <f>'BatPac Recycling'!G$59</f>
        <v>369.05546664310339</v>
      </c>
      <c r="G77" s="867">
        <f t="shared" ref="G77:G84" si="55">B77*M39/1000</f>
        <v>0</v>
      </c>
      <c r="H77" s="730">
        <f>'BatPac Recycling'!G$65</f>
        <v>0</v>
      </c>
      <c r="I77" s="867">
        <f>'BatPac Recycling'!G$66</f>
        <v>93.826252800000006</v>
      </c>
      <c r="J77" s="867">
        <f>SUM('BatPac Recycling'!G$67:G$71)</f>
        <v>0.9617128764229731</v>
      </c>
      <c r="K77" s="867">
        <f>'BatPac Recycling'!G$78</f>
        <v>1024.6645433930262</v>
      </c>
      <c r="L77" s="867">
        <f>'BatPac Recycling'!G$84</f>
        <v>218.1230062763895</v>
      </c>
      <c r="M77" s="867">
        <f>B77*(I39+J39)/1000</f>
        <v>0</v>
      </c>
      <c r="N77" s="731">
        <f>B77*G39/1000</f>
        <v>0</v>
      </c>
      <c r="O77" s="731">
        <f>B77*H39/1000</f>
        <v>0</v>
      </c>
      <c r="P77" s="731">
        <f>$B77*O39/1000</f>
        <v>0</v>
      </c>
      <c r="Q77" s="731">
        <f t="shared" ref="Q77:Q84" si="56">$B77*L39/1000</f>
        <v>716.91636023341425</v>
      </c>
      <c r="R77" s="731">
        <f>$B77*P39/1000</f>
        <v>95.792256546525508</v>
      </c>
      <c r="S77" s="731">
        <f>$B77*Q39/1000</f>
        <v>95.792256546525508</v>
      </c>
      <c r="T77" s="731">
        <f>$B77*R39/1000</f>
        <v>1724.2606178374583</v>
      </c>
      <c r="U77" s="731">
        <f>$B77*S39/1000</f>
        <v>57.629095741439833</v>
      </c>
      <c r="V77" s="731">
        <f>$B77*T39/1000</f>
        <v>89.769028651700111</v>
      </c>
      <c r="W77" s="731">
        <f>$B77*U39/1000</f>
        <v>0</v>
      </c>
      <c r="X77" s="731">
        <f>$B77*V39/1000</f>
        <v>52.786799999999992</v>
      </c>
      <c r="Y77" s="731">
        <f>SUM(C77:X77)</f>
        <v>5232.0119875178743</v>
      </c>
      <c r="Z77" s="736">
        <f>'Mass and Cost System'!K20</f>
        <v>5519.9572974050534</v>
      </c>
      <c r="AA77" s="883">
        <f t="shared" si="53"/>
        <v>287.94530988717906</v>
      </c>
      <c r="AF77" s="867">
        <f>'BatPac Recycling'!G$34</f>
        <v>0</v>
      </c>
      <c r="AG77" s="867">
        <f>'BatPac Recycling'!G$46</f>
        <v>0</v>
      </c>
      <c r="AH77" s="867">
        <f>'BatPac Recycling'!$G$42</f>
        <v>0</v>
      </c>
      <c r="AI77" s="867">
        <f>'BatPac Recycling'!$G$55</f>
        <v>0</v>
      </c>
      <c r="AJ77" s="867">
        <f>'BatPac Recycling'!$G$54</f>
        <v>0</v>
      </c>
      <c r="AK77" s="867">
        <f>'BatPac Recycling'!$G$56</f>
        <v>237.97919105542627</v>
      </c>
    </row>
    <row r="78" spans="1:37">
      <c r="A78" s="873" t="str">
        <f t="shared" si="51"/>
        <v>Al-PBQS</v>
      </c>
      <c r="B78" s="867">
        <f>'BatPac Summary'!H$32</f>
        <v>2400</v>
      </c>
      <c r="C78" s="867">
        <f t="shared" si="54"/>
        <v>358.8480113089272</v>
      </c>
      <c r="D78" s="867">
        <f>'BatPac Recycling'!H$57</f>
        <v>39.815481836645333</v>
      </c>
      <c r="E78" s="867">
        <f>'BatPac Recycling'!H$58</f>
        <v>113.26271856806572</v>
      </c>
      <c r="F78" s="867">
        <f>'BatPac Recycling'!H$59</f>
        <v>244.91071774120007</v>
      </c>
      <c r="G78" s="867">
        <f t="shared" si="55"/>
        <v>0</v>
      </c>
      <c r="H78" s="730">
        <f>'BatPac Recycling'!H$65</f>
        <v>0</v>
      </c>
      <c r="I78" s="867">
        <f>'BatPac Recycling'!H$66</f>
        <v>60.673536000000006</v>
      </c>
      <c r="J78" s="867">
        <f>SUM('BatPac Recycling'!H$67:H$71)</f>
        <v>1.1578005449410114</v>
      </c>
      <c r="K78" s="867">
        <f>'BatPac Recycling'!H$78</f>
        <v>760.71610834377543</v>
      </c>
      <c r="L78" s="867">
        <f>'BatPac Recycling'!H$84</f>
        <v>179.54835752921136</v>
      </c>
      <c r="M78" s="867">
        <f>B78*(I40+J40)/1000</f>
        <v>0</v>
      </c>
      <c r="N78" s="731">
        <f>B78*G40/1000</f>
        <v>0</v>
      </c>
      <c r="O78" s="731">
        <f>B78*H40/1000</f>
        <v>0</v>
      </c>
      <c r="P78" s="731">
        <f>$B78*O40/1000</f>
        <v>0</v>
      </c>
      <c r="Q78" s="731">
        <f t="shared" si="56"/>
        <v>645.86468063140171</v>
      </c>
      <c r="R78" s="731">
        <f>$B78*P40/1000</f>
        <v>48.90250599298524</v>
      </c>
      <c r="S78" s="731">
        <f>$B78*Q40/1000</f>
        <v>48.90250599298524</v>
      </c>
      <c r="T78" s="731">
        <f>$B78*R40/1000</f>
        <v>880.24510787373436</v>
      </c>
      <c r="U78" s="731">
        <f>$B78*S40/1000</f>
        <v>36.325960910745899</v>
      </c>
      <c r="V78" s="731">
        <f>$B78*T40/1000</f>
        <v>80.872258239224621</v>
      </c>
      <c r="W78" s="731">
        <f>$B78*U40/1000</f>
        <v>0</v>
      </c>
      <c r="X78" s="731">
        <f>$B78*V40/1000</f>
        <v>35.191199999999995</v>
      </c>
      <c r="Y78" s="731">
        <f>SUM(C78:X78)</f>
        <v>3535.2369515138439</v>
      </c>
      <c r="Z78" s="736">
        <f>'Mass and Cost System'!K21</f>
        <v>3694.8024495973104</v>
      </c>
      <c r="AA78" s="883">
        <f t="shared" si="53"/>
        <v>159.56549808346654</v>
      </c>
      <c r="AF78" s="867">
        <f>'BatPac Recycling'!H$34</f>
        <v>0</v>
      </c>
      <c r="AG78" s="867">
        <f>'BatPac Recycling'!H$46</f>
        <v>0</v>
      </c>
      <c r="AH78" s="867">
        <f>'BatPac Recycling'!$H$42</f>
        <v>0</v>
      </c>
      <c r="AI78" s="867">
        <f>'BatPac Recycling'!$H$55</f>
        <v>0</v>
      </c>
      <c r="AJ78" s="867">
        <f>'BatPac Recycling'!$H$54</f>
        <v>0</v>
      </c>
      <c r="AK78" s="867">
        <f>'BatPac Recycling'!$H$56</f>
        <v>150.85038333247641</v>
      </c>
    </row>
    <row r="79" spans="1:37" ht="18" customHeight="1">
      <c r="A79" s="873" t="str">
        <f t="shared" ref="A79:A84" si="57">A60</f>
        <v>Al-TiO2</v>
      </c>
      <c r="B79" s="867">
        <f>'BatPac Summary'!I$32</f>
        <v>4212</v>
      </c>
      <c r="C79" s="867">
        <f t="shared" si="54"/>
        <v>664.30551344638559</v>
      </c>
      <c r="D79" s="867">
        <f>'BatPac Recycling'!I$57</f>
        <v>70.480242784992654</v>
      </c>
      <c r="E79" s="867">
        <f>'BatPac Recycling'!I$58</f>
        <v>202.54856794044946</v>
      </c>
      <c r="F79" s="867">
        <f>'BatPac Recycling'!I$59</f>
        <v>415.5221038612853</v>
      </c>
      <c r="G79" s="867">
        <f t="shared" si="55"/>
        <v>0</v>
      </c>
      <c r="H79" s="730">
        <f>'BatPac Recycling'!I$65</f>
        <v>0</v>
      </c>
      <c r="I79" s="867">
        <f>'BatPac Recycling'!I$66</f>
        <v>101.37415679999999</v>
      </c>
      <c r="J79" s="867">
        <f>SUM('BatPac Recycling'!I$67:I$71)</f>
        <v>2.2438697100769005</v>
      </c>
      <c r="K79" s="867">
        <f>'BatPac Recycling'!I$78</f>
        <v>1169.8741507971158</v>
      </c>
      <c r="L79" s="867">
        <f>'BatPac Recycling'!I$84</f>
        <v>254.76660559203111</v>
      </c>
      <c r="M79" s="867">
        <f>B79*(I41+J41)/1000</f>
        <v>0</v>
      </c>
      <c r="N79" s="731">
        <f>B79*G41/1000</f>
        <v>3517.334702130483</v>
      </c>
      <c r="O79" s="731">
        <f>B79*H41/1000</f>
        <v>0</v>
      </c>
      <c r="P79" s="731">
        <f>$B79*O41/1000</f>
        <v>0</v>
      </c>
      <c r="Q79" s="731">
        <f t="shared" si="56"/>
        <v>633.05894814033127</v>
      </c>
      <c r="R79" s="731">
        <f>$B79*P41/1000</f>
        <v>122.12967715730845</v>
      </c>
      <c r="S79" s="731">
        <f>$B79*Q41/1000</f>
        <v>122.12967715730845</v>
      </c>
      <c r="T79" s="731">
        <f>$B79*R41/1000</f>
        <v>0</v>
      </c>
      <c r="U79" s="731">
        <f>$B79*S41/1000</f>
        <v>73.582305664310866</v>
      </c>
      <c r="V79" s="731">
        <f>$B79*T41/1000</f>
        <v>79.268782254211388</v>
      </c>
      <c r="W79" s="731">
        <f>$B79*U41/1000</f>
        <v>2344.8898014203219</v>
      </c>
      <c r="X79" s="731">
        <f>$B79*V41/1000</f>
        <v>61.760555999999994</v>
      </c>
      <c r="Y79" s="731">
        <f>SUM(C79:X79)</f>
        <v>9835.269660856613</v>
      </c>
      <c r="Z79" s="736">
        <f>'Mass and Cost System'!K22</f>
        <v>10192.174127817416</v>
      </c>
      <c r="AA79" s="883">
        <f t="shared" ref="AA79:AA84" si="58">Z79-Y79</f>
        <v>356.90446696080289</v>
      </c>
      <c r="AF79" s="867">
        <f>'BatPac Recycling'!I$34</f>
        <v>0</v>
      </c>
      <c r="AG79" s="867">
        <f>'BatPac Recycling'!I$46</f>
        <v>0</v>
      </c>
      <c r="AH79" s="867">
        <f>'BatPac Recycling'!$I$42</f>
        <v>0</v>
      </c>
      <c r="AI79" s="867">
        <f>'BatPac Recycling'!$I$55</f>
        <v>0</v>
      </c>
      <c r="AJ79" s="867">
        <f>'BatPac Recycling'!$I$54</f>
        <v>0</v>
      </c>
      <c r="AK79" s="867">
        <f>'BatPac Recycling'!$I$56</f>
        <v>319.70321198757136</v>
      </c>
    </row>
    <row r="80" spans="1:37" ht="18" customHeight="1">
      <c r="A80" s="873" t="str">
        <f t="shared" si="57"/>
        <v>Al-V2C</v>
      </c>
      <c r="B80" s="867">
        <f>'BatPac Summary'!J$32</f>
        <v>2850</v>
      </c>
      <c r="C80" s="867">
        <f t="shared" si="54"/>
        <v>461.34916832032889</v>
      </c>
      <c r="D80" s="867">
        <f>'BatPac Recycling'!J$57</f>
        <v>46.638320811177969</v>
      </c>
      <c r="E80" s="867">
        <f>'BatPac Recycling'!J$58</f>
        <v>130.6351456029694</v>
      </c>
      <c r="F80" s="867">
        <f>'BatPac Recycling'!J$59</f>
        <v>281.99527614444997</v>
      </c>
      <c r="G80" s="867">
        <f t="shared" si="55"/>
        <v>0</v>
      </c>
      <c r="H80" s="730">
        <f>'BatPac Recycling'!J$65</f>
        <v>0</v>
      </c>
      <c r="I80" s="867">
        <f>'BatPac Recycling'!J$66</f>
        <v>68.584319999999991</v>
      </c>
      <c r="J80" s="867">
        <f>SUM('BatPac Recycling'!J$67:J$71)</f>
        <v>6.8825580250741707</v>
      </c>
      <c r="K80" s="867">
        <f>'BatPac Recycling'!J$78</f>
        <v>790.68059959852826</v>
      </c>
      <c r="L80" s="867">
        <f>'BatPac Recycling'!J$84</f>
        <v>168.10778990556148</v>
      </c>
      <c r="M80" s="867">
        <f>B80*(I42+J42)/1000</f>
        <v>0</v>
      </c>
      <c r="N80" s="731">
        <f>B80*G42/1000</f>
        <v>3290.0828471280997</v>
      </c>
      <c r="O80" s="731">
        <f>B80*H42/1000</f>
        <v>0</v>
      </c>
      <c r="P80" s="731">
        <f>$B80*O42/1000</f>
        <v>387.06857025036481</v>
      </c>
      <c r="Q80" s="731">
        <f t="shared" si="56"/>
        <v>427.97294110958734</v>
      </c>
      <c r="R80" s="731">
        <f>$B80*P42/1000</f>
        <v>76.607321195384671</v>
      </c>
      <c r="S80" s="731">
        <f>$B80*Q42/1000</f>
        <v>76.607321195384671</v>
      </c>
      <c r="T80" s="731">
        <f>$B80*R42/1000</f>
        <v>0</v>
      </c>
      <c r="U80" s="731">
        <f>$B80*S42/1000</f>
        <v>49.744555165499456</v>
      </c>
      <c r="V80" s="731">
        <f>$B80*T42/1000</f>
        <v>53.588838731634496</v>
      </c>
      <c r="W80" s="731">
        <f>$B80*U42/1000</f>
        <v>0</v>
      </c>
      <c r="X80" s="731">
        <f>$B80*V42/1000</f>
        <v>41.789549999999998</v>
      </c>
      <c r="Y80" s="731">
        <f>SUM(C80:X80)</f>
        <v>6358.3351231840461</v>
      </c>
      <c r="Z80" s="736">
        <f>'Mass and Cost System'!K23</f>
        <v>6354.8546407187305</v>
      </c>
      <c r="AA80" s="883">
        <f t="shared" si="58"/>
        <v>-3.4804824653156174</v>
      </c>
      <c r="AF80" s="867">
        <f>'BatPac Recycling'!J$34</f>
        <v>0</v>
      </c>
      <c r="AG80" s="867">
        <f>'BatPac Recycling'!J$46</f>
        <v>0</v>
      </c>
      <c r="AH80" s="867">
        <f>'BatPac Recycling'!$J$42</f>
        <v>0</v>
      </c>
      <c r="AI80" s="867">
        <f>'BatPac Recycling'!$J$55</f>
        <v>0</v>
      </c>
      <c r="AJ80" s="867">
        <f>'BatPac Recycling'!$J$54</f>
        <v>0</v>
      </c>
      <c r="AK80" s="867">
        <f>'BatPac Recycling'!$J$56</f>
        <v>200.92180728370451</v>
      </c>
    </row>
    <row r="81" spans="1:37" ht="18" customHeight="1">
      <c r="A81" s="873" t="str">
        <f t="shared" si="57"/>
        <v>Al-MnO2</v>
      </c>
      <c r="B81" s="867">
        <f>'BatPac Summary'!K$32</f>
        <v>775</v>
      </c>
      <c r="C81" s="867">
        <f t="shared" si="54"/>
        <v>226.04570381307462</v>
      </c>
      <c r="D81" s="867">
        <f>'BatPac Recycling'!K$57</f>
        <v>12.779293858441449</v>
      </c>
      <c r="E81" s="867">
        <f>'BatPac Recycling'!K$58</f>
        <v>36.954328130149584</v>
      </c>
      <c r="F81" s="867">
        <f>'BatPac Recycling'!K$59</f>
        <v>81.850357496660678</v>
      </c>
      <c r="G81" s="867">
        <f t="shared" si="55"/>
        <v>0</v>
      </c>
      <c r="H81" s="730">
        <f>'BatPac Recycling'!K$65</f>
        <v>0</v>
      </c>
      <c r="I81" s="867">
        <f>'BatPac Recycling'!K$66</f>
        <v>10.886400000000002</v>
      </c>
      <c r="J81" s="867">
        <f>SUM('BatPac Recycling'!K$67:K$71)</f>
        <v>2.8509173802957672</v>
      </c>
      <c r="K81" s="867">
        <f>'BatPac Recycling'!K$78</f>
        <v>235.18356416551774</v>
      </c>
      <c r="L81" s="867">
        <f>'BatPac Recycling'!K$84</f>
        <v>47.82750027915742</v>
      </c>
      <c r="M81" s="867">
        <f>B81*(I43+J43)/1000</f>
        <v>0</v>
      </c>
      <c r="N81" s="731">
        <f>B81*G43/1000</f>
        <v>730.37605168934715</v>
      </c>
      <c r="O81" s="731">
        <f>B81*H43/1000</f>
        <v>0</v>
      </c>
      <c r="P81" s="731">
        <f>$B81*O43/1000</f>
        <v>0</v>
      </c>
      <c r="Q81" s="731">
        <f t="shared" si="56"/>
        <v>106.5981446064372</v>
      </c>
      <c r="R81" s="731">
        <f>$B81*P43/1000</f>
        <v>24.085336555784863</v>
      </c>
      <c r="S81" s="731">
        <f>$B81*Q43/1000</f>
        <v>24.085336555784863</v>
      </c>
      <c r="T81" s="731">
        <f>$B81*R43/1000</f>
        <v>0</v>
      </c>
      <c r="U81" s="731">
        <f>$B81*S43/1000</f>
        <v>12.390216239294888</v>
      </c>
      <c r="V81" s="731">
        <f>$B81*T43/1000</f>
        <v>13.347738213531329</v>
      </c>
      <c r="W81" s="731">
        <f>$B81*U43/1000</f>
        <v>425.72010298832635</v>
      </c>
      <c r="X81" s="731">
        <f>$B81*V43/1000</f>
        <v>11.363824999999999</v>
      </c>
      <c r="Y81" s="731">
        <f>SUM(C81:X81)</f>
        <v>2002.3448169718038</v>
      </c>
      <c r="Z81" s="736">
        <f>'Mass and Cost System'!K24</f>
        <v>2021.6422077643933</v>
      </c>
      <c r="AA81" s="883">
        <f t="shared" si="58"/>
        <v>19.297390792589567</v>
      </c>
      <c r="AF81" s="867">
        <f>'BatPac Recycling'!K$34</f>
        <v>0</v>
      </c>
      <c r="AG81" s="867">
        <f>'BatPac Recycling'!K$46</f>
        <v>0</v>
      </c>
      <c r="AH81" s="867">
        <f>'BatPac Recycling'!$K$42</f>
        <v>0</v>
      </c>
      <c r="AI81" s="867">
        <f>'BatPac Recycling'!$K$55</f>
        <v>0</v>
      </c>
      <c r="AJ81" s="867">
        <f>'BatPac Recycling'!$K$54</f>
        <v>0</v>
      </c>
      <c r="AK81" s="867">
        <f>'BatPac Recycling'!$K$56</f>
        <v>54.108139081316757</v>
      </c>
    </row>
    <row r="82" spans="1:37" ht="18" customHeight="1">
      <c r="A82" s="873" t="str">
        <f t="shared" si="57"/>
        <v>LIB-NMC</v>
      </c>
      <c r="B82" s="867">
        <f>'BatPac Summary'!L$32</f>
        <v>792</v>
      </c>
      <c r="C82" s="867">
        <f t="shared" si="54"/>
        <v>30.577914531817569</v>
      </c>
      <c r="D82" s="867">
        <f>'BatPac Recycling'!L$57</f>
        <v>6.573317039484901</v>
      </c>
      <c r="E82" s="867">
        <f>'BatPac Recycling'!L$58</f>
        <v>37.676009268984437</v>
      </c>
      <c r="F82" s="867">
        <f>'BatPac Recycling'!L$59</f>
        <v>87.042168183870572</v>
      </c>
      <c r="G82" s="867">
        <f>B82*M44/1000</f>
        <v>51.870833947790047</v>
      </c>
      <c r="H82" s="730">
        <f>'BatPac Recycling'!L$65</f>
        <v>14.542449549082647</v>
      </c>
      <c r="I82" s="867">
        <f>'BatPac Recycling'!L$66</f>
        <v>18.985881599999999</v>
      </c>
      <c r="J82" s="867">
        <f>SUM('BatPac Recycling'!L$67:L$71)</f>
        <v>3.0759368536583094</v>
      </c>
      <c r="K82" s="867">
        <f>'BatPac Recycling'!L$78</f>
        <v>277.37890133720958</v>
      </c>
      <c r="L82" s="867">
        <f>'BatPac Recycling'!L$84</f>
        <v>64.068702377305485</v>
      </c>
      <c r="M82" s="867">
        <f>B82*(I44+J44)/1000</f>
        <v>40.747223929795595</v>
      </c>
      <c r="N82" s="731">
        <f>B82*G44/1000</f>
        <v>269.72213839031616</v>
      </c>
      <c r="O82" s="731">
        <f>B82*H44/1000</f>
        <v>50.745210661806695</v>
      </c>
      <c r="P82" s="731">
        <f>$B82*O44/1000</f>
        <v>363.77470271557786</v>
      </c>
      <c r="Q82" s="731">
        <f t="shared" si="56"/>
        <v>14.557890539751972</v>
      </c>
      <c r="R82" s="731">
        <f>$B82*P44/1000</f>
        <v>22.865444760842045</v>
      </c>
      <c r="S82" s="731">
        <f>$B82*Q44/1000</f>
        <v>15.28680512093417</v>
      </c>
      <c r="T82" s="731">
        <f>$B82*R44/1000</f>
        <v>0</v>
      </c>
      <c r="U82" s="731">
        <f>$B82*S44/1000</f>
        <v>8.2495466937054474</v>
      </c>
      <c r="V82" s="731">
        <f>$B82*T44/1000</f>
        <v>133.83809437800397</v>
      </c>
      <c r="W82" s="731">
        <f>$B82*U44/1000</f>
        <v>183.79702786392923</v>
      </c>
      <c r="X82" s="731">
        <f>$B82*V44/1000</f>
        <v>11.613095999999999</v>
      </c>
      <c r="Y82" s="731">
        <f>SUM(C82:X82)</f>
        <v>1706.9892957438669</v>
      </c>
      <c r="Z82" s="736">
        <f>'Mass and Cost System'!K25</f>
        <v>1731.1894744639949</v>
      </c>
      <c r="AA82" s="883">
        <f t="shared" si="58"/>
        <v>24.200178720127951</v>
      </c>
      <c r="AF82" s="867">
        <f>'BatPac Recycling'!L$34</f>
        <v>41.904230338359845</v>
      </c>
      <c r="AG82" s="867">
        <f>'BatPac Recycling'!L$46</f>
        <v>0</v>
      </c>
      <c r="AH82" s="867">
        <f>'BatPac Recycling'!$L$42</f>
        <v>0</v>
      </c>
      <c r="AI82" s="867">
        <f>'BatPac Recycling'!$L$55</f>
        <v>0</v>
      </c>
      <c r="AJ82" s="867">
        <f>'BatPac Recycling'!$L$54</f>
        <v>0</v>
      </c>
      <c r="AK82" s="867">
        <f>'BatPac Recycling'!$L$56</f>
        <v>24.7259580680679</v>
      </c>
    </row>
    <row r="83" spans="1:37" ht="17" customHeight="1">
      <c r="A83" s="873" t="str">
        <f t="shared" si="57"/>
        <v>LIB-LFP</v>
      </c>
      <c r="B83" s="867">
        <f>'BatPac Summary'!M$32</f>
        <v>1104</v>
      </c>
      <c r="C83" s="867">
        <f t="shared" si="54"/>
        <v>32.442790554657606</v>
      </c>
      <c r="D83" s="867">
        <f>'BatPac Recycling'!M$57</f>
        <v>9.2133217626375981</v>
      </c>
      <c r="E83" s="867">
        <f>'BatPac Recycling'!M$58</f>
        <v>52.921252055041165</v>
      </c>
      <c r="F83" s="867">
        <f>'BatPac Recycling'!M$59</f>
        <v>120.42532198675178</v>
      </c>
      <c r="G83" s="867">
        <f>B83*M45/1000</f>
        <v>73.730996608717277</v>
      </c>
      <c r="H83" s="730">
        <f>'BatPac Recycling'!M$65</f>
        <v>20.383052590921704</v>
      </c>
      <c r="I83" s="867">
        <f>'BatPac Recycling'!M$66</f>
        <v>27.869184000000001</v>
      </c>
      <c r="J83" s="867">
        <f>SUM('BatPac Recycling'!M$67:M$71)</f>
        <v>4.1761160089647884</v>
      </c>
      <c r="K83" s="867">
        <f>'BatPac Recycling'!M$78</f>
        <v>381.3131836635053</v>
      </c>
      <c r="L83" s="867">
        <f>'BatPac Recycling'!M$84</f>
        <v>89.308236750044856</v>
      </c>
      <c r="M83" s="867">
        <f>B83*(I45+J45)/1000</f>
        <v>37.122632597687172</v>
      </c>
      <c r="N83" s="731">
        <f>B83*G45/1000</f>
        <v>288.36368899550354</v>
      </c>
      <c r="O83" s="731">
        <f>B83*H45/1000</f>
        <v>160.20204944194643</v>
      </c>
      <c r="P83" s="731">
        <f>$B83*O45/1000</f>
        <v>396.59661928260232</v>
      </c>
      <c r="Q83" s="731">
        <f t="shared" si="56"/>
        <v>20.665288480692244</v>
      </c>
      <c r="R83" s="731">
        <f>$B83*P45/1000</f>
        <v>29.376353545439269</v>
      </c>
      <c r="S83" s="731">
        <f>$B83*Q45/1000</f>
        <v>21.113923977051723</v>
      </c>
      <c r="T83" s="731">
        <f>$B83*R45/1000</f>
        <v>0</v>
      </c>
      <c r="U83" s="731">
        <f>$B83*S45/1000</f>
        <v>11.726190866899788</v>
      </c>
      <c r="V83" s="731">
        <f>$B83*T45/1000</f>
        <v>189.98651092170451</v>
      </c>
      <c r="W83" s="731">
        <f>$B83*U45/1000</f>
        <v>330.73971497692173</v>
      </c>
      <c r="X83" s="731">
        <f>$B83*V45/1000</f>
        <v>16.187951999999999</v>
      </c>
      <c r="Y83" s="731">
        <f>SUM(C83:X83)</f>
        <v>2313.8643810676908</v>
      </c>
      <c r="Z83" s="736">
        <f>'Mass and Cost System'!K26</f>
        <v>2368.0097097960988</v>
      </c>
      <c r="AA83" s="883">
        <f t="shared" si="58"/>
        <v>54.145328728408003</v>
      </c>
      <c r="AF83" s="867">
        <f>'BatPac Recycling'!M$34</f>
        <v>0</v>
      </c>
      <c r="AG83" s="867">
        <f>'BatPac Recycling'!M$46</f>
        <v>0</v>
      </c>
      <c r="AH83" s="867">
        <f>'BatPac Recycling'!$M$42</f>
        <v>0</v>
      </c>
      <c r="AI83" s="867">
        <f>'BatPac Recycling'!$M$55</f>
        <v>0</v>
      </c>
      <c r="AJ83" s="867">
        <f>'BatPac Recycling'!$M$54</f>
        <v>0</v>
      </c>
      <c r="AK83" s="867">
        <f>'BatPac Recycling'!$M$56</f>
        <v>37.29040373474114</v>
      </c>
    </row>
    <row r="84" spans="1:37" ht="17" thickBot="1">
      <c r="A84" s="876" t="str">
        <f t="shared" si="57"/>
        <v>Li-DIB</v>
      </c>
      <c r="B84" s="884">
        <f>'BatPac Summary'!N$32</f>
        <v>4032</v>
      </c>
      <c r="C84" s="884">
        <f t="shared" si="54"/>
        <v>55.715667114771911</v>
      </c>
      <c r="D84" s="884">
        <f>'BatPac Recycling'!N$57</f>
        <v>33.18837602318105</v>
      </c>
      <c r="E84" s="884">
        <f>'BatPac Recycling'!N$58</f>
        <v>186.3293780283696</v>
      </c>
      <c r="F84" s="884">
        <f>'BatPac Recycling'!N$59</f>
        <v>404.92912806289252</v>
      </c>
      <c r="G84" s="884">
        <f>B84*M46/1000</f>
        <v>126.62201964935204</v>
      </c>
      <c r="H84" s="741">
        <f>'BatPac Recycling'!N$65</f>
        <v>73.424160288321531</v>
      </c>
      <c r="I84" s="884">
        <f>'BatPac Recycling'!N$66</f>
        <v>113.56692480000001</v>
      </c>
      <c r="J84" s="884">
        <f>SUM('BatPac Recycling'!N$67:N$71)</f>
        <v>0.95573194534668626</v>
      </c>
      <c r="K84" s="884">
        <f>'BatPac Recycling'!N$78</f>
        <v>1124.9392614532103</v>
      </c>
      <c r="L84" s="884">
        <f>'BatPac Recycling'!N$84</f>
        <v>238.16203359610256</v>
      </c>
      <c r="M84" s="884">
        <f>B84*(I46+J46)/1000</f>
        <v>30.446339797694403</v>
      </c>
      <c r="N84" s="739">
        <f>B84*G46/1000</f>
        <v>0</v>
      </c>
      <c r="O84" s="739">
        <f>B84*H46/1000</f>
        <v>0</v>
      </c>
      <c r="P84" s="739">
        <f>$B84*O46/1000</f>
        <v>953.47169213041855</v>
      </c>
      <c r="Q84" s="739">
        <f t="shared" si="56"/>
        <v>145.87043202785861</v>
      </c>
      <c r="R84" s="739">
        <f>$B84*P46/1000</f>
        <v>29.79599037907558</v>
      </c>
      <c r="S84" s="739">
        <f>$B84*Q46/1000</f>
        <v>9.9319967930251938</v>
      </c>
      <c r="T84" s="739">
        <f>$B84*R46/1000</f>
        <v>0</v>
      </c>
      <c r="U84" s="739">
        <f>$B84*S46/1000</f>
        <v>151.75737170607567</v>
      </c>
      <c r="V84" s="739">
        <f>$B84*T46/1000</f>
        <v>1319.4949390566114</v>
      </c>
      <c r="W84" s="739">
        <f>$B84*U46/1000</f>
        <v>0</v>
      </c>
      <c r="X84" s="739">
        <f>$B84*V46/1000</f>
        <v>59.12121599999999</v>
      </c>
      <c r="Y84" s="739">
        <f>SUM(C84:X84)</f>
        <v>5057.7226588523072</v>
      </c>
      <c r="Z84" s="742">
        <f>'Mass and Cost System'!K27</f>
        <v>5207.7407954289874</v>
      </c>
      <c r="AA84" s="885">
        <f t="shared" si="58"/>
        <v>150.01813657668026</v>
      </c>
      <c r="AF84" s="867">
        <f>'BatPac Recycling'!N$34</f>
        <v>0</v>
      </c>
      <c r="AG84" s="867">
        <f>'BatPac Recycling'!N$46</f>
        <v>0</v>
      </c>
      <c r="AH84" s="867">
        <f>'BatPac Recycling'!$N$42</f>
        <v>0</v>
      </c>
      <c r="AI84" s="867">
        <f>'BatPac Recycling'!$N$55</f>
        <v>0</v>
      </c>
      <c r="AJ84" s="867">
        <f>'BatPac Recycling'!$N$54</f>
        <v>0</v>
      </c>
      <c r="AK84" s="867">
        <f>'BatPac Recycling'!$N$56</f>
        <v>58.249394605793519</v>
      </c>
    </row>
    <row r="85" spans="1:37" ht="18" customHeight="1">
      <c r="A85" s="488"/>
      <c r="B85" s="466"/>
      <c r="C85" s="466"/>
      <c r="D85" s="466"/>
      <c r="E85" s="466"/>
      <c r="F85" s="466"/>
      <c r="G85" s="466"/>
      <c r="H85" s="466"/>
      <c r="I85" s="466"/>
      <c r="J85" s="466"/>
      <c r="K85" s="466"/>
      <c r="L85" s="466"/>
      <c r="M85" s="466"/>
      <c r="N85" s="466"/>
      <c r="O85" s="466"/>
      <c r="P85" s="466"/>
      <c r="Q85" s="466"/>
      <c r="R85" s="466"/>
      <c r="S85" s="466"/>
      <c r="T85" s="466"/>
      <c r="U85" s="466"/>
      <c r="V85" s="466"/>
      <c r="W85" s="466"/>
      <c r="X85" s="466"/>
      <c r="Y85" s="731"/>
      <c r="Z85" s="731"/>
      <c r="AA85" s="731"/>
      <c r="AB85" s="736"/>
    </row>
    <row r="86" spans="1:37" ht="18" customHeight="1">
      <c r="A86" s="488"/>
      <c r="B86" s="466"/>
      <c r="C86" s="466"/>
      <c r="D86" s="466"/>
      <c r="E86" s="466"/>
      <c r="F86" s="466"/>
      <c r="G86" s="466"/>
      <c r="H86" s="466"/>
      <c r="I86" s="466"/>
      <c r="J86" s="466"/>
      <c r="K86" s="466"/>
      <c r="L86" s="466"/>
      <c r="M86" s="466"/>
      <c r="N86" s="466"/>
      <c r="O86" s="466"/>
      <c r="P86" s="466"/>
      <c r="Q86" s="466"/>
      <c r="R86" s="466"/>
      <c r="S86" s="466"/>
      <c r="T86" s="466"/>
      <c r="U86" s="466"/>
      <c r="V86" s="466"/>
      <c r="W86" s="466"/>
      <c r="X86" s="466"/>
      <c r="Y86" s="731"/>
      <c r="Z86" s="731"/>
      <c r="AA86" s="731"/>
      <c r="AB86" s="736"/>
    </row>
    <row r="87" spans="1:37" ht="18" customHeight="1">
      <c r="A87" s="488"/>
      <c r="B87" s="466"/>
      <c r="C87" s="466"/>
      <c r="D87" s="466"/>
      <c r="E87" s="466"/>
      <c r="F87" s="466"/>
      <c r="G87" s="466"/>
      <c r="H87" s="466"/>
      <c r="I87" s="466"/>
      <c r="J87" s="466"/>
      <c r="K87" s="466"/>
      <c r="L87" s="466"/>
      <c r="M87" s="466"/>
      <c r="N87" s="466"/>
      <c r="O87" s="466"/>
      <c r="P87" s="466"/>
      <c r="Q87" s="466"/>
      <c r="R87" s="466"/>
      <c r="S87" s="466"/>
      <c r="T87" s="466"/>
      <c r="U87" s="466"/>
      <c r="V87" s="466"/>
      <c r="W87" s="466"/>
      <c r="X87" s="466"/>
      <c r="Y87" s="731"/>
      <c r="Z87" s="731"/>
      <c r="AA87" s="731"/>
      <c r="AB87" s="736"/>
    </row>
    <row r="88" spans="1:37" ht="18" customHeight="1">
      <c r="A88" s="488"/>
      <c r="B88" s="466"/>
      <c r="C88" s="466"/>
      <c r="D88" s="466"/>
      <c r="E88" s="466"/>
      <c r="F88" s="466"/>
      <c r="G88" s="466"/>
      <c r="H88" s="466"/>
      <c r="I88" s="466"/>
      <c r="J88" s="466"/>
      <c r="K88" s="466"/>
      <c r="L88" s="466"/>
      <c r="M88" s="466"/>
      <c r="N88" s="466"/>
      <c r="O88" s="466"/>
      <c r="P88" s="466"/>
      <c r="Q88" s="466"/>
      <c r="R88" s="466"/>
      <c r="S88" s="466"/>
      <c r="T88" s="466"/>
      <c r="U88" s="466"/>
      <c r="V88" s="466"/>
      <c r="W88" s="466"/>
      <c r="X88" s="466"/>
    </row>
    <row r="89" spans="1:37" ht="15" customHeight="1">
      <c r="A89" s="488"/>
      <c r="B89" s="466"/>
      <c r="C89" s="466"/>
      <c r="D89" s="466"/>
      <c r="E89" s="466"/>
      <c r="F89" s="466"/>
      <c r="G89" s="466"/>
      <c r="H89" s="466"/>
      <c r="I89" s="466"/>
      <c r="J89" s="466"/>
      <c r="K89" s="466"/>
      <c r="L89" s="466"/>
      <c r="M89" s="466"/>
      <c r="N89" s="466"/>
      <c r="O89" s="466"/>
      <c r="P89" s="466"/>
      <c r="Q89" s="466"/>
      <c r="R89" s="466"/>
      <c r="S89" s="466"/>
      <c r="T89" s="466"/>
      <c r="U89" s="466"/>
      <c r="V89" s="466"/>
      <c r="W89" s="466"/>
      <c r="X89" s="466"/>
    </row>
    <row r="90" spans="1:37" ht="18" customHeight="1">
      <c r="A90" s="488"/>
      <c r="B90" s="466"/>
      <c r="C90" s="466"/>
      <c r="D90" s="466"/>
      <c r="E90" s="466"/>
      <c r="F90" s="466"/>
      <c r="G90" s="466"/>
      <c r="H90" s="466"/>
      <c r="I90" s="466"/>
      <c r="J90" s="466"/>
      <c r="K90" s="466"/>
      <c r="L90" s="466"/>
      <c r="M90" s="466"/>
      <c r="N90" s="466"/>
      <c r="O90" s="466"/>
      <c r="P90" s="466"/>
      <c r="Q90" s="466"/>
      <c r="R90" s="466"/>
      <c r="S90" s="466"/>
      <c r="T90" s="466"/>
      <c r="U90" s="466"/>
      <c r="V90" s="466"/>
      <c r="W90" s="466"/>
      <c r="X90" s="466"/>
    </row>
    <row r="91" spans="1:37" ht="18" customHeight="1">
      <c r="A91" s="865"/>
      <c r="B91" s="867"/>
      <c r="C91" s="867"/>
      <c r="D91" s="867"/>
      <c r="E91" s="867"/>
      <c r="F91" s="867"/>
      <c r="G91" s="867"/>
      <c r="H91" s="867"/>
      <c r="I91" s="867"/>
      <c r="J91" s="867"/>
      <c r="K91" s="867"/>
      <c r="L91" s="867"/>
      <c r="M91" s="867"/>
      <c r="N91" s="867"/>
      <c r="O91" s="867"/>
      <c r="P91" s="867"/>
      <c r="Q91" s="731"/>
      <c r="R91" s="731"/>
      <c r="S91" s="731"/>
      <c r="T91" s="731"/>
      <c r="U91" s="731"/>
      <c r="V91" s="731"/>
      <c r="W91" s="731"/>
      <c r="X91" s="731"/>
    </row>
    <row r="92" spans="1:37" ht="16.5" customHeight="1">
      <c r="A92" s="865"/>
      <c r="B92" s="867"/>
      <c r="C92" s="867"/>
      <c r="D92" s="867"/>
      <c r="E92" s="867"/>
      <c r="F92" s="867"/>
      <c r="G92" s="867"/>
      <c r="H92" s="867"/>
      <c r="I92" s="867"/>
      <c r="J92" s="867"/>
      <c r="K92" s="867"/>
      <c r="L92" s="867"/>
      <c r="M92" s="867"/>
      <c r="N92" s="867"/>
      <c r="O92" s="867"/>
      <c r="P92" s="867"/>
      <c r="Q92" s="731"/>
      <c r="R92" s="731"/>
      <c r="S92" s="731"/>
      <c r="T92" s="731"/>
      <c r="U92" s="731"/>
      <c r="V92" s="731"/>
      <c r="W92" s="731"/>
      <c r="X92" s="731"/>
    </row>
    <row r="93" spans="1:37" ht="16.5" customHeight="1">
      <c r="A93" s="865"/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867"/>
      <c r="P93" s="867"/>
      <c r="Q93" s="731"/>
      <c r="R93" s="731"/>
      <c r="S93" s="731"/>
      <c r="T93" s="731"/>
      <c r="U93" s="731"/>
      <c r="V93" s="731"/>
      <c r="W93" s="731"/>
      <c r="X93" s="731"/>
    </row>
    <row r="94" spans="1:37" ht="15.75" customHeight="1">
      <c r="A94" s="865"/>
      <c r="B94" s="867"/>
      <c r="C94" s="867"/>
      <c r="D94" s="867"/>
      <c r="E94" s="867"/>
      <c r="F94" s="867"/>
      <c r="G94" s="867"/>
      <c r="H94" s="867"/>
      <c r="I94" s="867"/>
      <c r="J94" s="867"/>
      <c r="K94" s="867"/>
      <c r="L94" s="867"/>
      <c r="M94" s="867"/>
      <c r="N94" s="867"/>
      <c r="O94" s="867"/>
      <c r="P94" s="867"/>
      <c r="Q94" s="731"/>
      <c r="R94" s="731"/>
      <c r="S94" s="731"/>
      <c r="T94" s="731"/>
      <c r="U94" s="731"/>
      <c r="V94" s="731"/>
      <c r="W94" s="731"/>
      <c r="X94" s="731"/>
    </row>
    <row r="95" spans="1:37" ht="15.75" customHeight="1">
      <c r="A95" s="865"/>
      <c r="B95" s="867"/>
      <c r="C95" s="867"/>
      <c r="D95" s="867"/>
      <c r="E95" s="867"/>
      <c r="F95" s="867"/>
      <c r="G95" s="867"/>
      <c r="H95" s="867"/>
      <c r="I95" s="867"/>
      <c r="J95" s="867"/>
      <c r="K95" s="867"/>
      <c r="L95" s="867"/>
      <c r="M95" s="867"/>
      <c r="N95" s="867"/>
      <c r="O95" s="867"/>
      <c r="P95" s="867"/>
      <c r="Q95" s="731"/>
      <c r="R95" s="731"/>
      <c r="S95" s="731"/>
      <c r="T95" s="731"/>
      <c r="U95" s="731"/>
      <c r="V95" s="731"/>
      <c r="W95" s="731"/>
      <c r="X95" s="731"/>
    </row>
    <row r="96" spans="1:37" ht="15.75" customHeight="1">
      <c r="A96" s="865"/>
      <c r="B96" s="867"/>
      <c r="C96" s="867"/>
      <c r="D96" s="867"/>
      <c r="E96" s="867"/>
      <c r="F96" s="867"/>
      <c r="G96" s="867"/>
      <c r="H96" s="867"/>
      <c r="I96" s="867"/>
      <c r="J96" s="867"/>
      <c r="K96" s="867"/>
      <c r="L96" s="867"/>
      <c r="M96" s="867"/>
      <c r="N96" s="867"/>
      <c r="O96" s="867"/>
      <c r="P96" s="867"/>
      <c r="Q96" s="731"/>
      <c r="R96" s="731"/>
      <c r="S96" s="731"/>
      <c r="T96" s="731"/>
      <c r="U96" s="731"/>
      <c r="V96" s="731"/>
      <c r="W96" s="731"/>
      <c r="X96" s="731"/>
    </row>
    <row r="97" spans="1:24">
      <c r="A97" s="865"/>
      <c r="B97" s="867"/>
      <c r="C97" s="867"/>
      <c r="D97" s="867"/>
      <c r="E97" s="867"/>
      <c r="F97" s="867"/>
      <c r="G97" s="867"/>
      <c r="H97" s="867"/>
      <c r="I97" s="867"/>
      <c r="J97" s="867"/>
      <c r="K97" s="867"/>
      <c r="L97" s="867"/>
      <c r="M97" s="867"/>
      <c r="N97" s="867"/>
      <c r="O97" s="867"/>
      <c r="P97" s="867"/>
      <c r="Q97" s="731"/>
      <c r="R97" s="731"/>
      <c r="S97" s="731"/>
      <c r="T97" s="731"/>
      <c r="U97" s="731"/>
      <c r="V97" s="731"/>
      <c r="W97" s="731"/>
      <c r="X97" s="731"/>
    </row>
  </sheetData>
  <mergeCells count="102">
    <mergeCell ref="W70:W74"/>
    <mergeCell ref="X70:X74"/>
    <mergeCell ref="Y70:Y74"/>
    <mergeCell ref="Q70:Q74"/>
    <mergeCell ref="AA70:AA74"/>
    <mergeCell ref="G70:G74"/>
    <mergeCell ref="L70:L74"/>
    <mergeCell ref="P70:P74"/>
    <mergeCell ref="R70:R74"/>
    <mergeCell ref="X32:X36"/>
    <mergeCell ref="O51:O55"/>
    <mergeCell ref="P51:P55"/>
    <mergeCell ref="Q51:Q55"/>
    <mergeCell ref="R51:R55"/>
    <mergeCell ref="S51:S55"/>
    <mergeCell ref="T51:T55"/>
    <mergeCell ref="U51:U55"/>
    <mergeCell ref="V51:V55"/>
    <mergeCell ref="W51:W55"/>
    <mergeCell ref="X51:X55"/>
    <mergeCell ref="X28:Y28"/>
    <mergeCell ref="X27:Y27"/>
    <mergeCell ref="X26:Y26"/>
    <mergeCell ref="K32:K36"/>
    <mergeCell ref="L32:L36"/>
    <mergeCell ref="M32:M36"/>
    <mergeCell ref="N32:N36"/>
    <mergeCell ref="O32:O36"/>
    <mergeCell ref="P32:P36"/>
    <mergeCell ref="Q32:Q36"/>
    <mergeCell ref="R32:R36"/>
    <mergeCell ref="S32:S36"/>
    <mergeCell ref="T32:T36"/>
    <mergeCell ref="U32:U36"/>
    <mergeCell ref="V32:V36"/>
    <mergeCell ref="W32:W36"/>
    <mergeCell ref="X25:Y25"/>
    <mergeCell ref="X24:Y24"/>
    <mergeCell ref="X23:Y23"/>
    <mergeCell ref="X22:Y22"/>
    <mergeCell ref="X19:Y21"/>
    <mergeCell ref="S1:U3"/>
    <mergeCell ref="S4:U4"/>
    <mergeCell ref="S5:U5"/>
    <mergeCell ref="S6:U6"/>
    <mergeCell ref="S7:U7"/>
    <mergeCell ref="H15:I15"/>
    <mergeCell ref="A17:A18"/>
    <mergeCell ref="A32:A37"/>
    <mergeCell ref="B32:B36"/>
    <mergeCell ref="C32:C36"/>
    <mergeCell ref="D32:D36"/>
    <mergeCell ref="E32:E36"/>
    <mergeCell ref="G32:G36"/>
    <mergeCell ref="G1:G2"/>
    <mergeCell ref="A51:A56"/>
    <mergeCell ref="B51:B55"/>
    <mergeCell ref="C51:C55"/>
    <mergeCell ref="D51:D55"/>
    <mergeCell ref="E51:E55"/>
    <mergeCell ref="F51:F55"/>
    <mergeCell ref="G51:G55"/>
    <mergeCell ref="A1:A3"/>
    <mergeCell ref="B1:B2"/>
    <mergeCell ref="C1:C2"/>
    <mergeCell ref="D1:D2"/>
    <mergeCell ref="E1:E2"/>
    <mergeCell ref="H51:H55"/>
    <mergeCell ref="I51:I55"/>
    <mergeCell ref="J51:J55"/>
    <mergeCell ref="M51:M55"/>
    <mergeCell ref="N51:N55"/>
    <mergeCell ref="K51:K55"/>
    <mergeCell ref="L51:L55"/>
    <mergeCell ref="A70:A75"/>
    <mergeCell ref="B70:B74"/>
    <mergeCell ref="C70:C74"/>
    <mergeCell ref="D70:D74"/>
    <mergeCell ref="E70:E74"/>
    <mergeCell ref="F70:F74"/>
    <mergeCell ref="Z70:Z74"/>
    <mergeCell ref="F1:F2"/>
    <mergeCell ref="F32:F36"/>
    <mergeCell ref="H32:H36"/>
    <mergeCell ref="I32:I36"/>
    <mergeCell ref="J32:J36"/>
    <mergeCell ref="N70:N74"/>
    <mergeCell ref="S70:S74"/>
    <mergeCell ref="T70:T74"/>
    <mergeCell ref="U70:U74"/>
    <mergeCell ref="V70:V74"/>
    <mergeCell ref="M70:M74"/>
    <mergeCell ref="O70:O74"/>
    <mergeCell ref="AF70:AF74"/>
    <mergeCell ref="K70:K74"/>
    <mergeCell ref="AH70:AH74"/>
    <mergeCell ref="H70:H74"/>
    <mergeCell ref="I70:I74"/>
    <mergeCell ref="J70:J74"/>
    <mergeCell ref="AK70:AK74"/>
    <mergeCell ref="AI70:AI74"/>
    <mergeCell ref="AJ70:AJ7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08385-FCA9-AC48-8541-95849B2A5C7D}">
  <dimension ref="A1:AN92"/>
  <sheetViews>
    <sheetView zoomScale="73" zoomScaleNormal="73" workbookViewId="0">
      <selection activeCell="D6" sqref="D6"/>
    </sheetView>
  </sheetViews>
  <sheetFormatPr baseColWidth="10" defaultColWidth="11.5" defaultRowHeight="16"/>
  <cols>
    <col min="1" max="1" width="30.6640625" style="1" customWidth="1"/>
    <col min="2" max="2" width="18.5" style="1" customWidth="1"/>
    <col min="3" max="3" width="17.6640625" style="1" customWidth="1"/>
    <col min="4" max="4" width="16.1640625" style="1" customWidth="1"/>
    <col min="5" max="5" width="19.1640625" style="1" customWidth="1"/>
    <col min="6" max="6" width="18.6640625" style="1" customWidth="1"/>
    <col min="7" max="7" width="17.33203125" style="1" customWidth="1"/>
    <col min="8" max="11" width="18.1640625" style="1" customWidth="1"/>
    <col min="12" max="12" width="17.5" style="1" customWidth="1"/>
    <col min="13" max="13" width="17.83203125" style="1" customWidth="1"/>
    <col min="14" max="14" width="18.83203125" style="1" customWidth="1"/>
    <col min="15" max="15" width="16.5" style="1" customWidth="1"/>
    <col min="16" max="16" width="19.1640625" style="1" customWidth="1"/>
    <col min="17" max="17" width="18.83203125" style="1" customWidth="1"/>
    <col min="18" max="18" width="17" style="1" customWidth="1"/>
    <col min="19" max="19" width="16" style="1" customWidth="1"/>
    <col min="20" max="20" width="16.83203125" style="1" customWidth="1"/>
    <col min="21" max="21" width="17.1640625" style="1" customWidth="1"/>
    <col min="22" max="22" width="18.83203125" style="1" customWidth="1"/>
    <col min="23" max="23" width="18" style="1" customWidth="1"/>
    <col min="24" max="24" width="16.1640625" style="1" customWidth="1"/>
    <col min="25" max="25" width="22.5" style="1" customWidth="1"/>
    <col min="26" max="26" width="22.83203125" style="1" customWidth="1"/>
    <col min="27" max="27" width="16.1640625" style="1" customWidth="1"/>
    <col min="28" max="28" width="19" style="1" customWidth="1"/>
    <col min="29" max="29" width="14.83203125" style="1" customWidth="1"/>
    <col min="30" max="30" width="13.6640625" style="1" bestFit="1" customWidth="1"/>
    <col min="31" max="31" width="15.33203125" style="1" bestFit="1" customWidth="1"/>
    <col min="32" max="32" width="16.1640625" style="1" customWidth="1"/>
    <col min="33" max="36" width="11.5" style="1"/>
    <col min="37" max="37" width="18.1640625" style="1" customWidth="1"/>
    <col min="38" max="39" width="11.5" style="1"/>
    <col min="40" max="40" width="12.5" style="1" customWidth="1"/>
    <col min="41" max="41" width="13.5" style="1" customWidth="1"/>
    <col min="42" max="42" width="19.6640625" style="1" customWidth="1"/>
    <col min="43" max="43" width="22.1640625" style="1" customWidth="1"/>
    <col min="44" max="44" width="19" style="1" customWidth="1"/>
    <col min="45" max="16384" width="11.5" style="1"/>
  </cols>
  <sheetData>
    <row r="1" spans="1:27" ht="18" customHeight="1">
      <c r="A1" s="516" t="s">
        <v>42</v>
      </c>
      <c r="B1" s="545" t="s">
        <v>0</v>
      </c>
      <c r="C1" s="532" t="s">
        <v>49</v>
      </c>
      <c r="D1" s="542" t="s">
        <v>52</v>
      </c>
      <c r="E1" s="491" t="s">
        <v>50</v>
      </c>
      <c r="F1" s="547" t="s">
        <v>142</v>
      </c>
      <c r="G1" s="540" t="s">
        <v>1</v>
      </c>
      <c r="I1" s="534" t="s">
        <v>36</v>
      </c>
      <c r="J1" s="535"/>
      <c r="K1" s="536"/>
      <c r="L1" s="48" t="s">
        <v>62</v>
      </c>
      <c r="M1" s="49" t="s">
        <v>54</v>
      </c>
      <c r="N1" s="50" t="s">
        <v>56</v>
      </c>
      <c r="O1" s="51" t="s">
        <v>58</v>
      </c>
      <c r="P1" s="52" t="s">
        <v>60</v>
      </c>
      <c r="Q1" s="53" t="s">
        <v>61</v>
      </c>
      <c r="S1" s="534" t="s">
        <v>24</v>
      </c>
      <c r="T1" s="535"/>
      <c r="U1" s="536"/>
      <c r="V1" s="48" t="s">
        <v>62</v>
      </c>
      <c r="W1" s="49" t="s">
        <v>63</v>
      </c>
      <c r="X1" s="50" t="s">
        <v>56</v>
      </c>
      <c r="Y1" s="51" t="s">
        <v>58</v>
      </c>
      <c r="Z1" s="52" t="s">
        <v>60</v>
      </c>
      <c r="AA1" s="53" t="s">
        <v>61</v>
      </c>
    </row>
    <row r="2" spans="1:27" ht="36" customHeight="1">
      <c r="A2" s="517"/>
      <c r="B2" s="546"/>
      <c r="C2" s="533"/>
      <c r="D2" s="543"/>
      <c r="E2" s="492"/>
      <c r="F2" s="548"/>
      <c r="G2" s="541"/>
      <c r="I2" s="537"/>
      <c r="J2" s="538"/>
      <c r="K2" s="539"/>
      <c r="L2" s="34" t="s">
        <v>133</v>
      </c>
      <c r="M2" s="35" t="s">
        <v>53</v>
      </c>
      <c r="N2" s="36" t="s">
        <v>55</v>
      </c>
      <c r="O2" s="33" t="s">
        <v>57</v>
      </c>
      <c r="P2" s="37" t="s">
        <v>59</v>
      </c>
      <c r="Q2" s="54" t="s">
        <v>243</v>
      </c>
      <c r="R2" s="139" t="s">
        <v>280</v>
      </c>
      <c r="S2" s="537"/>
      <c r="T2" s="538"/>
      <c r="U2" s="539"/>
      <c r="V2" s="34" t="s">
        <v>134</v>
      </c>
      <c r="W2" s="40" t="s">
        <v>53</v>
      </c>
      <c r="X2" s="36" t="s">
        <v>55</v>
      </c>
      <c r="Y2" s="33" t="s">
        <v>57</v>
      </c>
      <c r="Z2" s="37" t="s">
        <v>59</v>
      </c>
      <c r="AA2" s="54" t="s">
        <v>243</v>
      </c>
    </row>
    <row r="3" spans="1:27" ht="18.75" customHeight="1">
      <c r="A3" s="518"/>
      <c r="B3" s="59"/>
      <c r="C3" s="46" t="s">
        <v>73</v>
      </c>
      <c r="D3" s="47" t="s">
        <v>73</v>
      </c>
      <c r="E3" s="58" t="s">
        <v>51</v>
      </c>
      <c r="F3" s="549"/>
      <c r="G3" s="60"/>
      <c r="I3" s="561"/>
      <c r="J3" s="562"/>
      <c r="K3" s="563"/>
      <c r="L3" s="41" t="s">
        <v>77</v>
      </c>
      <c r="M3" s="42" t="s">
        <v>76</v>
      </c>
      <c r="N3" s="43" t="s">
        <v>76</v>
      </c>
      <c r="O3" s="44" t="s">
        <v>76</v>
      </c>
      <c r="P3" s="45" t="s">
        <v>77</v>
      </c>
      <c r="Q3" s="55" t="s">
        <v>77</v>
      </c>
      <c r="R3" s="139" t="s">
        <v>281</v>
      </c>
      <c r="S3" s="561"/>
      <c r="T3" s="562"/>
      <c r="U3" s="563"/>
      <c r="V3" s="41" t="s">
        <v>64</v>
      </c>
      <c r="W3" s="42" t="s">
        <v>74</v>
      </c>
      <c r="X3" s="43" t="s">
        <v>74</v>
      </c>
      <c r="Y3" s="44" t="s">
        <v>75</v>
      </c>
      <c r="Z3" s="45" t="s">
        <v>64</v>
      </c>
      <c r="AA3" s="55" t="s">
        <v>65</v>
      </c>
    </row>
    <row r="4" spans="1:27">
      <c r="A4" s="18" t="s">
        <v>686</v>
      </c>
      <c r="B4" s="13" t="s">
        <v>685</v>
      </c>
      <c r="C4" s="80">
        <f>1*96485.33289/(96.0805*3.6)</f>
        <v>278.94818780432377</v>
      </c>
      <c r="D4" s="80">
        <v>210</v>
      </c>
      <c r="E4" s="38">
        <v>4.6500000000000004</v>
      </c>
      <c r="F4" s="99">
        <v>-0.05</v>
      </c>
      <c r="G4" s="57">
        <v>0.25</v>
      </c>
      <c r="I4" s="564" t="str">
        <f>A19</f>
        <v>PBQS baseline</v>
      </c>
      <c r="J4" s="559"/>
      <c r="K4" s="560"/>
      <c r="L4" s="23">
        <f>C4*G36*L19/(G36+L36)</f>
        <v>444.28025708531925</v>
      </c>
      <c r="M4" s="24">
        <f t="shared" ref="M4:M8" si="0">I36*M19/(G36+M36)*1000</f>
        <v>417.04459341299912</v>
      </c>
      <c r="N4" s="25">
        <f>I36*M19/(G36+M36+Q54)*1000</f>
        <v>249.81138026704267</v>
      </c>
      <c r="O4" s="26">
        <f t="shared" ref="O4:O8" si="1">I36*M19/(G36+M36+R54)*1000</f>
        <v>231.26417825285239</v>
      </c>
      <c r="P4" s="27">
        <f t="shared" ref="P4:P8" si="2">I36*M19/S36*1000</f>
        <v>195.54757327834503</v>
      </c>
      <c r="Q4" s="28">
        <f>U36-(U36*T19/(T19+V19))</f>
        <v>192.45206607937843</v>
      </c>
      <c r="R4" s="129">
        <f>I36</f>
        <v>5.2016326530612256</v>
      </c>
      <c r="S4" s="564" t="str">
        <f t="shared" ref="S4:S14" si="3">A19</f>
        <v>PBQS baseline</v>
      </c>
      <c r="T4" s="559"/>
      <c r="U4" s="560"/>
      <c r="V4" s="23">
        <f>C4*G36*L19/(G36/E4+L36/E13)</f>
        <v>1694.0041657391585</v>
      </c>
      <c r="W4" s="24">
        <f>D4*G36*M19/(G36/E4+M36/E13)</f>
        <v>1085.9682954197697</v>
      </c>
      <c r="X4" s="25">
        <f>D4*G36*M19/(G36/E4+M36/E13+O54)</f>
        <v>353.13431358722426</v>
      </c>
      <c r="Y4" s="26">
        <f>D4*G36*M19/(G36/E4+M36/E13+P54)</f>
        <v>311.14137937019149</v>
      </c>
      <c r="Z4" s="27">
        <f t="shared" ref="Z4:Z8" si="4">I36*M19/R36*10000</f>
        <v>304.16644488733948</v>
      </c>
      <c r="AA4" s="584">
        <f t="shared" ref="AA4:AA14" si="5">T36-(T36*(U19-S19)/U19)</f>
        <v>287.78714180294099</v>
      </c>
    </row>
    <row r="5" spans="1:27">
      <c r="A5" s="296" t="s">
        <v>143</v>
      </c>
      <c r="B5" s="6" t="s">
        <v>144</v>
      </c>
      <c r="C5" s="80">
        <v>200</v>
      </c>
      <c r="D5" s="80">
        <v>155</v>
      </c>
      <c r="E5" s="38">
        <v>3.65</v>
      </c>
      <c r="F5" s="99">
        <v>-0.05</v>
      </c>
      <c r="G5" s="57">
        <v>0.25</v>
      </c>
      <c r="I5" s="569" t="str">
        <f t="shared" ref="I5:I14" si="6">A20</f>
        <v>PBQS low V</v>
      </c>
      <c r="J5" s="556"/>
      <c r="K5" s="570"/>
      <c r="L5" s="23">
        <f>C4*G37*L20/(G37+L37)</f>
        <v>444.28025708531925</v>
      </c>
      <c r="M5" s="24">
        <f t="shared" si="0"/>
        <v>390.97930632468672</v>
      </c>
      <c r="N5" s="25">
        <f>I37*M20/(G37+M37+Q55)*1000</f>
        <v>234.19816900035252</v>
      </c>
      <c r="O5" s="26">
        <f t="shared" si="1"/>
        <v>216.81016711204913</v>
      </c>
      <c r="P5" s="27">
        <f t="shared" si="2"/>
        <v>183.32584994844848</v>
      </c>
      <c r="Q5" s="28">
        <f t="shared" ref="Q5:Q14" si="7">U37-(U37*T20/(T20+V20))</f>
        <v>180.42381194941728</v>
      </c>
      <c r="R5" s="129">
        <f t="shared" ref="R5:R8" si="8">I37</f>
        <v>5.2016326530612256</v>
      </c>
      <c r="S5" s="569" t="str">
        <f t="shared" si="3"/>
        <v>PBQS low V</v>
      </c>
      <c r="T5" s="556"/>
      <c r="U5" s="570"/>
      <c r="V5" s="23">
        <f>C4*G37*L20/(G37/E4+L37/E13)</f>
        <v>1694.0041657391585</v>
      </c>
      <c r="W5" s="24">
        <f>D4*G37*M20/(G37/E4+M37/E13)</f>
        <v>1018.0952769560339</v>
      </c>
      <c r="X5" s="25">
        <f>D4*G37*M20/(G37/E4+M37/E13+O55)</f>
        <v>331.06341898802265</v>
      </c>
      <c r="Y5" s="26">
        <f>D4*G37*M20/(G37/E4+M37/E13+P55)</f>
        <v>291.69504315955447</v>
      </c>
      <c r="Z5" s="27">
        <f t="shared" si="4"/>
        <v>285.1560420818808</v>
      </c>
      <c r="AA5" s="584">
        <f t="shared" si="5"/>
        <v>269.80044544025719</v>
      </c>
    </row>
    <row r="6" spans="1:27">
      <c r="A6" s="297" t="s">
        <v>2</v>
      </c>
      <c r="B6" s="96" t="s">
        <v>35</v>
      </c>
      <c r="C6" s="80">
        <v>140</v>
      </c>
      <c r="D6" s="80">
        <v>140</v>
      </c>
      <c r="E6" s="38">
        <v>2.2000000000000002</v>
      </c>
      <c r="F6" s="99">
        <v>1.31</v>
      </c>
      <c r="G6" s="57">
        <v>0.41</v>
      </c>
      <c r="I6" s="564" t="str">
        <f t="shared" si="6"/>
        <v>PBQS high V</v>
      </c>
      <c r="J6" s="559"/>
      <c r="K6" s="560"/>
      <c r="L6" s="23">
        <f>C4*G38*L21/(G38+L38)</f>
        <v>444.28025708531925</v>
      </c>
      <c r="M6" s="24">
        <f t="shared" si="0"/>
        <v>443.10988050131152</v>
      </c>
      <c r="N6" s="25">
        <f>I38*M21/(G38+M38+Q56)*1000</f>
        <v>265.42459153373284</v>
      </c>
      <c r="O6" s="26">
        <f t="shared" si="1"/>
        <v>245.71818939365565</v>
      </c>
      <c r="P6" s="27">
        <f t="shared" si="2"/>
        <v>207.76929660824155</v>
      </c>
      <c r="Q6" s="28">
        <f t="shared" si="7"/>
        <v>204.48032020933954</v>
      </c>
      <c r="R6" s="129">
        <f t="shared" si="8"/>
        <v>5.2016326530612256</v>
      </c>
      <c r="S6" s="571" t="str">
        <f t="shared" si="3"/>
        <v>PBQS high V</v>
      </c>
      <c r="T6" s="572"/>
      <c r="U6" s="573"/>
      <c r="V6" s="23">
        <f>C4*G38*L21/(G38/E4+L38/E13)</f>
        <v>1694.0041657391585</v>
      </c>
      <c r="W6" s="24">
        <f>D4*G38*M21/(G38/E4+M38/E13)</f>
        <v>1153.8413138835051</v>
      </c>
      <c r="X6" s="25">
        <f>D4*G38*M21/(G38/E4+M38/E13+O56)</f>
        <v>375.20520818642569</v>
      </c>
      <c r="Y6" s="26">
        <f>D4*G38*M21/(G38/E4+M38/E13+P56)</f>
        <v>330.58771558082844</v>
      </c>
      <c r="Z6" s="27">
        <f t="shared" si="4"/>
        <v>323.17684769279822</v>
      </c>
      <c r="AA6" s="584">
        <f t="shared" si="5"/>
        <v>305.7738381656248</v>
      </c>
    </row>
    <row r="7" spans="1:27">
      <c r="A7" s="297" t="s">
        <v>148</v>
      </c>
      <c r="B7" s="96" t="s">
        <v>35</v>
      </c>
      <c r="C7" s="80">
        <v>135</v>
      </c>
      <c r="D7" s="80">
        <v>135</v>
      </c>
      <c r="E7" s="38">
        <v>2.2000000000000002</v>
      </c>
      <c r="F7" s="99">
        <v>0.8</v>
      </c>
      <c r="G7" s="57">
        <v>0.41</v>
      </c>
      <c r="I7" s="569" t="str">
        <f t="shared" si="6"/>
        <v>PBQS low capacity</v>
      </c>
      <c r="J7" s="556"/>
      <c r="K7" s="570"/>
      <c r="L7" s="23">
        <f>C7*G39*L22/(G39+L39)</f>
        <v>215.01424755120212</v>
      </c>
      <c r="M7" s="24">
        <f t="shared" si="0"/>
        <v>380.32841110454814</v>
      </c>
      <c r="N7" s="25">
        <f>I39*M22/(G39+M39+P75)*1000</f>
        <v>291.38343041502412</v>
      </c>
      <c r="O7" s="26">
        <f t="shared" si="1"/>
        <v>219.51291134144711</v>
      </c>
      <c r="P7" s="27">
        <f t="shared" si="2"/>
        <v>184.05764219022402</v>
      </c>
      <c r="Q7" s="28">
        <f t="shared" si="7"/>
        <v>181.19582661993235</v>
      </c>
      <c r="R7" s="129">
        <f t="shared" si="8"/>
        <v>4.6814693877551035</v>
      </c>
      <c r="S7" s="574" t="str">
        <f t="shared" si="3"/>
        <v>PBQS low capacity</v>
      </c>
      <c r="T7" s="575"/>
      <c r="U7" s="576"/>
      <c r="V7" s="23">
        <f>C7*G39*L22/(G39/E7+L39/E13)</f>
        <v>453.44788732394375</v>
      </c>
      <c r="W7" s="24">
        <f>D7*G39*M22/(G39/E7+M39/E15)</f>
        <v>427.83787375415289</v>
      </c>
      <c r="X7" s="25">
        <f>D7*G39*M22/(G39/E7+M39/E15+R75)</f>
        <v>272.10909929121118</v>
      </c>
      <c r="Y7" s="26">
        <f>D7*G39*M22/(G39/E7+M39/E13+P57)</f>
        <v>175.19633406149464</v>
      </c>
      <c r="Z7" s="27">
        <f t="shared" si="4"/>
        <v>292.01203851033608</v>
      </c>
      <c r="AA7" s="584">
        <f t="shared" si="5"/>
        <v>276.28724781284348</v>
      </c>
    </row>
    <row r="8" spans="1:27">
      <c r="A8" s="127" t="s">
        <v>244</v>
      </c>
      <c r="B8" s="127" t="s">
        <v>245</v>
      </c>
      <c r="C8" s="12">
        <f>3*154</f>
        <v>462</v>
      </c>
      <c r="D8" s="12">
        <v>320</v>
      </c>
      <c r="E8" s="12">
        <v>5.0999999999999996</v>
      </c>
      <c r="F8" s="1209">
        <v>0</v>
      </c>
      <c r="G8" s="57">
        <v>0.25</v>
      </c>
      <c r="I8" s="569" t="str">
        <f t="shared" si="6"/>
        <v>PBQS high capacity</v>
      </c>
      <c r="J8" s="556"/>
      <c r="K8" s="570"/>
      <c r="L8" s="23">
        <f t="shared" ref="L8" si="9">C7*G40*L23/(G40+L40)</f>
        <v>215.01424755120212</v>
      </c>
      <c r="M8" s="24">
        <f t="shared" si="0"/>
        <v>452.81012658227849</v>
      </c>
      <c r="N8" s="25">
        <f>I40*M23/(G40+M40+P76)*1000</f>
        <v>332.1124089519887</v>
      </c>
      <c r="O8" s="26">
        <f t="shared" si="1"/>
        <v>241.85754697549214</v>
      </c>
      <c r="P8" s="27">
        <f t="shared" si="2"/>
        <v>206.07286656549206</v>
      </c>
      <c r="Q8" s="28">
        <f t="shared" si="7"/>
        <v>202.74971171195671</v>
      </c>
      <c r="R8" s="129">
        <f t="shared" si="8"/>
        <v>5.7217959183673486</v>
      </c>
      <c r="S8" s="574" t="str">
        <f t="shared" si="3"/>
        <v>PBQS high capacity</v>
      </c>
      <c r="T8" s="575"/>
      <c r="U8" s="576"/>
      <c r="V8" s="23">
        <f>C7*G40*L23/(G40/E7+L40/E15)</f>
        <v>483.3397009761523</v>
      </c>
      <c r="W8" s="24">
        <f>D7*G40*M23/(G40/E7+M40/E15)</f>
        <v>418.5672806067173</v>
      </c>
      <c r="X8" s="25">
        <f>D7*G40*M23/(G40/E7+M40/E$15+R76)</f>
        <v>248.50752046407123</v>
      </c>
      <c r="Y8" s="26">
        <f t="shared" ref="Y8" si="10">D7*G40*M23/(G40/E7+M40/E$15+P58)</f>
        <v>158.40549362436127</v>
      </c>
      <c r="Z8" s="27">
        <f t="shared" si="4"/>
        <v>314.89007417395641</v>
      </c>
      <c r="AA8" s="584">
        <f t="shared" si="5"/>
        <v>297.93330576686168</v>
      </c>
    </row>
    <row r="9" spans="1:27">
      <c r="A9" s="297" t="s">
        <v>413</v>
      </c>
      <c r="B9" s="13" t="s">
        <v>414</v>
      </c>
      <c r="C9" s="80">
        <v>225</v>
      </c>
      <c r="D9" s="80">
        <v>170</v>
      </c>
      <c r="E9" s="38">
        <v>1.6</v>
      </c>
      <c r="F9" s="99">
        <v>0.1</v>
      </c>
      <c r="G9" s="57">
        <v>0.25</v>
      </c>
      <c r="I9" s="569" t="str">
        <f t="shared" si="6"/>
        <v>PBQS low density</v>
      </c>
      <c r="J9" s="556"/>
      <c r="K9" s="570"/>
      <c r="L9" s="23">
        <f>'Energy Contents Cell'!L4</f>
        <v>270</v>
      </c>
      <c r="M9" s="24">
        <f>'Energy Contents Cell'!M4</f>
        <v>249.58899688979645</v>
      </c>
      <c r="N9" s="25">
        <f>'Energy Contents Cell'!N4</f>
        <v>109.37076540677818</v>
      </c>
      <c r="O9" s="26">
        <f>'Energy Contents Cell'!O4</f>
        <v>61.220172806355592</v>
      </c>
      <c r="P9" s="27">
        <f>'Energy Contents Cell'!P4</f>
        <v>53.548122541616657</v>
      </c>
      <c r="Q9" s="28">
        <f t="shared" si="7"/>
        <v>190.24657837327149</v>
      </c>
      <c r="R9" s="129">
        <f>'Energy Contents Cell'!I38</f>
        <v>3.3428730404062716</v>
      </c>
      <c r="S9" s="574" t="str">
        <f t="shared" si="3"/>
        <v>PBQS low density</v>
      </c>
      <c r="T9" s="575"/>
      <c r="U9" s="576"/>
      <c r="V9" s="23">
        <f>'Energy Contents Cell'!V4</f>
        <v>594.00000000000011</v>
      </c>
      <c r="W9" s="24">
        <f>'Energy Contents Cell'!W4</f>
        <v>556.89189897513006</v>
      </c>
      <c r="X9" s="25">
        <f>'Energy Contents Cell'!X4</f>
        <v>164.57652152944684</v>
      </c>
      <c r="Y9" s="26">
        <f>'Energy Contents Cell'!Y4</f>
        <v>82.857392545092779</v>
      </c>
      <c r="Z9" s="27">
        <f>'Energy Contents Cell'!Z4</f>
        <v>70.941140313927519</v>
      </c>
      <c r="AA9" s="584">
        <f t="shared" si="5"/>
        <v>277.19145133542861</v>
      </c>
    </row>
    <row r="10" spans="1:27">
      <c r="A10" s="297" t="s">
        <v>150</v>
      </c>
      <c r="B10" s="13" t="s">
        <v>151</v>
      </c>
      <c r="C10" s="80">
        <v>388</v>
      </c>
      <c r="D10" s="80">
        <v>300</v>
      </c>
      <c r="E10" s="38">
        <v>1.6</v>
      </c>
      <c r="F10" s="99">
        <v>0.1</v>
      </c>
      <c r="G10" s="57">
        <v>0.41</v>
      </c>
      <c r="I10" s="569" t="str">
        <f t="shared" si="6"/>
        <v>PBQS high density</v>
      </c>
      <c r="J10" s="556"/>
      <c r="K10" s="570"/>
      <c r="L10" s="23">
        <f>C7*G41*L24/(G41+L41)</f>
        <v>215.01424755120215</v>
      </c>
      <c r="M10" s="24">
        <f>I41*M24/(G41+M41)*1000</f>
        <v>417.04459341299912</v>
      </c>
      <c r="N10" s="25">
        <f>I41*M24/(G41+M41+P77)*1000</f>
        <v>312.4587305965884</v>
      </c>
      <c r="O10" s="26">
        <f>I41*M24/(G41+M41+R59)*1000</f>
        <v>231.26417825285236</v>
      </c>
      <c r="P10" s="27">
        <f>I41*M24/S41*1000</f>
        <v>193.39311335810902</v>
      </c>
      <c r="Q10" s="28">
        <f t="shared" si="7"/>
        <v>194.28763014978605</v>
      </c>
      <c r="R10" s="129">
        <f>I41</f>
        <v>4.7200000000000006</v>
      </c>
      <c r="S10" s="574" t="str">
        <f t="shared" si="3"/>
        <v>PBQS high density</v>
      </c>
      <c r="T10" s="575"/>
      <c r="U10" s="576"/>
      <c r="V10" s="23">
        <f>C7*G41*L24/(G41/E7+L41/E15)</f>
        <v>483.33970097615224</v>
      </c>
      <c r="W10" s="24">
        <f>D7*G41*M24/(G41/E7+M41/E15)</f>
        <v>423.15180722891574</v>
      </c>
      <c r="X10" s="25">
        <f>D7*G41*M24/(G41/E7+M41/E$15+R77)</f>
        <v>259.7733341373397</v>
      </c>
      <c r="Y10" s="26">
        <f>D7*G41*M24/(G41/E7+M41/E$15+P59)</f>
        <v>168.62501423728722</v>
      </c>
      <c r="Z10" s="27">
        <f>I41*M24/R41*10000</f>
        <v>292.96770445564664</v>
      </c>
      <c r="AA10" s="584">
        <f t="shared" si="5"/>
        <v>297.07830728742886</v>
      </c>
    </row>
    <row r="11" spans="1:27" ht="17" thickBot="1">
      <c r="A11" s="297" t="s">
        <v>689</v>
      </c>
      <c r="B11" s="13" t="s">
        <v>151</v>
      </c>
      <c r="C11" s="80">
        <v>388</v>
      </c>
      <c r="D11" s="80">
        <v>300</v>
      </c>
      <c r="E11" s="38">
        <f>E10*0.9</f>
        <v>1.4400000000000002</v>
      </c>
      <c r="F11" s="99">
        <v>0.1</v>
      </c>
      <c r="G11" s="57">
        <v>0.41</v>
      </c>
      <c r="I11" s="569" t="str">
        <f t="shared" si="6"/>
        <v>PBQS AlCl+</v>
      </c>
      <c r="J11" s="556"/>
      <c r="K11" s="570"/>
      <c r="L11" s="29">
        <f>C9*G42*L25/(G42+L42)</f>
        <v>358.35707925200353</v>
      </c>
      <c r="M11" s="24">
        <f>I42*M25/(G42+M42)*1000</f>
        <v>417.04459341299918</v>
      </c>
      <c r="N11" s="25">
        <f>I42*M25/(G42+M42+P78)*1000</f>
        <v>312.45873059658845</v>
      </c>
      <c r="O11" s="26">
        <f>I42*M25/(G42+M42+R60)*1000</f>
        <v>231.26417825285242</v>
      </c>
      <c r="P11" s="27">
        <f>I42*M25/S42*1000</f>
        <v>197.34634614718152</v>
      </c>
      <c r="Q11" s="28">
        <f t="shared" si="7"/>
        <v>89.924898118219645</v>
      </c>
      <c r="R11" s="129">
        <f>I42</f>
        <v>5.6754655870445356</v>
      </c>
      <c r="S11" s="574" t="str">
        <f t="shared" si="3"/>
        <v>PBQS AlCl+</v>
      </c>
      <c r="T11" s="575"/>
      <c r="U11" s="576"/>
      <c r="V11" s="23">
        <f>C9*G42*L25/(G42/E9+L42/E15)</f>
        <v>601.59843128208092</v>
      </c>
      <c r="W11" s="30">
        <f>D9*G42*M25/(G42/E9+M42/E15)</f>
        <v>399.46562660371552</v>
      </c>
      <c r="X11" s="25">
        <f>D9*G42*M25/(G42/E9+M42/E$15+R78)</f>
        <v>271.47099371468596</v>
      </c>
      <c r="Y11" s="26">
        <f>D9*G42*M25/(G42/E9+M42/E$15+P60)</f>
        <v>187.40483929734512</v>
      </c>
      <c r="Z11" s="27">
        <f>I42*M25/R42*10000</f>
        <v>313.98641375937387</v>
      </c>
      <c r="AA11" s="584">
        <f>T43-(T43*(U26-S26)/U26)</f>
        <v>103.89826993430731</v>
      </c>
    </row>
    <row r="12" spans="1:27">
      <c r="A12" s="297" t="s">
        <v>690</v>
      </c>
      <c r="B12" s="13" t="s">
        <v>151</v>
      </c>
      <c r="C12" s="80">
        <v>388</v>
      </c>
      <c r="D12" s="80">
        <v>300</v>
      </c>
      <c r="E12" s="38">
        <f>E10*1.1</f>
        <v>1.7600000000000002</v>
      </c>
      <c r="F12" s="99">
        <v>0.1</v>
      </c>
      <c r="G12" s="57">
        <v>0.41</v>
      </c>
      <c r="I12" s="569" t="str">
        <f t="shared" si="6"/>
        <v>PBQS Al3+</v>
      </c>
      <c r="J12" s="556"/>
      <c r="K12" s="570"/>
      <c r="L12" s="23">
        <f>C9*G43*L26/(G43+L43)</f>
        <v>358.35707925200353</v>
      </c>
      <c r="M12" s="24">
        <f>I43*M26/(G43+M43)*1000</f>
        <v>417.04459341299912</v>
      </c>
      <c r="N12" s="25">
        <f>I43*M26/(G43+M43+P79)*1000</f>
        <v>178.30984566567912</v>
      </c>
      <c r="O12" s="26">
        <f>I43*M26/(G43+M43+R61)*1000</f>
        <v>98.982837537933278</v>
      </c>
      <c r="P12" s="27">
        <f>I43*M26/S43*1000</f>
        <v>91.805889309531139</v>
      </c>
      <c r="Q12" s="28">
        <f t="shared" si="7"/>
        <v>208.96498119053555</v>
      </c>
      <c r="R12" s="129">
        <f>I43</f>
        <v>5.2016326530612256</v>
      </c>
      <c r="S12" s="574" t="str">
        <f t="shared" si="3"/>
        <v>PBQS Al3+</v>
      </c>
      <c r="T12" s="575"/>
      <c r="U12" s="576"/>
      <c r="V12" s="23">
        <f>C9*G43*L26/(G43/E9+L43/E15)</f>
        <v>601.59843128208092</v>
      </c>
      <c r="W12" s="24">
        <f>D9*G43*M26/(G43/E9+M43/E15)</f>
        <v>399.46562660371558</v>
      </c>
      <c r="X12" s="25">
        <f>D9*G43*M26/(G43/E9+M43/E$15+R79)</f>
        <v>138.41776286926236</v>
      </c>
      <c r="Y12" s="26">
        <f>D9*G43*M26/(G43/E9+M43/E$15+P61)</f>
        <v>72.284977509839038</v>
      </c>
      <c r="Z12" s="27">
        <f>I43*M26/R43*10000</f>
        <v>109.81160311013051</v>
      </c>
      <c r="AA12" s="584">
        <f t="shared" si="5"/>
        <v>304.2658482902749</v>
      </c>
    </row>
    <row r="13" spans="1:27" s="12" customFormat="1">
      <c r="A13" s="297" t="s">
        <v>691</v>
      </c>
      <c r="B13" s="13" t="s">
        <v>151</v>
      </c>
      <c r="C13" s="80">
        <v>388</v>
      </c>
      <c r="D13" s="80">
        <f>D11*0.9</f>
        <v>270</v>
      </c>
      <c r="E13" s="38">
        <v>1.6</v>
      </c>
      <c r="F13" s="99">
        <v>0.1</v>
      </c>
      <c r="G13" s="57">
        <v>0.41</v>
      </c>
      <c r="I13" s="556"/>
      <c r="J13" s="556"/>
      <c r="K13" s="556"/>
      <c r="L13" s="83"/>
      <c r="M13" s="84"/>
      <c r="N13" s="84"/>
      <c r="O13" s="85"/>
      <c r="P13" s="83"/>
      <c r="Q13" s="86"/>
      <c r="R13" s="14"/>
      <c r="S13" s="575"/>
      <c r="T13" s="575"/>
      <c r="U13" s="575"/>
      <c r="V13" s="83"/>
      <c r="W13" s="84"/>
      <c r="X13" s="84"/>
      <c r="Y13" s="85"/>
      <c r="Z13" s="83"/>
      <c r="AA13" s="86"/>
    </row>
    <row r="14" spans="1:27" s="12" customFormat="1">
      <c r="A14" s="297" t="s">
        <v>692</v>
      </c>
      <c r="B14" s="13" t="s">
        <v>151</v>
      </c>
      <c r="C14" s="80">
        <v>388</v>
      </c>
      <c r="D14" s="80">
        <f>D10*1.1</f>
        <v>330</v>
      </c>
      <c r="E14" s="38">
        <v>1.6</v>
      </c>
      <c r="F14" s="99">
        <v>0.1</v>
      </c>
      <c r="G14" s="57">
        <v>0.41</v>
      </c>
      <c r="I14" s="556"/>
      <c r="J14" s="556"/>
      <c r="K14" s="556"/>
      <c r="L14" s="83"/>
      <c r="M14" s="84"/>
      <c r="N14" s="84"/>
      <c r="O14" s="85"/>
      <c r="P14" s="83"/>
      <c r="Q14" s="86"/>
      <c r="R14" s="14"/>
      <c r="S14" s="575"/>
      <c r="T14" s="575"/>
      <c r="U14" s="575"/>
      <c r="V14" s="83"/>
      <c r="W14" s="84"/>
      <c r="X14" s="84"/>
      <c r="Y14" s="85"/>
      <c r="Z14" s="83"/>
      <c r="AA14" s="86"/>
    </row>
    <row r="15" spans="1:27" s="12" customFormat="1" ht="17" thickBot="1">
      <c r="A15" s="19" t="s">
        <v>145</v>
      </c>
      <c r="B15" s="16" t="s">
        <v>38</v>
      </c>
      <c r="C15" s="707">
        <v>2981</v>
      </c>
      <c r="D15" s="707">
        <v>2981</v>
      </c>
      <c r="E15" s="39">
        <v>2.7</v>
      </c>
      <c r="F15" s="938">
        <v>-1</v>
      </c>
      <c r="G15" s="939">
        <v>0</v>
      </c>
      <c r="I15" s="289"/>
      <c r="J15" s="289"/>
      <c r="K15" s="289"/>
      <c r="L15" s="83"/>
      <c r="M15" s="84"/>
      <c r="N15" s="84"/>
      <c r="O15" s="85"/>
      <c r="P15" s="83"/>
      <c r="Q15" s="86"/>
      <c r="S15" s="289"/>
      <c r="T15" s="289"/>
      <c r="U15" s="289"/>
      <c r="V15" s="83"/>
      <c r="W15" s="84"/>
      <c r="X15" s="84"/>
      <c r="Y15" s="85"/>
      <c r="Z15" s="83"/>
      <c r="AA15" s="86"/>
    </row>
    <row r="16" spans="1:27" ht="16.5" customHeight="1" thickBot="1"/>
    <row r="17" spans="1:40" ht="82.5" customHeight="1">
      <c r="A17" s="516" t="s">
        <v>41</v>
      </c>
      <c r="B17" s="278" t="s">
        <v>39</v>
      </c>
      <c r="C17" s="278" t="s">
        <v>5</v>
      </c>
      <c r="D17" s="278" t="s">
        <v>6</v>
      </c>
      <c r="E17" s="278" t="s">
        <v>7</v>
      </c>
      <c r="F17" s="278" t="s">
        <v>8</v>
      </c>
      <c r="G17" s="278" t="s">
        <v>9</v>
      </c>
      <c r="H17" s="32" t="s">
        <v>45</v>
      </c>
      <c r="I17" s="287" t="s">
        <v>47</v>
      </c>
      <c r="J17" s="283" t="s">
        <v>89</v>
      </c>
      <c r="K17" s="284" t="s">
        <v>88</v>
      </c>
      <c r="L17" s="283" t="s">
        <v>78</v>
      </c>
      <c r="M17" s="284" t="s">
        <v>80</v>
      </c>
      <c r="N17" s="31" t="s">
        <v>46</v>
      </c>
      <c r="O17" s="284" t="s">
        <v>48</v>
      </c>
      <c r="P17" s="278" t="s">
        <v>81</v>
      </c>
      <c r="Q17" s="278" t="s">
        <v>82</v>
      </c>
      <c r="R17" s="278" t="s">
        <v>83</v>
      </c>
      <c r="S17" s="278" t="s">
        <v>237</v>
      </c>
      <c r="T17" s="278" t="s">
        <v>85</v>
      </c>
      <c r="U17" s="285" t="s">
        <v>240</v>
      </c>
      <c r="V17" s="469" t="s">
        <v>241</v>
      </c>
      <c r="X17" s="505" t="s">
        <v>26</v>
      </c>
      <c r="Y17" s="506"/>
      <c r="Z17" s="278" t="s">
        <v>67</v>
      </c>
      <c r="AA17" s="278" t="s">
        <v>69</v>
      </c>
      <c r="AB17" s="278" t="s">
        <v>70</v>
      </c>
      <c r="AC17" s="285" t="s">
        <v>10</v>
      </c>
    </row>
    <row r="18" spans="1:40" ht="18" customHeight="1" thickBot="1">
      <c r="A18" s="517"/>
      <c r="B18" s="460"/>
      <c r="C18" s="462"/>
      <c r="D18" s="462"/>
      <c r="E18" s="462"/>
      <c r="F18" s="462"/>
      <c r="G18" s="462"/>
      <c r="H18" s="464"/>
      <c r="I18" s="468"/>
      <c r="J18" s="464" t="s">
        <v>87</v>
      </c>
      <c r="K18" s="468" t="s">
        <v>87</v>
      </c>
      <c r="L18" s="464" t="s">
        <v>79</v>
      </c>
      <c r="M18" s="468" t="s">
        <v>79</v>
      </c>
      <c r="N18" s="464"/>
      <c r="O18" s="468"/>
      <c r="P18" s="462" t="s">
        <v>68</v>
      </c>
      <c r="Q18" s="462" t="s">
        <v>68</v>
      </c>
      <c r="R18" s="462" t="s">
        <v>68</v>
      </c>
      <c r="S18" s="462" t="s">
        <v>84</v>
      </c>
      <c r="T18" s="462" t="s">
        <v>86</v>
      </c>
      <c r="U18" s="470" t="s">
        <v>84</v>
      </c>
      <c r="V18" s="470" t="s">
        <v>108</v>
      </c>
      <c r="X18" s="81"/>
      <c r="Y18" s="82"/>
      <c r="Z18" s="61" t="s">
        <v>68</v>
      </c>
      <c r="AA18" s="61" t="s">
        <v>71</v>
      </c>
      <c r="AB18" s="61" t="s">
        <v>72</v>
      </c>
      <c r="AC18" s="62"/>
    </row>
    <row r="19" spans="1:40" ht="18" customHeight="1">
      <c r="A19" s="699" t="s">
        <v>693</v>
      </c>
      <c r="B19" s="1214">
        <f t="shared" ref="B19:B27" si="11">1-C19-D19</f>
        <v>0.89999999999999991</v>
      </c>
      <c r="C19" s="1214">
        <v>0.05</v>
      </c>
      <c r="D19" s="1214">
        <v>0.05</v>
      </c>
      <c r="E19" s="1214">
        <v>1</v>
      </c>
      <c r="F19" s="1214">
        <v>0</v>
      </c>
      <c r="G19" s="1214">
        <v>0</v>
      </c>
      <c r="H19" s="1214">
        <v>0</v>
      </c>
      <c r="I19" s="1214">
        <v>0.2</v>
      </c>
      <c r="J19" s="1215"/>
      <c r="K19" s="1215"/>
      <c r="L19" s="1215">
        <v>1.8</v>
      </c>
      <c r="M19" s="1215">
        <v>1.6</v>
      </c>
      <c r="N19" s="1214">
        <v>1</v>
      </c>
      <c r="O19" s="1214">
        <f t="shared" ref="O19:O27" si="12">K36/I36</f>
        <v>1.5</v>
      </c>
      <c r="P19" s="1215">
        <v>200</v>
      </c>
      <c r="Q19" s="1216">
        <f t="shared" ref="Q19:Q20" si="13">M72</f>
        <v>36.660585692431567</v>
      </c>
      <c r="R19" s="1215">
        <v>1.2</v>
      </c>
      <c r="S19" s="1215">
        <f t="shared" ref="S19:S27" si="14">Z$37*AA$37*Z$40</f>
        <v>584.08000000000004</v>
      </c>
      <c r="T19" s="1215">
        <f t="shared" ref="T19:T27" si="15">AB$39</f>
        <v>14.662999999999998</v>
      </c>
      <c r="U19" s="1215">
        <f t="shared" ref="U19:U27" si="16">Z$41*AA$41*(Z$40+2*Z$38)</f>
        <v>617.32270600000004</v>
      </c>
      <c r="V19" s="1213">
        <f>T36/U36*S19+(M36+AA$21+D54)*(Z$36*AA$36-Z$37*AA$37)/1000*V36</f>
        <v>911.61947414109852</v>
      </c>
      <c r="X19" s="111" t="s">
        <v>11</v>
      </c>
      <c r="Y19" s="112"/>
      <c r="Z19" s="64"/>
      <c r="AA19" s="64"/>
      <c r="AB19" s="64">
        <v>1.8</v>
      </c>
      <c r="AC19" s="65"/>
    </row>
    <row r="20" spans="1:40" ht="18" customHeight="1">
      <c r="A20" s="314" t="s">
        <v>695</v>
      </c>
      <c r="B20" s="298">
        <f t="shared" si="11"/>
        <v>0.89999999999999991</v>
      </c>
      <c r="C20" s="298">
        <v>0.05</v>
      </c>
      <c r="D20" s="298">
        <v>0.05</v>
      </c>
      <c r="E20" s="298">
        <v>1</v>
      </c>
      <c r="F20" s="298">
        <v>0</v>
      </c>
      <c r="G20" s="298">
        <v>0</v>
      </c>
      <c r="H20" s="298">
        <v>0</v>
      </c>
      <c r="I20" s="298">
        <v>0.2</v>
      </c>
      <c r="J20" s="38"/>
      <c r="K20" s="38"/>
      <c r="L20" s="38">
        <v>1.8</v>
      </c>
      <c r="M20" s="38">
        <v>1.5</v>
      </c>
      <c r="N20" s="298">
        <v>1</v>
      </c>
      <c r="O20" s="298">
        <f t="shared" si="12"/>
        <v>1.5</v>
      </c>
      <c r="P20" s="38">
        <v>200</v>
      </c>
      <c r="Q20" s="940">
        <f t="shared" si="13"/>
        <v>36.660585692431567</v>
      </c>
      <c r="R20" s="38">
        <v>1.2</v>
      </c>
      <c r="S20" s="38">
        <f t="shared" si="14"/>
        <v>584.08000000000004</v>
      </c>
      <c r="T20" s="38">
        <f t="shared" si="15"/>
        <v>14.662999999999998</v>
      </c>
      <c r="U20" s="38">
        <f t="shared" si="16"/>
        <v>617.32270600000004</v>
      </c>
      <c r="V20" s="15">
        <f>T37/U37*S20+(M37+AA$21+D55)*(Z$36*AA$36-Z$37*AA$37)/1000*V37</f>
        <v>911.61947414109852</v>
      </c>
      <c r="X20" s="113" t="s">
        <v>12</v>
      </c>
      <c r="Y20" s="114"/>
      <c r="Z20" s="66" t="s">
        <v>13</v>
      </c>
      <c r="AA20" s="67"/>
      <c r="AB20" s="66">
        <v>2.25</v>
      </c>
      <c r="AC20" s="68"/>
    </row>
    <row r="21" spans="1:40" ht="18" customHeight="1">
      <c r="A21" s="314" t="s">
        <v>694</v>
      </c>
      <c r="B21" s="298">
        <f t="shared" si="11"/>
        <v>0.89999999999999991</v>
      </c>
      <c r="C21" s="298">
        <v>0.05</v>
      </c>
      <c r="D21" s="298">
        <v>0.05</v>
      </c>
      <c r="E21" s="298">
        <v>1</v>
      </c>
      <c r="F21" s="298">
        <v>0</v>
      </c>
      <c r="G21" s="298">
        <v>0</v>
      </c>
      <c r="H21" s="298">
        <v>0</v>
      </c>
      <c r="I21" s="298">
        <v>0.2</v>
      </c>
      <c r="J21" s="38"/>
      <c r="K21" s="38"/>
      <c r="L21" s="38">
        <v>1.8</v>
      </c>
      <c r="M21" s="38">
        <v>1.7</v>
      </c>
      <c r="N21" s="298">
        <v>1</v>
      </c>
      <c r="O21" s="298">
        <f t="shared" si="12"/>
        <v>1.5</v>
      </c>
      <c r="P21" s="38">
        <v>200</v>
      </c>
      <c r="Q21" s="940">
        <f t="shared" ref="Q21:Q26" si="17">M74</f>
        <v>36.660585692431567</v>
      </c>
      <c r="R21" s="38">
        <v>1.2</v>
      </c>
      <c r="S21" s="38">
        <f t="shared" si="14"/>
        <v>584.08000000000004</v>
      </c>
      <c r="T21" s="38">
        <f t="shared" si="15"/>
        <v>14.662999999999998</v>
      </c>
      <c r="U21" s="38">
        <f t="shared" si="16"/>
        <v>617.32270600000004</v>
      </c>
      <c r="V21" s="15">
        <f>T38/U38*S21+(M38+AA$21+D56)*(Z$36*AA$36-Z$37*AA$37)/1000*V38</f>
        <v>911.61947414109875</v>
      </c>
      <c r="X21" s="111" t="s">
        <v>14</v>
      </c>
      <c r="Y21" s="112"/>
      <c r="Z21" s="64">
        <v>7.5</v>
      </c>
      <c r="AA21" s="69">
        <f>Z21*AB21/10</f>
        <v>2.0249999999999999</v>
      </c>
      <c r="AB21" s="64">
        <v>2.7</v>
      </c>
      <c r="AC21" s="65"/>
    </row>
    <row r="22" spans="1:40">
      <c r="A22" s="314" t="s">
        <v>698</v>
      </c>
      <c r="B22" s="298">
        <f t="shared" si="11"/>
        <v>0.89999999999999991</v>
      </c>
      <c r="C22" s="298">
        <v>0.05</v>
      </c>
      <c r="D22" s="298">
        <v>0.05</v>
      </c>
      <c r="E22" s="298">
        <v>1</v>
      </c>
      <c r="F22" s="298">
        <v>0</v>
      </c>
      <c r="G22" s="298">
        <v>0</v>
      </c>
      <c r="H22" s="298">
        <v>0</v>
      </c>
      <c r="I22" s="298">
        <v>0.2</v>
      </c>
      <c r="J22" s="38"/>
      <c r="K22" s="38"/>
      <c r="L22" s="38">
        <v>1.8</v>
      </c>
      <c r="M22" s="38">
        <v>1.6</v>
      </c>
      <c r="N22" s="298">
        <v>1</v>
      </c>
      <c r="O22" s="298">
        <f t="shared" si="12"/>
        <v>1.5</v>
      </c>
      <c r="P22" s="38">
        <v>200</v>
      </c>
      <c r="Q22" s="940">
        <f t="shared" si="17"/>
        <v>22.744527123188412</v>
      </c>
      <c r="R22" s="38">
        <v>1.2</v>
      </c>
      <c r="S22" s="38">
        <f t="shared" si="14"/>
        <v>584.08000000000004</v>
      </c>
      <c r="T22" s="38">
        <f t="shared" si="15"/>
        <v>14.662999999999998</v>
      </c>
      <c r="U22" s="38">
        <f t="shared" si="16"/>
        <v>617.32270600000004</v>
      </c>
      <c r="V22" s="15">
        <f>T39/U39*S22+(M39+D57)*(Z$36*AA$36-Z$37*AA$37)/1000*V39</f>
        <v>928.38771069278766</v>
      </c>
      <c r="X22" s="113" t="s">
        <v>15</v>
      </c>
      <c r="Y22" s="114"/>
      <c r="Z22" s="66">
        <v>5</v>
      </c>
      <c r="AA22" s="70">
        <f>AB22*Z22/10</f>
        <v>4.4800000000000004</v>
      </c>
      <c r="AB22" s="66">
        <v>8.9600000000000009</v>
      </c>
      <c r="AC22" s="68"/>
    </row>
    <row r="23" spans="1:40">
      <c r="A23" s="314" t="s">
        <v>699</v>
      </c>
      <c r="B23" s="298">
        <f t="shared" si="11"/>
        <v>0.89999999999999991</v>
      </c>
      <c r="C23" s="298">
        <v>0.05</v>
      </c>
      <c r="D23" s="298">
        <v>0.05</v>
      </c>
      <c r="E23" s="298">
        <v>1</v>
      </c>
      <c r="F23" s="298">
        <v>0</v>
      </c>
      <c r="G23" s="298">
        <v>0</v>
      </c>
      <c r="H23" s="298">
        <v>0</v>
      </c>
      <c r="I23" s="298">
        <v>0.2</v>
      </c>
      <c r="J23" s="38"/>
      <c r="K23" s="38"/>
      <c r="L23" s="38">
        <v>1.8</v>
      </c>
      <c r="M23" s="38">
        <v>1.6</v>
      </c>
      <c r="N23" s="298">
        <v>1</v>
      </c>
      <c r="O23" s="298">
        <f t="shared" si="12"/>
        <v>1.5</v>
      </c>
      <c r="P23" s="38">
        <v>200</v>
      </c>
      <c r="Q23" s="940">
        <f t="shared" si="17"/>
        <v>50.576644261674716</v>
      </c>
      <c r="R23" s="38">
        <v>1.2</v>
      </c>
      <c r="S23" s="38">
        <f t="shared" si="14"/>
        <v>584.08000000000004</v>
      </c>
      <c r="T23" s="38">
        <f t="shared" si="15"/>
        <v>14.662999999999998</v>
      </c>
      <c r="U23" s="38">
        <f t="shared" si="16"/>
        <v>617.32270600000004</v>
      </c>
      <c r="V23" s="15">
        <f>T40/U40*S23+(M40+D58)*(Z$36*AA$36-Z$37*AA$37)/1000*V40</f>
        <v>894.60742994557222</v>
      </c>
      <c r="X23" s="111" t="s">
        <v>16</v>
      </c>
      <c r="Y23" s="112"/>
      <c r="Z23" s="64"/>
      <c r="AA23" s="69"/>
      <c r="AB23" s="64">
        <v>1.2</v>
      </c>
      <c r="AC23" s="65"/>
    </row>
    <row r="24" spans="1:40">
      <c r="A24" s="314" t="s">
        <v>700</v>
      </c>
      <c r="B24" s="298">
        <f t="shared" si="11"/>
        <v>0.89999999999999991</v>
      </c>
      <c r="C24" s="298">
        <v>0.05</v>
      </c>
      <c r="D24" s="298">
        <v>0.05</v>
      </c>
      <c r="E24" s="298">
        <v>1</v>
      </c>
      <c r="F24" s="298">
        <v>0</v>
      </c>
      <c r="G24" s="298">
        <v>0</v>
      </c>
      <c r="H24" s="298">
        <v>0</v>
      </c>
      <c r="I24" s="298">
        <v>0.2</v>
      </c>
      <c r="J24" s="38"/>
      <c r="K24" s="38"/>
      <c r="L24" s="38">
        <v>1.8</v>
      </c>
      <c r="M24" s="38">
        <v>1.6</v>
      </c>
      <c r="N24" s="298">
        <v>1</v>
      </c>
      <c r="O24" s="298">
        <f t="shared" si="12"/>
        <v>1.5</v>
      </c>
      <c r="P24" s="38">
        <v>200</v>
      </c>
      <c r="Q24" s="940">
        <f t="shared" si="17"/>
        <v>23.775346276465669</v>
      </c>
      <c r="R24" s="38">
        <v>1.2</v>
      </c>
      <c r="S24" s="38">
        <f t="shared" si="14"/>
        <v>584.08000000000004</v>
      </c>
      <c r="T24" s="38">
        <f t="shared" si="15"/>
        <v>14.662999999999998</v>
      </c>
      <c r="U24" s="38">
        <f t="shared" si="16"/>
        <v>617.32270600000004</v>
      </c>
      <c r="V24" s="15">
        <f>T41/U41*S24+(M41+D59)*(Z$36*AA$36-Z$37*AA$37)/1000*V41</f>
        <v>886.55794139575619</v>
      </c>
      <c r="X24" s="113" t="s">
        <v>209</v>
      </c>
      <c r="Y24" s="114"/>
      <c r="Z24" s="66">
        <v>5</v>
      </c>
      <c r="AA24" s="70">
        <f>AB24*Z24/10</f>
        <v>3.95</v>
      </c>
      <c r="AB24" s="66">
        <v>7.9</v>
      </c>
      <c r="AC24" s="68"/>
    </row>
    <row r="25" spans="1:40">
      <c r="A25" s="314" t="s">
        <v>701</v>
      </c>
      <c r="B25" s="298">
        <f t="shared" si="11"/>
        <v>0.89999999999999991</v>
      </c>
      <c r="C25" s="298">
        <v>0.05</v>
      </c>
      <c r="D25" s="298">
        <v>0.05</v>
      </c>
      <c r="E25" s="298">
        <v>1</v>
      </c>
      <c r="F25" s="298">
        <v>0</v>
      </c>
      <c r="G25" s="298">
        <v>0</v>
      </c>
      <c r="H25" s="298">
        <v>0</v>
      </c>
      <c r="I25" s="298">
        <v>0.2</v>
      </c>
      <c r="J25" s="38"/>
      <c r="K25" s="38"/>
      <c r="L25" s="38">
        <v>1.8</v>
      </c>
      <c r="M25" s="38">
        <v>1.6</v>
      </c>
      <c r="N25" s="298">
        <v>1</v>
      </c>
      <c r="O25" s="298">
        <f t="shared" si="12"/>
        <v>1.5</v>
      </c>
      <c r="P25" s="38">
        <v>200</v>
      </c>
      <c r="Q25" s="940">
        <f t="shared" si="17"/>
        <v>49.337157263604468</v>
      </c>
      <c r="R25" s="38">
        <v>1.2</v>
      </c>
      <c r="S25" s="38">
        <f t="shared" si="14"/>
        <v>584.08000000000004</v>
      </c>
      <c r="T25" s="38">
        <f t="shared" si="15"/>
        <v>14.662999999999998</v>
      </c>
      <c r="U25" s="38">
        <f t="shared" si="16"/>
        <v>617.32270600000004</v>
      </c>
      <c r="V25" s="15">
        <f t="shared" ref="V25:V26" si="18">T42/U42*S25+(M42+D60)*(Z$36*AA$36-Z$37*AA$37)/1000*V42</f>
        <v>931.38412435549128</v>
      </c>
      <c r="X25" s="111" t="s">
        <v>17</v>
      </c>
      <c r="Y25" s="112"/>
      <c r="Z25" s="64"/>
      <c r="AA25" s="69"/>
      <c r="AB25" s="64">
        <v>1.1000000000000001</v>
      </c>
      <c r="AC25" s="65"/>
    </row>
    <row r="26" spans="1:40">
      <c r="A26" s="314" t="s">
        <v>696</v>
      </c>
      <c r="B26" s="298">
        <f t="shared" si="11"/>
        <v>0.89999999999999991</v>
      </c>
      <c r="C26" s="298">
        <v>0.05</v>
      </c>
      <c r="D26" s="298">
        <v>0.05</v>
      </c>
      <c r="E26" s="298">
        <v>1</v>
      </c>
      <c r="F26" s="298">
        <v>0</v>
      </c>
      <c r="G26" s="298">
        <v>0</v>
      </c>
      <c r="H26" s="298">
        <v>0</v>
      </c>
      <c r="I26" s="298">
        <v>0.2</v>
      </c>
      <c r="J26" s="38"/>
      <c r="K26" s="38"/>
      <c r="L26" s="38">
        <v>1.8</v>
      </c>
      <c r="M26" s="38">
        <v>1.6</v>
      </c>
      <c r="N26" s="298">
        <v>1</v>
      </c>
      <c r="O26" s="298">
        <f t="shared" si="12"/>
        <v>1.5</v>
      </c>
      <c r="P26" s="38">
        <v>200</v>
      </c>
      <c r="Q26" s="940">
        <f t="shared" si="17"/>
        <v>454.14234276972633</v>
      </c>
      <c r="R26" s="38">
        <v>1.2</v>
      </c>
      <c r="S26" s="38">
        <f t="shared" si="14"/>
        <v>584.08000000000004</v>
      </c>
      <c r="T26" s="38">
        <f t="shared" si="15"/>
        <v>14.662999999999998</v>
      </c>
      <c r="U26" s="38">
        <f t="shared" si="16"/>
        <v>617.32270600000004</v>
      </c>
      <c r="V26" s="15">
        <f t="shared" si="18"/>
        <v>700.9967867994651</v>
      </c>
      <c r="X26" s="113" t="s">
        <v>18</v>
      </c>
      <c r="Y26" s="114"/>
      <c r="Z26" s="66"/>
      <c r="AA26" s="67"/>
      <c r="AB26" s="66">
        <v>1.4</v>
      </c>
      <c r="AC26" s="68"/>
    </row>
    <row r="27" spans="1:40" ht="17" thickBot="1">
      <c r="A27" s="697" t="s">
        <v>697</v>
      </c>
      <c r="B27" s="56">
        <f t="shared" si="11"/>
        <v>0.89999999999999991</v>
      </c>
      <c r="C27" s="56">
        <v>0.05</v>
      </c>
      <c r="D27" s="56">
        <v>0.05</v>
      </c>
      <c r="E27" s="56">
        <v>1</v>
      </c>
      <c r="F27" s="56">
        <v>0</v>
      </c>
      <c r="G27" s="56">
        <v>0</v>
      </c>
      <c r="H27" s="56">
        <v>0</v>
      </c>
      <c r="I27" s="56">
        <v>0.2</v>
      </c>
      <c r="J27" s="39"/>
      <c r="K27" s="39"/>
      <c r="L27" s="39">
        <v>1.8</v>
      </c>
      <c r="M27" s="39">
        <v>1.6</v>
      </c>
      <c r="N27" s="56">
        <v>1</v>
      </c>
      <c r="O27" s="56">
        <f t="shared" si="12"/>
        <v>1.5</v>
      </c>
      <c r="P27" s="39">
        <v>200</v>
      </c>
      <c r="Q27" s="304">
        <v>15</v>
      </c>
      <c r="R27" s="39">
        <v>1.2</v>
      </c>
      <c r="S27" s="39">
        <f t="shared" si="14"/>
        <v>584.08000000000004</v>
      </c>
      <c r="T27" s="39">
        <f t="shared" si="15"/>
        <v>14.662999999999998</v>
      </c>
      <c r="U27" s="39">
        <f t="shared" si="16"/>
        <v>617.32270600000004</v>
      </c>
      <c r="V27" s="17">
        <f>T44/U44*S27+(M44+D62)*(Z$36*AA$36-Z$37*AA$37)/1000*V44</f>
        <v>886.3770456816344</v>
      </c>
      <c r="X27" s="111" t="s">
        <v>152</v>
      </c>
      <c r="Y27" s="112"/>
      <c r="Z27" s="64"/>
      <c r="AA27" s="69"/>
      <c r="AB27" s="64">
        <v>1.2</v>
      </c>
      <c r="AC27" s="65"/>
    </row>
    <row r="28" spans="1:40" ht="18" customHeight="1">
      <c r="A28" s="297"/>
      <c r="B28" s="298"/>
      <c r="C28" s="298"/>
      <c r="D28" s="298"/>
      <c r="E28" s="298"/>
      <c r="F28" s="298"/>
      <c r="G28" s="298"/>
      <c r="H28" s="298"/>
      <c r="I28" s="298"/>
      <c r="J28" s="38"/>
      <c r="K28" s="38"/>
      <c r="L28" s="38"/>
      <c r="M28" s="38"/>
      <c r="N28" s="298"/>
      <c r="O28" s="298"/>
      <c r="P28" s="38"/>
      <c r="Q28" s="38"/>
      <c r="R28" s="38"/>
      <c r="S28" s="38"/>
      <c r="T28" s="38"/>
      <c r="U28" s="299"/>
      <c r="V28" s="15"/>
      <c r="X28" s="113" t="s">
        <v>19</v>
      </c>
      <c r="Y28" s="114"/>
      <c r="Z28" s="66"/>
      <c r="AA28" s="70"/>
      <c r="AB28" s="70">
        <v>0.95</v>
      </c>
      <c r="AC28" s="71">
        <v>0.39</v>
      </c>
    </row>
    <row r="29" spans="1:40" ht="15.75" customHeight="1" thickBot="1">
      <c r="X29" s="115" t="s">
        <v>40</v>
      </c>
      <c r="Y29" s="116"/>
      <c r="Z29" s="72"/>
      <c r="AA29" s="73"/>
      <c r="AB29" s="73">
        <v>0.95</v>
      </c>
      <c r="AC29" s="74">
        <v>0.8</v>
      </c>
      <c r="AM29" s="2"/>
      <c r="AN29" s="2"/>
    </row>
    <row r="30" spans="1:40" ht="15.75" customHeight="1">
      <c r="A30" s="516" t="s">
        <v>43</v>
      </c>
      <c r="B30" s="524" t="s">
        <v>90</v>
      </c>
      <c r="C30" s="491" t="s">
        <v>94</v>
      </c>
      <c r="D30" s="491" t="s">
        <v>95</v>
      </c>
      <c r="E30" s="532" t="s">
        <v>129</v>
      </c>
      <c r="F30" s="522" t="s">
        <v>93</v>
      </c>
      <c r="G30" s="491" t="s">
        <v>130</v>
      </c>
      <c r="H30" s="532" t="s">
        <v>97</v>
      </c>
      <c r="I30" s="522" t="s">
        <v>132</v>
      </c>
      <c r="J30" s="532" t="s">
        <v>98</v>
      </c>
      <c r="K30" s="522" t="s">
        <v>99</v>
      </c>
      <c r="L30" s="532" t="s">
        <v>100</v>
      </c>
      <c r="M30" s="522" t="s">
        <v>101</v>
      </c>
      <c r="N30" s="532" t="s">
        <v>102</v>
      </c>
      <c r="O30" s="522" t="s">
        <v>103</v>
      </c>
      <c r="P30" s="522" t="s">
        <v>161</v>
      </c>
      <c r="Q30" s="522" t="s">
        <v>160</v>
      </c>
      <c r="R30" s="522" t="s">
        <v>104</v>
      </c>
      <c r="S30" s="522" t="s">
        <v>105</v>
      </c>
      <c r="T30" s="522" t="s">
        <v>106</v>
      </c>
      <c r="U30" s="522" t="s">
        <v>107</v>
      </c>
      <c r="V30" s="522" t="s">
        <v>242</v>
      </c>
    </row>
    <row r="31" spans="1:40" ht="15.75" customHeight="1">
      <c r="A31" s="517"/>
      <c r="B31" s="525"/>
      <c r="C31" s="492"/>
      <c r="D31" s="492"/>
      <c r="E31" s="533"/>
      <c r="F31" s="523"/>
      <c r="G31" s="492"/>
      <c r="H31" s="533"/>
      <c r="I31" s="523"/>
      <c r="J31" s="533"/>
      <c r="K31" s="523"/>
      <c r="L31" s="533"/>
      <c r="M31" s="523"/>
      <c r="N31" s="533"/>
      <c r="O31" s="523"/>
      <c r="P31" s="523"/>
      <c r="Q31" s="523"/>
      <c r="R31" s="523"/>
      <c r="S31" s="523"/>
      <c r="T31" s="523"/>
      <c r="U31" s="523"/>
      <c r="V31" s="523"/>
    </row>
    <row r="32" spans="1:40" ht="15.75" customHeight="1" thickBot="1">
      <c r="A32" s="517"/>
      <c r="B32" s="525"/>
      <c r="C32" s="492"/>
      <c r="D32" s="492"/>
      <c r="E32" s="533"/>
      <c r="F32" s="523"/>
      <c r="G32" s="492"/>
      <c r="H32" s="533"/>
      <c r="I32" s="523"/>
      <c r="J32" s="533"/>
      <c r="K32" s="523"/>
      <c r="L32" s="533"/>
      <c r="M32" s="523"/>
      <c r="N32" s="533"/>
      <c r="O32" s="523"/>
      <c r="P32" s="523"/>
      <c r="Q32" s="523"/>
      <c r="R32" s="523"/>
      <c r="S32" s="523"/>
      <c r="T32" s="523"/>
      <c r="U32" s="523"/>
      <c r="V32" s="523"/>
      <c r="X32" s="117"/>
      <c r="Y32" s="117"/>
      <c r="Z32" s="118"/>
      <c r="AA32" s="119"/>
      <c r="AB32" s="117"/>
      <c r="AC32" s="110"/>
    </row>
    <row r="33" spans="1:29" ht="15.75" customHeight="1">
      <c r="A33" s="517"/>
      <c r="B33" s="525"/>
      <c r="C33" s="492"/>
      <c r="D33" s="492"/>
      <c r="E33" s="533"/>
      <c r="F33" s="523"/>
      <c r="G33" s="492"/>
      <c r="H33" s="533"/>
      <c r="I33" s="523"/>
      <c r="J33" s="533"/>
      <c r="K33" s="523"/>
      <c r="L33" s="533"/>
      <c r="M33" s="523"/>
      <c r="N33" s="533"/>
      <c r="O33" s="523"/>
      <c r="P33" s="523"/>
      <c r="Q33" s="523"/>
      <c r="R33" s="523"/>
      <c r="S33" s="523"/>
      <c r="T33" s="523"/>
      <c r="U33" s="523"/>
      <c r="V33" s="523"/>
      <c r="X33" s="510" t="s">
        <v>226</v>
      </c>
      <c r="Y33" s="511"/>
      <c r="Z33" s="285" t="s">
        <v>235</v>
      </c>
      <c r="AA33" s="285" t="s">
        <v>236</v>
      </c>
      <c r="AB33" s="285" t="s">
        <v>131</v>
      </c>
    </row>
    <row r="34" spans="1:29" ht="16.5" customHeight="1">
      <c r="A34" s="517"/>
      <c r="B34" s="525"/>
      <c r="C34" s="492"/>
      <c r="D34" s="492"/>
      <c r="E34" s="533"/>
      <c r="F34" s="523"/>
      <c r="G34" s="492"/>
      <c r="H34" s="533"/>
      <c r="I34" s="523"/>
      <c r="J34" s="533"/>
      <c r="K34" s="523"/>
      <c r="L34" s="533"/>
      <c r="M34" s="523"/>
      <c r="N34" s="533"/>
      <c r="O34" s="523"/>
      <c r="P34" s="523"/>
      <c r="Q34" s="523"/>
      <c r="R34" s="523"/>
      <c r="S34" s="523"/>
      <c r="T34" s="523"/>
      <c r="U34" s="523"/>
      <c r="V34" s="523"/>
      <c r="X34" s="512"/>
      <c r="Y34" s="513"/>
      <c r="Z34" s="286"/>
      <c r="AA34" s="286"/>
      <c r="AB34" s="286"/>
    </row>
    <row r="35" spans="1:29" ht="17.25" customHeight="1" thickBot="1">
      <c r="A35" s="517"/>
      <c r="B35" s="462" t="s">
        <v>51</v>
      </c>
      <c r="C35" s="462" t="s">
        <v>51</v>
      </c>
      <c r="D35" s="462" t="s">
        <v>51</v>
      </c>
      <c r="E35" s="464" t="s">
        <v>92</v>
      </c>
      <c r="F35" s="479" t="s">
        <v>92</v>
      </c>
      <c r="G35" s="462" t="s">
        <v>71</v>
      </c>
      <c r="H35" s="464" t="s">
        <v>96</v>
      </c>
      <c r="I35" s="459" t="s">
        <v>96</v>
      </c>
      <c r="J35" s="464" t="s">
        <v>96</v>
      </c>
      <c r="K35" s="479" t="s">
        <v>96</v>
      </c>
      <c r="L35" s="464" t="s">
        <v>71</v>
      </c>
      <c r="M35" s="479" t="s">
        <v>71</v>
      </c>
      <c r="N35" s="464" t="s">
        <v>68</v>
      </c>
      <c r="O35" s="479" t="s">
        <v>68</v>
      </c>
      <c r="P35" s="479" t="s">
        <v>68</v>
      </c>
      <c r="Q35" s="479" t="s">
        <v>68</v>
      </c>
      <c r="R35" s="479" t="s">
        <v>68</v>
      </c>
      <c r="S35" s="479" t="s">
        <v>71</v>
      </c>
      <c r="T35" s="459" t="s">
        <v>74</v>
      </c>
      <c r="U35" s="479" t="s">
        <v>76</v>
      </c>
      <c r="V35" s="479"/>
      <c r="X35" s="514"/>
      <c r="Y35" s="515"/>
      <c r="Z35" s="63" t="s">
        <v>234</v>
      </c>
      <c r="AA35" s="63" t="s">
        <v>234</v>
      </c>
      <c r="AB35" s="63" t="s">
        <v>108</v>
      </c>
      <c r="AC35" s="119"/>
    </row>
    <row r="36" spans="1:29" ht="16.5" customHeight="1">
      <c r="A36" s="699" t="str">
        <f>A19</f>
        <v>PBQS baseline</v>
      </c>
      <c r="B36" s="332">
        <f t="shared" ref="B36:B40" si="19">1/(B19/E$10+C19/$AB$19+D19/$AB$20)</f>
        <v>1.6326530612244901</v>
      </c>
      <c r="C36" s="332">
        <f t="shared" ref="C36:C38" si="20">1/(E19/E$15+F19/$AB$19+G19/$AB$20)</f>
        <v>2.7</v>
      </c>
      <c r="D36" s="332">
        <f t="shared" ref="D36:D43" si="21">B19*B36*(1-G$10)</f>
        <v>0.86693877551020426</v>
      </c>
      <c r="E36" s="332">
        <f t="shared" ref="E36:E43" si="22">D36*C$10</f>
        <v>336.37224489795926</v>
      </c>
      <c r="F36" s="332">
        <f t="shared" ref="F36:F43" si="23">D36*D$10</f>
        <v>260.08163265306126</v>
      </c>
      <c r="G36" s="332">
        <f>D36*0.1*P19</f>
        <v>17.338775510204087</v>
      </c>
      <c r="H36" s="332">
        <f t="shared" ref="H36:H43" si="24">C$10*G36/1000</f>
        <v>6.7274448979591863</v>
      </c>
      <c r="I36" s="332">
        <f t="shared" ref="I36:I43" si="25">D$10*G36/1000</f>
        <v>5.2016326530612256</v>
      </c>
      <c r="J36" s="332">
        <f t="shared" ref="J36:J41" si="26">H36*N19</f>
        <v>6.7274448979591863</v>
      </c>
      <c r="K36" s="332">
        <f t="shared" ref="K36:K40" si="27">MAX(I36*1.5,AA$21*D$15/1000)</f>
        <v>7.8024489795918388</v>
      </c>
      <c r="L36" s="332">
        <f t="shared" ref="L36:L39" si="28">J36/C$15*1000</f>
        <v>2.2567745380607804</v>
      </c>
      <c r="M36" s="332">
        <f t="shared" ref="M36:M38" si="29">MAX(K36/D$15*1000,AA$21)</f>
        <v>2.6173931498127603</v>
      </c>
      <c r="N36" s="332">
        <f t="shared" ref="N36:N38" si="30">L36/E19/(C36*1000)*10000/(1-G$15)</f>
        <v>8.3584242150399284</v>
      </c>
      <c r="O36" s="332">
        <f t="shared" ref="O36:O38" si="31">MAX(M36/E19/(C36*1000)*10000/(1-G$15),Z$21)</f>
        <v>9.6940487030102229</v>
      </c>
      <c r="P36" s="332">
        <f t="shared" ref="P36:P41" si="32">((O36*(1+F$15))-O36)/O19</f>
        <v>-6.4626991353401486</v>
      </c>
      <c r="Q36" s="332">
        <f t="shared" ref="Q36:Q41" si="33">P19*F$10*B19</f>
        <v>18</v>
      </c>
      <c r="R36" s="332">
        <f>P19+O36+$Z$24+$Q19+V54+MAX(P36+Q36+G84,0)</f>
        <v>273.62032810623083</v>
      </c>
      <c r="S36" s="332">
        <f>G36/B19+M36/$E$19+$AA$24+$D$54+R54</f>
        <v>42.560549872186058</v>
      </c>
      <c r="T36" s="332">
        <f t="shared" ref="T36:T43" si="34">I36*M19/R36*10000</f>
        <v>304.16644488733948</v>
      </c>
      <c r="U36" s="332">
        <f t="shared" ref="U36:U44" si="35">I36*M19/S36*1000</f>
        <v>195.54757327834503</v>
      </c>
      <c r="V36" s="1213">
        <f>10000*Z$40/R36</f>
        <v>73.09398442149066</v>
      </c>
      <c r="X36" s="497" t="s">
        <v>230</v>
      </c>
      <c r="Y36" s="498"/>
      <c r="Z36" s="148">
        <v>10</v>
      </c>
      <c r="AA36" s="148">
        <v>30</v>
      </c>
      <c r="AB36" s="75"/>
      <c r="AC36" s="117" t="s">
        <v>227</v>
      </c>
    </row>
    <row r="37" spans="1:29" ht="16.5" customHeight="1">
      <c r="A37" s="314" t="str">
        <f t="shared" ref="A37:A40" si="36">A20</f>
        <v>PBQS low V</v>
      </c>
      <c r="B37" s="13">
        <f t="shared" si="19"/>
        <v>1.6326530612244901</v>
      </c>
      <c r="C37" s="13">
        <f t="shared" si="20"/>
        <v>2.7</v>
      </c>
      <c r="D37" s="13">
        <f t="shared" si="21"/>
        <v>0.86693877551020426</v>
      </c>
      <c r="E37" s="13">
        <f t="shared" si="22"/>
        <v>336.37224489795926</v>
      </c>
      <c r="F37" s="13">
        <f t="shared" si="23"/>
        <v>260.08163265306126</v>
      </c>
      <c r="G37" s="13">
        <f>D37*0.1*P20</f>
        <v>17.338775510204087</v>
      </c>
      <c r="H37" s="13">
        <f t="shared" si="24"/>
        <v>6.7274448979591863</v>
      </c>
      <c r="I37" s="13">
        <f t="shared" si="25"/>
        <v>5.2016326530612256</v>
      </c>
      <c r="J37" s="13">
        <f t="shared" si="26"/>
        <v>6.7274448979591863</v>
      </c>
      <c r="K37" s="13">
        <f t="shared" si="27"/>
        <v>7.8024489795918388</v>
      </c>
      <c r="L37" s="13">
        <f t="shared" si="28"/>
        <v>2.2567745380607804</v>
      </c>
      <c r="M37" s="13">
        <f t="shared" si="29"/>
        <v>2.6173931498127603</v>
      </c>
      <c r="N37" s="13">
        <f t="shared" si="30"/>
        <v>8.3584242150399284</v>
      </c>
      <c r="O37" s="13">
        <f t="shared" si="31"/>
        <v>9.6940487030102229</v>
      </c>
      <c r="P37" s="13">
        <f t="shared" si="32"/>
        <v>-6.4626991353401486</v>
      </c>
      <c r="Q37" s="13">
        <f t="shared" si="33"/>
        <v>18</v>
      </c>
      <c r="R37" s="13">
        <f t="shared" ref="R37:R43" si="37">P20+O37+$Z$24+$Q20+V55+MAX(P37+Q37+G85,0)</f>
        <v>273.62032810623083</v>
      </c>
      <c r="S37" s="13">
        <f t="shared" ref="S37:S43" si="38">G37/B20+M37/$E$19+$AA$24+$D$54+R55</f>
        <v>42.560549872186058</v>
      </c>
      <c r="T37" s="13">
        <f t="shared" si="34"/>
        <v>285.1560420818808</v>
      </c>
      <c r="U37" s="13">
        <f t="shared" si="35"/>
        <v>183.32584994844848</v>
      </c>
      <c r="V37" s="15">
        <f t="shared" ref="V37:V44" si="39">10000*Z$40/R37</f>
        <v>73.09398442149066</v>
      </c>
      <c r="X37" s="497" t="s">
        <v>231</v>
      </c>
      <c r="Y37" s="565"/>
      <c r="Z37" s="75">
        <f>Z36-0.2</f>
        <v>9.8000000000000007</v>
      </c>
      <c r="AA37" s="75">
        <f>AA36-0.2</f>
        <v>29.8</v>
      </c>
      <c r="AB37" s="75"/>
      <c r="AC37" s="117" t="s">
        <v>228</v>
      </c>
    </row>
    <row r="38" spans="1:29" ht="16.5" customHeight="1">
      <c r="A38" s="314" t="str">
        <f t="shared" si="36"/>
        <v>PBQS high V</v>
      </c>
      <c r="B38" s="13">
        <f t="shared" si="19"/>
        <v>1.6326530612244901</v>
      </c>
      <c r="C38" s="13">
        <f t="shared" si="20"/>
        <v>2.7</v>
      </c>
      <c r="D38" s="13">
        <f t="shared" si="21"/>
        <v>0.86693877551020426</v>
      </c>
      <c r="E38" s="13">
        <f t="shared" si="22"/>
        <v>336.37224489795926</v>
      </c>
      <c r="F38" s="13">
        <f t="shared" si="23"/>
        <v>260.08163265306126</v>
      </c>
      <c r="G38" s="13">
        <f>D38*0.1*P21</f>
        <v>17.338775510204087</v>
      </c>
      <c r="H38" s="13">
        <f t="shared" si="24"/>
        <v>6.7274448979591863</v>
      </c>
      <c r="I38" s="13">
        <f t="shared" si="25"/>
        <v>5.2016326530612256</v>
      </c>
      <c r="J38" s="13">
        <f t="shared" si="26"/>
        <v>6.7274448979591863</v>
      </c>
      <c r="K38" s="13">
        <f t="shared" si="27"/>
        <v>7.8024489795918388</v>
      </c>
      <c r="L38" s="13">
        <f t="shared" si="28"/>
        <v>2.2567745380607804</v>
      </c>
      <c r="M38" s="13">
        <f t="shared" si="29"/>
        <v>2.6173931498127603</v>
      </c>
      <c r="N38" s="13">
        <f t="shared" si="30"/>
        <v>8.3584242150399284</v>
      </c>
      <c r="O38" s="13">
        <f t="shared" si="31"/>
        <v>9.6940487030102229</v>
      </c>
      <c r="P38" s="13">
        <f t="shared" si="32"/>
        <v>-6.4626991353401486</v>
      </c>
      <c r="Q38" s="13">
        <f t="shared" si="33"/>
        <v>18</v>
      </c>
      <c r="R38" s="13">
        <f t="shared" si="37"/>
        <v>273.62032810623083</v>
      </c>
      <c r="S38" s="13">
        <f t="shared" si="38"/>
        <v>42.560549872186058</v>
      </c>
      <c r="T38" s="13">
        <f t="shared" si="34"/>
        <v>323.17684769279822</v>
      </c>
      <c r="U38" s="13">
        <f t="shared" si="35"/>
        <v>207.76929660824155</v>
      </c>
      <c r="V38" s="15">
        <f t="shared" si="39"/>
        <v>73.09398442149066</v>
      </c>
      <c r="X38" s="497" t="s">
        <v>233</v>
      </c>
      <c r="Y38" s="565"/>
      <c r="Z38" s="1">
        <v>1.5299999999999999E-2</v>
      </c>
      <c r="AB38" s="76">
        <v>2.1499999999999998E-2</v>
      </c>
    </row>
    <row r="39" spans="1:29">
      <c r="A39" s="314" t="str">
        <f t="shared" si="36"/>
        <v>PBQS low capacity</v>
      </c>
      <c r="B39" s="13">
        <f t="shared" si="19"/>
        <v>1.6326530612244901</v>
      </c>
      <c r="C39" s="13">
        <f>1/(E22/E$15+F22/$AB$19+G22/$AB$20)</f>
        <v>2.7</v>
      </c>
      <c r="D39" s="13">
        <f>B22*B39*(1-G$13)</f>
        <v>0.86693877551020426</v>
      </c>
      <c r="E39" s="13">
        <f>D39*C$13</f>
        <v>336.37224489795926</v>
      </c>
      <c r="F39" s="13">
        <f>D39*D$13</f>
        <v>234.07346938775515</v>
      </c>
      <c r="G39" s="13">
        <f>D39*0.1*P22</f>
        <v>17.338775510204087</v>
      </c>
      <c r="H39" s="13">
        <f>C$13*G39/1000</f>
        <v>6.7274448979591863</v>
      </c>
      <c r="I39" s="13">
        <f>D$13*G39/1000</f>
        <v>4.6814693877551035</v>
      </c>
      <c r="J39" s="13">
        <f t="shared" si="26"/>
        <v>6.7274448979591863</v>
      </c>
      <c r="K39" s="13">
        <f t="shared" si="27"/>
        <v>7.0222040816326547</v>
      </c>
      <c r="L39" s="13">
        <f t="shared" si="28"/>
        <v>2.2567745380607804</v>
      </c>
      <c r="M39" s="13">
        <f>MAX(K39/D$15*1000,AA$21)</f>
        <v>2.3556538348314846</v>
      </c>
      <c r="N39" s="13">
        <f>L39/E22/(C39*1000)*10000/(1-G$15)</f>
        <v>8.3584242150399284</v>
      </c>
      <c r="O39" s="13">
        <f>MAX(M39/E22/(C39*1000)*10000/(1-G$15),Z$21)</f>
        <v>8.7246438327092015</v>
      </c>
      <c r="P39" s="13">
        <f t="shared" si="32"/>
        <v>-5.8164292218061346</v>
      </c>
      <c r="Q39" s="13">
        <f t="shared" si="33"/>
        <v>18</v>
      </c>
      <c r="R39" s="13">
        <f t="shared" si="37"/>
        <v>256.50829529560775</v>
      </c>
      <c r="S39" s="13">
        <f t="shared" si="38"/>
        <v>40.695680610027971</v>
      </c>
      <c r="T39" s="13">
        <f t="shared" si="34"/>
        <v>292.01203851033608</v>
      </c>
      <c r="U39" s="13">
        <f t="shared" si="35"/>
        <v>184.05764219022402</v>
      </c>
      <c r="V39" s="15">
        <f t="shared" si="39"/>
        <v>77.970187969755159</v>
      </c>
      <c r="X39" s="497" t="s">
        <v>232</v>
      </c>
      <c r="Y39" s="498"/>
      <c r="Z39" s="75">
        <f>Z36+1</f>
        <v>11</v>
      </c>
      <c r="AA39" s="75">
        <f>AA36+1</f>
        <v>31</v>
      </c>
      <c r="AB39" s="75">
        <f>2*Z39*AA39*AB38</f>
        <v>14.662999999999998</v>
      </c>
      <c r="AC39" s="128" t="s">
        <v>229</v>
      </c>
    </row>
    <row r="40" spans="1:29">
      <c r="A40" s="314" t="str">
        <f t="shared" si="36"/>
        <v>PBQS high capacity</v>
      </c>
      <c r="B40" s="13">
        <f t="shared" si="19"/>
        <v>1.6326530612244901</v>
      </c>
      <c r="C40" s="13">
        <f>1/(E23/E15+F23/$AB$19+G23/$AB$20)</f>
        <v>2.7</v>
      </c>
      <c r="D40" s="13">
        <f t="shared" si="21"/>
        <v>0.86693877551020426</v>
      </c>
      <c r="E40" s="13">
        <f>D40*C$14</f>
        <v>336.37224489795926</v>
      </c>
      <c r="F40" s="13">
        <f>D40*D$14</f>
        <v>286.08979591836743</v>
      </c>
      <c r="G40" s="13">
        <f t="shared" ref="G40:G41" si="40">D40*0.1*P23</f>
        <v>17.338775510204087</v>
      </c>
      <c r="H40" s="13">
        <f>C$14*G40/1000</f>
        <v>6.7274448979591863</v>
      </c>
      <c r="I40" s="13">
        <f>D$14*G40/1000</f>
        <v>5.7217959183673486</v>
      </c>
      <c r="J40" s="13">
        <f t="shared" si="26"/>
        <v>6.7274448979591863</v>
      </c>
      <c r="K40" s="13">
        <f t="shared" si="27"/>
        <v>8.5826938775510229</v>
      </c>
      <c r="L40" s="13">
        <f>J40/C$15*1000</f>
        <v>2.2567745380607804</v>
      </c>
      <c r="M40" s="13">
        <f>MAX(K40/D$15*1000,AA$21)</f>
        <v>2.8791324647940364</v>
      </c>
      <c r="N40" s="13">
        <f>L40/E23/(C40*1000)*10000/(1-G15)</f>
        <v>8.3584242150399284</v>
      </c>
      <c r="O40" s="13">
        <f>MAX(M40/E23/(C40*1000)*10000/(1-G$15),Z$21)</f>
        <v>10.663453573311246</v>
      </c>
      <c r="P40" s="13">
        <f t="shared" si="32"/>
        <v>-7.1089690488741644</v>
      </c>
      <c r="Q40" s="13">
        <f t="shared" si="33"/>
        <v>18</v>
      </c>
      <c r="R40" s="13">
        <f t="shared" si="37"/>
        <v>290.73236091685385</v>
      </c>
      <c r="S40" s="13">
        <f t="shared" si="38"/>
        <v>44.425419134344139</v>
      </c>
      <c r="T40" s="13">
        <f t="shared" si="34"/>
        <v>314.89007417395641</v>
      </c>
      <c r="U40" s="13">
        <f t="shared" si="35"/>
        <v>206.07286656549206</v>
      </c>
      <c r="V40" s="15">
        <f t="shared" si="39"/>
        <v>68.791791656518669</v>
      </c>
      <c r="X40" s="497" t="s">
        <v>238</v>
      </c>
      <c r="Y40" s="498"/>
      <c r="Z40" s="75">
        <v>2</v>
      </c>
      <c r="AA40" s="75"/>
      <c r="AB40" s="75"/>
      <c r="AC40" s="110"/>
    </row>
    <row r="41" spans="1:29">
      <c r="A41" s="314" t="str">
        <f>A24</f>
        <v>PBQS low density</v>
      </c>
      <c r="B41" s="13">
        <f>1/(B24/E$11+C24/$AB$19+D24/$AB$20)</f>
        <v>1.4814814814814816</v>
      </c>
      <c r="C41" s="13">
        <f>1/(E24/E15+F24/$AB$19+G24/$AB$20)</f>
        <v>2.7</v>
      </c>
      <c r="D41" s="13">
        <f t="shared" si="21"/>
        <v>0.78666666666666674</v>
      </c>
      <c r="E41" s="13">
        <f t="shared" si="22"/>
        <v>305.22666666666669</v>
      </c>
      <c r="F41" s="13">
        <f t="shared" si="23"/>
        <v>236.00000000000003</v>
      </c>
      <c r="G41" s="13">
        <f t="shared" si="40"/>
        <v>15.733333333333336</v>
      </c>
      <c r="H41" s="13">
        <f t="shared" si="24"/>
        <v>6.1045333333333343</v>
      </c>
      <c r="I41" s="13">
        <f t="shared" si="25"/>
        <v>4.7200000000000006</v>
      </c>
      <c r="J41" s="13">
        <f t="shared" si="26"/>
        <v>6.1045333333333343</v>
      </c>
      <c r="K41" s="13">
        <f>MAX(I41*1.5,AA$21*D$15/1000)</f>
        <v>7.080000000000001</v>
      </c>
      <c r="L41" s="13">
        <f>J41/C15*1000</f>
        <v>2.0478139326847815</v>
      </c>
      <c r="M41" s="13">
        <f>MAX(K41/D$15*1000,AA$21)</f>
        <v>2.3750419322375045</v>
      </c>
      <c r="N41" s="13">
        <f>L41/E24/(C41*1000)*10000/(1-G15)</f>
        <v>7.5844960469806724</v>
      </c>
      <c r="O41" s="13">
        <f>MAX(M41/E24/(C41*1000)*10000/(1-G$15),Z$21)</f>
        <v>8.7964516008796458</v>
      </c>
      <c r="P41" s="13">
        <f t="shared" si="32"/>
        <v>-5.8643010672530975</v>
      </c>
      <c r="Q41" s="13">
        <f t="shared" si="33"/>
        <v>18</v>
      </c>
      <c r="R41" s="13">
        <f t="shared" si="37"/>
        <v>257.77585328157983</v>
      </c>
      <c r="S41" s="13">
        <f t="shared" si="38"/>
        <v>39.049994432924024</v>
      </c>
      <c r="T41" s="13">
        <f t="shared" si="34"/>
        <v>292.96770445564664</v>
      </c>
      <c r="U41" s="13">
        <f t="shared" si="35"/>
        <v>193.39311335810902</v>
      </c>
      <c r="V41" s="15">
        <f t="shared" si="39"/>
        <v>77.586786137618276</v>
      </c>
      <c r="X41" s="554" t="s">
        <v>239</v>
      </c>
      <c r="Y41" s="555"/>
      <c r="Z41" s="77">
        <f>Z36+0.1</f>
        <v>10.1</v>
      </c>
      <c r="AA41" s="77">
        <f>AA36+0.1</f>
        <v>30.1</v>
      </c>
      <c r="AB41" s="77"/>
      <c r="AC41" s="110"/>
    </row>
    <row r="42" spans="1:29" ht="17" thickBot="1">
      <c r="A42" s="314" t="str">
        <f>A25</f>
        <v>PBQS high density</v>
      </c>
      <c r="B42" s="13">
        <f>1/(B25/E$12+C25/$AB$19+D25/$AB$20)</f>
        <v>1.7813765182186236</v>
      </c>
      <c r="C42" s="13">
        <f>1/(E25/E15+F25/$AB$19+G25/$AB$20)</f>
        <v>2.7</v>
      </c>
      <c r="D42" s="13">
        <f t="shared" si="21"/>
        <v>0.9459109311740892</v>
      </c>
      <c r="E42" s="13">
        <f t="shared" si="22"/>
        <v>367.01344129554661</v>
      </c>
      <c r="F42" s="13">
        <f t="shared" si="23"/>
        <v>283.77327935222678</v>
      </c>
      <c r="G42" s="13">
        <f>D42*0.1*P25</f>
        <v>18.918218623481785</v>
      </c>
      <c r="H42" s="13">
        <f t="shared" si="24"/>
        <v>7.3402688259109325</v>
      </c>
      <c r="I42" s="13">
        <f t="shared" si="25"/>
        <v>5.6754655870445356</v>
      </c>
      <c r="J42" s="13">
        <f>H42*N25</f>
        <v>7.3402688259109325</v>
      </c>
      <c r="K42" s="13">
        <f>MAX(I42*1.5,AA$21*D$15/1000)</f>
        <v>8.5131983805668039</v>
      </c>
      <c r="L42" s="13">
        <f>J42/C15*1000</f>
        <v>2.4623511660217821</v>
      </c>
      <c r="M42" s="13">
        <f>MAX(K42/D$15*1000,AA$21)</f>
        <v>2.8558196513139227</v>
      </c>
      <c r="N42" s="13">
        <f>L42/E25/(C42*1000)*10000/(1-G15)</f>
        <v>9.1198191334140066</v>
      </c>
      <c r="O42" s="13">
        <f>MAX(M42/E25/(C42*1000)*10000/(1-G$15),Z$21)</f>
        <v>10.577109819681196</v>
      </c>
      <c r="P42" s="13">
        <f>((O42*(1+F$15))-O42)/O25</f>
        <v>-7.0514065464541309</v>
      </c>
      <c r="Q42" s="13">
        <f>P25*F$10*B25</f>
        <v>18</v>
      </c>
      <c r="R42" s="13">
        <f t="shared" si="37"/>
        <v>289.20821224546239</v>
      </c>
      <c r="S42" s="13">
        <f t="shared" si="38"/>
        <v>46.014254211217114</v>
      </c>
      <c r="T42" s="13">
        <f t="shared" si="34"/>
        <v>313.98641375937387</v>
      </c>
      <c r="U42" s="13">
        <f t="shared" si="35"/>
        <v>197.34634614718152</v>
      </c>
      <c r="V42" s="15">
        <f t="shared" si="39"/>
        <v>69.154329487107418</v>
      </c>
      <c r="X42" s="499" t="s">
        <v>33</v>
      </c>
      <c r="Y42" s="500"/>
      <c r="Z42" s="78">
        <f>SUM(Z36:Z41)</f>
        <v>42.915300000000002</v>
      </c>
      <c r="AA42" s="78">
        <f>SUM(AA36:AA41)</f>
        <v>120.9</v>
      </c>
      <c r="AB42" s="78">
        <f>SUM(AB36:AB41)</f>
        <v>14.684499999999998</v>
      </c>
      <c r="AC42" s="110"/>
    </row>
    <row r="43" spans="1:29">
      <c r="A43" s="314" t="str">
        <f>A26</f>
        <v>PBQS AlCl+</v>
      </c>
      <c r="B43" s="13">
        <f>1/(B26/E9+C26/$AB$19+D26/$AB$20)</f>
        <v>1.6326530612244901</v>
      </c>
      <c r="C43" s="13">
        <f>1/(E26/E15+F26/$AB$19+G26/$AB$20)</f>
        <v>2.7</v>
      </c>
      <c r="D43" s="13">
        <f t="shared" si="21"/>
        <v>0.86693877551020426</v>
      </c>
      <c r="E43" s="13">
        <f t="shared" si="22"/>
        <v>336.37224489795926</v>
      </c>
      <c r="F43" s="13">
        <f t="shared" si="23"/>
        <v>260.08163265306126</v>
      </c>
      <c r="G43" s="13">
        <f>D43*0.1*P26</f>
        <v>17.338775510204087</v>
      </c>
      <c r="H43" s="13">
        <f t="shared" si="24"/>
        <v>6.7274448979591863</v>
      </c>
      <c r="I43" s="13">
        <f t="shared" si="25"/>
        <v>5.2016326530612256</v>
      </c>
      <c r="J43" s="13">
        <f>H43*N26</f>
        <v>6.7274448979591863</v>
      </c>
      <c r="K43" s="13">
        <f t="shared" ref="K43:K44" si="41">MAX(I43*1.5,AA$21*D$15/1000)</f>
        <v>7.8024489795918388</v>
      </c>
      <c r="L43" s="13">
        <f>J43/C15*1000</f>
        <v>2.2567745380607804</v>
      </c>
      <c r="M43" s="13">
        <f>MAX(K43/D$15*1000,AA$21)</f>
        <v>2.6173931498127603</v>
      </c>
      <c r="N43" s="13">
        <f>L43/E26/(C43*1000)*10000/(1-G15)</f>
        <v>8.3584242150399284</v>
      </c>
      <c r="O43" s="13">
        <f>MAX(M43/E26/(C43*1000)*10000/(1-G$15),Z$21)</f>
        <v>9.6940487030102229</v>
      </c>
      <c r="P43" s="13">
        <f>((O43*(1+F15))-O43)/O26</f>
        <v>-6.4626991353401486</v>
      </c>
      <c r="Q43" s="13">
        <f>P26*F9*B26</f>
        <v>18</v>
      </c>
      <c r="R43" s="13">
        <f t="shared" si="37"/>
        <v>757.89916631589278</v>
      </c>
      <c r="S43" s="13">
        <f t="shared" si="38"/>
        <v>90.654448287490425</v>
      </c>
      <c r="T43" s="13">
        <f t="shared" si="34"/>
        <v>109.81160311013051</v>
      </c>
      <c r="U43" s="13">
        <f t="shared" si="35"/>
        <v>91.805889309531139</v>
      </c>
      <c r="V43" s="15">
        <f t="shared" si="39"/>
        <v>26.388734661391602</v>
      </c>
    </row>
    <row r="44" spans="1:29" ht="17" thickBot="1">
      <c r="A44" s="697" t="str">
        <f>A27</f>
        <v>PBQS Al3+</v>
      </c>
      <c r="B44" s="16">
        <f>1/(B27/E9+C27/$AB$19+D27/$AB$20)</f>
        <v>1.6326530612244901</v>
      </c>
      <c r="C44" s="16">
        <f>1/(E27/E15+F27/$AB$19+G27/$AB$20)</f>
        <v>2.7</v>
      </c>
      <c r="D44" s="16">
        <f>B27*B44*(1-G$10)</f>
        <v>0.86693877551020426</v>
      </c>
      <c r="E44" s="16">
        <f>D44*C$10</f>
        <v>336.37224489795926</v>
      </c>
      <c r="F44" s="16">
        <f>D44*D$10</f>
        <v>260.08163265306126</v>
      </c>
      <c r="G44" s="16">
        <f>D44*0.1*P27</f>
        <v>17.338775510204087</v>
      </c>
      <c r="H44" s="16">
        <f>C$10*G44/1000</f>
        <v>6.7274448979591863</v>
      </c>
      <c r="I44" s="16">
        <f>D$10*G44/1000</f>
        <v>5.2016326530612256</v>
      </c>
      <c r="J44" s="16">
        <f>H44*N27</f>
        <v>6.7274448979591863</v>
      </c>
      <c r="K44" s="16">
        <f t="shared" si="41"/>
        <v>7.8024489795918388</v>
      </c>
      <c r="L44" s="16">
        <f>J44/C15*1000</f>
        <v>2.2567745380607804</v>
      </c>
      <c r="M44" s="16">
        <f>K44/D15*1000</f>
        <v>2.6173931498127603</v>
      </c>
      <c r="N44" s="16">
        <f>L44/E27/(C44*1000)*10000/(1-G15)</f>
        <v>8.3584242150399284</v>
      </c>
      <c r="O44" s="16">
        <f>M44/E27/(C44*1000)*10000/(1-G15)</f>
        <v>9.6940487030102229</v>
      </c>
      <c r="P44" s="16">
        <f>((O44*(1+F15))-O44)/O27</f>
        <v>-6.4626991353401486</v>
      </c>
      <c r="Q44" s="16">
        <f>P27*F9*B27</f>
        <v>18</v>
      </c>
      <c r="R44" s="16">
        <f>P27+O44+$Z$24+$Q27+V62+MAX(P44+Q44,0)</f>
        <v>258.80134956767006</v>
      </c>
      <c r="S44" s="16">
        <f>G44/B27+M44/$E$19+$AA$24+$D$54+R62</f>
        <v>39.179650400417941</v>
      </c>
      <c r="T44" s="16">
        <f>I44*M27/R44*10000</f>
        <v>321.58303110864603</v>
      </c>
      <c r="U44" s="16">
        <f t="shared" si="35"/>
        <v>212.42180978749062</v>
      </c>
      <c r="V44" s="17">
        <f t="shared" si="39"/>
        <v>77.279349715177986</v>
      </c>
    </row>
    <row r="45" spans="1:29" ht="17" thickBot="1">
      <c r="A45" s="19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9" ht="17" thickBot="1">
      <c r="H46" s="11"/>
      <c r="I46" s="11"/>
      <c r="M46" s="5"/>
      <c r="N46" s="5"/>
      <c r="O46" s="3"/>
      <c r="P46" s="3"/>
      <c r="Q46" s="3"/>
      <c r="R46" s="3"/>
      <c r="S46" s="3"/>
      <c r="T46" s="3"/>
    </row>
    <row r="47" spans="1:29" ht="15.75" customHeight="1" thickBot="1">
      <c r="A47" s="516" t="s">
        <v>44</v>
      </c>
      <c r="B47" s="524" t="s">
        <v>109</v>
      </c>
      <c r="C47" s="491" t="s">
        <v>110</v>
      </c>
      <c r="D47" s="491" t="s">
        <v>111</v>
      </c>
      <c r="E47" s="491" t="s">
        <v>112</v>
      </c>
      <c r="F47" s="491" t="s">
        <v>113</v>
      </c>
      <c r="G47" s="491" t="s">
        <v>114</v>
      </c>
      <c r="H47" s="522" t="s">
        <v>115</v>
      </c>
      <c r="I47" s="491" t="s">
        <v>116</v>
      </c>
      <c r="J47" s="491" t="s">
        <v>128</v>
      </c>
      <c r="K47" s="501" t="s">
        <v>45</v>
      </c>
      <c r="L47" s="503" t="s">
        <v>47</v>
      </c>
      <c r="M47" s="532" t="s">
        <v>127</v>
      </c>
      <c r="N47" s="542" t="s">
        <v>126</v>
      </c>
      <c r="O47" s="501" t="s">
        <v>125</v>
      </c>
      <c r="P47" s="522" t="s">
        <v>124</v>
      </c>
      <c r="Q47" s="501" t="s">
        <v>123</v>
      </c>
      <c r="R47" s="522" t="s">
        <v>122</v>
      </c>
      <c r="S47" s="501" t="s">
        <v>121</v>
      </c>
      <c r="T47" s="522" t="s">
        <v>120</v>
      </c>
      <c r="U47" s="501" t="s">
        <v>118</v>
      </c>
      <c r="V47" s="577" t="s">
        <v>119</v>
      </c>
    </row>
    <row r="48" spans="1:29" ht="16.5" customHeight="1">
      <c r="A48" s="517"/>
      <c r="B48" s="525"/>
      <c r="C48" s="492"/>
      <c r="D48" s="492"/>
      <c r="E48" s="492"/>
      <c r="F48" s="492"/>
      <c r="G48" s="492"/>
      <c r="H48" s="523"/>
      <c r="I48" s="492"/>
      <c r="J48" s="492"/>
      <c r="K48" s="502"/>
      <c r="L48" s="504"/>
      <c r="M48" s="533"/>
      <c r="N48" s="543"/>
      <c r="O48" s="544"/>
      <c r="P48" s="523"/>
      <c r="Q48" s="544"/>
      <c r="R48" s="523"/>
      <c r="S48" s="544"/>
      <c r="T48" s="523"/>
      <c r="U48" s="544"/>
      <c r="V48" s="578"/>
      <c r="X48" s="510" t="s">
        <v>34</v>
      </c>
      <c r="Y48" s="511"/>
      <c r="Z48" s="285" t="s">
        <v>131</v>
      </c>
      <c r="AA48" s="14"/>
    </row>
    <row r="49" spans="1:27" ht="16.5" customHeight="1">
      <c r="A49" s="517"/>
      <c r="B49" s="525"/>
      <c r="C49" s="492"/>
      <c r="D49" s="492"/>
      <c r="E49" s="492"/>
      <c r="F49" s="492"/>
      <c r="G49" s="492"/>
      <c r="H49" s="523"/>
      <c r="I49" s="492"/>
      <c r="J49" s="492"/>
      <c r="K49" s="502"/>
      <c r="L49" s="504"/>
      <c r="M49" s="533"/>
      <c r="N49" s="543"/>
      <c r="O49" s="544"/>
      <c r="P49" s="523"/>
      <c r="Q49" s="544"/>
      <c r="R49" s="523"/>
      <c r="S49" s="544"/>
      <c r="T49" s="523"/>
      <c r="U49" s="544"/>
      <c r="V49" s="578"/>
      <c r="X49" s="512"/>
      <c r="Y49" s="513"/>
      <c r="Z49" s="286"/>
      <c r="AA49" s="14"/>
    </row>
    <row r="50" spans="1:27" ht="16.5" customHeight="1">
      <c r="A50" s="517"/>
      <c r="B50" s="525"/>
      <c r="C50" s="492"/>
      <c r="D50" s="492"/>
      <c r="E50" s="492"/>
      <c r="F50" s="492"/>
      <c r="G50" s="492"/>
      <c r="H50" s="523"/>
      <c r="I50" s="492"/>
      <c r="J50" s="492"/>
      <c r="K50" s="502"/>
      <c r="L50" s="504"/>
      <c r="M50" s="533"/>
      <c r="N50" s="543"/>
      <c r="O50" s="544"/>
      <c r="P50" s="523"/>
      <c r="Q50" s="544"/>
      <c r="R50" s="523"/>
      <c r="S50" s="544"/>
      <c r="T50" s="523"/>
      <c r="U50" s="544"/>
      <c r="V50" s="578"/>
      <c r="X50" s="514"/>
      <c r="Y50" s="515"/>
      <c r="Z50" s="63" t="s">
        <v>108</v>
      </c>
    </row>
    <row r="51" spans="1:27" ht="16.5" customHeight="1">
      <c r="A51" s="517"/>
      <c r="B51" s="525"/>
      <c r="C51" s="492"/>
      <c r="D51" s="492"/>
      <c r="E51" s="492"/>
      <c r="F51" s="492"/>
      <c r="G51" s="492"/>
      <c r="H51" s="523"/>
      <c r="I51" s="492"/>
      <c r="J51" s="492"/>
      <c r="K51" s="502"/>
      <c r="L51" s="504"/>
      <c r="M51" s="533"/>
      <c r="N51" s="543"/>
      <c r="O51" s="544"/>
      <c r="P51" s="523"/>
      <c r="Q51" s="544"/>
      <c r="R51" s="523"/>
      <c r="S51" s="544"/>
      <c r="T51" s="523"/>
      <c r="U51" s="544"/>
      <c r="V51" s="578"/>
      <c r="X51" s="507" t="s">
        <v>27</v>
      </c>
      <c r="Y51" s="498"/>
      <c r="Z51" s="75">
        <v>0.31</v>
      </c>
    </row>
    <row r="52" spans="1:27" ht="16.5" customHeight="1">
      <c r="A52" s="517"/>
      <c r="B52" s="525"/>
      <c r="C52" s="492"/>
      <c r="D52" s="492"/>
      <c r="E52" s="492"/>
      <c r="F52" s="492"/>
      <c r="G52" s="492"/>
      <c r="H52" s="523"/>
      <c r="I52" s="492"/>
      <c r="J52" s="492"/>
      <c r="K52" s="502"/>
      <c r="L52" s="504"/>
      <c r="M52" s="533"/>
      <c r="N52" s="543"/>
      <c r="O52" s="544"/>
      <c r="P52" s="523"/>
      <c r="Q52" s="544"/>
      <c r="R52" s="523"/>
      <c r="S52" s="544"/>
      <c r="T52" s="523"/>
      <c r="U52" s="544"/>
      <c r="V52" s="578"/>
      <c r="X52" s="507" t="s">
        <v>28</v>
      </c>
      <c r="Y52" s="498"/>
      <c r="Z52" s="75">
        <v>3.65</v>
      </c>
    </row>
    <row r="53" spans="1:27" ht="16.5" customHeight="1" thickBot="1">
      <c r="A53" s="517"/>
      <c r="B53" s="462" t="s">
        <v>71</v>
      </c>
      <c r="C53" s="462" t="s">
        <v>71</v>
      </c>
      <c r="D53" s="462" t="s">
        <v>71</v>
      </c>
      <c r="E53" s="462" t="s">
        <v>71</v>
      </c>
      <c r="F53" s="462" t="s">
        <v>71</v>
      </c>
      <c r="G53" s="462" t="s">
        <v>71</v>
      </c>
      <c r="H53" s="479" t="s">
        <v>71</v>
      </c>
      <c r="I53" s="462" t="s">
        <v>117</v>
      </c>
      <c r="J53" s="462" t="s">
        <v>87</v>
      </c>
      <c r="K53" s="590"/>
      <c r="L53" s="591"/>
      <c r="M53" s="464" t="s">
        <v>87</v>
      </c>
      <c r="N53" s="479" t="s">
        <v>87</v>
      </c>
      <c r="O53" s="464" t="s">
        <v>117</v>
      </c>
      <c r="P53" s="459" t="s">
        <v>117</v>
      </c>
      <c r="Q53" s="464" t="s">
        <v>71</v>
      </c>
      <c r="R53" s="479" t="s">
        <v>71</v>
      </c>
      <c r="S53" s="464" t="s">
        <v>117</v>
      </c>
      <c r="T53" s="479" t="s">
        <v>117</v>
      </c>
      <c r="U53" s="464" t="s">
        <v>68</v>
      </c>
      <c r="V53" s="952" t="s">
        <v>68</v>
      </c>
      <c r="X53" s="507" t="s">
        <v>29</v>
      </c>
      <c r="Y53" s="498"/>
      <c r="Z53" s="76">
        <v>0.13</v>
      </c>
    </row>
    <row r="54" spans="1:27" ht="15.75" customHeight="1">
      <c r="A54" s="699" t="str">
        <f t="shared" ref="A54:A62" si="42">A19</f>
        <v>PBQS baseline</v>
      </c>
      <c r="B54" s="332">
        <f>D36*0.1*P19</f>
        <v>17.338775510204087</v>
      </c>
      <c r="C54" s="332">
        <f t="shared" ref="C54:C56" si="43">(1-$AC$29)*$AB$29+$AC$29*R19</f>
        <v>1.1499999999999999</v>
      </c>
      <c r="D54" s="332">
        <f t="shared" ref="D54:D56" si="44">Q19*$AB$29*(1-$AC$29)/10</f>
        <v>0.69655112815619957</v>
      </c>
      <c r="E54" s="332">
        <f>C54*Q19/10</f>
        <v>4.2159673546296297</v>
      </c>
      <c r="F54" s="332">
        <f t="shared" ref="F54:F61" si="45">(E54-D54)</f>
        <v>3.5194162264734299</v>
      </c>
      <c r="G54" s="332">
        <f t="shared" ref="G54:G61" si="46">P19/10*G$10*R19</f>
        <v>9.8399999999999981</v>
      </c>
      <c r="H54" s="332">
        <f t="shared" ref="H54:H56" si="47">O36/10*G$15*R19</f>
        <v>0</v>
      </c>
      <c r="I54" s="332">
        <f>(F54+G54+H54)/R19</f>
        <v>11.132846855394524</v>
      </c>
      <c r="J54" s="332">
        <f>I54/(B54)</f>
        <v>0.64207803191423196</v>
      </c>
      <c r="K54" s="1208">
        <f t="shared" ref="K54:L61" si="48">H19</f>
        <v>0</v>
      </c>
      <c r="L54" s="1208">
        <f t="shared" si="48"/>
        <v>0.2</v>
      </c>
      <c r="M54" s="332">
        <f>J54*(K54+1)</f>
        <v>0.64207803191423196</v>
      </c>
      <c r="N54" s="332">
        <f>J54*(L54+1)</f>
        <v>0.77049363829707829</v>
      </c>
      <c r="O54" s="332">
        <f>I54*(K54+1)</f>
        <v>11.132846855394524</v>
      </c>
      <c r="P54" s="332">
        <f>I54*(L54+1)</f>
        <v>13.359416226473428</v>
      </c>
      <c r="Q54" s="332">
        <f>O54*R19</f>
        <v>13.359416226473428</v>
      </c>
      <c r="R54" s="332">
        <f>P54*R19</f>
        <v>16.031299471768111</v>
      </c>
      <c r="S54" s="332">
        <f t="shared" ref="S54:S61" si="49">O54-I54</f>
        <v>0</v>
      </c>
      <c r="T54" s="332">
        <f t="shared" ref="T54:T61" si="50">P54-I54</f>
        <v>2.2265693710789041</v>
      </c>
      <c r="U54" s="332">
        <f>S54*10</f>
        <v>0</v>
      </c>
      <c r="V54" s="1213">
        <f>T54*10</f>
        <v>22.265693710789041</v>
      </c>
      <c r="X54" s="507" t="s">
        <v>30</v>
      </c>
      <c r="Y54" s="498"/>
      <c r="Z54" s="75">
        <v>1.56</v>
      </c>
    </row>
    <row r="55" spans="1:27">
      <c r="A55" s="314" t="str">
        <f t="shared" si="42"/>
        <v>PBQS low V</v>
      </c>
      <c r="B55" s="13">
        <f>D37*0.1*P20</f>
        <v>17.338775510204087</v>
      </c>
      <c r="C55" s="13">
        <f t="shared" si="43"/>
        <v>1.1499999999999999</v>
      </c>
      <c r="D55" s="13">
        <f>Q20*$AB$29*(1-$AC$29)/10</f>
        <v>0.69655112815619957</v>
      </c>
      <c r="E55" s="13">
        <f>C55*Q20/10</f>
        <v>4.2159673546296297</v>
      </c>
      <c r="F55" s="13">
        <f t="shared" si="45"/>
        <v>3.5194162264734299</v>
      </c>
      <c r="G55" s="13">
        <f t="shared" si="46"/>
        <v>9.8399999999999981</v>
      </c>
      <c r="H55" s="13">
        <f t="shared" si="47"/>
        <v>0</v>
      </c>
      <c r="I55" s="13">
        <f>(F55+G55+H55)/R20</f>
        <v>11.132846855394524</v>
      </c>
      <c r="J55" s="13">
        <f t="shared" ref="J55:J61" si="51">I55/(B55)</f>
        <v>0.64207803191423196</v>
      </c>
      <c r="K55" s="79">
        <f t="shared" si="48"/>
        <v>0</v>
      </c>
      <c r="L55" s="79">
        <f t="shared" si="48"/>
        <v>0.2</v>
      </c>
      <c r="M55" s="13">
        <f t="shared" ref="M55:M61" si="52">J55*(K55+1)</f>
        <v>0.64207803191423196</v>
      </c>
      <c r="N55" s="13">
        <f t="shared" ref="N55:N61" si="53">J55*(L55+1)</f>
        <v>0.77049363829707829</v>
      </c>
      <c r="O55" s="13">
        <f t="shared" ref="O55:O61" si="54">I55*(K55+1)</f>
        <v>11.132846855394524</v>
      </c>
      <c r="P55" s="13">
        <f t="shared" ref="P55:P61" si="55">I55*(L55+1)</f>
        <v>13.359416226473428</v>
      </c>
      <c r="Q55" s="13">
        <f>O55*R20</f>
        <v>13.359416226473428</v>
      </c>
      <c r="R55" s="13">
        <f>P55*R20</f>
        <v>16.031299471768111</v>
      </c>
      <c r="S55" s="13">
        <f t="shared" si="49"/>
        <v>0</v>
      </c>
      <c r="T55" s="13">
        <f t="shared" si="50"/>
        <v>2.2265693710789041</v>
      </c>
      <c r="U55" s="13">
        <f t="shared" ref="U55:V61" si="56">S55*10</f>
        <v>0</v>
      </c>
      <c r="V55" s="15">
        <f t="shared" si="56"/>
        <v>22.265693710789041</v>
      </c>
      <c r="X55" s="507" t="s">
        <v>31</v>
      </c>
      <c r="Y55" s="498"/>
      <c r="Z55" s="75">
        <v>0.69</v>
      </c>
    </row>
    <row r="56" spans="1:27">
      <c r="A56" s="314" t="str">
        <f t="shared" si="42"/>
        <v>PBQS high V</v>
      </c>
      <c r="B56" s="13">
        <f>D38*0.1*P21</f>
        <v>17.338775510204087</v>
      </c>
      <c r="C56" s="13">
        <f t="shared" si="43"/>
        <v>1.1499999999999999</v>
      </c>
      <c r="D56" s="13">
        <f t="shared" si="44"/>
        <v>0.69655112815619957</v>
      </c>
      <c r="E56" s="13">
        <f>C56*Q21/10</f>
        <v>4.2159673546296297</v>
      </c>
      <c r="F56" s="13">
        <f t="shared" si="45"/>
        <v>3.5194162264734299</v>
      </c>
      <c r="G56" s="13">
        <f t="shared" si="46"/>
        <v>9.8399999999999981</v>
      </c>
      <c r="H56" s="13">
        <f t="shared" si="47"/>
        <v>0</v>
      </c>
      <c r="I56" s="13">
        <f>(F56+G56+H56)/R21</f>
        <v>11.132846855394524</v>
      </c>
      <c r="J56" s="13">
        <f t="shared" si="51"/>
        <v>0.64207803191423196</v>
      </c>
      <c r="K56" s="79">
        <f t="shared" si="48"/>
        <v>0</v>
      </c>
      <c r="L56" s="79">
        <f t="shared" si="48"/>
        <v>0.2</v>
      </c>
      <c r="M56" s="13">
        <f t="shared" si="52"/>
        <v>0.64207803191423196</v>
      </c>
      <c r="N56" s="13">
        <f t="shared" si="53"/>
        <v>0.77049363829707829</v>
      </c>
      <c r="O56" s="13">
        <f t="shared" si="54"/>
        <v>11.132846855394524</v>
      </c>
      <c r="P56" s="13">
        <f t="shared" si="55"/>
        <v>13.359416226473428</v>
      </c>
      <c r="Q56" s="13">
        <f>O56*R21</f>
        <v>13.359416226473428</v>
      </c>
      <c r="R56" s="13">
        <f>P56*R21</f>
        <v>16.031299471768111</v>
      </c>
      <c r="S56" s="13">
        <f t="shared" si="49"/>
        <v>0</v>
      </c>
      <c r="T56" s="13">
        <f t="shared" si="50"/>
        <v>2.2265693710789041</v>
      </c>
      <c r="U56" s="13">
        <f t="shared" si="56"/>
        <v>0</v>
      </c>
      <c r="V56" s="15">
        <f t="shared" si="56"/>
        <v>22.265693710789041</v>
      </c>
      <c r="X56" s="290" t="s">
        <v>32</v>
      </c>
      <c r="Y56" s="288"/>
      <c r="Z56" s="77">
        <v>0.56000000000000005</v>
      </c>
    </row>
    <row r="57" spans="1:27" ht="17" thickBot="1">
      <c r="A57" s="314" t="str">
        <f t="shared" si="42"/>
        <v>PBQS low capacity</v>
      </c>
      <c r="B57" s="13">
        <f>D39*0.1*P22</f>
        <v>17.338775510204087</v>
      </c>
      <c r="C57" s="13">
        <f>(1-$AC$29)*$AB$29+$AC$29*R22</f>
        <v>1.1499999999999999</v>
      </c>
      <c r="D57" s="13">
        <f>Q22*$AB$29*(1-$AC$29)/10</f>
        <v>0.43214601534057973</v>
      </c>
      <c r="E57" s="13">
        <f>C57*Q22/10</f>
        <v>2.6156206191666671</v>
      </c>
      <c r="F57" s="13">
        <f t="shared" si="45"/>
        <v>2.1834746038260873</v>
      </c>
      <c r="G57" s="13">
        <f>P22/10*G$13*R22</f>
        <v>9.8399999999999981</v>
      </c>
      <c r="H57" s="13">
        <f>O39/10*G$15*R22</f>
        <v>0</v>
      </c>
      <c r="I57" s="13">
        <f>(F57+G57+H57)/R22</f>
        <v>10.019562169855071</v>
      </c>
      <c r="J57" s="13">
        <f t="shared" si="51"/>
        <v>0.5778702287228088</v>
      </c>
      <c r="K57" s="79">
        <f t="shared" si="48"/>
        <v>0</v>
      </c>
      <c r="L57" s="79">
        <f t="shared" si="48"/>
        <v>0.2</v>
      </c>
      <c r="M57" s="13">
        <f t="shared" si="52"/>
        <v>0.5778702287228088</v>
      </c>
      <c r="N57" s="13">
        <f t="shared" si="53"/>
        <v>0.69344427446737056</v>
      </c>
      <c r="O57" s="13">
        <f t="shared" si="54"/>
        <v>10.019562169855071</v>
      </c>
      <c r="P57" s="13">
        <f t="shared" si="55"/>
        <v>12.023474603826084</v>
      </c>
      <c r="Q57" s="13">
        <f>O57*R22</f>
        <v>12.023474603826084</v>
      </c>
      <c r="R57" s="13">
        <f>P57*R22</f>
        <v>14.428169524591301</v>
      </c>
      <c r="S57" s="13">
        <f t="shared" si="49"/>
        <v>0</v>
      </c>
      <c r="T57" s="13">
        <f t="shared" si="50"/>
        <v>2.0039124339710135</v>
      </c>
      <c r="U57" s="13">
        <f>S57*10</f>
        <v>0</v>
      </c>
      <c r="V57" s="15">
        <f t="shared" si="56"/>
        <v>20.039124339710135</v>
      </c>
      <c r="X57" s="499" t="s">
        <v>33</v>
      </c>
      <c r="Y57" s="500"/>
      <c r="Z57" s="78">
        <f>SUM(Z51:Z56)</f>
        <v>6.9</v>
      </c>
    </row>
    <row r="58" spans="1:27">
      <c r="A58" s="314" t="str">
        <f t="shared" si="42"/>
        <v>PBQS high capacity</v>
      </c>
      <c r="B58" s="13">
        <f t="shared" ref="B58" si="57">D40*0.1*P23</f>
        <v>17.338775510204087</v>
      </c>
      <c r="C58" s="13">
        <f>(1-$AC$29)*$AB$29+$AC$29*R23</f>
        <v>1.1499999999999999</v>
      </c>
      <c r="D58" s="13">
        <f>Q23*$AB$29*(1-$AC$29)/10</f>
        <v>0.96095624097181942</v>
      </c>
      <c r="E58" s="13">
        <f t="shared" ref="E58" si="58">C58*Q23/10</f>
        <v>5.8163140900925914</v>
      </c>
      <c r="F58" s="13">
        <f t="shared" si="45"/>
        <v>4.8553578491207716</v>
      </c>
      <c r="G58" s="13">
        <f t="shared" si="46"/>
        <v>9.8399999999999981</v>
      </c>
      <c r="H58" s="13">
        <f>O40/10*G15*R23</f>
        <v>0</v>
      </c>
      <c r="I58" s="13">
        <f t="shared" ref="I58" si="59">(F58+G58+H58)/R23</f>
        <v>12.246131540933975</v>
      </c>
      <c r="J58" s="13">
        <f t="shared" si="51"/>
        <v>0.70628583510565512</v>
      </c>
      <c r="K58" s="79">
        <f t="shared" si="48"/>
        <v>0</v>
      </c>
      <c r="L58" s="79">
        <f t="shared" si="48"/>
        <v>0.2</v>
      </c>
      <c r="M58" s="13">
        <f t="shared" si="52"/>
        <v>0.70628583510565512</v>
      </c>
      <c r="N58" s="13">
        <f t="shared" si="53"/>
        <v>0.84754300212678613</v>
      </c>
      <c r="O58" s="13">
        <f t="shared" si="54"/>
        <v>12.246131540933975</v>
      </c>
      <c r="P58" s="13">
        <f t="shared" si="55"/>
        <v>14.69535784912077</v>
      </c>
      <c r="Q58" s="13">
        <f t="shared" ref="Q58" si="60">O58*R23</f>
        <v>14.69535784912077</v>
      </c>
      <c r="R58" s="13">
        <f t="shared" ref="R58" si="61">P58*R23</f>
        <v>17.634429418944922</v>
      </c>
      <c r="S58" s="13">
        <f t="shared" si="49"/>
        <v>0</v>
      </c>
      <c r="T58" s="13">
        <f t="shared" si="50"/>
        <v>2.4492263081867947</v>
      </c>
      <c r="U58" s="13">
        <f>S58*10</f>
        <v>0</v>
      </c>
      <c r="V58" s="15">
        <f t="shared" si="56"/>
        <v>24.492263081867947</v>
      </c>
    </row>
    <row r="59" spans="1:27">
      <c r="A59" s="314" t="str">
        <f t="shared" si="42"/>
        <v>PBQS low density</v>
      </c>
      <c r="B59" s="96">
        <f>D41*0.1*P24</f>
        <v>15.733333333333336</v>
      </c>
      <c r="C59" s="13">
        <f>(1-$AC$29)*$AB$29+$AC$29*R24</f>
        <v>1.1499999999999999</v>
      </c>
      <c r="D59" s="13">
        <f>Q24*$AB$29*(1-$AC$29)/10</f>
        <v>0.45173157925284757</v>
      </c>
      <c r="E59" s="96">
        <f>C59*Q24/10</f>
        <v>2.7341648217935517</v>
      </c>
      <c r="F59" s="96">
        <f t="shared" si="45"/>
        <v>2.2824332425407041</v>
      </c>
      <c r="G59" s="13">
        <f t="shared" si="46"/>
        <v>9.8399999999999981</v>
      </c>
      <c r="H59" s="96">
        <f>O41/10*G15*R24</f>
        <v>0</v>
      </c>
      <c r="I59" s="96">
        <f>(F59+G59+H59)/R24</f>
        <v>10.102027702117251</v>
      </c>
      <c r="J59" s="96">
        <f t="shared" si="51"/>
        <v>0.64207803191423196</v>
      </c>
      <c r="K59" s="79">
        <f t="shared" si="48"/>
        <v>0</v>
      </c>
      <c r="L59" s="79">
        <f t="shared" si="48"/>
        <v>0.2</v>
      </c>
      <c r="M59" s="96">
        <f t="shared" si="52"/>
        <v>0.64207803191423196</v>
      </c>
      <c r="N59" s="96">
        <f t="shared" si="53"/>
        <v>0.77049363829707829</v>
      </c>
      <c r="O59" s="13">
        <f t="shared" si="54"/>
        <v>10.102027702117251</v>
      </c>
      <c r="P59" s="96">
        <f t="shared" si="55"/>
        <v>12.122433242540701</v>
      </c>
      <c r="Q59" s="96">
        <f>O59*R24</f>
        <v>12.122433242540701</v>
      </c>
      <c r="R59" s="96">
        <f>P59*R24</f>
        <v>14.546919891048841</v>
      </c>
      <c r="S59" s="96">
        <f t="shared" si="49"/>
        <v>0</v>
      </c>
      <c r="T59" s="96">
        <f t="shared" si="50"/>
        <v>2.0204055404234502</v>
      </c>
      <c r="U59" s="96">
        <f t="shared" si="56"/>
        <v>0</v>
      </c>
      <c r="V59" s="300">
        <f t="shared" si="56"/>
        <v>20.204055404234502</v>
      </c>
    </row>
    <row r="60" spans="1:27">
      <c r="A60" s="314" t="str">
        <f t="shared" si="42"/>
        <v>PBQS high density</v>
      </c>
      <c r="B60" s="13">
        <f>D42*0.1*P25</f>
        <v>18.918218623481785</v>
      </c>
      <c r="C60" s="13">
        <f t="shared" ref="C60:C61" si="62">(1-$AC$29)*$AB$29+$AC$29*R25</f>
        <v>1.1499999999999999</v>
      </c>
      <c r="D60" s="13">
        <f t="shared" ref="D60:D61" si="63">Q25*$AB$29*(1-$AC$29)/10</f>
        <v>0.93740598800848463</v>
      </c>
      <c r="E60" s="13">
        <f>C60*Q25/10</f>
        <v>5.6737730853145134</v>
      </c>
      <c r="F60" s="13">
        <f t="shared" si="45"/>
        <v>4.7363670973060286</v>
      </c>
      <c r="G60" s="13">
        <f t="shared" si="46"/>
        <v>9.8399999999999981</v>
      </c>
      <c r="H60" s="13">
        <f>O42/10*G15*R25</f>
        <v>0</v>
      </c>
      <c r="I60" s="13">
        <f>(F60+G60+H60)/R25</f>
        <v>12.146972581088356</v>
      </c>
      <c r="J60" s="13">
        <f t="shared" si="51"/>
        <v>0.64207803191423207</v>
      </c>
      <c r="K60" s="79">
        <f t="shared" si="48"/>
        <v>0</v>
      </c>
      <c r="L60" s="79">
        <f t="shared" si="48"/>
        <v>0.2</v>
      </c>
      <c r="M60" s="13">
        <f t="shared" si="52"/>
        <v>0.64207803191423207</v>
      </c>
      <c r="N60" s="13">
        <f t="shared" si="53"/>
        <v>0.77049363829707851</v>
      </c>
      <c r="O60" s="13">
        <f t="shared" si="54"/>
        <v>12.146972581088356</v>
      </c>
      <c r="P60" s="13">
        <f t="shared" si="55"/>
        <v>14.576367097306026</v>
      </c>
      <c r="Q60" s="13">
        <f>O60*R25</f>
        <v>14.576367097306026</v>
      </c>
      <c r="R60" s="13">
        <f>P60*R25</f>
        <v>17.49164051676723</v>
      </c>
      <c r="S60" s="13">
        <f t="shared" si="49"/>
        <v>0</v>
      </c>
      <c r="T60" s="13">
        <f t="shared" si="50"/>
        <v>2.4293945162176698</v>
      </c>
      <c r="U60" s="13">
        <f>S60*10</f>
        <v>0</v>
      </c>
      <c r="V60" s="15">
        <f t="shared" si="56"/>
        <v>24.293945162176698</v>
      </c>
    </row>
    <row r="61" spans="1:27">
      <c r="A61" s="314" t="str">
        <f t="shared" si="42"/>
        <v>PBQS AlCl+</v>
      </c>
      <c r="B61" s="13">
        <f>D43*0.1*P26</f>
        <v>17.338775510204087</v>
      </c>
      <c r="C61" s="13">
        <f t="shared" si="62"/>
        <v>1.1499999999999999</v>
      </c>
      <c r="D61" s="13">
        <f t="shared" si="63"/>
        <v>8.6287045126247968</v>
      </c>
      <c r="E61" s="13">
        <f>C61*Q26/10</f>
        <v>52.22636941851853</v>
      </c>
      <c r="F61" s="13">
        <f t="shared" si="45"/>
        <v>43.597664905893737</v>
      </c>
      <c r="G61" s="13">
        <f t="shared" si="46"/>
        <v>9.8399999999999981</v>
      </c>
      <c r="H61" s="13">
        <f>O43/10*G16*R26</f>
        <v>0</v>
      </c>
      <c r="I61" s="13">
        <f>(F61+G61+H61)/R26</f>
        <v>44.53138742157811</v>
      </c>
      <c r="J61" s="13">
        <f t="shared" si="51"/>
        <v>2.5683121276569287</v>
      </c>
      <c r="K61" s="79">
        <f t="shared" si="48"/>
        <v>0</v>
      </c>
      <c r="L61" s="79">
        <f t="shared" si="48"/>
        <v>0.2</v>
      </c>
      <c r="M61" s="13">
        <f t="shared" si="52"/>
        <v>2.5683121276569287</v>
      </c>
      <c r="N61" s="13">
        <f t="shared" si="53"/>
        <v>3.0819745531883145</v>
      </c>
      <c r="O61" s="13">
        <f t="shared" si="54"/>
        <v>44.53138742157811</v>
      </c>
      <c r="P61" s="13">
        <f t="shared" si="55"/>
        <v>53.437664905893733</v>
      </c>
      <c r="Q61" s="13">
        <f>O61*R26</f>
        <v>53.437664905893733</v>
      </c>
      <c r="R61" s="13">
        <f>P61*R26</f>
        <v>64.125197887072474</v>
      </c>
      <c r="S61" s="13">
        <f t="shared" si="49"/>
        <v>0</v>
      </c>
      <c r="T61" s="13">
        <f t="shared" si="50"/>
        <v>8.9062774843156234</v>
      </c>
      <c r="U61" s="13">
        <f>S61*10</f>
        <v>0</v>
      </c>
      <c r="V61" s="15">
        <f t="shared" si="56"/>
        <v>89.062774843156234</v>
      </c>
    </row>
    <row r="62" spans="1:27" ht="17" thickBot="1">
      <c r="A62" s="697" t="str">
        <f t="shared" si="42"/>
        <v>PBQS Al3+</v>
      </c>
      <c r="B62" s="16">
        <f>D44*0.1*P27</f>
        <v>17.338775510204087</v>
      </c>
      <c r="C62" s="16">
        <f>(1-$AC$28)*$AB$29+$AC$28*R27</f>
        <v>1.0474999999999999</v>
      </c>
      <c r="D62" s="16">
        <f>Q27*$AB$29*(1-$AC$28)/10</f>
        <v>0.86924999999999986</v>
      </c>
      <c r="E62" s="16">
        <f>C62*Q27/10</f>
        <v>1.5712499999999998</v>
      </c>
      <c r="F62" s="16">
        <f>(E62-D62)</f>
        <v>0.70199999999999996</v>
      </c>
      <c r="G62" s="16">
        <f>P27/10*G$10*R27</f>
        <v>9.8399999999999981</v>
      </c>
      <c r="H62" s="16">
        <f>O44/10*G15*R27</f>
        <v>0</v>
      </c>
      <c r="I62" s="16">
        <f>(F62+G62+H62)/R27</f>
        <v>8.7849999999999984</v>
      </c>
      <c r="J62" s="16">
        <f>I62/(B62)</f>
        <v>0.50666784369114848</v>
      </c>
      <c r="K62" s="953">
        <f>H27</f>
        <v>0</v>
      </c>
      <c r="L62" s="953">
        <f>I27</f>
        <v>0.2</v>
      </c>
      <c r="M62" s="16">
        <f>J62*(K62+1)</f>
        <v>0.50666784369114848</v>
      </c>
      <c r="N62" s="16">
        <f>J62*(L62+1)</f>
        <v>0.60800141242937811</v>
      </c>
      <c r="O62" s="16">
        <f>I62*(K62+1)</f>
        <v>8.7849999999999984</v>
      </c>
      <c r="P62" s="16">
        <f>I62*(L62+1)</f>
        <v>10.541999999999998</v>
      </c>
      <c r="Q62" s="16">
        <f>O62*R27</f>
        <v>10.541999999999998</v>
      </c>
      <c r="R62" s="16">
        <f>P62*R27</f>
        <v>12.650399999999998</v>
      </c>
      <c r="S62" s="16">
        <f>O62-I62</f>
        <v>0</v>
      </c>
      <c r="T62" s="16">
        <f>P62-I62</f>
        <v>1.7569999999999997</v>
      </c>
      <c r="U62" s="16">
        <f>S62*10</f>
        <v>0</v>
      </c>
      <c r="V62" s="17">
        <f>T62*10</f>
        <v>17.569999999999997</v>
      </c>
    </row>
    <row r="63" spans="1:27">
      <c r="A63" s="18"/>
      <c r="B63" s="13"/>
      <c r="C63" s="13"/>
      <c r="D63" s="13"/>
      <c r="E63" s="13"/>
      <c r="F63" s="13"/>
      <c r="G63" s="13"/>
      <c r="H63" s="13"/>
      <c r="I63" s="13"/>
      <c r="J63" s="13"/>
      <c r="K63" s="79"/>
      <c r="L63" s="79"/>
      <c r="M63" s="13"/>
      <c r="N63" s="13"/>
      <c r="O63" s="13"/>
      <c r="P63" s="13"/>
      <c r="Q63" s="13"/>
      <c r="R63" s="13"/>
      <c r="S63" s="13"/>
      <c r="T63" s="13"/>
      <c r="U63" s="13"/>
      <c r="V63" s="15"/>
    </row>
    <row r="64" spans="1:27" ht="17" thickBot="1">
      <c r="A64" s="98"/>
      <c r="B64" s="13"/>
      <c r="C64" s="13"/>
      <c r="D64" s="13"/>
      <c r="E64" s="13"/>
      <c r="F64" s="13"/>
      <c r="G64" s="13"/>
      <c r="H64" s="13"/>
      <c r="I64" s="13"/>
      <c r="J64" s="13"/>
      <c r="K64" s="79"/>
      <c r="L64" s="79"/>
      <c r="M64" s="13"/>
      <c r="N64" s="13"/>
      <c r="O64" s="13"/>
      <c r="P64" s="13"/>
      <c r="Q64" s="13"/>
      <c r="R64" s="13"/>
      <c r="S64" s="13"/>
      <c r="T64" s="13"/>
      <c r="U64" s="13"/>
      <c r="V64" s="13"/>
    </row>
    <row r="65" spans="1:27" ht="15.75" customHeight="1" thickBot="1">
      <c r="A65" s="516" t="s">
        <v>166</v>
      </c>
      <c r="B65" s="524" t="str">
        <f>I30</f>
        <v xml:space="preserve">Practical Cathode
Area Capacity </v>
      </c>
      <c r="C65" s="520" t="s">
        <v>157</v>
      </c>
      <c r="D65" s="493" t="s">
        <v>175</v>
      </c>
      <c r="E65" s="491" t="s">
        <v>158</v>
      </c>
      <c r="F65" s="491" t="s">
        <v>159</v>
      </c>
      <c r="G65" s="530" t="s">
        <v>162</v>
      </c>
      <c r="H65" s="528" t="s">
        <v>173</v>
      </c>
      <c r="I65" s="522" t="s">
        <v>163</v>
      </c>
      <c r="J65" s="520" t="s">
        <v>178</v>
      </c>
      <c r="K65" s="493" t="s">
        <v>179</v>
      </c>
      <c r="L65" s="520" t="s">
        <v>176</v>
      </c>
      <c r="M65" s="493" t="s">
        <v>164</v>
      </c>
      <c r="N65" s="281"/>
      <c r="O65" s="279"/>
      <c r="P65" s="475"/>
      <c r="Q65" s="458"/>
      <c r="R65" s="954"/>
      <c r="S65" s="519"/>
      <c r="T65" s="519"/>
      <c r="U65" s="519"/>
    </row>
    <row r="66" spans="1:27" ht="16.5" customHeight="1">
      <c r="A66" s="517"/>
      <c r="B66" s="525"/>
      <c r="C66" s="521"/>
      <c r="D66" s="494"/>
      <c r="E66" s="492"/>
      <c r="F66" s="492"/>
      <c r="G66" s="531"/>
      <c r="H66" s="529"/>
      <c r="I66" s="523"/>
      <c r="J66" s="521"/>
      <c r="K66" s="494"/>
      <c r="L66" s="521"/>
      <c r="M66" s="494"/>
      <c r="N66" s="282"/>
      <c r="O66" s="280"/>
      <c r="P66" s="11"/>
      <c r="Q66" s="459"/>
      <c r="R66" s="169"/>
      <c r="S66" s="519"/>
      <c r="T66" s="519"/>
      <c r="U66" s="519"/>
      <c r="X66" s="510" t="s">
        <v>153</v>
      </c>
      <c r="Y66" s="511"/>
      <c r="Z66" s="285" t="s">
        <v>131</v>
      </c>
      <c r="AA66" s="14"/>
    </row>
    <row r="67" spans="1:27" ht="16.5" customHeight="1">
      <c r="A67" s="517"/>
      <c r="B67" s="525"/>
      <c r="C67" s="521"/>
      <c r="D67" s="494"/>
      <c r="E67" s="492"/>
      <c r="F67" s="492"/>
      <c r="G67" s="531"/>
      <c r="H67" s="529"/>
      <c r="I67" s="523"/>
      <c r="J67" s="521"/>
      <c r="K67" s="494"/>
      <c r="L67" s="521"/>
      <c r="M67" s="494"/>
      <c r="N67" s="282"/>
      <c r="O67" s="280"/>
      <c r="P67" s="476"/>
      <c r="Q67" s="459"/>
      <c r="R67" s="956"/>
      <c r="S67" s="519"/>
      <c r="T67" s="519"/>
      <c r="U67" s="519"/>
      <c r="X67" s="512"/>
      <c r="Y67" s="513"/>
      <c r="Z67" s="286"/>
      <c r="AA67" s="14"/>
    </row>
    <row r="68" spans="1:27" ht="16.5" customHeight="1">
      <c r="A68" s="517"/>
      <c r="B68" s="525"/>
      <c r="C68" s="521"/>
      <c r="D68" s="494"/>
      <c r="E68" s="492"/>
      <c r="F68" s="492"/>
      <c r="G68" s="531"/>
      <c r="H68" s="529"/>
      <c r="I68" s="523"/>
      <c r="J68" s="521"/>
      <c r="K68" s="494"/>
      <c r="L68" s="521"/>
      <c r="M68" s="494"/>
      <c r="N68" s="282"/>
      <c r="O68" s="280"/>
      <c r="P68" s="476"/>
      <c r="Q68" s="459"/>
      <c r="R68" s="956"/>
      <c r="S68" s="519"/>
      <c r="T68" s="519"/>
      <c r="U68" s="519"/>
      <c r="X68" s="514"/>
      <c r="Y68" s="515"/>
      <c r="Z68" s="63" t="s">
        <v>108</v>
      </c>
    </row>
    <row r="69" spans="1:27" ht="16.5" customHeight="1">
      <c r="A69" s="517"/>
      <c r="B69" s="525"/>
      <c r="C69" s="521"/>
      <c r="D69" s="494"/>
      <c r="E69" s="492"/>
      <c r="F69" s="492"/>
      <c r="G69" s="531"/>
      <c r="H69" s="529"/>
      <c r="I69" s="523"/>
      <c r="J69" s="521"/>
      <c r="K69" s="494"/>
      <c r="L69" s="521"/>
      <c r="M69" s="494"/>
      <c r="N69" s="282" t="s">
        <v>180</v>
      </c>
      <c r="O69" s="280" t="s">
        <v>181</v>
      </c>
      <c r="P69" s="476" t="s">
        <v>182</v>
      </c>
      <c r="Q69" s="459" t="s">
        <v>183</v>
      </c>
      <c r="R69" s="956" t="s">
        <v>187</v>
      </c>
      <c r="S69" s="519"/>
      <c r="T69" s="519"/>
      <c r="U69" s="519"/>
      <c r="X69" s="497" t="s">
        <v>154</v>
      </c>
      <c r="Y69" s="498"/>
      <c r="Z69" s="123">
        <v>192</v>
      </c>
    </row>
    <row r="70" spans="1:27" ht="16.5" customHeight="1">
      <c r="A70" s="517"/>
      <c r="B70" s="525"/>
      <c r="C70" s="521"/>
      <c r="D70" s="494"/>
      <c r="E70" s="492"/>
      <c r="F70" s="492"/>
      <c r="G70" s="531"/>
      <c r="H70" s="529"/>
      <c r="I70" s="523"/>
      <c r="J70" s="521"/>
      <c r="K70" s="494"/>
      <c r="L70" s="521"/>
      <c r="M70" s="494"/>
      <c r="N70" s="282" t="s">
        <v>20</v>
      </c>
      <c r="O70" s="280" t="s">
        <v>185</v>
      </c>
      <c r="P70" s="476" t="s">
        <v>21</v>
      </c>
      <c r="Q70" s="459" t="s">
        <v>186</v>
      </c>
      <c r="R70" s="956" t="s">
        <v>188</v>
      </c>
      <c r="S70" s="519"/>
      <c r="T70" s="519"/>
      <c r="U70" s="519"/>
      <c r="X70" s="497" t="s">
        <v>155</v>
      </c>
      <c r="Y70" s="498"/>
      <c r="Z70" s="123">
        <v>152</v>
      </c>
    </row>
    <row r="71" spans="1:27" ht="16.5" customHeight="1" thickBot="1">
      <c r="A71" s="517"/>
      <c r="B71" s="462" t="str">
        <f>I35</f>
        <v xml:space="preserve"> [mAh cm-2] </v>
      </c>
      <c r="C71" s="474" t="s">
        <v>71</v>
      </c>
      <c r="D71" s="473" t="s">
        <v>71</v>
      </c>
      <c r="E71" s="462" t="s">
        <v>71</v>
      </c>
      <c r="F71" s="462" t="s">
        <v>71</v>
      </c>
      <c r="G71" s="130"/>
      <c r="H71" s="476" t="s">
        <v>71</v>
      </c>
      <c r="I71" s="479" t="s">
        <v>71</v>
      </c>
      <c r="J71" s="474" t="s">
        <v>165</v>
      </c>
      <c r="K71" s="473" t="s">
        <v>165</v>
      </c>
      <c r="L71" s="474" t="s">
        <v>68</v>
      </c>
      <c r="M71" s="473" t="s">
        <v>68</v>
      </c>
      <c r="N71" s="146" t="s">
        <v>71</v>
      </c>
      <c r="O71" s="479" t="s">
        <v>71</v>
      </c>
      <c r="P71" s="146" t="s">
        <v>71</v>
      </c>
      <c r="Q71" s="479" t="s">
        <v>71</v>
      </c>
      <c r="R71" s="957" t="s">
        <v>165</v>
      </c>
      <c r="S71" s="466"/>
      <c r="T71" s="135"/>
      <c r="U71" s="466"/>
      <c r="X71" s="497" t="s">
        <v>167</v>
      </c>
      <c r="Y71" s="498"/>
      <c r="Z71" s="123">
        <v>147</v>
      </c>
    </row>
    <row r="72" spans="1:27" ht="15.75" customHeight="1">
      <c r="A72" s="699" t="str">
        <f t="shared" ref="A72:A73" si="64">A54</f>
        <v>PBQS baseline</v>
      </c>
      <c r="B72" s="332">
        <f t="shared" ref="B72:B74" si="65">I36</f>
        <v>5.2016326530612256</v>
      </c>
      <c r="C72" s="332">
        <f t="shared" ref="C72:C76" si="66">B72*Z$72/(Z$78*Z$79)*1000</f>
        <v>4.3021848864914434</v>
      </c>
      <c r="D72" s="332">
        <f t="shared" ref="D72:D74" si="67">C72*Z$73/(Z$73-1)</f>
        <v>8.6043697729828867</v>
      </c>
      <c r="E72" s="332">
        <f t="shared" ref="E72:E79" si="68">O36/10000*G$15</f>
        <v>0</v>
      </c>
      <c r="F72" s="332">
        <f t="shared" ref="F72:F79" si="69">R19*P19/10000*G$10*Z$74*1000</f>
        <v>6.3376271186440674</v>
      </c>
      <c r="G72" s="332">
        <f t="shared" ref="G72:G79" si="70">AC$29</f>
        <v>0.8</v>
      </c>
      <c r="H72" s="332">
        <f t="shared" ref="H72:H79" si="71">C72-E72-F72</f>
        <v>-2.035442232152624</v>
      </c>
      <c r="I72" s="332">
        <f t="shared" ref="I72:I79" si="72">D72-E72-F72</f>
        <v>2.2667426543388194</v>
      </c>
      <c r="J72" s="332">
        <f t="shared" ref="J72:K79" si="73">H72/$R19*(1+$Z$71/($Z$73*$Z$72))</f>
        <v>-2.6335765723027373</v>
      </c>
      <c r="K72" s="332">
        <f t="shared" si="73"/>
        <v>2.9328468553945255</v>
      </c>
      <c r="L72" s="332">
        <f t="shared" ref="L72:L79" si="74">J72*10000/(G72*1000)</f>
        <v>-32.919707153784216</v>
      </c>
      <c r="M72" s="332">
        <f t="shared" ref="M72:M79" si="75">K72*10000/(G72*1000)</f>
        <v>36.660585692431567</v>
      </c>
      <c r="N72" s="332">
        <f t="shared" ref="N72:N79" si="76">J72*R19</f>
        <v>-3.1602918867632845</v>
      </c>
      <c r="O72" s="332">
        <f t="shared" ref="O72:O79" si="77">K72*R19</f>
        <v>3.5194162264734303</v>
      </c>
      <c r="P72" s="332">
        <f t="shared" ref="P72:P79" si="78">G54+H54+N72</f>
        <v>6.679708113236714</v>
      </c>
      <c r="Q72" s="332">
        <f t="shared" ref="Q72:Q79" si="79">G54+H54+O72</f>
        <v>13.359416226473428</v>
      </c>
      <c r="R72" s="1213">
        <f t="shared" ref="R72:R79" si="80">P72/R19</f>
        <v>5.5664234276972619</v>
      </c>
      <c r="S72" s="13"/>
      <c r="T72" s="13"/>
      <c r="U72" s="13"/>
      <c r="X72" s="497" t="s">
        <v>169</v>
      </c>
      <c r="Y72" s="498"/>
      <c r="Z72" s="123">
        <v>133</v>
      </c>
    </row>
    <row r="73" spans="1:27">
      <c r="A73" s="314" t="str">
        <f t="shared" si="64"/>
        <v>PBQS low V</v>
      </c>
      <c r="B73" s="13">
        <f t="shared" si="65"/>
        <v>5.2016326530612256</v>
      </c>
      <c r="C73" s="13">
        <f t="shared" si="66"/>
        <v>4.3021848864914434</v>
      </c>
      <c r="D73" s="13">
        <f t="shared" si="67"/>
        <v>8.6043697729828867</v>
      </c>
      <c r="E73" s="13">
        <f t="shared" si="68"/>
        <v>0</v>
      </c>
      <c r="F73" s="13">
        <f t="shared" si="69"/>
        <v>6.3376271186440674</v>
      </c>
      <c r="G73" s="13">
        <f t="shared" si="70"/>
        <v>0.8</v>
      </c>
      <c r="H73" s="13">
        <f t="shared" si="71"/>
        <v>-2.035442232152624</v>
      </c>
      <c r="I73" s="13">
        <f t="shared" si="72"/>
        <v>2.2667426543388194</v>
      </c>
      <c r="J73" s="13">
        <f t="shared" si="73"/>
        <v>-2.6335765723027373</v>
      </c>
      <c r="K73" s="13">
        <f t="shared" si="73"/>
        <v>2.9328468553945255</v>
      </c>
      <c r="L73" s="13">
        <f t="shared" si="74"/>
        <v>-32.919707153784216</v>
      </c>
      <c r="M73" s="13">
        <f t="shared" si="75"/>
        <v>36.660585692431567</v>
      </c>
      <c r="N73" s="13">
        <f t="shared" si="76"/>
        <v>-3.1602918867632845</v>
      </c>
      <c r="O73" s="13">
        <f t="shared" si="77"/>
        <v>3.5194162264734303</v>
      </c>
      <c r="P73" s="13">
        <f t="shared" si="78"/>
        <v>6.679708113236714</v>
      </c>
      <c r="Q73" s="13">
        <f t="shared" si="79"/>
        <v>13.359416226473428</v>
      </c>
      <c r="R73" s="15">
        <f t="shared" si="80"/>
        <v>5.5664234276972619</v>
      </c>
      <c r="S73" s="13"/>
      <c r="T73" s="13"/>
      <c r="U73" s="13"/>
      <c r="X73" s="110" t="s">
        <v>168</v>
      </c>
      <c r="Z73" s="1">
        <v>2</v>
      </c>
    </row>
    <row r="74" spans="1:27">
      <c r="A74" s="314" t="str">
        <f t="shared" ref="A74:A80" si="81">A56</f>
        <v>PBQS high V</v>
      </c>
      <c r="B74" s="13">
        <f t="shared" si="65"/>
        <v>5.2016326530612256</v>
      </c>
      <c r="C74" s="13">
        <f t="shared" si="66"/>
        <v>4.3021848864914434</v>
      </c>
      <c r="D74" s="13">
        <f t="shared" si="67"/>
        <v>8.6043697729828867</v>
      </c>
      <c r="E74" s="13">
        <f t="shared" si="68"/>
        <v>0</v>
      </c>
      <c r="F74" s="13">
        <f t="shared" si="69"/>
        <v>6.3376271186440674</v>
      </c>
      <c r="G74" s="13">
        <f t="shared" si="70"/>
        <v>0.8</v>
      </c>
      <c r="H74" s="13">
        <f t="shared" si="71"/>
        <v>-2.035442232152624</v>
      </c>
      <c r="I74" s="13">
        <f t="shared" si="72"/>
        <v>2.2667426543388194</v>
      </c>
      <c r="J74" s="13">
        <f t="shared" si="73"/>
        <v>-2.6335765723027373</v>
      </c>
      <c r="K74" s="13">
        <f t="shared" si="73"/>
        <v>2.9328468553945255</v>
      </c>
      <c r="L74" s="13">
        <f t="shared" si="74"/>
        <v>-32.919707153784216</v>
      </c>
      <c r="M74" s="13">
        <f t="shared" si="75"/>
        <v>36.660585692431567</v>
      </c>
      <c r="N74" s="13">
        <f t="shared" si="76"/>
        <v>-3.1602918867632845</v>
      </c>
      <c r="O74" s="13">
        <f t="shared" si="77"/>
        <v>3.5194162264734303</v>
      </c>
      <c r="P74" s="13">
        <f t="shared" si="78"/>
        <v>6.679708113236714</v>
      </c>
      <c r="Q74" s="13">
        <f t="shared" si="79"/>
        <v>13.359416226473428</v>
      </c>
      <c r="R74" s="15">
        <f t="shared" si="80"/>
        <v>5.5664234276972619</v>
      </c>
      <c r="S74" s="13"/>
      <c r="T74" s="13"/>
      <c r="U74" s="13"/>
      <c r="X74" s="554" t="s">
        <v>184</v>
      </c>
      <c r="Y74" s="555"/>
      <c r="Z74" s="125">
        <f>Z73*Z72/(Z73*Z72+Z71)</f>
        <v>0.64406779661016944</v>
      </c>
    </row>
    <row r="75" spans="1:27" ht="17" thickBot="1">
      <c r="A75" s="314" t="str">
        <f t="shared" si="81"/>
        <v>PBQS low capacity</v>
      </c>
      <c r="B75" s="13">
        <f>I39</f>
        <v>4.6814693877551035</v>
      </c>
      <c r="C75" s="13">
        <f t="shared" si="66"/>
        <v>3.8719663978422991</v>
      </c>
      <c r="D75" s="13">
        <f>C75*Z$73/(Z$73-1)</f>
        <v>7.7439327956845982</v>
      </c>
      <c r="E75" s="13">
        <f t="shared" si="68"/>
        <v>0</v>
      </c>
      <c r="F75" s="13">
        <f>R22*P22/10000*G$13*Z$74*1000</f>
        <v>6.3376271186440674</v>
      </c>
      <c r="G75" s="13">
        <f t="shared" si="70"/>
        <v>0.8</v>
      </c>
      <c r="H75" s="13">
        <f t="shared" si="71"/>
        <v>-2.4656607208017682</v>
      </c>
      <c r="I75" s="13">
        <f t="shared" si="72"/>
        <v>1.4063056770405309</v>
      </c>
      <c r="J75" s="13">
        <f t="shared" si="73"/>
        <v>-3.1902189150724638</v>
      </c>
      <c r="K75" s="13">
        <f t="shared" si="73"/>
        <v>1.8195621698550732</v>
      </c>
      <c r="L75" s="13">
        <f t="shared" si="74"/>
        <v>-39.877736438405798</v>
      </c>
      <c r="M75" s="13">
        <f t="shared" si="75"/>
        <v>22.744527123188412</v>
      </c>
      <c r="N75" s="13">
        <f t="shared" si="76"/>
        <v>-3.8282626980869563</v>
      </c>
      <c r="O75" s="13">
        <f t="shared" si="77"/>
        <v>2.1834746038260877</v>
      </c>
      <c r="P75" s="13">
        <f t="shared" si="78"/>
        <v>6.0117373019130422</v>
      </c>
      <c r="Q75" s="13">
        <f t="shared" si="79"/>
        <v>12.023474603826086</v>
      </c>
      <c r="R75" s="15">
        <f t="shared" si="80"/>
        <v>5.0097810849275355</v>
      </c>
      <c r="S75" s="13"/>
      <c r="T75" s="13"/>
      <c r="U75" s="13"/>
      <c r="X75" s="579" t="s">
        <v>156</v>
      </c>
      <c r="Y75" s="500"/>
      <c r="Z75" s="124">
        <v>4.0000000000000001E-3</v>
      </c>
    </row>
    <row r="76" spans="1:27">
      <c r="A76" s="314" t="str">
        <f t="shared" si="81"/>
        <v>PBQS high capacity</v>
      </c>
      <c r="B76" s="13">
        <f>I40</f>
        <v>5.7217959183673486</v>
      </c>
      <c r="C76" s="13">
        <f t="shared" si="66"/>
        <v>4.7324033751405876</v>
      </c>
      <c r="D76" s="13">
        <f>C76*Z$73/(Z$73-1)</f>
        <v>9.4648067502811752</v>
      </c>
      <c r="E76" s="13">
        <f t="shared" si="68"/>
        <v>0</v>
      </c>
      <c r="F76" s="13">
        <f t="shared" si="69"/>
        <v>6.3376271186440674</v>
      </c>
      <c r="G76" s="13">
        <f t="shared" si="70"/>
        <v>0.8</v>
      </c>
      <c r="H76" s="13">
        <f t="shared" si="71"/>
        <v>-1.6052237435034797</v>
      </c>
      <c r="I76" s="13">
        <f t="shared" si="72"/>
        <v>3.1271796316371079</v>
      </c>
      <c r="J76" s="13">
        <f t="shared" si="73"/>
        <v>-2.0769342295330113</v>
      </c>
      <c r="K76" s="13">
        <f t="shared" si="73"/>
        <v>4.0461315409339775</v>
      </c>
      <c r="L76" s="13">
        <f t="shared" si="74"/>
        <v>-25.961677869162642</v>
      </c>
      <c r="M76" s="13">
        <f t="shared" si="75"/>
        <v>50.576644261674716</v>
      </c>
      <c r="N76" s="13">
        <f t="shared" si="76"/>
        <v>-2.4923210754396137</v>
      </c>
      <c r="O76" s="13">
        <f t="shared" si="77"/>
        <v>4.8553578491207725</v>
      </c>
      <c r="P76" s="13">
        <f t="shared" si="78"/>
        <v>7.347678924560384</v>
      </c>
      <c r="Q76" s="13">
        <f t="shared" si="79"/>
        <v>14.695357849120771</v>
      </c>
      <c r="R76" s="15">
        <f t="shared" si="80"/>
        <v>6.1230657704669866</v>
      </c>
      <c r="S76" s="96"/>
      <c r="T76" s="96"/>
      <c r="U76" s="96"/>
      <c r="X76" s="110" t="s">
        <v>172</v>
      </c>
      <c r="Z76" s="1">
        <f>3/4</f>
        <v>0.75</v>
      </c>
    </row>
    <row r="77" spans="1:27">
      <c r="A77" s="314" t="str">
        <f t="shared" si="81"/>
        <v>PBQS low density</v>
      </c>
      <c r="B77" s="13">
        <f>I41</f>
        <v>4.7200000000000006</v>
      </c>
      <c r="C77" s="13">
        <f>B77*Z$72/(Z$78*Z$79)*1000</f>
        <v>3.9038344340385316</v>
      </c>
      <c r="D77" s="13">
        <f>C77*Z$73/(Z$73-1)</f>
        <v>7.8076688680770632</v>
      </c>
      <c r="E77" s="13">
        <f t="shared" si="68"/>
        <v>0</v>
      </c>
      <c r="F77" s="13">
        <f t="shared" si="69"/>
        <v>6.3376271186440674</v>
      </c>
      <c r="G77" s="13">
        <f t="shared" si="70"/>
        <v>0.8</v>
      </c>
      <c r="H77" s="13">
        <f t="shared" si="71"/>
        <v>-2.4337926846055358</v>
      </c>
      <c r="I77" s="13">
        <f t="shared" si="72"/>
        <v>1.4700417494329958</v>
      </c>
      <c r="J77" s="13">
        <f t="shared" si="73"/>
        <v>-3.1489861489413733</v>
      </c>
      <c r="K77" s="13">
        <f t="shared" si="73"/>
        <v>1.9020277021172536</v>
      </c>
      <c r="L77" s="13">
        <f t="shared" si="74"/>
        <v>-39.362326861767166</v>
      </c>
      <c r="M77" s="13">
        <f t="shared" si="75"/>
        <v>23.775346276465669</v>
      </c>
      <c r="N77" s="13">
        <f t="shared" si="76"/>
        <v>-3.7787833787296479</v>
      </c>
      <c r="O77" s="13">
        <f t="shared" si="77"/>
        <v>2.2824332425407041</v>
      </c>
      <c r="P77" s="13">
        <f t="shared" si="78"/>
        <v>6.0612166212703507</v>
      </c>
      <c r="Q77" s="13">
        <f t="shared" si="79"/>
        <v>12.122433242540701</v>
      </c>
      <c r="R77" s="15">
        <f t="shared" si="80"/>
        <v>5.0510138510586255</v>
      </c>
      <c r="S77" s="13"/>
      <c r="T77" s="13"/>
      <c r="U77" s="13"/>
      <c r="X77" s="110" t="s">
        <v>170</v>
      </c>
      <c r="Z77" s="1">
        <f>3/2</f>
        <v>1.5</v>
      </c>
    </row>
    <row r="78" spans="1:27">
      <c r="A78" s="314" t="str">
        <f t="shared" si="81"/>
        <v>PBQS high density</v>
      </c>
      <c r="B78" s="13">
        <f>I42</f>
        <v>5.6754655870445356</v>
      </c>
      <c r="C78" s="13">
        <f>B78*Z$72/(Z78*Z$79)*1000</f>
        <v>4.6940843194714326</v>
      </c>
      <c r="D78" s="13">
        <f>C78*Z$73/(Z$73-1)</f>
        <v>9.3881686389428651</v>
      </c>
      <c r="E78" s="13">
        <f t="shared" si="68"/>
        <v>0</v>
      </c>
      <c r="F78" s="13">
        <f t="shared" si="69"/>
        <v>6.3376271186440674</v>
      </c>
      <c r="G78" s="13">
        <f t="shared" si="70"/>
        <v>0.8</v>
      </c>
      <c r="H78" s="13">
        <f t="shared" si="71"/>
        <v>-1.6435427991726348</v>
      </c>
      <c r="I78" s="13">
        <f t="shared" si="72"/>
        <v>3.0505415202987978</v>
      </c>
      <c r="J78" s="13">
        <f t="shared" si="73"/>
        <v>-2.1265137094558217</v>
      </c>
      <c r="K78" s="13">
        <f t="shared" si="73"/>
        <v>3.9469725810883576</v>
      </c>
      <c r="L78" s="13">
        <f t="shared" si="74"/>
        <v>-26.58142136819777</v>
      </c>
      <c r="M78" s="13">
        <f t="shared" si="75"/>
        <v>49.337157263604468</v>
      </c>
      <c r="N78" s="13">
        <f t="shared" si="76"/>
        <v>-2.5518164513469861</v>
      </c>
      <c r="O78" s="13">
        <f t="shared" si="77"/>
        <v>4.7363670973060286</v>
      </c>
      <c r="P78" s="13">
        <f t="shared" si="78"/>
        <v>7.288183548653012</v>
      </c>
      <c r="Q78" s="13">
        <f t="shared" si="79"/>
        <v>14.576367097306026</v>
      </c>
      <c r="R78" s="15">
        <f t="shared" si="80"/>
        <v>6.0734862905441771</v>
      </c>
      <c r="S78" s="96"/>
      <c r="T78" s="96"/>
      <c r="U78" s="96"/>
      <c r="X78" s="110" t="s">
        <v>171</v>
      </c>
      <c r="Z78" s="1">
        <v>6</v>
      </c>
    </row>
    <row r="79" spans="1:27" ht="17" thickBot="1">
      <c r="A79" s="697" t="str">
        <f t="shared" si="81"/>
        <v>PBQS AlCl+</v>
      </c>
      <c r="B79" s="16">
        <f>I43</f>
        <v>5.2016326530612256</v>
      </c>
      <c r="C79" s="16">
        <f>B79*Z$72/(Z77*Z$79)*1000</f>
        <v>17.208739545965773</v>
      </c>
      <c r="D79" s="16">
        <f>C79*Z$73/(Z$73-1)</f>
        <v>34.417479091931547</v>
      </c>
      <c r="E79" s="16">
        <f t="shared" si="68"/>
        <v>0</v>
      </c>
      <c r="F79" s="16">
        <f t="shared" si="69"/>
        <v>6.3376271186440674</v>
      </c>
      <c r="G79" s="16">
        <f t="shared" si="70"/>
        <v>0.8</v>
      </c>
      <c r="H79" s="16">
        <f t="shared" si="71"/>
        <v>10.871112427321705</v>
      </c>
      <c r="I79" s="16">
        <f t="shared" si="72"/>
        <v>28.079851973287479</v>
      </c>
      <c r="J79" s="16">
        <f t="shared" si="73"/>
        <v>14.065693710789052</v>
      </c>
      <c r="K79" s="16">
        <f t="shared" si="73"/>
        <v>36.331387421578107</v>
      </c>
      <c r="L79" s="16">
        <f t="shared" si="74"/>
        <v>175.82117138486316</v>
      </c>
      <c r="M79" s="16">
        <f t="shared" si="75"/>
        <v>454.14234276972633</v>
      </c>
      <c r="N79" s="16">
        <f t="shared" si="76"/>
        <v>16.878832452946863</v>
      </c>
      <c r="O79" s="16">
        <f t="shared" si="77"/>
        <v>43.59766490589373</v>
      </c>
      <c r="P79" s="16">
        <f t="shared" si="78"/>
        <v>26.718832452946863</v>
      </c>
      <c r="Q79" s="16">
        <f t="shared" si="79"/>
        <v>53.437664905893726</v>
      </c>
      <c r="R79" s="17">
        <f t="shared" si="80"/>
        <v>22.265693710789055</v>
      </c>
      <c r="S79" s="13"/>
      <c r="T79" s="13"/>
      <c r="U79" s="13"/>
      <c r="X79" s="110" t="s">
        <v>189</v>
      </c>
      <c r="Z79" s="1">
        <v>26801</v>
      </c>
    </row>
    <row r="80" spans="1:27" ht="17" thickBot="1">
      <c r="A80" s="18" t="str">
        <f t="shared" si="81"/>
        <v>PBQS Al3+</v>
      </c>
      <c r="B80" s="13"/>
      <c r="C80" s="13"/>
      <c r="D80" s="13"/>
      <c r="E80" s="16"/>
      <c r="F80" s="16"/>
      <c r="G80" s="16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 spans="1:23" ht="17" thickBot="1">
      <c r="A81" s="12"/>
      <c r="B81" s="12"/>
      <c r="C81" s="12"/>
      <c r="D81" s="12"/>
      <c r="E81" s="12"/>
      <c r="F81" s="12"/>
      <c r="G81" s="12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</row>
    <row r="82" spans="1:23" ht="68.25" customHeight="1">
      <c r="A82" s="107" t="s">
        <v>141</v>
      </c>
      <c r="B82" s="278" t="s">
        <v>136</v>
      </c>
      <c r="C82" s="278" t="s">
        <v>137</v>
      </c>
      <c r="D82" s="278" t="s">
        <v>138</v>
      </c>
      <c r="E82" s="278" t="s">
        <v>139</v>
      </c>
      <c r="F82" s="278" t="s">
        <v>135</v>
      </c>
      <c r="G82" s="101" t="s">
        <v>140</v>
      </c>
    </row>
    <row r="83" spans="1:23" ht="18" customHeight="1" thickBot="1">
      <c r="A83" s="941"/>
      <c r="B83" s="462" t="s">
        <v>71</v>
      </c>
      <c r="C83" s="462" t="s">
        <v>71</v>
      </c>
      <c r="D83" s="462" t="s">
        <v>71</v>
      </c>
      <c r="E83" s="462" t="s">
        <v>165</v>
      </c>
      <c r="F83" s="942"/>
      <c r="G83" s="1207" t="s">
        <v>68</v>
      </c>
      <c r="V83" s="87"/>
      <c r="W83"/>
    </row>
    <row r="84" spans="1:23" ht="16.5" customHeight="1">
      <c r="A84" s="699" t="str">
        <f t="shared" ref="A84:A86" si="82">A72</f>
        <v>PBQS baseline</v>
      </c>
      <c r="B84" s="1210">
        <f t="shared" ref="B84:B89" si="83">D72</f>
        <v>8.6043697729828867</v>
      </c>
      <c r="C84" s="1210">
        <f t="shared" ref="C84:C89" si="84">R54</f>
        <v>16.031299471768111</v>
      </c>
      <c r="D84" s="1210">
        <f t="shared" ref="D84:D92" si="85">C84-B84</f>
        <v>7.4269296987852247</v>
      </c>
      <c r="E84" s="1210">
        <f t="shared" ref="E84:E92" si="86">D84*1.2</f>
        <v>8.9123156385422693</v>
      </c>
      <c r="F84" s="1211">
        <f t="shared" ref="F84:F89" si="87">E84/P54-1</f>
        <v>-0.33288135593220369</v>
      </c>
      <c r="G84" s="1212">
        <f t="shared" ref="G84:G89" si="88">(F84)*P54*10</f>
        <v>-44.471005879311591</v>
      </c>
      <c r="K84" s="11"/>
      <c r="V84" s="87"/>
    </row>
    <row r="85" spans="1:23" ht="16.5" customHeight="1">
      <c r="A85" s="314" t="str">
        <f t="shared" si="82"/>
        <v>PBQS low V</v>
      </c>
      <c r="B85" s="96">
        <f t="shared" si="83"/>
        <v>8.6043697729828867</v>
      </c>
      <c r="C85" s="96">
        <f t="shared" si="84"/>
        <v>16.031299471768111</v>
      </c>
      <c r="D85" s="96">
        <f t="shared" si="85"/>
        <v>7.4269296987852247</v>
      </c>
      <c r="E85" s="96">
        <f t="shared" si="86"/>
        <v>8.9123156385422693</v>
      </c>
      <c r="F85" s="138">
        <f t="shared" si="87"/>
        <v>-0.33288135593220369</v>
      </c>
      <c r="G85" s="300">
        <f t="shared" si="88"/>
        <v>-44.471005879311591</v>
      </c>
      <c r="K85" s="11"/>
      <c r="V85" s="87"/>
    </row>
    <row r="86" spans="1:23" ht="15.75" customHeight="1">
      <c r="A86" s="314" t="str">
        <f t="shared" si="82"/>
        <v>PBQS high V</v>
      </c>
      <c r="B86" s="96">
        <f t="shared" si="83"/>
        <v>8.6043697729828867</v>
      </c>
      <c r="C86" s="96">
        <f t="shared" si="84"/>
        <v>16.031299471768111</v>
      </c>
      <c r="D86" s="96">
        <f t="shared" si="85"/>
        <v>7.4269296987852247</v>
      </c>
      <c r="E86" s="96">
        <f t="shared" si="86"/>
        <v>8.9123156385422693</v>
      </c>
      <c r="F86" s="138">
        <f t="shared" si="87"/>
        <v>-0.33288135593220369</v>
      </c>
      <c r="G86" s="300">
        <f t="shared" si="88"/>
        <v>-44.471005879311591</v>
      </c>
      <c r="K86" s="11"/>
      <c r="L86" s="20"/>
      <c r="N86" s="20"/>
      <c r="V86" s="87"/>
    </row>
    <row r="87" spans="1:23" ht="15.75" customHeight="1">
      <c r="A87" s="314" t="str">
        <f t="shared" ref="A87:A92" si="89">A75</f>
        <v>PBQS low capacity</v>
      </c>
      <c r="B87" s="96">
        <f t="shared" si="83"/>
        <v>7.7439327956845982</v>
      </c>
      <c r="C87" s="96">
        <f t="shared" si="84"/>
        <v>14.428169524591301</v>
      </c>
      <c r="D87" s="96">
        <f t="shared" si="85"/>
        <v>6.6842367289067024</v>
      </c>
      <c r="E87" s="96">
        <f t="shared" si="86"/>
        <v>8.0210840746880425</v>
      </c>
      <c r="F87" s="138">
        <f t="shared" si="87"/>
        <v>-0.33288135593220369</v>
      </c>
      <c r="G87" s="300">
        <f t="shared" si="88"/>
        <v>-40.02390529138043</v>
      </c>
      <c r="K87" s="11"/>
      <c r="V87" s="87"/>
    </row>
    <row r="88" spans="1:23" ht="15.75" customHeight="1">
      <c r="A88" s="314" t="str">
        <f t="shared" si="89"/>
        <v>PBQS high capacity</v>
      </c>
      <c r="B88" s="96">
        <f t="shared" si="83"/>
        <v>9.4648067502811752</v>
      </c>
      <c r="C88" s="96">
        <f t="shared" si="84"/>
        <v>17.634429418944922</v>
      </c>
      <c r="D88" s="96">
        <f t="shared" si="85"/>
        <v>8.169622668663747</v>
      </c>
      <c r="E88" s="96">
        <f t="shared" si="86"/>
        <v>9.803547202396496</v>
      </c>
      <c r="F88" s="138">
        <f t="shared" si="87"/>
        <v>-0.33288135593220369</v>
      </c>
      <c r="G88" s="300">
        <f t="shared" si="88"/>
        <v>-48.918106467242744</v>
      </c>
    </row>
    <row r="89" spans="1:23">
      <c r="A89" s="314" t="str">
        <f t="shared" si="89"/>
        <v>PBQS low density</v>
      </c>
      <c r="B89" s="96">
        <f t="shared" si="83"/>
        <v>7.8076688680770632</v>
      </c>
      <c r="C89" s="96">
        <f t="shared" si="84"/>
        <v>14.546919891048841</v>
      </c>
      <c r="D89" s="96">
        <f t="shared" si="85"/>
        <v>6.7392510229717777</v>
      </c>
      <c r="E89" s="96">
        <f t="shared" si="86"/>
        <v>8.0871012275661336</v>
      </c>
      <c r="F89" s="138">
        <f t="shared" si="87"/>
        <v>-0.33288135593220358</v>
      </c>
      <c r="G89" s="300">
        <f t="shared" si="88"/>
        <v>-40.353320149745677</v>
      </c>
    </row>
    <row r="90" spans="1:23">
      <c r="A90" s="314" t="str">
        <f t="shared" si="89"/>
        <v>PBQS high density</v>
      </c>
      <c r="B90" s="96">
        <f>D78</f>
        <v>9.3881686389428651</v>
      </c>
      <c r="C90" s="96">
        <f>R60</f>
        <v>17.49164051676723</v>
      </c>
      <c r="D90" s="96">
        <f t="shared" si="85"/>
        <v>8.1034718778243651</v>
      </c>
      <c r="E90" s="96">
        <f t="shared" si="86"/>
        <v>9.724166253389237</v>
      </c>
      <c r="F90" s="138">
        <f>E90/P60-1</f>
        <v>-0.33288135593220358</v>
      </c>
      <c r="G90" s="300">
        <f>(F90)*P60*10</f>
        <v>-48.522008439167891</v>
      </c>
    </row>
    <row r="91" spans="1:23">
      <c r="A91" s="314" t="str">
        <f t="shared" si="89"/>
        <v>PBQS AlCl+</v>
      </c>
      <c r="B91" s="96">
        <f>D79</f>
        <v>34.417479091931547</v>
      </c>
      <c r="C91" s="96">
        <f>R61</f>
        <v>64.125197887072474</v>
      </c>
      <c r="D91" s="96">
        <f t="shared" si="85"/>
        <v>29.707718795140927</v>
      </c>
      <c r="E91" s="96">
        <f t="shared" si="86"/>
        <v>35.649262554169113</v>
      </c>
      <c r="F91" s="138">
        <f>E91/P61-1</f>
        <v>-0.33288135593220325</v>
      </c>
      <c r="G91" s="300">
        <f>(F91)*P61*10</f>
        <v>-177.88402351724616</v>
      </c>
    </row>
    <row r="92" spans="1:23" ht="17" thickBot="1">
      <c r="A92" s="697" t="str">
        <f t="shared" si="89"/>
        <v>PBQS Al3+</v>
      </c>
      <c r="B92" s="301">
        <f>D80</f>
        <v>0</v>
      </c>
      <c r="C92" s="301">
        <f>R62</f>
        <v>12.650399999999998</v>
      </c>
      <c r="D92" s="301">
        <f t="shared" si="85"/>
        <v>12.650399999999998</v>
      </c>
      <c r="E92" s="301">
        <f t="shared" si="86"/>
        <v>15.180479999999996</v>
      </c>
      <c r="F92" s="302">
        <f>E92/P62-1</f>
        <v>0.43999999999999995</v>
      </c>
      <c r="G92" s="303">
        <f>(F92)*P62*10</f>
        <v>46.384799999999984</v>
      </c>
    </row>
  </sheetData>
  <mergeCells count="115">
    <mergeCell ref="A1:A3"/>
    <mergeCell ref="B1:B2"/>
    <mergeCell ref="C1:C2"/>
    <mergeCell ref="D1:D2"/>
    <mergeCell ref="E1:E2"/>
    <mergeCell ref="F1:F3"/>
    <mergeCell ref="X17:Y17"/>
    <mergeCell ref="I14:K14"/>
    <mergeCell ref="S8:U8"/>
    <mergeCell ref="S9:U9"/>
    <mergeCell ref="S10:U10"/>
    <mergeCell ref="G1:G2"/>
    <mergeCell ref="I1:K3"/>
    <mergeCell ref="S1:U3"/>
    <mergeCell ref="I4:K4"/>
    <mergeCell ref="S4:U4"/>
    <mergeCell ref="I5:K5"/>
    <mergeCell ref="S5:U5"/>
    <mergeCell ref="S13:U13"/>
    <mergeCell ref="S14:U14"/>
    <mergeCell ref="A30:A35"/>
    <mergeCell ref="B30:B34"/>
    <mergeCell ref="C30:C34"/>
    <mergeCell ref="D30:D34"/>
    <mergeCell ref="E30:E34"/>
    <mergeCell ref="F30:F34"/>
    <mergeCell ref="I6:K6"/>
    <mergeCell ref="S6:U6"/>
    <mergeCell ref="I7:K7"/>
    <mergeCell ref="S7:U7"/>
    <mergeCell ref="A17:A18"/>
    <mergeCell ref="M30:M34"/>
    <mergeCell ref="N30:N34"/>
    <mergeCell ref="O30:O34"/>
    <mergeCell ref="P30:P34"/>
    <mergeCell ref="Q30:Q34"/>
    <mergeCell ref="R30:R34"/>
    <mergeCell ref="G30:G34"/>
    <mergeCell ref="H30:H34"/>
    <mergeCell ref="I30:I34"/>
    <mergeCell ref="J30:J34"/>
    <mergeCell ref="K30:K34"/>
    <mergeCell ref="L30:L34"/>
    <mergeCell ref="S12:U12"/>
    <mergeCell ref="X37:Y37"/>
    <mergeCell ref="X38:Y38"/>
    <mergeCell ref="X39:Y39"/>
    <mergeCell ref="X40:Y40"/>
    <mergeCell ref="X41:Y41"/>
    <mergeCell ref="X42:Y42"/>
    <mergeCell ref="S30:S34"/>
    <mergeCell ref="T30:T34"/>
    <mergeCell ref="U30:U34"/>
    <mergeCell ref="V30:V34"/>
    <mergeCell ref="X33:Y35"/>
    <mergeCell ref="X36:Y36"/>
    <mergeCell ref="N47:N52"/>
    <mergeCell ref="O47:O52"/>
    <mergeCell ref="P47:P52"/>
    <mergeCell ref="Q47:Q52"/>
    <mergeCell ref="R47:R52"/>
    <mergeCell ref="G47:G52"/>
    <mergeCell ref="H47:H52"/>
    <mergeCell ref="I47:I52"/>
    <mergeCell ref="J47:J52"/>
    <mergeCell ref="K47:K52"/>
    <mergeCell ref="L47:L52"/>
    <mergeCell ref="X71:Y71"/>
    <mergeCell ref="A65:A71"/>
    <mergeCell ref="B65:B70"/>
    <mergeCell ref="C65:C70"/>
    <mergeCell ref="D65:D70"/>
    <mergeCell ref="E65:E70"/>
    <mergeCell ref="F65:F70"/>
    <mergeCell ref="S47:S52"/>
    <mergeCell ref="T47:T52"/>
    <mergeCell ref="U47:U52"/>
    <mergeCell ref="A47:A53"/>
    <mergeCell ref="B47:B52"/>
    <mergeCell ref="C47:C52"/>
    <mergeCell ref="D47:D52"/>
    <mergeCell ref="E47:E52"/>
    <mergeCell ref="F47:F52"/>
    <mergeCell ref="G65:G70"/>
    <mergeCell ref="H65:H70"/>
    <mergeCell ref="I65:I70"/>
    <mergeCell ref="J65:J70"/>
    <mergeCell ref="K65:K70"/>
    <mergeCell ref="L65:L70"/>
    <mergeCell ref="X52:Y52"/>
    <mergeCell ref="M47:M52"/>
    <mergeCell ref="X72:Y72"/>
    <mergeCell ref="X74:Y74"/>
    <mergeCell ref="X75:Y75"/>
    <mergeCell ref="I8:K8"/>
    <mergeCell ref="I9:K9"/>
    <mergeCell ref="I10:K10"/>
    <mergeCell ref="I11:K11"/>
    <mergeCell ref="I12:K12"/>
    <mergeCell ref="I13:K13"/>
    <mergeCell ref="M65:M70"/>
    <mergeCell ref="S65:S70"/>
    <mergeCell ref="T65:T70"/>
    <mergeCell ref="U65:U70"/>
    <mergeCell ref="X66:Y68"/>
    <mergeCell ref="X69:Y69"/>
    <mergeCell ref="X70:Y70"/>
    <mergeCell ref="V47:V52"/>
    <mergeCell ref="X48:Y50"/>
    <mergeCell ref="X51:Y51"/>
    <mergeCell ref="X53:Y53"/>
    <mergeCell ref="X54:Y54"/>
    <mergeCell ref="X55:Y55"/>
    <mergeCell ref="X57:Y57"/>
    <mergeCell ref="S11:U1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20B7E-6A41-9E42-B9A9-46BD6EB83680}">
  <dimension ref="A1:K47"/>
  <sheetViews>
    <sheetView workbookViewId="0">
      <selection activeCell="C2" sqref="C2"/>
    </sheetView>
  </sheetViews>
  <sheetFormatPr baseColWidth="10" defaultRowHeight="15"/>
  <cols>
    <col min="3" max="6" width="11.83203125" bestFit="1" customWidth="1"/>
    <col min="7" max="7" width="14.1640625" bestFit="1" customWidth="1"/>
    <col min="9" max="9" width="11.83203125" bestFit="1" customWidth="1"/>
    <col min="10" max="10" width="13.6640625" bestFit="1" customWidth="1"/>
    <col min="11" max="11" width="12.33203125" bestFit="1" customWidth="1"/>
  </cols>
  <sheetData>
    <row r="1" spans="1:6" ht="16">
      <c r="A1" s="178" t="s">
        <v>328</v>
      </c>
      <c r="B1" s="179"/>
      <c r="C1" s="180" t="s">
        <v>1503</v>
      </c>
    </row>
    <row r="2" spans="1:6" ht="16" customHeight="1" thickBot="1">
      <c r="A2" s="178" t="s">
        <v>329</v>
      </c>
      <c r="B2" s="179"/>
      <c r="C2" s="181" t="s">
        <v>330</v>
      </c>
    </row>
    <row r="3" spans="1:6">
      <c r="A3" s="580" t="s">
        <v>305</v>
      </c>
      <c r="B3" s="581"/>
      <c r="C3" s="182" t="s">
        <v>306</v>
      </c>
      <c r="D3" s="182" t="s">
        <v>307</v>
      </c>
      <c r="E3" s="182" t="s">
        <v>308</v>
      </c>
      <c r="F3" s="183" t="s">
        <v>309</v>
      </c>
    </row>
    <row r="4" spans="1:6">
      <c r="A4" s="582"/>
      <c r="B4" s="583"/>
      <c r="C4" s="184" t="s">
        <v>310</v>
      </c>
      <c r="D4" s="184" t="s">
        <v>310</v>
      </c>
      <c r="E4" s="184" t="s">
        <v>310</v>
      </c>
      <c r="F4" s="185" t="s">
        <v>310</v>
      </c>
    </row>
    <row r="5" spans="1:6">
      <c r="A5" s="7" t="s">
        <v>311</v>
      </c>
      <c r="B5" s="8"/>
      <c r="C5" s="8" t="s">
        <v>310</v>
      </c>
      <c r="D5" s="8" t="s">
        <v>310</v>
      </c>
      <c r="E5" s="8" t="s">
        <v>310</v>
      </c>
      <c r="F5" s="9" t="s">
        <v>310</v>
      </c>
    </row>
    <row r="6" spans="1:6">
      <c r="A6" s="7" t="s">
        <v>312</v>
      </c>
      <c r="B6" s="8"/>
      <c r="C6" s="364">
        <v>221.52521219081603</v>
      </c>
      <c r="D6" s="364">
        <v>225.35782831868482</v>
      </c>
      <c r="E6" s="364">
        <v>280.29199281813754</v>
      </c>
      <c r="F6" s="364">
        <v>303.28768958535022</v>
      </c>
    </row>
    <row r="7" spans="1:6">
      <c r="A7" s="7" t="s">
        <v>313</v>
      </c>
      <c r="B7" s="8"/>
      <c r="C7" s="364">
        <v>19.163080639343949</v>
      </c>
      <c r="D7" s="364">
        <v>38.326161278687898</v>
      </c>
      <c r="E7" s="364">
        <v>76.652322557375797</v>
      </c>
      <c r="F7" s="364">
        <v>153.30464511475159</v>
      </c>
    </row>
    <row r="8" spans="1:6">
      <c r="A8" s="7" t="s">
        <v>314</v>
      </c>
      <c r="B8" s="8"/>
      <c r="C8" s="364">
        <v>3.2595141594108341</v>
      </c>
      <c r="D8" s="364">
        <v>5.2326676502174001</v>
      </c>
      <c r="E8" s="364">
        <v>9.1789746318305117</v>
      </c>
      <c r="F8" s="364">
        <v>17.071588595056642</v>
      </c>
    </row>
    <row r="9" spans="1:6">
      <c r="A9" s="7" t="s">
        <v>315</v>
      </c>
      <c r="B9" s="8"/>
      <c r="C9" s="364">
        <v>38.293229036047826</v>
      </c>
      <c r="D9" s="364">
        <v>51.121328025207774</v>
      </c>
      <c r="E9" s="364">
        <v>76.777526003527868</v>
      </c>
      <c r="F9" s="364">
        <v>128.08992196016749</v>
      </c>
    </row>
    <row r="10" spans="1:6">
      <c r="A10" s="7" t="s">
        <v>316</v>
      </c>
      <c r="B10" s="8"/>
      <c r="C10" s="364">
        <v>17.11047187280624</v>
      </c>
      <c r="D10" s="364">
        <v>25.47358436519751</v>
      </c>
      <c r="E10" s="364">
        <v>42.199809349980242</v>
      </c>
      <c r="F10" s="364">
        <v>75.652259319545507</v>
      </c>
    </row>
    <row r="11" spans="1:6">
      <c r="A11" s="7" t="s">
        <v>317</v>
      </c>
      <c r="B11" s="8"/>
      <c r="C11" s="364">
        <v>10.647634612445884</v>
      </c>
      <c r="D11" s="364">
        <v>14.871989970600348</v>
      </c>
      <c r="E11" s="364">
        <v>23.320700686909376</v>
      </c>
      <c r="F11" s="364">
        <v>40.218122119527528</v>
      </c>
    </row>
    <row r="12" spans="1:6">
      <c r="A12" s="7" t="s">
        <v>318</v>
      </c>
      <c r="B12" s="8"/>
      <c r="C12" s="364">
        <v>16.499146501242315</v>
      </c>
      <c r="D12" s="364">
        <v>18.632571941131797</v>
      </c>
      <c r="E12" s="364">
        <v>25.641020891046239</v>
      </c>
      <c r="F12" s="364">
        <v>34.619306121436949</v>
      </c>
    </row>
    <row r="13" spans="1:6">
      <c r="A13" s="7" t="s">
        <v>319</v>
      </c>
      <c r="B13" s="8"/>
      <c r="C13" s="186">
        <f>SUM(C6:C12)</f>
        <v>326.49828901211305</v>
      </c>
      <c r="D13" s="186">
        <f t="shared" ref="D13:F13" si="0">SUM(D6:D12)</f>
        <v>379.01613154972756</v>
      </c>
      <c r="E13" s="186">
        <f t="shared" si="0"/>
        <v>534.06234693880754</v>
      </c>
      <c r="F13" s="186">
        <f t="shared" si="0"/>
        <v>752.24353281583581</v>
      </c>
    </row>
    <row r="14" spans="1:6">
      <c r="A14" s="7" t="s">
        <v>320</v>
      </c>
      <c r="B14" s="8"/>
      <c r="C14" s="186">
        <v>0</v>
      </c>
      <c r="D14" s="186">
        <v>0</v>
      </c>
      <c r="E14" s="186">
        <v>0</v>
      </c>
      <c r="F14" s="187">
        <v>0</v>
      </c>
    </row>
    <row r="15" spans="1:6">
      <c r="A15" s="7" t="s">
        <v>321</v>
      </c>
      <c r="B15" s="8"/>
      <c r="C15" s="364">
        <v>0.7575149398031259</v>
      </c>
      <c r="D15" s="364">
        <v>1.515029879606246</v>
      </c>
      <c r="E15" s="364">
        <v>3.0300597592125014</v>
      </c>
      <c r="F15" s="364">
        <v>6.0601195184250027</v>
      </c>
    </row>
    <row r="16" spans="1:6">
      <c r="A16" s="7" t="s">
        <v>322</v>
      </c>
      <c r="B16" s="8"/>
      <c r="C16" s="364">
        <v>5.1863943689215466</v>
      </c>
      <c r="D16" s="364">
        <v>10.372788737843033</v>
      </c>
      <c r="E16" s="364">
        <v>20.745577475686165</v>
      </c>
      <c r="F16" s="364">
        <v>41.49115495137233</v>
      </c>
    </row>
    <row r="17" spans="1:11">
      <c r="A17" s="7" t="s">
        <v>323</v>
      </c>
      <c r="B17" s="8"/>
      <c r="C17" s="364">
        <v>9.6643492414142642</v>
      </c>
      <c r="D17" s="364">
        <v>11.109285088593582</v>
      </c>
      <c r="E17" s="364">
        <v>15.499472692367695</v>
      </c>
      <c r="F17" s="364">
        <v>21.522510552882</v>
      </c>
    </row>
    <row r="18" spans="1:11">
      <c r="A18" s="7" t="s">
        <v>324</v>
      </c>
      <c r="B18" s="8"/>
      <c r="C18" s="364">
        <v>19.59112574333183</v>
      </c>
      <c r="D18" s="364">
        <v>22.743424698193785</v>
      </c>
      <c r="E18" s="364">
        <v>32.048654426748726</v>
      </c>
      <c r="F18" s="364">
        <v>45.144439189790873</v>
      </c>
    </row>
    <row r="19" spans="1:11">
      <c r="A19" s="7" t="s">
        <v>325</v>
      </c>
      <c r="B19" s="8"/>
      <c r="C19" s="364">
        <v>17.788711868680483</v>
      </c>
      <c r="D19" s="364">
        <v>20.645489404500875</v>
      </c>
      <c r="E19" s="364">
        <v>29.084618378246418</v>
      </c>
      <c r="F19" s="364">
        <v>40.953713478625978</v>
      </c>
    </row>
    <row r="20" spans="1:11">
      <c r="A20" s="7" t="s">
        <v>326</v>
      </c>
      <c r="B20" s="8"/>
      <c r="C20" s="364">
        <v>52.988096162151251</v>
      </c>
      <c r="D20" s="364">
        <v>66.38601780873752</v>
      </c>
      <c r="E20" s="364">
        <v>100.4083827322615</v>
      </c>
      <c r="F20" s="364">
        <v>155.17193769109619</v>
      </c>
    </row>
    <row r="21" spans="1:11" ht="16" thickBot="1">
      <c r="A21" s="188" t="s">
        <v>327</v>
      </c>
      <c r="B21" s="189"/>
      <c r="C21" s="364">
        <v>379.48638517426429</v>
      </c>
      <c r="D21" s="364">
        <v>445.40214935846507</v>
      </c>
      <c r="E21" s="364">
        <v>634.47072967106908</v>
      </c>
      <c r="F21" s="364">
        <v>907.41547050693202</v>
      </c>
    </row>
    <row r="23" spans="1:11">
      <c r="A23" s="126" t="s">
        <v>332</v>
      </c>
      <c r="C23" s="192">
        <v>60</v>
      </c>
      <c r="D23" s="192">
        <v>60</v>
      </c>
      <c r="E23" s="192">
        <v>60</v>
      </c>
      <c r="F23" s="192">
        <v>60</v>
      </c>
    </row>
    <row r="24" spans="1:11">
      <c r="A24" s="191" t="s">
        <v>995</v>
      </c>
      <c r="C24" s="192">
        <v>240</v>
      </c>
      <c r="D24" s="192">
        <v>120</v>
      </c>
      <c r="E24" s="192">
        <v>60</v>
      </c>
      <c r="F24" s="192">
        <v>30</v>
      </c>
    </row>
    <row r="25" spans="1:11">
      <c r="A25" s="126" t="s">
        <v>333</v>
      </c>
      <c r="C25" s="193">
        <v>5</v>
      </c>
      <c r="D25" s="193">
        <v>5</v>
      </c>
      <c r="E25" s="193">
        <v>5</v>
      </c>
      <c r="F25" s="193">
        <v>5</v>
      </c>
    </row>
    <row r="26" spans="1:11">
      <c r="A26" s="126" t="s">
        <v>331</v>
      </c>
      <c r="C26">
        <f>C24/C25</f>
        <v>48</v>
      </c>
      <c r="D26">
        <f t="shared" ref="D26:F26" si="1">D24/D25</f>
        <v>24</v>
      </c>
      <c r="E26">
        <f t="shared" si="1"/>
        <v>12</v>
      </c>
      <c r="F26">
        <f t="shared" si="1"/>
        <v>6</v>
      </c>
      <c r="G26">
        <v>0</v>
      </c>
    </row>
    <row r="27" spans="1:11">
      <c r="A27" s="126"/>
      <c r="I27" s="126" t="s">
        <v>334</v>
      </c>
      <c r="J27" s="126" t="s">
        <v>335</v>
      </c>
    </row>
    <row r="28" spans="1:11">
      <c r="G28" s="126"/>
      <c r="H28" s="126"/>
      <c r="I28" s="126" t="s">
        <v>286</v>
      </c>
      <c r="J28" s="126" t="s">
        <v>310</v>
      </c>
      <c r="K28" s="126" t="s">
        <v>336</v>
      </c>
    </row>
    <row r="29" spans="1:11">
      <c r="A29" s="191" t="s">
        <v>995</v>
      </c>
      <c r="C29" s="192">
        <v>240</v>
      </c>
      <c r="D29" s="192">
        <v>120</v>
      </c>
      <c r="E29" s="192">
        <v>60</v>
      </c>
      <c r="F29" s="192">
        <v>30</v>
      </c>
      <c r="G29" s="192">
        <v>0</v>
      </c>
    </row>
    <row r="30" spans="1:11">
      <c r="A30" s="7" t="s">
        <v>312</v>
      </c>
      <c r="B30" s="8"/>
      <c r="C30" s="186">
        <f>C6*C$24*1000</f>
        <v>53166050.925795846</v>
      </c>
      <c r="D30" s="186">
        <f t="shared" ref="C30:F37" si="2">D6*D$24*1000</f>
        <v>27042939.398242179</v>
      </c>
      <c r="E30" s="186">
        <f t="shared" si="2"/>
        <v>16817519.569088254</v>
      </c>
      <c r="F30" s="186">
        <f t="shared" si="2"/>
        <v>9098630.6875605062</v>
      </c>
      <c r="G30" s="194"/>
    </row>
    <row r="31" spans="1:11">
      <c r="A31" s="7" t="s">
        <v>313</v>
      </c>
      <c r="B31" s="8"/>
      <c r="C31" s="186">
        <f t="shared" si="2"/>
        <v>4599139.3534425478</v>
      </c>
      <c r="D31" s="186">
        <f t="shared" si="2"/>
        <v>4599139.3534425478</v>
      </c>
      <c r="E31" s="186">
        <f t="shared" si="2"/>
        <v>4599139.3534425478</v>
      </c>
      <c r="F31" s="186">
        <f t="shared" si="2"/>
        <v>4599139.3534425478</v>
      </c>
      <c r="G31" s="194">
        <f>2*F31-E31</f>
        <v>4599139.3534425478</v>
      </c>
      <c r="H31" s="190"/>
      <c r="I31" s="195">
        <f>G31/(1000*C$23)</f>
        <v>76.652322557375797</v>
      </c>
      <c r="J31" s="88">
        <v>0</v>
      </c>
      <c r="K31" s="97">
        <f t="shared" ref="K31:K45" si="3">(C31-G31)/C$26</f>
        <v>0</v>
      </c>
    </row>
    <row r="32" spans="1:11">
      <c r="A32" s="7" t="s">
        <v>314</v>
      </c>
      <c r="B32" s="8"/>
      <c r="C32" s="186">
        <f t="shared" si="2"/>
        <v>782283.39825860015</v>
      </c>
      <c r="D32" s="186">
        <f t="shared" si="2"/>
        <v>627920.11802608811</v>
      </c>
      <c r="E32" s="186">
        <f t="shared" si="2"/>
        <v>550738.47790983075</v>
      </c>
      <c r="F32" s="186">
        <f t="shared" si="2"/>
        <v>512147.65785169927</v>
      </c>
      <c r="G32" s="194">
        <f t="shared" ref="G32:G37" si="4">2*F32-E32</f>
        <v>473556.8377935678</v>
      </c>
      <c r="H32" s="190"/>
      <c r="I32" s="195">
        <f t="shared" ref="I32:I45" si="5">G32/(1000*C$23)</f>
        <v>7.8926139632261298</v>
      </c>
      <c r="J32" s="88">
        <f>(C32-G32)/(1000*C$29)</f>
        <v>1.2863606686043014</v>
      </c>
      <c r="K32" s="97">
        <f t="shared" si="3"/>
        <v>6431.8033430215073</v>
      </c>
    </row>
    <row r="33" spans="1:11">
      <c r="A33" s="7" t="s">
        <v>315</v>
      </c>
      <c r="B33" s="8"/>
      <c r="C33" s="186">
        <f t="shared" si="2"/>
        <v>9190374.9686514791</v>
      </c>
      <c r="D33" s="186">
        <f t="shared" si="2"/>
        <v>6134559.3630249333</v>
      </c>
      <c r="E33" s="186">
        <f t="shared" si="2"/>
        <v>4606651.5602116724</v>
      </c>
      <c r="F33" s="186">
        <f t="shared" si="2"/>
        <v>3842697.6588050248</v>
      </c>
      <c r="G33" s="194">
        <f t="shared" si="4"/>
        <v>3078743.7573983772</v>
      </c>
      <c r="H33" s="190"/>
      <c r="I33" s="195">
        <f t="shared" si="5"/>
        <v>51.312395956639619</v>
      </c>
      <c r="J33" s="88">
        <f t="shared" ref="J33:J45" si="6">(C33-G33)/(1000*C$29)</f>
        <v>25.465130046887925</v>
      </c>
      <c r="K33" s="97">
        <f t="shared" si="3"/>
        <v>127325.65023443963</v>
      </c>
    </row>
    <row r="34" spans="1:11">
      <c r="A34" s="7" t="s">
        <v>316</v>
      </c>
      <c r="B34" s="8"/>
      <c r="C34" s="186">
        <f t="shared" si="2"/>
        <v>4106513.2494734982</v>
      </c>
      <c r="D34" s="186">
        <f t="shared" si="2"/>
        <v>3056830.1238237014</v>
      </c>
      <c r="E34" s="186">
        <f t="shared" si="2"/>
        <v>2531988.5609988146</v>
      </c>
      <c r="F34" s="186">
        <f t="shared" si="2"/>
        <v>2269567.7795863654</v>
      </c>
      <c r="G34" s="194">
        <f t="shared" si="4"/>
        <v>2007146.9981739162</v>
      </c>
      <c r="H34" s="190"/>
      <c r="I34" s="195">
        <f t="shared" si="5"/>
        <v>33.452449969565272</v>
      </c>
      <c r="J34" s="88">
        <f t="shared" si="6"/>
        <v>8.7473593804149257</v>
      </c>
      <c r="K34" s="97">
        <f t="shared" si="3"/>
        <v>43736.796902074624</v>
      </c>
    </row>
    <row r="35" spans="1:11">
      <c r="A35" s="7" t="s">
        <v>317</v>
      </c>
      <c r="B35" s="8"/>
      <c r="C35" s="186">
        <f t="shared" si="2"/>
        <v>2555432.3069870123</v>
      </c>
      <c r="D35" s="186">
        <f t="shared" si="2"/>
        <v>1784638.7964720419</v>
      </c>
      <c r="E35" s="186">
        <f t="shared" si="2"/>
        <v>1399242.0412145625</v>
      </c>
      <c r="F35" s="186">
        <f t="shared" si="2"/>
        <v>1206543.6635858258</v>
      </c>
      <c r="G35" s="194">
        <f t="shared" si="4"/>
        <v>1013845.2859570892</v>
      </c>
      <c r="H35" s="190"/>
      <c r="I35" s="195">
        <f t="shared" si="5"/>
        <v>16.897421432618152</v>
      </c>
      <c r="J35" s="88">
        <f t="shared" si="6"/>
        <v>6.4232792542913462</v>
      </c>
      <c r="K35" s="97">
        <f t="shared" si="3"/>
        <v>32116.396271456731</v>
      </c>
    </row>
    <row r="36" spans="1:11">
      <c r="A36" s="7" t="s">
        <v>318</v>
      </c>
      <c r="B36" s="8"/>
      <c r="C36" s="186">
        <f t="shared" si="2"/>
        <v>3959795.1602981556</v>
      </c>
      <c r="D36" s="186">
        <f t="shared" si="2"/>
        <v>2235908.6329358155</v>
      </c>
      <c r="E36" s="186">
        <f t="shared" si="2"/>
        <v>1538461.2534627742</v>
      </c>
      <c r="F36" s="186">
        <f t="shared" si="2"/>
        <v>1038579.1836431086</v>
      </c>
      <c r="G36" s="194">
        <f t="shared" si="4"/>
        <v>538697.11382344295</v>
      </c>
      <c r="H36" s="190"/>
      <c r="I36" s="195">
        <f t="shared" si="5"/>
        <v>8.9782852303907159</v>
      </c>
      <c r="J36" s="88">
        <f t="shared" si="6"/>
        <v>14.254575193644637</v>
      </c>
      <c r="K36" s="97">
        <f t="shared" si="3"/>
        <v>71272.87596822319</v>
      </c>
    </row>
    <row r="37" spans="1:11">
      <c r="A37" s="7" t="s">
        <v>319</v>
      </c>
      <c r="B37" s="8"/>
      <c r="C37" s="186">
        <f t="shared" si="2"/>
        <v>78359589.362907141</v>
      </c>
      <c r="D37" s="186">
        <f t="shared" si="2"/>
        <v>45481935.785967305</v>
      </c>
      <c r="E37" s="186">
        <f t="shared" si="2"/>
        <v>32043740.816328451</v>
      </c>
      <c r="F37" s="186">
        <f t="shared" si="2"/>
        <v>22567305.984475076</v>
      </c>
      <c r="G37" s="194">
        <f t="shared" si="4"/>
        <v>13090871.152621701</v>
      </c>
      <c r="H37" s="190"/>
      <c r="I37" s="195">
        <f t="shared" si="5"/>
        <v>218.18118587702835</v>
      </c>
      <c r="J37" s="88">
        <f t="shared" si="6"/>
        <v>271.95299254285601</v>
      </c>
      <c r="K37" s="97">
        <f t="shared" si="3"/>
        <v>1359764.96271428</v>
      </c>
    </row>
    <row r="38" spans="1:11">
      <c r="A38" s="7" t="s">
        <v>320</v>
      </c>
      <c r="B38" s="8"/>
      <c r="C38" s="186">
        <f t="shared" ref="C38:C45" si="7">C14*C$24*1000</f>
        <v>0</v>
      </c>
      <c r="D38" s="186">
        <f t="shared" ref="D38:F38" si="8">D14*D$24*1000</f>
        <v>0</v>
      </c>
      <c r="E38" s="186">
        <f t="shared" si="8"/>
        <v>0</v>
      </c>
      <c r="F38" s="186">
        <f t="shared" si="8"/>
        <v>0</v>
      </c>
      <c r="G38" s="194"/>
      <c r="H38" s="190"/>
      <c r="I38" s="195">
        <f t="shared" si="5"/>
        <v>0</v>
      </c>
      <c r="J38" s="88">
        <f t="shared" si="6"/>
        <v>0</v>
      </c>
      <c r="K38" s="97">
        <f t="shared" si="3"/>
        <v>0</v>
      </c>
    </row>
    <row r="39" spans="1:11">
      <c r="A39" s="7" t="s">
        <v>321</v>
      </c>
      <c r="B39" s="8"/>
      <c r="C39" s="186">
        <f t="shared" si="7"/>
        <v>181803.58555275021</v>
      </c>
      <c r="D39" s="186">
        <f t="shared" ref="D39:F45" si="9">D15*D$24*1000</f>
        <v>181803.58555274952</v>
      </c>
      <c r="E39" s="186">
        <f t="shared" si="9"/>
        <v>181803.5855527501</v>
      </c>
      <c r="F39" s="186">
        <f t="shared" si="9"/>
        <v>181803.5855527501</v>
      </c>
      <c r="G39" s="194">
        <f t="shared" ref="G39:G45" si="10">2*F39-E39</f>
        <v>181803.5855527501</v>
      </c>
      <c r="H39" s="190"/>
      <c r="I39" s="195">
        <f t="shared" si="5"/>
        <v>3.0300597592125018</v>
      </c>
      <c r="J39" s="88">
        <f t="shared" si="6"/>
        <v>4.8506384094556175E-16</v>
      </c>
      <c r="K39" s="97">
        <f t="shared" si="3"/>
        <v>2.4253192047278085E-12</v>
      </c>
    </row>
    <row r="40" spans="1:11">
      <c r="A40" s="7" t="s">
        <v>322</v>
      </c>
      <c r="B40" s="8"/>
      <c r="C40" s="186">
        <f t="shared" si="7"/>
        <v>1244734.6485411713</v>
      </c>
      <c r="D40" s="186">
        <f t="shared" si="9"/>
        <v>1244734.6485411641</v>
      </c>
      <c r="E40" s="186">
        <f t="shared" si="9"/>
        <v>1244734.6485411699</v>
      </c>
      <c r="F40" s="186">
        <f t="shared" si="9"/>
        <v>1244734.6485411699</v>
      </c>
      <c r="G40" s="194">
        <f t="shared" si="10"/>
        <v>1244734.6485411699</v>
      </c>
      <c r="H40" s="190"/>
      <c r="I40" s="195">
        <f t="shared" si="5"/>
        <v>20.745577475686165</v>
      </c>
      <c r="J40" s="88">
        <v>0</v>
      </c>
      <c r="K40" s="97">
        <f t="shared" si="3"/>
        <v>2.9103830456733704E-11</v>
      </c>
    </row>
    <row r="41" spans="1:11">
      <c r="A41" s="7" t="s">
        <v>323</v>
      </c>
      <c r="B41" s="8"/>
      <c r="C41" s="186">
        <f t="shared" si="7"/>
        <v>2319443.8179394235</v>
      </c>
      <c r="D41" s="186">
        <f t="shared" si="9"/>
        <v>1333114.2106312297</v>
      </c>
      <c r="E41" s="186">
        <f t="shared" si="9"/>
        <v>929968.36154206167</v>
      </c>
      <c r="F41" s="186">
        <f t="shared" si="9"/>
        <v>645675.31658645999</v>
      </c>
      <c r="G41" s="194">
        <f t="shared" si="10"/>
        <v>361382.2716308583</v>
      </c>
      <c r="H41" s="190"/>
      <c r="I41" s="195">
        <f t="shared" si="5"/>
        <v>6.0230378605143047</v>
      </c>
      <c r="J41" s="88">
        <f t="shared" si="6"/>
        <v>8.1585897762856892</v>
      </c>
      <c r="K41" s="97">
        <f t="shared" si="3"/>
        <v>40792.948881428441</v>
      </c>
    </row>
    <row r="42" spans="1:11">
      <c r="A42" s="7" t="s">
        <v>324</v>
      </c>
      <c r="B42" s="8"/>
      <c r="C42" s="186">
        <f t="shared" si="7"/>
        <v>4701870.1783996392</v>
      </c>
      <c r="D42" s="186">
        <f t="shared" si="9"/>
        <v>2729210.9637832539</v>
      </c>
      <c r="E42" s="186">
        <f t="shared" si="9"/>
        <v>1922919.2656049235</v>
      </c>
      <c r="F42" s="186">
        <f t="shared" si="9"/>
        <v>1354333.1756937262</v>
      </c>
      <c r="G42" s="194">
        <f t="shared" si="10"/>
        <v>785747.08578252885</v>
      </c>
      <c r="H42" s="190"/>
      <c r="I42" s="195">
        <f t="shared" si="5"/>
        <v>13.095784763042147</v>
      </c>
      <c r="J42" s="88">
        <f t="shared" si="6"/>
        <v>16.317179552571293</v>
      </c>
      <c r="K42" s="97">
        <f t="shared" si="3"/>
        <v>81585.897762856461</v>
      </c>
    </row>
    <row r="43" spans="1:11">
      <c r="A43" s="7" t="s">
        <v>325</v>
      </c>
      <c r="B43" s="8"/>
      <c r="C43" s="186">
        <f t="shared" si="7"/>
        <v>4269290.8484833157</v>
      </c>
      <c r="D43" s="186">
        <f t="shared" si="9"/>
        <v>2477458.7285401048</v>
      </c>
      <c r="E43" s="186">
        <f t="shared" si="9"/>
        <v>1745077.102694785</v>
      </c>
      <c r="F43" s="186">
        <f t="shared" si="9"/>
        <v>1228611.4043587793</v>
      </c>
      <c r="G43" s="194">
        <f t="shared" si="10"/>
        <v>712145.70602277364</v>
      </c>
      <c r="H43" s="190"/>
      <c r="I43" s="195">
        <f t="shared" si="5"/>
        <v>11.86909510037956</v>
      </c>
      <c r="J43" s="88">
        <f t="shared" si="6"/>
        <v>14.821438093585591</v>
      </c>
      <c r="K43" s="97">
        <f t="shared" si="3"/>
        <v>74107.190467927954</v>
      </c>
    </row>
    <row r="44" spans="1:11">
      <c r="A44" s="7" t="s">
        <v>326</v>
      </c>
      <c r="B44" s="8"/>
      <c r="C44" s="186">
        <f t="shared" si="7"/>
        <v>12717143.0789163</v>
      </c>
      <c r="D44" s="186">
        <f t="shared" si="9"/>
        <v>7966322.1370485025</v>
      </c>
      <c r="E44" s="186">
        <f t="shared" si="9"/>
        <v>6024502.96393569</v>
      </c>
      <c r="F44" s="186">
        <f t="shared" si="9"/>
        <v>4655158.1307328865</v>
      </c>
      <c r="G44" s="194">
        <f t="shared" si="10"/>
        <v>3285813.297530083</v>
      </c>
      <c r="H44" s="190"/>
      <c r="I44" s="195">
        <f t="shared" si="5"/>
        <v>54.763554958834717</v>
      </c>
      <c r="J44" s="88">
        <f t="shared" si="6"/>
        <v>39.297207422442568</v>
      </c>
      <c r="K44" s="97">
        <f t="shared" si="3"/>
        <v>196486.03711221286</v>
      </c>
    </row>
    <row r="45" spans="1:11" ht="16" thickBot="1">
      <c r="A45" s="188" t="s">
        <v>327</v>
      </c>
      <c r="B45" s="189"/>
      <c r="C45" s="186">
        <f t="shared" si="7"/>
        <v>91076732.441823438</v>
      </c>
      <c r="D45" s="186">
        <f t="shared" si="9"/>
        <v>53448257.923015811</v>
      </c>
      <c r="E45" s="186">
        <f t="shared" si="9"/>
        <v>38068243.780264147</v>
      </c>
      <c r="F45" s="186">
        <f t="shared" si="9"/>
        <v>27222464.115207959</v>
      </c>
      <c r="G45" s="194">
        <f t="shared" si="10"/>
        <v>16376684.450151771</v>
      </c>
      <c r="H45" s="190"/>
      <c r="I45" s="195">
        <f t="shared" si="5"/>
        <v>272.94474083586283</v>
      </c>
      <c r="J45" s="88">
        <f t="shared" si="6"/>
        <v>311.25019996529863</v>
      </c>
      <c r="K45" s="97">
        <f t="shared" si="3"/>
        <v>1556250.999826493</v>
      </c>
    </row>
    <row r="47" spans="1:11">
      <c r="A47" s="126" t="s">
        <v>337</v>
      </c>
      <c r="C47" s="195">
        <f>C35+C36+C39+C40+C41+C42+C43</f>
        <v>19232370.546201468</v>
      </c>
      <c r="D47" s="195">
        <f t="shared" ref="D47:K47" si="11">D35+D36+D39+D40+D41+D42+D43</f>
        <v>11986869.566456359</v>
      </c>
      <c r="E47" s="195">
        <f t="shared" si="11"/>
        <v>8962206.2586130276</v>
      </c>
      <c r="F47" s="195">
        <f t="shared" si="11"/>
        <v>6900280.9779618196</v>
      </c>
      <c r="G47" s="195">
        <f t="shared" si="11"/>
        <v>4838355.6973106135</v>
      </c>
      <c r="H47" s="195"/>
      <c r="I47" s="195">
        <f t="shared" si="11"/>
        <v>80.639261621843559</v>
      </c>
      <c r="J47" s="195">
        <f t="shared" si="11"/>
        <v>59.975061870378561</v>
      </c>
      <c r="K47" s="195">
        <f t="shared" si="11"/>
        <v>299875.30935189279</v>
      </c>
    </row>
  </sheetData>
  <mergeCells count="1">
    <mergeCell ref="A3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A9B8-9AB5-D349-9DC3-5391A6A72718}">
  <dimension ref="A1:AN107"/>
  <sheetViews>
    <sheetView topLeftCell="A20" zoomScale="74" zoomScaleNormal="74" workbookViewId="0">
      <pane xSplit="1" topLeftCell="M1" activePane="topRight" state="frozen"/>
      <selection pane="topRight" activeCell="W45" sqref="W45"/>
    </sheetView>
  </sheetViews>
  <sheetFormatPr baseColWidth="10" defaultColWidth="11.5" defaultRowHeight="16"/>
  <cols>
    <col min="1" max="1" width="30.6640625" style="730" customWidth="1"/>
    <col min="2" max="2" width="18.5" style="730" customWidth="1"/>
    <col min="3" max="3" width="17.6640625" style="730" customWidth="1"/>
    <col min="4" max="4" width="16.1640625" style="730" customWidth="1"/>
    <col min="5" max="5" width="19.1640625" style="730" customWidth="1"/>
    <col min="6" max="6" width="18.6640625" style="730" customWidth="1"/>
    <col min="7" max="7" width="17.33203125" style="730" customWidth="1"/>
    <col min="8" max="11" width="18.1640625" style="730" customWidth="1"/>
    <col min="12" max="12" width="17.5" style="730" customWidth="1"/>
    <col min="13" max="13" width="17.83203125" style="730" customWidth="1"/>
    <col min="14" max="14" width="18.83203125" style="730" customWidth="1"/>
    <col min="15" max="15" width="16.5" style="730" customWidth="1"/>
    <col min="16" max="16" width="19.1640625" style="730" customWidth="1"/>
    <col min="17" max="17" width="18.83203125" style="730" customWidth="1"/>
    <col min="18" max="18" width="17" style="730" customWidth="1"/>
    <col min="19" max="19" width="16" style="730" customWidth="1"/>
    <col min="20" max="20" width="16.83203125" style="730" customWidth="1"/>
    <col min="21" max="21" width="17.1640625" style="730" customWidth="1"/>
    <col min="22" max="22" width="18.83203125" style="730" customWidth="1"/>
    <col min="23" max="23" width="18" style="730" customWidth="1"/>
    <col min="24" max="24" width="16.1640625" style="730" customWidth="1"/>
    <col min="25" max="25" width="22.5" style="730" customWidth="1"/>
    <col min="26" max="26" width="22.83203125" style="730" customWidth="1"/>
    <col min="27" max="27" width="16.1640625" style="730" customWidth="1"/>
    <col min="28" max="28" width="19" style="730" customWidth="1"/>
    <col min="29" max="29" width="14.83203125" style="730" customWidth="1"/>
    <col min="30" max="30" width="13.6640625" style="730" bestFit="1" customWidth="1"/>
    <col min="31" max="31" width="15.33203125" style="730" bestFit="1" customWidth="1"/>
    <col min="32" max="32" width="16.1640625" style="730" customWidth="1"/>
    <col min="33" max="36" width="11.5" style="730"/>
    <col min="37" max="37" width="18.1640625" style="730" customWidth="1"/>
    <col min="38" max="39" width="11.5" style="730"/>
    <col min="40" max="40" width="12.5" style="730" customWidth="1"/>
    <col min="41" max="41" width="13.5" style="730" customWidth="1"/>
    <col min="42" max="42" width="19.6640625" style="730" customWidth="1"/>
    <col min="43" max="43" width="22.1640625" style="730" customWidth="1"/>
    <col min="44" max="44" width="19" style="730" customWidth="1"/>
    <col min="45" max="16384" width="11.5" style="730"/>
  </cols>
  <sheetData>
    <row r="1" spans="1:27" ht="18" customHeight="1">
      <c r="A1" s="724" t="s">
        <v>1498</v>
      </c>
      <c r="B1" s="703" t="s">
        <v>0</v>
      </c>
      <c r="C1" s="547" t="s">
        <v>198</v>
      </c>
      <c r="D1" s="701" t="s">
        <v>282</v>
      </c>
      <c r="E1" s="466"/>
      <c r="F1" s="483"/>
      <c r="G1" s="483"/>
      <c r="H1" s="890" t="s">
        <v>26</v>
      </c>
      <c r="I1" s="891"/>
      <c r="J1" s="743"/>
      <c r="K1" s="743"/>
      <c r="L1" s="743"/>
      <c r="M1" s="743"/>
      <c r="N1" s="743"/>
      <c r="O1" s="881"/>
      <c r="S1" s="484"/>
      <c r="T1" s="484"/>
      <c r="U1" s="484"/>
      <c r="V1" s="466"/>
      <c r="W1" s="466"/>
      <c r="X1" s="466"/>
      <c r="Y1" s="466"/>
      <c r="Z1" s="466"/>
      <c r="AA1" s="466"/>
    </row>
    <row r="2" spans="1:27" ht="36" customHeight="1">
      <c r="A2" s="725"/>
      <c r="B2" s="688"/>
      <c r="C2" s="548"/>
      <c r="D2" s="702"/>
      <c r="E2" s="466"/>
      <c r="F2" s="483"/>
      <c r="G2" s="483"/>
      <c r="H2" s="892"/>
      <c r="I2" s="893"/>
      <c r="J2" s="466" t="s">
        <v>67</v>
      </c>
      <c r="K2" s="466" t="s">
        <v>69</v>
      </c>
      <c r="L2" s="466" t="s">
        <v>70</v>
      </c>
      <c r="M2" s="466" t="s">
        <v>198</v>
      </c>
      <c r="N2" s="132" t="s">
        <v>201</v>
      </c>
      <c r="O2" s="702" t="s">
        <v>282</v>
      </c>
      <c r="S2" s="484"/>
      <c r="T2" s="484"/>
      <c r="U2" s="484"/>
      <c r="V2" s="466"/>
      <c r="W2" s="466"/>
      <c r="X2" s="466"/>
      <c r="Y2" s="466"/>
      <c r="Z2" s="466"/>
      <c r="AA2" s="466"/>
    </row>
    <row r="3" spans="1:27" ht="18.75" customHeight="1">
      <c r="A3" s="726"/>
      <c r="B3" s="689"/>
      <c r="C3" s="466" t="s">
        <v>197</v>
      </c>
      <c r="D3" s="357"/>
      <c r="E3" s="466"/>
      <c r="F3" s="483"/>
      <c r="G3" s="483"/>
      <c r="H3" s="894"/>
      <c r="I3" s="895"/>
      <c r="J3" s="466" t="s">
        <v>68</v>
      </c>
      <c r="K3" s="466" t="s">
        <v>71</v>
      </c>
      <c r="L3" s="466" t="s">
        <v>72</v>
      </c>
      <c r="M3" s="466" t="s">
        <v>197</v>
      </c>
      <c r="N3" s="132" t="s">
        <v>203</v>
      </c>
      <c r="O3" s="702"/>
      <c r="S3" s="484"/>
      <c r="T3" s="484"/>
      <c r="U3" s="484"/>
      <c r="V3" s="466"/>
      <c r="W3" s="466"/>
      <c r="X3" s="466"/>
      <c r="Y3" s="466"/>
      <c r="Z3" s="466"/>
      <c r="AA3" s="466"/>
    </row>
    <row r="4" spans="1:27" ht="16" customHeight="1">
      <c r="A4" s="1001" t="s">
        <v>686</v>
      </c>
      <c r="B4" s="1002" t="s">
        <v>685</v>
      </c>
      <c r="C4" s="1003">
        <v>26</v>
      </c>
      <c r="D4" s="1004" t="s">
        <v>1497</v>
      </c>
      <c r="E4" s="731"/>
      <c r="F4" s="729"/>
      <c r="G4" s="729"/>
      <c r="H4" s="1014" t="s">
        <v>11</v>
      </c>
      <c r="I4" s="1015"/>
      <c r="J4" s="1016"/>
      <c r="K4" s="1017"/>
      <c r="L4" s="1017">
        <v>1.8</v>
      </c>
      <c r="M4" s="1018">
        <v>10</v>
      </c>
      <c r="N4" s="1017"/>
      <c r="O4" s="1004" t="s">
        <v>1008</v>
      </c>
      <c r="S4" s="772"/>
      <c r="T4" s="772"/>
      <c r="U4" s="772"/>
      <c r="V4" s="860"/>
      <c r="W4" s="860"/>
      <c r="X4" s="860"/>
      <c r="Y4" s="860"/>
      <c r="Z4" s="860"/>
      <c r="AA4" s="735"/>
    </row>
    <row r="5" spans="1:27">
      <c r="A5" s="874" t="s">
        <v>199</v>
      </c>
      <c r="B5" s="727" t="s">
        <v>144</v>
      </c>
      <c r="C5" s="735">
        <v>10</v>
      </c>
      <c r="D5" s="758" t="s">
        <v>1497</v>
      </c>
      <c r="E5" s="731"/>
      <c r="F5" s="729"/>
      <c r="G5" s="729"/>
      <c r="H5" s="761" t="s">
        <v>12</v>
      </c>
      <c r="I5" s="775"/>
      <c r="J5" s="732" t="s">
        <v>13</v>
      </c>
      <c r="K5" s="763"/>
      <c r="L5" s="730">
        <v>2.25</v>
      </c>
      <c r="M5" s="736">
        <v>6.8</v>
      </c>
      <c r="O5" s="758" t="s">
        <v>1008</v>
      </c>
      <c r="S5" s="772"/>
      <c r="T5" s="772"/>
      <c r="U5" s="772"/>
      <c r="V5" s="860"/>
      <c r="W5" s="860"/>
      <c r="X5" s="860"/>
      <c r="Y5" s="860"/>
      <c r="Z5" s="860"/>
      <c r="AA5" s="735"/>
    </row>
    <row r="6" spans="1:27">
      <c r="A6" s="986" t="s">
        <v>2</v>
      </c>
      <c r="B6" s="1005" t="s">
        <v>35</v>
      </c>
      <c r="C6" s="901">
        <v>5</v>
      </c>
      <c r="D6" s="1006" t="s">
        <v>208</v>
      </c>
      <c r="E6" s="731"/>
      <c r="F6" s="729"/>
      <c r="G6" s="729"/>
      <c r="H6" s="1014" t="s">
        <v>14</v>
      </c>
      <c r="I6" s="1015"/>
      <c r="J6" s="1008">
        <v>7.5</v>
      </c>
      <c r="K6" s="1019">
        <f>J6*L6/10</f>
        <v>2.0249999999999999</v>
      </c>
      <c r="L6" s="1013">
        <v>2.7</v>
      </c>
      <c r="M6" s="1019">
        <f>1000*N6/(L6*J6)</f>
        <v>4.9382716049382713</v>
      </c>
      <c r="N6" s="1013">
        <f>0.2/2</f>
        <v>0.1</v>
      </c>
      <c r="O6" s="1010" t="s">
        <v>1497</v>
      </c>
      <c r="S6" s="772"/>
      <c r="T6" s="772"/>
      <c r="U6" s="772"/>
      <c r="V6" s="860"/>
      <c r="W6" s="860"/>
      <c r="X6" s="860"/>
      <c r="Y6" s="860"/>
      <c r="Z6" s="860"/>
      <c r="AA6" s="735"/>
    </row>
    <row r="7" spans="1:27">
      <c r="A7" s="766" t="s">
        <v>148</v>
      </c>
      <c r="B7" s="734" t="s">
        <v>35</v>
      </c>
      <c r="C7" s="735">
        <v>5</v>
      </c>
      <c r="D7" s="875" t="s">
        <v>208</v>
      </c>
      <c r="E7" s="731"/>
      <c r="F7" s="729"/>
      <c r="G7" s="729"/>
      <c r="H7" s="761" t="s">
        <v>15</v>
      </c>
      <c r="I7" s="775"/>
      <c r="J7" s="732">
        <v>5</v>
      </c>
      <c r="K7" s="736">
        <f>L7*J7/10</f>
        <v>4.4800000000000004</v>
      </c>
      <c r="L7" s="730">
        <v>8.9600000000000009</v>
      </c>
      <c r="M7" s="736">
        <f>1000*N7/(L7*J7)</f>
        <v>13.392857142857142</v>
      </c>
      <c r="N7" s="730">
        <f>1.2/2</f>
        <v>0.6</v>
      </c>
      <c r="O7" s="758" t="s">
        <v>1497</v>
      </c>
      <c r="S7" s="772"/>
      <c r="T7" s="772"/>
      <c r="U7" s="772"/>
      <c r="V7" s="860"/>
      <c r="W7" s="860"/>
      <c r="X7" s="860"/>
      <c r="Y7" s="860"/>
      <c r="Z7" s="860"/>
      <c r="AA7" s="735"/>
    </row>
    <row r="8" spans="1:27">
      <c r="A8" s="986" t="s">
        <v>413</v>
      </c>
      <c r="B8" s="1005" t="s">
        <v>414</v>
      </c>
      <c r="C8" s="901">
        <v>2</v>
      </c>
      <c r="D8" s="1007" t="s">
        <v>1004</v>
      </c>
      <c r="E8" s="731"/>
      <c r="F8" s="729"/>
      <c r="G8" s="729"/>
      <c r="H8" s="1014" t="s">
        <v>16</v>
      </c>
      <c r="I8" s="1015"/>
      <c r="J8" s="1008"/>
      <c r="K8" s="1019"/>
      <c r="L8" s="1013">
        <v>1.2</v>
      </c>
      <c r="M8" s="1019">
        <f>10*L8</f>
        <v>12</v>
      </c>
      <c r="N8" s="1013"/>
      <c r="O8" s="1010" t="s">
        <v>1497</v>
      </c>
      <c r="S8" s="772"/>
      <c r="T8" s="772"/>
      <c r="U8" s="772"/>
      <c r="V8" s="860"/>
      <c r="W8" s="860"/>
      <c r="X8" s="860"/>
      <c r="Y8" s="860"/>
      <c r="Z8" s="860"/>
      <c r="AA8" s="735"/>
    </row>
    <row r="9" spans="1:27">
      <c r="A9" s="874" t="s">
        <v>988</v>
      </c>
      <c r="B9" s="727" t="s">
        <v>989</v>
      </c>
      <c r="C9" s="735">
        <f>'Material Costs and GWP'!AD25</f>
        <v>7.5249999999999995</v>
      </c>
      <c r="D9" s="758" t="s">
        <v>1001</v>
      </c>
      <c r="E9" s="731"/>
      <c r="F9" s="729"/>
      <c r="G9" s="729"/>
      <c r="H9" s="761" t="s">
        <v>792</v>
      </c>
      <c r="I9" s="775"/>
      <c r="J9" s="732">
        <v>7.5</v>
      </c>
      <c r="K9" s="736">
        <f>L9*J9/10</f>
        <v>2.2265000000000001</v>
      </c>
      <c r="L9" s="736">
        <f>(J10*L10+(J9-J10)*6.73)/J9</f>
        <v>2.9686666666666666</v>
      </c>
      <c r="M9" s="736">
        <f>M10*N9/N10</f>
        <v>19.550284860875859</v>
      </c>
      <c r="N9" s="768">
        <f>N10+'Material Costs and GWP'!M67</f>
        <v>0.36950038387055373</v>
      </c>
      <c r="O9" s="758"/>
      <c r="S9" s="772"/>
      <c r="T9" s="772"/>
      <c r="U9" s="772"/>
      <c r="V9" s="860"/>
      <c r="W9" s="860"/>
      <c r="X9" s="860"/>
      <c r="Y9" s="860"/>
      <c r="Z9" s="860"/>
      <c r="AA9" s="735"/>
    </row>
    <row r="10" spans="1:27">
      <c r="A10" s="986" t="s">
        <v>150</v>
      </c>
      <c r="B10" s="1005" t="s">
        <v>151</v>
      </c>
      <c r="C10" s="901">
        <v>2</v>
      </c>
      <c r="D10" s="1007" t="s">
        <v>1004</v>
      </c>
      <c r="E10" s="731"/>
      <c r="F10" s="729"/>
      <c r="G10" s="729"/>
      <c r="H10" s="1014" t="s">
        <v>791</v>
      </c>
      <c r="I10" s="1015"/>
      <c r="J10" s="1008">
        <v>7</v>
      </c>
      <c r="K10" s="1019">
        <f>L10*J10/10</f>
        <v>1.8900000000000001</v>
      </c>
      <c r="L10" s="1013">
        <v>2.7</v>
      </c>
      <c r="M10" s="1019">
        <f>M6</f>
        <v>4.9382716049382713</v>
      </c>
      <c r="N10" s="1020">
        <f>M10*J10*(L10)/1000</f>
        <v>9.3333333333333324E-2</v>
      </c>
      <c r="O10" s="1010"/>
      <c r="S10" s="772"/>
      <c r="T10" s="772"/>
      <c r="U10" s="772"/>
      <c r="V10" s="860"/>
      <c r="W10" s="860"/>
      <c r="X10" s="860"/>
      <c r="Y10" s="860"/>
      <c r="Z10" s="860"/>
      <c r="AA10" s="735"/>
    </row>
    <row r="11" spans="1:27">
      <c r="A11" s="766" t="s">
        <v>244</v>
      </c>
      <c r="B11" s="732" t="s">
        <v>246</v>
      </c>
      <c r="C11" s="730">
        <v>5</v>
      </c>
      <c r="D11" s="758" t="s">
        <v>1001</v>
      </c>
      <c r="F11" s="733"/>
      <c r="G11" s="733"/>
      <c r="H11" s="761" t="s">
        <v>18</v>
      </c>
      <c r="I11" s="775"/>
      <c r="J11" s="732"/>
      <c r="K11" s="763"/>
      <c r="L11" s="730">
        <v>1.4</v>
      </c>
      <c r="M11" s="736">
        <v>19.100000000000001</v>
      </c>
      <c r="O11" s="758" t="s">
        <v>208</v>
      </c>
      <c r="S11" s="772"/>
      <c r="T11" s="772"/>
      <c r="U11" s="772"/>
      <c r="V11" s="860"/>
      <c r="W11" s="860"/>
      <c r="X11" s="860"/>
      <c r="Y11" s="860"/>
      <c r="Z11" s="860"/>
      <c r="AA11" s="735"/>
    </row>
    <row r="12" spans="1:27">
      <c r="A12" s="986" t="s">
        <v>955</v>
      </c>
      <c r="B12" s="1008" t="s">
        <v>956</v>
      </c>
      <c r="C12" s="1009">
        <f>'Material Costs and GWP'!AI24</f>
        <v>15.442456140350878</v>
      </c>
      <c r="D12" s="1010"/>
      <c r="F12" s="729"/>
      <c r="G12" s="729"/>
      <c r="H12" s="1014" t="s">
        <v>152</v>
      </c>
      <c r="I12" s="1015"/>
      <c r="J12" s="1008"/>
      <c r="K12" s="1019" t="s">
        <v>10</v>
      </c>
      <c r="L12" s="1013">
        <v>1.2</v>
      </c>
      <c r="M12" s="1019">
        <f>'Material Costs and GWP'!C29</f>
        <v>2.3494353619854711</v>
      </c>
      <c r="N12" s="1013"/>
      <c r="O12" s="1010"/>
      <c r="S12" s="772"/>
      <c r="T12" s="772"/>
      <c r="U12" s="772"/>
      <c r="V12" s="860"/>
      <c r="W12" s="860"/>
      <c r="X12" s="860"/>
      <c r="Y12" s="860"/>
      <c r="Z12" s="860"/>
      <c r="AA12" s="735"/>
    </row>
    <row r="13" spans="1:27">
      <c r="A13" s="873" t="s">
        <v>3</v>
      </c>
      <c r="B13" s="734" t="s">
        <v>4</v>
      </c>
      <c r="C13" s="735">
        <v>10</v>
      </c>
      <c r="D13" s="758" t="s">
        <v>1497</v>
      </c>
      <c r="E13" s="731"/>
      <c r="F13" s="729"/>
      <c r="G13" s="729"/>
      <c r="H13" s="761" t="s">
        <v>1054</v>
      </c>
      <c r="I13" s="775"/>
      <c r="J13" s="732">
        <v>15</v>
      </c>
      <c r="K13" s="771">
        <v>0.5</v>
      </c>
      <c r="L13" s="736">
        <v>0.95</v>
      </c>
      <c r="M13" s="736"/>
      <c r="N13" s="730">
        <v>0.2</v>
      </c>
      <c r="O13" s="758"/>
      <c r="P13" s="860"/>
      <c r="Q13" s="735"/>
      <c r="S13" s="772"/>
      <c r="T13" s="772"/>
      <c r="U13" s="772"/>
      <c r="V13" s="860"/>
      <c r="W13" s="860"/>
      <c r="X13" s="860"/>
      <c r="Y13" s="860"/>
      <c r="Z13" s="860"/>
      <c r="AA13" s="735"/>
    </row>
    <row r="14" spans="1:27">
      <c r="A14" s="1011" t="s">
        <v>958</v>
      </c>
      <c r="B14" s="1012" t="s">
        <v>959</v>
      </c>
      <c r="C14" s="1013">
        <v>2.2000000000000002</v>
      </c>
      <c r="D14" s="1010" t="s">
        <v>1000</v>
      </c>
      <c r="F14" s="729"/>
      <c r="G14" s="729"/>
      <c r="H14" s="1014" t="s">
        <v>40</v>
      </c>
      <c r="I14" s="1015"/>
      <c r="J14" s="1021">
        <f>K27</f>
        <v>282.59532505772836</v>
      </c>
      <c r="K14" s="1022">
        <v>0.8</v>
      </c>
      <c r="L14" s="1019">
        <v>0.95</v>
      </c>
      <c r="M14" s="1019">
        <f>1000*N14/(L14*J14*(1-K14))</f>
        <v>26.074108094768963</v>
      </c>
      <c r="N14" s="1023">
        <v>1.4</v>
      </c>
      <c r="O14" s="1010" t="s">
        <v>208</v>
      </c>
      <c r="P14" s="860"/>
      <c r="Q14" s="735"/>
      <c r="S14" s="772"/>
      <c r="T14" s="772"/>
      <c r="U14" s="772"/>
      <c r="V14" s="860"/>
      <c r="W14" s="860"/>
      <c r="X14" s="860"/>
      <c r="Y14" s="860"/>
      <c r="Z14" s="860"/>
      <c r="AA14" s="735"/>
    </row>
    <row r="15" spans="1:27" ht="17" thickBot="1">
      <c r="A15" s="876" t="s">
        <v>145</v>
      </c>
      <c r="B15" s="737" t="s">
        <v>38</v>
      </c>
      <c r="C15" s="738">
        <f>M6</f>
        <v>4.9382716049382713</v>
      </c>
      <c r="D15" s="774" t="s">
        <v>1497</v>
      </c>
      <c r="E15" s="731"/>
      <c r="F15" s="729"/>
      <c r="G15" s="729"/>
      <c r="H15" s="878" t="s">
        <v>253</v>
      </c>
      <c r="I15" s="879"/>
      <c r="J15" s="782"/>
      <c r="K15" s="714"/>
      <c r="L15" s="714"/>
      <c r="M15" s="741"/>
      <c r="N15" s="882">
        <v>1</v>
      </c>
      <c r="O15" s="774"/>
      <c r="P15" s="860"/>
      <c r="Q15" s="735"/>
      <c r="S15" s="772"/>
      <c r="T15" s="772"/>
      <c r="U15" s="772"/>
      <c r="V15" s="860"/>
      <c r="W15" s="860"/>
      <c r="X15" s="860"/>
      <c r="Y15" s="860"/>
      <c r="Z15" s="860"/>
      <c r="AA15" s="735"/>
    </row>
    <row r="16" spans="1:27" ht="16.5" customHeight="1" thickBot="1"/>
    <row r="17" spans="1:40" ht="82.5" customHeight="1">
      <c r="A17" s="724" t="s">
        <v>200</v>
      </c>
      <c r="B17" s="465" t="s">
        <v>190</v>
      </c>
      <c r="C17" s="465" t="s">
        <v>192</v>
      </c>
      <c r="D17" s="465" t="s">
        <v>193</v>
      </c>
      <c r="E17" s="465" t="s">
        <v>191</v>
      </c>
      <c r="F17" s="465" t="s">
        <v>192</v>
      </c>
      <c r="G17" s="465" t="s">
        <v>193</v>
      </c>
      <c r="H17" s="465" t="s">
        <v>122</v>
      </c>
      <c r="I17" s="465" t="s">
        <v>194</v>
      </c>
      <c r="J17" s="465" t="s">
        <v>195</v>
      </c>
      <c r="K17" s="465" t="s">
        <v>174</v>
      </c>
      <c r="L17" s="465" t="s">
        <v>196</v>
      </c>
      <c r="M17" s="465" t="s">
        <v>213</v>
      </c>
      <c r="N17" s="465" t="s">
        <v>215</v>
      </c>
      <c r="O17" s="465" t="s">
        <v>214</v>
      </c>
      <c r="P17" s="465" t="s">
        <v>218</v>
      </c>
      <c r="Q17" s="465" t="s">
        <v>216</v>
      </c>
      <c r="R17" s="356" t="s">
        <v>83</v>
      </c>
      <c r="S17" s="466"/>
      <c r="T17" s="466"/>
      <c r="U17" s="466"/>
    </row>
    <row r="18" spans="1:40" ht="18" customHeight="1">
      <c r="A18" s="726"/>
      <c r="B18" s="466" t="str">
        <f>'Energy Contents Cell'!G37</f>
        <v>[mg cm-2]</v>
      </c>
      <c r="C18" s="466"/>
      <c r="D18" s="466"/>
      <c r="E18" s="466" t="str">
        <f>'Energy Contents Cell'!M37</f>
        <v>[mg cm-2]</v>
      </c>
      <c r="F18" s="466"/>
      <c r="G18" s="466"/>
      <c r="H18" s="466" t="str">
        <f>'Energy Contents Cell'!R57</f>
        <v>[mg cm-2]</v>
      </c>
      <c r="I18" s="466" t="s">
        <v>177</v>
      </c>
      <c r="J18" s="466" t="s">
        <v>177</v>
      </c>
      <c r="K18" s="466" t="str">
        <f>'Energy Contents Cell'!Q18</f>
        <v>[µm]</v>
      </c>
      <c r="L18" s="466" t="str">
        <f>'Energy Contents Cell'!D57</f>
        <v>[mg cm-2]</v>
      </c>
      <c r="M18" s="466" t="s">
        <v>177</v>
      </c>
      <c r="N18" s="466" t="str">
        <f>'Energy Contents Cell'!I37</f>
        <v xml:space="preserve"> [mAh cm-2] </v>
      </c>
      <c r="O18" s="466" t="str">
        <f>'Energy Contents Cell'!M18</f>
        <v>[V]</v>
      </c>
      <c r="P18" s="466" t="s">
        <v>219</v>
      </c>
      <c r="Q18" s="466" t="s">
        <v>217</v>
      </c>
      <c r="R18" s="357" t="s">
        <v>283</v>
      </c>
      <c r="S18" s="466"/>
      <c r="T18" s="466"/>
      <c r="U18" s="466"/>
    </row>
    <row r="19" spans="1:40" ht="18" customHeight="1">
      <c r="A19" s="1001" t="str">
        <f>'Energy Contents Cell'!A19</f>
        <v>Al-gra</v>
      </c>
      <c r="B19" s="1024">
        <f>'Energy Contents Cell'!G38</f>
        <v>24.762022521527939</v>
      </c>
      <c r="C19" s="1025">
        <f>B19*'Energy Contents Cell'!C19/'Energy Contents Cell'!B19</f>
        <v>0.77381320379774809</v>
      </c>
      <c r="D19" s="1025">
        <f>B19*'Energy Contents Cell'!D19/'Energy Contents Cell'!B19</f>
        <v>0.2579377345992494</v>
      </c>
      <c r="E19" s="1026">
        <f>'Energy Contents Cell'!M38</f>
        <v>2.0249999999999999</v>
      </c>
      <c r="F19" s="1025">
        <f>E19*'Energy Contents Cell'!F19/'Energy Contents Cell'!E19</f>
        <v>0</v>
      </c>
      <c r="G19" s="1025">
        <f>E19*'Energy Contents Cell'!G19/'Energy Contents Cell'!E19</f>
        <v>0</v>
      </c>
      <c r="H19" s="1026">
        <f>'Energy Contents Cell'!R58</f>
        <v>82.421197160571054</v>
      </c>
      <c r="I19" s="1025">
        <f t="shared" ref="I19:I24" si="0">K$9</f>
        <v>2.2265000000000001</v>
      </c>
      <c r="J19" s="1025">
        <v>0</v>
      </c>
      <c r="K19" s="1026">
        <f>'Energy Contents Cell'!Q19</f>
        <v>612.96178090773492</v>
      </c>
      <c r="L19" s="1026">
        <f>'Energy Contents Cell'!D58</f>
        <v>11.646273837246961</v>
      </c>
      <c r="M19" s="1025">
        <f t="shared" ref="M19:M21" si="1">SUM(B19:J19)+L19</f>
        <v>124.11274445774296</v>
      </c>
      <c r="N19" s="1026">
        <f>'Energy Contents Cell'!I38</f>
        <v>3.3428730404062716</v>
      </c>
      <c r="O19" s="1026">
        <f>'Energy Contents Cell'!M19</f>
        <v>2</v>
      </c>
      <c r="P19" s="1025">
        <f t="shared" ref="P19:P21" si="2">N19*O19</f>
        <v>6.6857460808125433</v>
      </c>
      <c r="Q19" s="1025">
        <f t="shared" ref="Q19:Q21" si="3">1000*P19/M19</f>
        <v>53.868328430114275</v>
      </c>
      <c r="R19" s="1027">
        <v>1.2</v>
      </c>
      <c r="S19" s="731"/>
      <c r="T19" s="731"/>
      <c r="U19" s="731"/>
    </row>
    <row r="20" spans="1:40" ht="18" customHeight="1">
      <c r="A20" s="873" t="str">
        <f>'Energy Contents Cell'!A20</f>
        <v>Al-PPQ</v>
      </c>
      <c r="B20" s="888">
        <f>'Energy Contents Cell'!G39</f>
        <v>22.040816326530617</v>
      </c>
      <c r="C20" s="731">
        <f>B20*'Energy Contents Cell'!C20/'Energy Contents Cell'!B20</f>
        <v>1.2244897959183678</v>
      </c>
      <c r="D20" s="731">
        <f>B20*'Energy Contents Cell'!D20/'Energy Contents Cell'!B20</f>
        <v>1.2244897959183678</v>
      </c>
      <c r="E20" s="867">
        <f>'Energy Contents Cell'!M39</f>
        <v>2.0249999999999999</v>
      </c>
      <c r="F20" s="731">
        <f>E20*'Energy Contents Cell'!F20/'Energy Contents Cell'!E20</f>
        <v>0</v>
      </c>
      <c r="G20" s="731">
        <f>E20*'Energy Contents Cell'!G20/'Energy Contents Cell'!E20</f>
        <v>0</v>
      </c>
      <c r="H20" s="867">
        <f>'Energy Contents Cell'!R59</f>
        <v>11.547969958477031</v>
      </c>
      <c r="I20" s="731">
        <f t="shared" si="0"/>
        <v>2.2265000000000001</v>
      </c>
      <c r="J20" s="731">
        <v>0</v>
      </c>
      <c r="K20" s="867">
        <f>'Energy Contents Cell'!Q20</f>
        <v>37.742794778446459</v>
      </c>
      <c r="L20" s="867">
        <f>'Energy Contents Cell'!D59</f>
        <v>0.71711310079048263</v>
      </c>
      <c r="M20" s="731">
        <f t="shared" si="1"/>
        <v>41.006378977634867</v>
      </c>
      <c r="N20" s="867">
        <f>'Energy Contents Cell'!I39</f>
        <v>3.7469387755102046</v>
      </c>
      <c r="O20" s="867">
        <f>'Energy Contents Cell'!M20</f>
        <v>1.4</v>
      </c>
      <c r="P20" s="731">
        <f t="shared" si="2"/>
        <v>5.2457142857142864</v>
      </c>
      <c r="Q20" s="731">
        <f t="shared" si="3"/>
        <v>127.92434778441012</v>
      </c>
      <c r="R20" s="883">
        <v>1.2</v>
      </c>
      <c r="S20" s="731"/>
      <c r="T20" s="731"/>
      <c r="U20" s="731"/>
    </row>
    <row r="21" spans="1:40" ht="18" customHeight="1">
      <c r="A21" s="1001" t="str">
        <f>'Energy Contents Cell'!A21</f>
        <v>Al-PBQS</v>
      </c>
      <c r="B21" s="1028">
        <f>'Energy Contents Cell'!G40</f>
        <v>17.338775510204087</v>
      </c>
      <c r="C21" s="902">
        <f>B21*'Energy Contents Cell'!C21/'Energy Contents Cell'!B21</f>
        <v>0.96326530612244943</v>
      </c>
      <c r="D21" s="902">
        <f>B21*'Energy Contents Cell'!D21/'Energy Contents Cell'!B21</f>
        <v>0.96326530612244943</v>
      </c>
      <c r="E21" s="1029">
        <f>'Energy Contents Cell'!M40</f>
        <v>2.6173931498127603</v>
      </c>
      <c r="F21" s="902">
        <f>E21*'Energy Contents Cell'!F21/'Energy Contents Cell'!E21</f>
        <v>0</v>
      </c>
      <c r="G21" s="902">
        <f>E21*'Energy Contents Cell'!G21/'Energy Contents Cell'!E21</f>
        <v>0</v>
      </c>
      <c r="H21" s="1029">
        <f>'Energy Contents Cell'!R60</f>
        <v>16.031299471768111</v>
      </c>
      <c r="I21" s="902">
        <f t="shared" ref="I21:I23" si="4">K$9</f>
        <v>2.2265000000000001</v>
      </c>
      <c r="J21" s="902">
        <v>0</v>
      </c>
      <c r="K21" s="1029">
        <f>'Energy Contents Cell'!Q21</f>
        <v>36.660585692431567</v>
      </c>
      <c r="L21" s="1029">
        <f>'Energy Contents Cell'!D60</f>
        <v>0.69655112815619957</v>
      </c>
      <c r="M21" s="902">
        <f t="shared" si="1"/>
        <v>40.837049872186057</v>
      </c>
      <c r="N21" s="1029">
        <f>'Energy Contents Cell'!I40</f>
        <v>5.2016326530612256</v>
      </c>
      <c r="O21" s="1029">
        <f>'Energy Contents Cell'!M21</f>
        <v>1.6</v>
      </c>
      <c r="P21" s="902">
        <f t="shared" si="2"/>
        <v>8.3226122448979609</v>
      </c>
      <c r="Q21" s="902">
        <f t="shared" si="3"/>
        <v>203.80052601611794</v>
      </c>
      <c r="R21" s="1030">
        <v>1.2</v>
      </c>
      <c r="S21" s="731"/>
      <c r="T21" s="731"/>
      <c r="U21" s="731"/>
    </row>
    <row r="22" spans="1:40">
      <c r="A22" s="873" t="str">
        <f>'Energy Contents Cell'!A22</f>
        <v>Al-TiO2</v>
      </c>
      <c r="B22" s="888">
        <f>'Energy Contents Cell'!G41</f>
        <v>58.311315336013791</v>
      </c>
      <c r="C22" s="731">
        <f>B22*'Energy Contents Cell'!C22/'Energy Contents Cell'!B22</f>
        <v>1.2148190695002874</v>
      </c>
      <c r="D22" s="731">
        <f>B22*'Energy Contents Cell'!D22/'Energy Contents Cell'!B22</f>
        <v>1.2148190695002874</v>
      </c>
      <c r="E22" s="867">
        <f>'Energy Contents Cell'!M41</f>
        <v>3.2275635794841584</v>
      </c>
      <c r="F22" s="731">
        <f>E22*'Energy Contents Cell'!F22/'Energy Contents Cell'!E22</f>
        <v>0</v>
      </c>
      <c r="G22" s="731">
        <f>E22*'Energy Contents Cell'!G22/'Energy Contents Cell'!E22</f>
        <v>0</v>
      </c>
      <c r="H22" s="867">
        <f>'Energy Contents Cell'!R61</f>
        <v>7.9350000000000005</v>
      </c>
      <c r="I22" s="731">
        <f t="shared" ref="I22" si="5">K$9</f>
        <v>2.2265000000000001</v>
      </c>
      <c r="J22" s="731">
        <v>0</v>
      </c>
      <c r="K22" s="867">
        <f>'Energy Contents Cell'!Q22</f>
        <v>15</v>
      </c>
      <c r="L22" s="867">
        <f>'Energy Contents Cell'!D61</f>
        <v>0.71250000000000002</v>
      </c>
      <c r="M22" s="731">
        <f t="shared" ref="M22:M27" si="6">SUM(B22:J22)+L22</f>
        <v>74.842517054498529</v>
      </c>
      <c r="N22" s="867">
        <f>'Energy Contents Cell'!I41</f>
        <v>6.4142446869615171</v>
      </c>
      <c r="O22" s="867">
        <f>'Energy Contents Cell'!M22</f>
        <v>0.64</v>
      </c>
      <c r="P22" s="731">
        <f t="shared" ref="P22:P27" si="7">N22*O22</f>
        <v>4.1051165996553713</v>
      </c>
      <c r="Q22" s="731">
        <f t="shared" ref="Q22:Q27" si="8">1000*P22/M22</f>
        <v>54.850060650233388</v>
      </c>
      <c r="R22" s="883">
        <v>1.2</v>
      </c>
      <c r="S22" s="731"/>
      <c r="T22" s="731"/>
      <c r="U22" s="731"/>
    </row>
    <row r="23" spans="1:40">
      <c r="A23" s="1001" t="str">
        <f>'Energy Contents Cell'!A23</f>
        <v>Al-V2C</v>
      </c>
      <c r="B23" s="1028">
        <f>'Energy Contents Cell'!G42</f>
        <v>54.104046242774572</v>
      </c>
      <c r="C23" s="902">
        <f>B23*'Energy Contents Cell'!C23/'Energy Contents Cell'!B23</f>
        <v>1.1271676300578037</v>
      </c>
      <c r="D23" s="902">
        <f>B23*'Energy Contents Cell'!D23/'Energy Contents Cell'!B23</f>
        <v>1.1271676300578037</v>
      </c>
      <c r="E23" s="1029">
        <f>'Energy Contents Cell'!M42</f>
        <v>3.4030555754848142</v>
      </c>
      <c r="F23" s="902">
        <f>E23*'Energy Contents Cell'!F23/'Energy Contents Cell'!E23</f>
        <v>0</v>
      </c>
      <c r="G23" s="902">
        <f>E23*'Energy Contents Cell'!G23/'Energy Contents Cell'!E23</f>
        <v>0</v>
      </c>
      <c r="H23" s="1029">
        <f>'Energy Contents Cell'!R62</f>
        <v>7.9350000000000005</v>
      </c>
      <c r="I23" s="902">
        <f t="shared" si="4"/>
        <v>2.2265000000000001</v>
      </c>
      <c r="J23" s="902">
        <v>0</v>
      </c>
      <c r="K23" s="1029">
        <f>'Energy Contents Cell'!Q23</f>
        <v>15</v>
      </c>
      <c r="L23" s="1029">
        <f>'Energy Contents Cell'!D62</f>
        <v>0.71250000000000002</v>
      </c>
      <c r="M23" s="902">
        <f t="shared" si="6"/>
        <v>70.635437078375006</v>
      </c>
      <c r="N23" s="1029">
        <f>'Energy Contents Cell'!I42</f>
        <v>6.7630057803468215</v>
      </c>
      <c r="O23" s="1029">
        <f>'Energy Contents Cell'!M23</f>
        <v>0.95</v>
      </c>
      <c r="P23" s="902">
        <f t="shared" si="7"/>
        <v>6.4248554913294802</v>
      </c>
      <c r="Q23" s="902">
        <f t="shared" si="8"/>
        <v>90.957963269918594</v>
      </c>
      <c r="R23" s="1030">
        <v>1.2</v>
      </c>
      <c r="S23" s="731"/>
      <c r="T23" s="731"/>
      <c r="U23" s="731"/>
    </row>
    <row r="24" spans="1:40">
      <c r="A24" s="873" t="str">
        <f>'Energy Contents Cell'!A24</f>
        <v>Al-MnO2</v>
      </c>
      <c r="B24" s="888">
        <f>'Energy Contents Cell'!G43</f>
        <v>68.293418819536129</v>
      </c>
      <c r="C24" s="731">
        <f>B24*'Energy Contents Cell'!C24/'Energy Contents Cell'!B24</f>
        <v>1.4227795587403362</v>
      </c>
      <c r="D24" s="731">
        <f>B24*'Energy Contents Cell'!D24/'Energy Contents Cell'!B24</f>
        <v>1.4227795587403362</v>
      </c>
      <c r="E24" s="867">
        <f>'Energy Contents Cell'!M43</f>
        <v>9.7938398340663184</v>
      </c>
      <c r="F24" s="731">
        <f>E24*'Energy Contents Cell'!F24/'Energy Contents Cell'!E24</f>
        <v>0</v>
      </c>
      <c r="G24" s="731">
        <f>E24*'Energy Contents Cell'!G24/'Energy Contents Cell'!E24</f>
        <v>0</v>
      </c>
      <c r="H24" s="867">
        <f>'Energy Contents Cell'!R63</f>
        <v>7.9350000000000005</v>
      </c>
      <c r="I24" s="731">
        <f t="shared" si="0"/>
        <v>2.2265000000000001</v>
      </c>
      <c r="J24" s="731">
        <v>0</v>
      </c>
      <c r="K24" s="867">
        <f>'Energy Contents Cell'!Q24</f>
        <v>15</v>
      </c>
      <c r="L24" s="867">
        <f>'Energy Contents Cell'!D63</f>
        <v>0.71250000000000002</v>
      </c>
      <c r="M24" s="731">
        <f t="shared" si="6"/>
        <v>91.806817771083118</v>
      </c>
      <c r="N24" s="867">
        <f>'Energy Contents Cell'!I43</f>
        <v>19.463624363567796</v>
      </c>
      <c r="O24" s="867">
        <f>'Energy Contents Cell'!M24</f>
        <v>1.3</v>
      </c>
      <c r="P24" s="731">
        <f t="shared" si="7"/>
        <v>25.302711672638136</v>
      </c>
      <c r="Q24" s="731">
        <f t="shared" si="8"/>
        <v>275.60819868225371</v>
      </c>
      <c r="R24" s="883">
        <v>1.2</v>
      </c>
      <c r="S24" s="731"/>
      <c r="T24" s="731"/>
      <c r="U24" s="731"/>
    </row>
    <row r="25" spans="1:40">
      <c r="A25" s="1001" t="str">
        <f>'Energy Contents Cell'!A25</f>
        <v>LIB-NMC</v>
      </c>
      <c r="B25" s="1028">
        <f>'Energy Contents Cell'!G44</f>
        <v>48.964102564102575</v>
      </c>
      <c r="C25" s="902">
        <f>B25*'Energy Contents Cell'!C25/'Energy Contents Cell'!B25</f>
        <v>1.0200854700854702</v>
      </c>
      <c r="D25" s="902">
        <f>B25*'Energy Contents Cell'!D25/'Energy Contents Cell'!B25</f>
        <v>1.0200854700854702</v>
      </c>
      <c r="E25" s="1029">
        <f>'Energy Contents Cell'!M44</f>
        <v>31.418632478632489</v>
      </c>
      <c r="F25" s="902">
        <f>E25*'Energy Contents Cell'!F25/'Energy Contents Cell'!E25</f>
        <v>0.98183226495726528</v>
      </c>
      <c r="G25" s="902">
        <f>E25*'Energy Contents Cell'!G25/'Energy Contents Cell'!E25</f>
        <v>0.3272774216524218</v>
      </c>
      <c r="H25" s="1029">
        <f>'Energy Contents Cell'!R64</f>
        <v>13.235173167932889</v>
      </c>
      <c r="I25" s="902">
        <f>K$6</f>
        <v>2.0249999999999999</v>
      </c>
      <c r="J25" s="902">
        <f>K$7</f>
        <v>4.4800000000000004</v>
      </c>
      <c r="K25" s="1029">
        <f>'Energy Contents Cell'!Q25</f>
        <v>15</v>
      </c>
      <c r="L25" s="1029">
        <f>'Energy Contents Cell'!D64</f>
        <v>0.71250000000000002</v>
      </c>
      <c r="M25" s="902">
        <f t="shared" si="6"/>
        <v>104.18468883744859</v>
      </c>
      <c r="N25" s="1029">
        <f>'Energy Contents Cell'!I44</f>
        <v>10.282461538461542</v>
      </c>
      <c r="O25" s="1029">
        <f>'Energy Contents Cell'!M25</f>
        <v>3.65</v>
      </c>
      <c r="P25" s="902">
        <f t="shared" si="7"/>
        <v>37.530984615384625</v>
      </c>
      <c r="Q25" s="902">
        <f t="shared" si="8"/>
        <v>360.23512700547917</v>
      </c>
      <c r="R25" s="1030">
        <f>L8</f>
        <v>1.2</v>
      </c>
      <c r="S25" s="731"/>
      <c r="T25" s="731"/>
      <c r="U25" s="731"/>
      <c r="AL25" s="731"/>
      <c r="AM25" s="731"/>
    </row>
    <row r="26" spans="1:40">
      <c r="A26" s="873" t="str">
        <f>'Energy Contents Cell'!A26</f>
        <v>LIB-LFP</v>
      </c>
      <c r="B26" s="888">
        <f>'Energy Contents Cell'!G45</f>
        <v>50.880929332042591</v>
      </c>
      <c r="C26" s="731">
        <f>B26*'Energy Contents Cell'!C26/'Energy Contents Cell'!B26</f>
        <v>1.0600193610842206</v>
      </c>
      <c r="D26" s="731">
        <f>B26*'Energy Contents Cell'!D26/'Energy Contents Cell'!B26</f>
        <v>1.0600193610842206</v>
      </c>
      <c r="E26" s="867">
        <f>'Energy Contents Cell'!M45</f>
        <v>24.097773475314618</v>
      </c>
      <c r="F26" s="731">
        <f>E26*'Energy Contents Cell'!F26/'Energy Contents Cell'!E26</f>
        <v>0.75305542110358181</v>
      </c>
      <c r="G26" s="731">
        <f>E26*'Energy Contents Cell'!G26/'Energy Contents Cell'!E26</f>
        <v>0.25101847370119396</v>
      </c>
      <c r="H26" s="867">
        <f>'Energy Contents Cell'!R65</f>
        <v>13.217392191925709</v>
      </c>
      <c r="I26" s="731">
        <f>K$6</f>
        <v>2.0249999999999999</v>
      </c>
      <c r="J26" s="731">
        <f>K$7</f>
        <v>4.4800000000000004</v>
      </c>
      <c r="K26" s="867">
        <f>'Energy Contents Cell'!Q26</f>
        <v>15</v>
      </c>
      <c r="L26" s="867">
        <f>'Energy Contents Cell'!D65</f>
        <v>0.71250000000000002</v>
      </c>
      <c r="M26" s="731">
        <f t="shared" si="6"/>
        <v>98.537707616256156</v>
      </c>
      <c r="N26" s="867">
        <f>'Energy Contents Cell'!I45</f>
        <v>7.8865440464666019</v>
      </c>
      <c r="O26" s="867">
        <f>'Energy Contents Cell'!M26</f>
        <v>3.3</v>
      </c>
      <c r="P26" s="731">
        <f t="shared" si="7"/>
        <v>26.025595353339785</v>
      </c>
      <c r="Q26" s="731">
        <f t="shared" si="8"/>
        <v>264.11813287450821</v>
      </c>
      <c r="R26" s="883">
        <f>L8</f>
        <v>1.2</v>
      </c>
      <c r="S26" s="731"/>
      <c r="T26" s="731"/>
      <c r="U26" s="731"/>
    </row>
    <row r="27" spans="1:40" ht="17" thickBot="1">
      <c r="A27" s="1031" t="str">
        <f>'Energy Contents Cell'!A27</f>
        <v>Li-DIB</v>
      </c>
      <c r="B27" s="1032">
        <f>'Energy Contents Cell'!G46</f>
        <v>24.762022521527939</v>
      </c>
      <c r="C27" s="1033">
        <f>B27*'Energy Contents Cell'!C27/'Energy Contents Cell'!B27</f>
        <v>0.77381320379774809</v>
      </c>
      <c r="D27" s="1033">
        <f>B27*'Energy Contents Cell'!D27/'Energy Contents Cell'!B27</f>
        <v>0.2579377345992494</v>
      </c>
      <c r="E27" s="1034">
        <f>'Energy Contents Cell'!M46</f>
        <v>9.6296754250386432</v>
      </c>
      <c r="F27" s="1033">
        <f>E27*'Energy Contents Cell'!F27/'Energy Contents Cell'!E27</f>
        <v>0.3009273570324576</v>
      </c>
      <c r="G27" s="1033">
        <f>E27*'Energy Contents Cell'!G27/'Energy Contents Cell'!E27</f>
        <v>0.10030911901081921</v>
      </c>
      <c r="H27" s="1034">
        <f>'Energy Contents Cell'!R66</f>
        <v>54.326589465536458</v>
      </c>
      <c r="I27" s="1033">
        <f>K$6</f>
        <v>2.0249999999999999</v>
      </c>
      <c r="J27" s="1033">
        <f t="shared" ref="J27" si="9">K$7</f>
        <v>4.4800000000000004</v>
      </c>
      <c r="K27" s="1034">
        <f>'Energy Contents Cell'!Q27</f>
        <v>282.59532505772836</v>
      </c>
      <c r="L27" s="1034">
        <f>'Energy Contents Cell'!D66</f>
        <v>5.3693111760968373</v>
      </c>
      <c r="M27" s="1033">
        <f t="shared" si="6"/>
        <v>102.02558600264015</v>
      </c>
      <c r="N27" s="1034">
        <f>'Energy Contents Cell'!I46</f>
        <v>3.4666831530139115</v>
      </c>
      <c r="O27" s="1034">
        <f>'Energy Contents Cell'!M27</f>
        <v>4.5</v>
      </c>
      <c r="P27" s="1033">
        <f t="shared" si="7"/>
        <v>15.600074188562601</v>
      </c>
      <c r="Q27" s="1033">
        <f t="shared" si="8"/>
        <v>152.90354899955108</v>
      </c>
      <c r="R27" s="1035">
        <v>1.4</v>
      </c>
      <c r="S27" s="731"/>
      <c r="T27" s="731"/>
      <c r="U27" s="731"/>
    </row>
    <row r="28" spans="1:40" ht="18" customHeight="1">
      <c r="A28" s="865"/>
      <c r="B28" s="867"/>
      <c r="C28" s="731"/>
      <c r="D28" s="731"/>
      <c r="E28" s="867"/>
      <c r="F28" s="731"/>
      <c r="G28" s="731"/>
      <c r="H28" s="867"/>
      <c r="I28" s="731"/>
      <c r="J28" s="731"/>
      <c r="K28" s="867"/>
      <c r="L28" s="867"/>
      <c r="M28" s="731"/>
      <c r="N28" s="867"/>
      <c r="O28" s="867"/>
      <c r="P28" s="731"/>
      <c r="Q28" s="731"/>
      <c r="R28" s="731"/>
      <c r="S28" s="731"/>
      <c r="T28" s="731"/>
      <c r="U28" s="731"/>
    </row>
    <row r="29" spans="1:40" ht="18" customHeight="1">
      <c r="A29" s="865"/>
      <c r="B29" s="867"/>
      <c r="C29" s="731"/>
      <c r="D29" s="731"/>
      <c r="E29" s="867"/>
      <c r="F29" s="731"/>
      <c r="G29" s="731"/>
      <c r="H29" s="867"/>
      <c r="I29" s="731"/>
      <c r="J29" s="731"/>
      <c r="K29" s="867"/>
      <c r="L29" s="867"/>
      <c r="M29" s="731"/>
      <c r="N29" s="867"/>
      <c r="O29" s="867"/>
      <c r="P29" s="731"/>
      <c r="Q29" s="731"/>
      <c r="R29" s="731"/>
      <c r="S29" s="731"/>
      <c r="T29" s="731"/>
      <c r="U29" s="731"/>
    </row>
    <row r="30" spans="1:40" ht="18" customHeight="1">
      <c r="A30" s="865"/>
      <c r="B30" s="867"/>
      <c r="C30" s="731"/>
      <c r="D30" s="731"/>
      <c r="E30" s="867"/>
      <c r="F30" s="731"/>
      <c r="G30" s="731"/>
      <c r="H30" s="867"/>
      <c r="I30" s="731"/>
      <c r="J30" s="731"/>
      <c r="K30" s="867"/>
      <c r="L30" s="867"/>
      <c r="M30" s="731"/>
      <c r="N30" s="867"/>
      <c r="O30" s="867"/>
      <c r="P30" s="731"/>
      <c r="Q30" s="731"/>
      <c r="R30" s="731"/>
      <c r="S30" s="731"/>
      <c r="T30" s="731"/>
      <c r="U30" s="731"/>
    </row>
    <row r="31" spans="1:40" ht="15.75" customHeight="1" thickBot="1">
      <c r="AM31" s="731"/>
      <c r="AN31" s="731"/>
    </row>
    <row r="32" spans="1:40" ht="15.75" customHeight="1">
      <c r="A32" s="724" t="s">
        <v>257</v>
      </c>
      <c r="B32" s="547" t="s">
        <v>204</v>
      </c>
      <c r="C32" s="547" t="s">
        <v>206</v>
      </c>
      <c r="D32" s="547" t="s">
        <v>207</v>
      </c>
      <c r="E32" s="547" t="s">
        <v>211</v>
      </c>
      <c r="F32" s="547" t="s">
        <v>212</v>
      </c>
      <c r="G32" s="547" t="s">
        <v>210</v>
      </c>
      <c r="H32" s="547" t="s">
        <v>998</v>
      </c>
      <c r="I32" s="547" t="s">
        <v>204</v>
      </c>
      <c r="J32" s="547" t="s">
        <v>206</v>
      </c>
      <c r="K32" s="547" t="s">
        <v>207</v>
      </c>
      <c r="L32" s="547" t="s">
        <v>210</v>
      </c>
      <c r="M32" s="547" t="s">
        <v>278</v>
      </c>
      <c r="N32" s="547" t="s">
        <v>279</v>
      </c>
      <c r="O32" s="547" t="s">
        <v>252</v>
      </c>
      <c r="P32" s="547" t="s">
        <v>221</v>
      </c>
      <c r="Q32" s="547" t="s">
        <v>999</v>
      </c>
      <c r="R32" s="547" t="s">
        <v>254</v>
      </c>
      <c r="S32" s="547" t="s">
        <v>736</v>
      </c>
      <c r="T32" s="547" t="s">
        <v>412</v>
      </c>
      <c r="U32" s="701" t="s">
        <v>1414</v>
      </c>
      <c r="V32" s="701" t="s">
        <v>1504</v>
      </c>
      <c r="X32" s="550" t="s">
        <v>226</v>
      </c>
      <c r="Y32" s="744"/>
      <c r="Z32" s="465" t="s">
        <v>235</v>
      </c>
      <c r="AA32" s="465" t="s">
        <v>236</v>
      </c>
      <c r="AB32" s="356" t="s">
        <v>131</v>
      </c>
    </row>
    <row r="33" spans="1:29" ht="15.75" customHeight="1">
      <c r="A33" s="725"/>
      <c r="B33" s="548"/>
      <c r="C33" s="548"/>
      <c r="D33" s="548"/>
      <c r="E33" s="548"/>
      <c r="F33" s="548"/>
      <c r="G33" s="548"/>
      <c r="H33" s="548"/>
      <c r="I33" s="548"/>
      <c r="J33" s="548"/>
      <c r="K33" s="548"/>
      <c r="L33" s="548"/>
      <c r="M33" s="548"/>
      <c r="N33" s="548"/>
      <c r="O33" s="548"/>
      <c r="P33" s="548"/>
      <c r="Q33" s="548"/>
      <c r="R33" s="548"/>
      <c r="S33" s="548" t="s">
        <v>301</v>
      </c>
      <c r="T33" s="548"/>
      <c r="U33" s="702"/>
      <c r="V33" s="702"/>
      <c r="X33" s="551"/>
      <c r="Y33" s="745"/>
      <c r="Z33" s="466"/>
      <c r="AA33" s="466"/>
      <c r="AB33" s="357"/>
    </row>
    <row r="34" spans="1:29" ht="15.75" customHeight="1">
      <c r="A34" s="725"/>
      <c r="B34" s="548"/>
      <c r="C34" s="548"/>
      <c r="D34" s="548"/>
      <c r="E34" s="548"/>
      <c r="F34" s="548"/>
      <c r="G34" s="548"/>
      <c r="H34" s="548"/>
      <c r="I34" s="548"/>
      <c r="J34" s="548"/>
      <c r="K34" s="548"/>
      <c r="L34" s="548"/>
      <c r="M34" s="548"/>
      <c r="N34" s="548"/>
      <c r="O34" s="548"/>
      <c r="P34" s="548"/>
      <c r="Q34" s="548"/>
      <c r="R34" s="548"/>
      <c r="S34" s="548"/>
      <c r="T34" s="548"/>
      <c r="U34" s="702"/>
      <c r="V34" s="702"/>
      <c r="X34" s="747"/>
      <c r="Y34" s="748"/>
      <c r="Z34" s="132" t="s">
        <v>234</v>
      </c>
      <c r="AA34" s="132" t="s">
        <v>234</v>
      </c>
      <c r="AB34" s="756" t="s">
        <v>108</v>
      </c>
      <c r="AC34" s="736"/>
    </row>
    <row r="35" spans="1:29" ht="15.75" customHeight="1">
      <c r="A35" s="725"/>
      <c r="B35" s="548"/>
      <c r="C35" s="548"/>
      <c r="D35" s="548"/>
      <c r="E35" s="548"/>
      <c r="F35" s="548"/>
      <c r="G35" s="548"/>
      <c r="H35" s="548"/>
      <c r="I35" s="548"/>
      <c r="J35" s="548"/>
      <c r="K35" s="548"/>
      <c r="L35" s="548"/>
      <c r="M35" s="548"/>
      <c r="N35" s="548"/>
      <c r="O35" s="548"/>
      <c r="P35" s="548"/>
      <c r="Q35" s="548"/>
      <c r="R35" s="548"/>
      <c r="S35" s="548"/>
      <c r="T35" s="548"/>
      <c r="U35" s="702"/>
      <c r="V35" s="702"/>
      <c r="X35" s="750" t="s">
        <v>230</v>
      </c>
      <c r="Y35" s="552"/>
      <c r="Z35" s="896">
        <f>'Energy Contents Cell'!Z38</f>
        <v>10</v>
      </c>
      <c r="AA35" s="897">
        <f>'Energy Contents Cell'!AA38</f>
        <v>30</v>
      </c>
      <c r="AB35" s="898"/>
    </row>
    <row r="36" spans="1:29" ht="16.5" customHeight="1">
      <c r="A36" s="725"/>
      <c r="B36" s="548"/>
      <c r="C36" s="548"/>
      <c r="D36" s="548"/>
      <c r="E36" s="548"/>
      <c r="F36" s="548"/>
      <c r="G36" s="548"/>
      <c r="H36" s="548"/>
      <c r="I36" s="548"/>
      <c r="J36" s="548"/>
      <c r="K36" s="548"/>
      <c r="L36" s="548"/>
      <c r="M36" s="548"/>
      <c r="N36" s="548"/>
      <c r="O36" s="548"/>
      <c r="P36" s="548"/>
      <c r="Q36" s="548"/>
      <c r="R36" s="548"/>
      <c r="S36" s="548"/>
      <c r="T36" s="548"/>
      <c r="U36" s="702"/>
      <c r="V36" s="702"/>
      <c r="X36" s="750" t="s">
        <v>231</v>
      </c>
      <c r="Y36" s="552"/>
      <c r="Z36" s="899">
        <f>'Energy Contents Cell'!Z39</f>
        <v>9.8000000000000007</v>
      </c>
      <c r="AA36" s="692">
        <f>'Energy Contents Cell'!AA39</f>
        <v>29.8</v>
      </c>
      <c r="AB36" s="877"/>
    </row>
    <row r="37" spans="1:29" ht="17.25" customHeight="1">
      <c r="A37" s="726"/>
      <c r="B37" s="466" t="s">
        <v>205</v>
      </c>
      <c r="C37" s="466" t="s">
        <v>202</v>
      </c>
      <c r="D37" s="466" t="s">
        <v>202</v>
      </c>
      <c r="E37" s="466" t="s">
        <v>202</v>
      </c>
      <c r="F37" s="466" t="s">
        <v>202</v>
      </c>
      <c r="G37" s="466" t="s">
        <v>202</v>
      </c>
      <c r="H37" s="466" t="str">
        <f t="shared" ref="H37" si="10">P18</f>
        <v xml:space="preserve"> [mWh cm-2] </v>
      </c>
      <c r="I37" s="466" t="s">
        <v>220</v>
      </c>
      <c r="J37" s="466" t="s">
        <v>220</v>
      </c>
      <c r="K37" s="466" t="s">
        <v>220</v>
      </c>
      <c r="L37" s="466" t="s">
        <v>220</v>
      </c>
      <c r="M37" s="466" t="s">
        <v>220</v>
      </c>
      <c r="N37" s="466" t="s">
        <v>220</v>
      </c>
      <c r="O37" s="466" t="s">
        <v>220</v>
      </c>
      <c r="P37" s="466" t="s">
        <v>220</v>
      </c>
      <c r="Q37" s="466" t="s">
        <v>251</v>
      </c>
      <c r="R37" s="466" t="s">
        <v>220</v>
      </c>
      <c r="S37" s="466" t="s">
        <v>302</v>
      </c>
      <c r="T37" s="466" t="s">
        <v>411</v>
      </c>
      <c r="U37" s="357" t="s">
        <v>411</v>
      </c>
      <c r="V37" s="357" t="s">
        <v>411</v>
      </c>
      <c r="X37" s="750" t="s">
        <v>233</v>
      </c>
      <c r="Y37" s="552"/>
      <c r="Z37" s="899">
        <f>'Energy Contents Cell'!Z40</f>
        <v>1.5299999999999999E-2</v>
      </c>
      <c r="AA37" s="692">
        <f>'Energy Contents Cell'!AA40</f>
        <v>0</v>
      </c>
      <c r="AB37" s="319">
        <v>2.1499999999999998E-2</v>
      </c>
      <c r="AC37" s="730" t="s">
        <v>227</v>
      </c>
    </row>
    <row r="38" spans="1:29" ht="16.5" customHeight="1">
      <c r="A38" s="1001" t="str">
        <f t="shared" ref="A38:A40" si="11">A19</f>
        <v>Al-gra</v>
      </c>
      <c r="B38" s="1036">
        <f>(B19*C7+C19*M$4+D19*M$5)/1000000</f>
        <v>1.3330222124089211E-4</v>
      </c>
      <c r="C38" s="1037">
        <f t="shared" ref="C38:C43" si="12">(E19*C$15+F19*M$4+G19*M$5)/1000000</f>
        <v>9.9999999999999974E-6</v>
      </c>
      <c r="D38" s="1037">
        <f t="shared" ref="D38:D43" si="13">H19*M$12/1000000</f>
        <v>1.9364327518622213E-4</v>
      </c>
      <c r="E38" s="1037">
        <f t="shared" ref="E38:E43" si="14">I19*M$9/1000000</f>
        <v>4.3528709242740107E-5</v>
      </c>
      <c r="F38" s="1037">
        <f t="shared" ref="F38:F40" si="15">J19*M$7/1000000</f>
        <v>0</v>
      </c>
      <c r="G38" s="1037">
        <f t="shared" ref="G38:G40" si="16">L19*M$14/1000000</f>
        <v>3.0366620293365698E-4</v>
      </c>
      <c r="H38" s="1026">
        <f>0.85*P19</f>
        <v>5.6828841686906619</v>
      </c>
      <c r="I38" s="1025">
        <f t="shared" ref="I38:I40" si="17">1000000*B38/$H38</f>
        <v>23.456790123456795</v>
      </c>
      <c r="J38" s="1025">
        <f t="shared" ref="J38:J40" si="18">1000000*C38/$H38</f>
        <v>1.7596698618448177</v>
      </c>
      <c r="K38" s="1025">
        <f t="shared" ref="K38:K40" si="19">1000000*D38/$H38</f>
        <v>34.074823529411752</v>
      </c>
      <c r="L38" s="1025">
        <f t="shared" ref="L38:L40" si="20">1000000*G38/$H38</f>
        <v>53.435226536320862</v>
      </c>
      <c r="M38" s="1025">
        <f t="shared" ref="M38:M40" si="21">1000000*E38/$H38</f>
        <v>7.6596157779455734</v>
      </c>
      <c r="N38" s="1025">
        <f t="shared" ref="N38:N40" si="22">1000000*F38/$H38</f>
        <v>0</v>
      </c>
      <c r="O38" s="1025">
        <f t="shared" ref="O38:O40" si="23">2*Z$38*AA$38*N$15/(10*Q38)</f>
        <v>1.9363994402610361</v>
      </c>
      <c r="P38" s="1025">
        <f t="shared" ref="P38:P40" si="24">SUM(I38:O38)</f>
        <v>122.32252526924084</v>
      </c>
      <c r="Q38" s="1025">
        <f>H38*'Energy Contents Cell'!V38*Z$36*AA$36/1000</f>
        <v>35.220006049374973</v>
      </c>
      <c r="R38" s="1025">
        <f t="shared" ref="R38:R41" si="25">P38+O38</f>
        <v>124.25892470950188</v>
      </c>
      <c r="S38" s="1025">
        <f>Q38/O19</f>
        <v>17.610003024687487</v>
      </c>
      <c r="T38" s="1217">
        <f t="shared" ref="T38:T40" si="26">R38*Q19/1000</f>
        <v>6.6936205666242898</v>
      </c>
      <c r="U38" s="1038">
        <f>I38/R38</f>
        <v>0.18877348390302859</v>
      </c>
      <c r="V38" s="1038">
        <f>2*R38/(R$40+R$43)</f>
        <v>5.2591225686864487</v>
      </c>
      <c r="X38" s="750" t="s">
        <v>232</v>
      </c>
      <c r="Y38" s="552"/>
      <c r="Z38" s="899">
        <f>'Energy Contents Cell'!Z41</f>
        <v>11</v>
      </c>
      <c r="AA38" s="692">
        <f>'Energy Contents Cell'!AA41</f>
        <v>31</v>
      </c>
      <c r="AB38" s="877">
        <f>2*Z38*AA38*AB37</f>
        <v>14.662999999999998</v>
      </c>
      <c r="AC38" s="730" t="s">
        <v>228</v>
      </c>
    </row>
    <row r="39" spans="1:29" ht="16.5" customHeight="1">
      <c r="A39" s="873" t="str">
        <f t="shared" si="11"/>
        <v>Al-PPQ</v>
      </c>
      <c r="B39" s="889">
        <f>(B20*C8+C20*M$4+D20*M$5)/1000000</f>
        <v>6.4653061224489799E-5</v>
      </c>
      <c r="C39" s="868">
        <f t="shared" si="12"/>
        <v>9.9999999999999974E-6</v>
      </c>
      <c r="D39" s="868">
        <f t="shared" si="13"/>
        <v>2.7131208979591829E-5</v>
      </c>
      <c r="E39" s="868">
        <f t="shared" si="14"/>
        <v>4.3528709242740107E-5</v>
      </c>
      <c r="F39" s="868">
        <f t="shared" si="15"/>
        <v>0</v>
      </c>
      <c r="G39" s="868">
        <f t="shared" si="16"/>
        <v>1.8698084506185998E-5</v>
      </c>
      <c r="H39" s="867">
        <f t="shared" ref="H39:H46" si="27">0.85*P20</f>
        <v>4.4588571428571431</v>
      </c>
      <c r="I39" s="731">
        <f t="shared" si="17"/>
        <v>14.499917614104467</v>
      </c>
      <c r="J39" s="731">
        <f t="shared" si="18"/>
        <v>2.2427271562219655</v>
      </c>
      <c r="K39" s="731">
        <f t="shared" si="19"/>
        <v>6.0847899159663843</v>
      </c>
      <c r="L39" s="731">
        <f t="shared" si="20"/>
        <v>4.1934701891356516</v>
      </c>
      <c r="M39" s="731">
        <f t="shared" si="21"/>
        <v>9.7623018293983321</v>
      </c>
      <c r="N39" s="731">
        <f t="shared" si="22"/>
        <v>0</v>
      </c>
      <c r="O39" s="731">
        <f t="shared" si="23"/>
        <v>0.70386291477368235</v>
      </c>
      <c r="P39" s="731">
        <f t="shared" si="24"/>
        <v>37.487069619600483</v>
      </c>
      <c r="Q39" s="731">
        <f>H39*'Energy Contents Cell'!V39*Z$36*AA$36/1000</f>
        <v>96.8938674968105</v>
      </c>
      <c r="R39" s="731">
        <f t="shared" si="25"/>
        <v>38.190932534374163</v>
      </c>
      <c r="S39" s="731">
        <f t="shared" ref="S39:S40" si="28">Q39/O20</f>
        <v>69.209905354864645</v>
      </c>
      <c r="T39" s="768">
        <f t="shared" si="26"/>
        <v>4.8855501357382236</v>
      </c>
      <c r="U39" s="886">
        <f t="shared" ref="U39:V46" si="29">I39/R39</f>
        <v>0.37966911651224172</v>
      </c>
      <c r="V39" s="886">
        <f t="shared" ref="V39:V46" si="30">2*R39/(R$40+R$43)</f>
        <v>1.6163892909927133</v>
      </c>
      <c r="X39" s="750" t="s">
        <v>238</v>
      </c>
      <c r="Y39" s="552"/>
      <c r="Z39" s="899">
        <f>'Energy Contents Cell'!Z42</f>
        <v>2</v>
      </c>
      <c r="AA39" s="692">
        <f>'Energy Contents Cell'!AA42</f>
        <v>0</v>
      </c>
      <c r="AB39" s="877"/>
    </row>
    <row r="40" spans="1:29" ht="16.5" customHeight="1">
      <c r="A40" s="1001" t="str">
        <f t="shared" si="11"/>
        <v>Al-PBQS</v>
      </c>
      <c r="B40" s="1039">
        <f>(B21*C10+C21*M$4+D21*M$5)/1000000</f>
        <v>5.0860408163265323E-5</v>
      </c>
      <c r="C40" s="1040">
        <f t="shared" si="12"/>
        <v>1.2925398270680298E-5</v>
      </c>
      <c r="D40" s="1040">
        <f t="shared" si="13"/>
        <v>3.7664501877551003E-5</v>
      </c>
      <c r="E40" s="1040">
        <f t="shared" si="14"/>
        <v>4.3528709242740107E-5</v>
      </c>
      <c r="F40" s="1040">
        <f t="shared" si="15"/>
        <v>0</v>
      </c>
      <c r="G40" s="1040">
        <f t="shared" si="16"/>
        <v>1.8161949409078015E-5</v>
      </c>
      <c r="H40" s="1029">
        <f t="shared" si="27"/>
        <v>7.0742204081632662</v>
      </c>
      <c r="I40" s="902">
        <f t="shared" si="17"/>
        <v>7.1895424836601327</v>
      </c>
      <c r="J40" s="902">
        <f t="shared" si="18"/>
        <v>1.8271127452807505</v>
      </c>
      <c r="K40" s="902">
        <f t="shared" si="19"/>
        <v>5.3241911764705856</v>
      </c>
      <c r="L40" s="902">
        <f t="shared" si="20"/>
        <v>2.5673428817852653</v>
      </c>
      <c r="M40" s="902">
        <f t="shared" si="21"/>
        <v>6.1531457505211939</v>
      </c>
      <c r="N40" s="902">
        <f t="shared" si="22"/>
        <v>0</v>
      </c>
      <c r="O40" s="902">
        <f t="shared" si="23"/>
        <v>0.45575541062340291</v>
      </c>
      <c r="P40" s="902">
        <f t="shared" si="24"/>
        <v>23.517090448341332</v>
      </c>
      <c r="Q40" s="902">
        <f>H40*'Energy Contents Cell'!V40*Z$36*AA$36/1000</f>
        <v>149.6416683385348</v>
      </c>
      <c r="R40" s="902">
        <f t="shared" si="25"/>
        <v>23.972845858964735</v>
      </c>
      <c r="S40" s="902">
        <f t="shared" si="28"/>
        <v>93.526042711584239</v>
      </c>
      <c r="T40" s="1020">
        <f t="shared" si="26"/>
        <v>4.8856785961603286</v>
      </c>
      <c r="U40" s="1041">
        <f t="shared" si="29"/>
        <v>0.29990358783254667</v>
      </c>
      <c r="V40" s="1041">
        <f t="shared" si="30"/>
        <v>1.0146243820093357</v>
      </c>
      <c r="X40" s="750" t="s">
        <v>239</v>
      </c>
      <c r="Y40" s="552"/>
      <c r="Z40" s="899">
        <f>'Energy Contents Cell'!Z43</f>
        <v>10.1</v>
      </c>
      <c r="AA40" s="692">
        <f>'Energy Contents Cell'!AA43</f>
        <v>30.1</v>
      </c>
      <c r="AB40" s="877"/>
    </row>
    <row r="41" spans="1:29" ht="17" thickBot="1">
      <c r="A41" s="873" t="str">
        <f t="shared" ref="A41:A46" si="31">A22</f>
        <v>Al-TiO2</v>
      </c>
      <c r="B41" s="889">
        <f>(B22*C14+C22*M$4+D22*M$5)/1000000</f>
        <v>1.4869385410683518E-4</v>
      </c>
      <c r="C41" s="868">
        <f t="shared" si="12"/>
        <v>1.5938585577699546E-5</v>
      </c>
      <c r="D41" s="868">
        <f t="shared" si="13"/>
        <v>1.8642769597354715E-5</v>
      </c>
      <c r="E41" s="868">
        <f t="shared" si="14"/>
        <v>4.3528709242740107E-5</v>
      </c>
      <c r="F41" s="868">
        <f t="shared" ref="F41:F46" si="32">J22*M$7/1000000</f>
        <v>0</v>
      </c>
      <c r="G41" s="868">
        <f t="shared" ref="G41:G46" si="33">L22*M$14/1000000</f>
        <v>1.8577802017522888E-5</v>
      </c>
      <c r="H41" s="867">
        <f t="shared" si="27"/>
        <v>3.4893491097070655</v>
      </c>
      <c r="I41" s="731">
        <f t="shared" ref="I41:K46" si="34">1000000*B41/$H41</f>
        <v>42.613636363636367</v>
      </c>
      <c r="J41" s="731">
        <f t="shared" si="34"/>
        <v>4.5677818632018754</v>
      </c>
      <c r="K41" s="731">
        <f t="shared" si="34"/>
        <v>5.3427642265694057</v>
      </c>
      <c r="L41" s="731">
        <f t="shared" ref="L41:L46" si="35">1000000*G41/$H41</f>
        <v>5.3241454017429959</v>
      </c>
      <c r="M41" s="731">
        <f t="shared" ref="M41:N46" si="36">1000000*E41/$H41</f>
        <v>12.474736082338975</v>
      </c>
      <c r="N41" s="731">
        <f t="shared" si="36"/>
        <v>0</v>
      </c>
      <c r="O41" s="731">
        <f t="shared" ref="O41:O46" si="37">2*Z$38*AA$38*N$15/(10*Q41)</f>
        <v>0.81887706169610464</v>
      </c>
      <c r="P41" s="731">
        <f t="shared" ref="P41" si="38">SUM(I41:O41)</f>
        <v>71.141940999185721</v>
      </c>
      <c r="Q41" s="731">
        <f>H41*'Energy Contents Cell'!V41*Z$36*AA$36/1000</f>
        <v>83.284784969724626</v>
      </c>
      <c r="R41" s="731">
        <f t="shared" si="25"/>
        <v>71.96081806088182</v>
      </c>
      <c r="S41" s="731">
        <f t="shared" ref="S41:S46" si="39">Q41/O22</f>
        <v>130.13247651519472</v>
      </c>
      <c r="T41" s="768">
        <f t="shared" ref="T41:T46" si="40">R41*Q22/1000</f>
        <v>3.9470552350797781</v>
      </c>
      <c r="U41" s="886">
        <f t="shared" si="29"/>
        <v>0.59217832025733053</v>
      </c>
      <c r="V41" s="886">
        <f t="shared" si="30"/>
        <v>3.0456626210944786</v>
      </c>
      <c r="X41" s="878" t="s">
        <v>33</v>
      </c>
      <c r="Y41" s="879"/>
      <c r="Z41" s="782">
        <f>SUM(Z35:Z40)</f>
        <v>42.915300000000002</v>
      </c>
      <c r="AA41" s="714">
        <f>SUM(AA35:AA40)</f>
        <v>120.9</v>
      </c>
      <c r="AB41" s="880">
        <f>SUM(AB35:AB40)</f>
        <v>14.684499999999998</v>
      </c>
    </row>
    <row r="42" spans="1:29">
      <c r="A42" s="1001" t="str">
        <f t="shared" si="31"/>
        <v>Al-V2C</v>
      </c>
      <c r="B42" s="1039">
        <f>(B23*C12+C23*M$4+D23*M$5)/1000000</f>
        <v>8.5443577730453309E-4</v>
      </c>
      <c r="C42" s="1040">
        <f t="shared" si="12"/>
        <v>1.6805212718443523E-5</v>
      </c>
      <c r="D42" s="1040">
        <f t="shared" si="13"/>
        <v>1.8642769597354715E-5</v>
      </c>
      <c r="E42" s="1040">
        <f t="shared" si="14"/>
        <v>4.3528709242740107E-5</v>
      </c>
      <c r="F42" s="1040">
        <f t="shared" si="32"/>
        <v>0</v>
      </c>
      <c r="G42" s="1040">
        <f t="shared" si="33"/>
        <v>1.8577802017522888E-5</v>
      </c>
      <c r="H42" s="1029">
        <f t="shared" si="27"/>
        <v>5.4611271676300577</v>
      </c>
      <c r="I42" s="902">
        <f t="shared" si="34"/>
        <v>156.45776981152574</v>
      </c>
      <c r="J42" s="902">
        <f t="shared" si="34"/>
        <v>3.0772425183675791</v>
      </c>
      <c r="K42" s="902">
        <f t="shared" si="34"/>
        <v>3.4137219341561384</v>
      </c>
      <c r="L42" s="902">
        <f t="shared" si="35"/>
        <v>3.4018255659087715</v>
      </c>
      <c r="M42" s="902">
        <f t="shared" si="36"/>
        <v>7.9706456023857939</v>
      </c>
      <c r="N42" s="902">
        <f t="shared" si="36"/>
        <v>0</v>
      </c>
      <c r="O42" s="902">
        <f t="shared" si="37"/>
        <v>0.52367902222432083</v>
      </c>
      <c r="P42" s="902">
        <f t="shared" ref="P42:P46" si="41">SUM(I42:O42)</f>
        <v>174.84488445456833</v>
      </c>
      <c r="Q42" s="902">
        <f>H42*'Energy Contents Cell'!V42*Z$36*AA$36/1000</f>
        <v>130.23244603215392</v>
      </c>
      <c r="R42" s="902">
        <f t="shared" ref="R42:R46" si="42">P42+O42</f>
        <v>175.36856347679264</v>
      </c>
      <c r="S42" s="902">
        <f t="shared" si="39"/>
        <v>137.08678529700413</v>
      </c>
      <c r="T42" s="1020">
        <f t="shared" si="40"/>
        <v>15.951167355420493</v>
      </c>
      <c r="U42" s="1041">
        <f t="shared" si="29"/>
        <v>0.89216542982192204</v>
      </c>
      <c r="V42" s="1041">
        <f t="shared" si="30"/>
        <v>7.4222819179795829</v>
      </c>
    </row>
    <row r="43" spans="1:29">
      <c r="A43" s="873" t="str">
        <f t="shared" si="31"/>
        <v>Al-MnO2</v>
      </c>
      <c r="B43" s="889">
        <f>(B24*C11+C24*M$4+D24*M$5)/1000000</f>
        <v>3.6536979068451823E-4</v>
      </c>
      <c r="C43" s="868">
        <f t="shared" si="12"/>
        <v>4.8364641155883051E-5</v>
      </c>
      <c r="D43" s="868">
        <f t="shared" si="13"/>
        <v>1.8642769597354715E-5</v>
      </c>
      <c r="E43" s="868">
        <f t="shared" si="14"/>
        <v>4.3528709242740107E-5</v>
      </c>
      <c r="F43" s="868">
        <f t="shared" si="32"/>
        <v>0</v>
      </c>
      <c r="G43" s="868">
        <f t="shared" si="33"/>
        <v>1.8577802017522888E-5</v>
      </c>
      <c r="H43" s="867">
        <f t="shared" si="27"/>
        <v>21.507304921742413</v>
      </c>
      <c r="I43" s="731">
        <f t="shared" si="34"/>
        <v>16.988171786933396</v>
      </c>
      <c r="J43" s="731">
        <f t="shared" si="34"/>
        <v>2.2487541480378468</v>
      </c>
      <c r="K43" s="731">
        <f t="shared" si="34"/>
        <v>0.86681105164916084</v>
      </c>
      <c r="L43" s="731">
        <f t="shared" si="35"/>
        <v>0.86379033008185058</v>
      </c>
      <c r="M43" s="731">
        <f t="shared" si="36"/>
        <v>2.0239034784286507</v>
      </c>
      <c r="N43" s="731">
        <f t="shared" si="36"/>
        <v>0</v>
      </c>
      <c r="O43" s="731">
        <f t="shared" si="37"/>
        <v>0.14517270946555261</v>
      </c>
      <c r="P43" s="731">
        <f t="shared" si="41"/>
        <v>23.136603504596458</v>
      </c>
      <c r="Q43" s="731">
        <f>H43*'Energy Contents Cell'!V43*Z$36*AA$36/1000</f>
        <v>469.78526646692416</v>
      </c>
      <c r="R43" s="731">
        <f t="shared" si="42"/>
        <v>23.28177621406201</v>
      </c>
      <c r="S43" s="731">
        <f t="shared" si="39"/>
        <v>361.37328189763394</v>
      </c>
      <c r="T43" s="768">
        <f t="shared" si="40"/>
        <v>6.4166484044809717</v>
      </c>
      <c r="U43" s="886">
        <f t="shared" si="29"/>
        <v>0.72967679230043769</v>
      </c>
      <c r="V43" s="886">
        <f t="shared" si="30"/>
        <v>0.98537561799066442</v>
      </c>
    </row>
    <row r="44" spans="1:29">
      <c r="A44" s="1001" t="str">
        <f t="shared" si="31"/>
        <v>LIB-NMC</v>
      </c>
      <c r="B44" s="1039">
        <f>(B25*C4+C25*M$4+D25*M$5)/1000000</f>
        <v>1.2902041025641031E-3</v>
      </c>
      <c r="C44" s="1040">
        <f>(E25*C$13+F25*M$4+G25*M$5)/1000000</f>
        <v>3.2623013390313408E-4</v>
      </c>
      <c r="D44" s="1040">
        <f>H25*M$8/1000000</f>
        <v>1.5882207801519468E-4</v>
      </c>
      <c r="E44" s="1040">
        <f>I25*M$6/1000000</f>
        <v>9.9999999999999974E-6</v>
      </c>
      <c r="F44" s="1040">
        <f t="shared" si="32"/>
        <v>6.0000000000000002E-5</v>
      </c>
      <c r="G44" s="1040">
        <f t="shared" si="33"/>
        <v>1.8577802017522888E-5</v>
      </c>
      <c r="H44" s="1029">
        <f t="shared" si="27"/>
        <v>31.901336923076929</v>
      </c>
      <c r="I44" s="902">
        <f t="shared" si="34"/>
        <v>40.443574690150044</v>
      </c>
      <c r="J44" s="902">
        <f t="shared" si="34"/>
        <v>10.226221386575942</v>
      </c>
      <c r="K44" s="902">
        <f t="shared" si="34"/>
        <v>4.9785398774402232</v>
      </c>
      <c r="L44" s="902">
        <f t="shared" si="35"/>
        <v>0.58235183253664824</v>
      </c>
      <c r="M44" s="902">
        <f t="shared" si="36"/>
        <v>0.31346648650220532</v>
      </c>
      <c r="N44" s="902">
        <f t="shared" si="36"/>
        <v>1.8807989190132322</v>
      </c>
      <c r="O44" s="902">
        <f t="shared" si="37"/>
        <v>0.15022228752079239</v>
      </c>
      <c r="P44" s="902">
        <f t="shared" si="41"/>
        <v>58.575175479739087</v>
      </c>
      <c r="Q44" s="1042">
        <f>H44*'Energy Contents Cell'!V44*Z$36*AA$36/1000</f>
        <v>453.9938854982513</v>
      </c>
      <c r="R44" s="902">
        <f t="shared" si="42"/>
        <v>58.725397767259878</v>
      </c>
      <c r="S44" s="902">
        <f t="shared" si="39"/>
        <v>124.38188643787707</v>
      </c>
      <c r="T44" s="1020">
        <f t="shared" si="40"/>
        <v>21.154951123136147</v>
      </c>
      <c r="U44" s="1041">
        <f t="shared" si="29"/>
        <v>0.68868966797697584</v>
      </c>
      <c r="V44" s="1041">
        <f t="shared" si="30"/>
        <v>2.485487987884289</v>
      </c>
    </row>
    <row r="45" spans="1:29">
      <c r="A45" s="873" t="str">
        <f t="shared" si="31"/>
        <v>LIB-LFP</v>
      </c>
      <c r="B45" s="889">
        <f>(B26*C5+C26*M$4+D26*M$5)/1000000</f>
        <v>5.2661761858664074E-4</v>
      </c>
      <c r="C45" s="868">
        <f>(E26*C$13+F26*M$4+G26*M$5)/1000000</f>
        <v>2.5021521458535012E-4</v>
      </c>
      <c r="D45" s="868">
        <f>H26*M$8/1000000</f>
        <v>1.586087063031085E-4</v>
      </c>
      <c r="E45" s="868">
        <f>I26*M$6/1000000</f>
        <v>9.9999999999999974E-6</v>
      </c>
      <c r="F45" s="868">
        <f t="shared" si="32"/>
        <v>6.0000000000000002E-5</v>
      </c>
      <c r="G45" s="868">
        <f t="shared" si="33"/>
        <v>1.8577802017522888E-5</v>
      </c>
      <c r="H45" s="867">
        <f t="shared" si="27"/>
        <v>22.121756050338817</v>
      </c>
      <c r="I45" s="731">
        <f t="shared" si="34"/>
        <v>23.805416594790408</v>
      </c>
      <c r="J45" s="731">
        <f t="shared" si="34"/>
        <v>11.310820624546116</v>
      </c>
      <c r="K45" s="731">
        <f t="shared" si="34"/>
        <v>7.1698063183677165</v>
      </c>
      <c r="L45" s="731">
        <f t="shared" si="35"/>
        <v>0.83979779793468745</v>
      </c>
      <c r="M45" s="731">
        <f t="shared" si="36"/>
        <v>0.45204367940974732</v>
      </c>
      <c r="N45" s="731">
        <f t="shared" si="36"/>
        <v>2.7122620764584844</v>
      </c>
      <c r="O45" s="731">
        <f t="shared" si="37"/>
        <v>0.21244214314004589</v>
      </c>
      <c r="P45" s="731">
        <f t="shared" si="41"/>
        <v>46.502589234647211</v>
      </c>
      <c r="Q45" s="870">
        <f>H45*'Energy Contents Cell'!V45*Z$36*AA$36/1000</f>
        <v>321.02858214455716</v>
      </c>
      <c r="R45" s="731">
        <f t="shared" si="42"/>
        <v>46.715031377787255</v>
      </c>
      <c r="S45" s="731">
        <f t="shared" si="39"/>
        <v>97.281388528653693</v>
      </c>
      <c r="T45" s="768">
        <f t="shared" si="40"/>
        <v>12.338286864675235</v>
      </c>
      <c r="U45" s="886">
        <f t="shared" si="29"/>
        <v>0.50958793974201966</v>
      </c>
      <c r="V45" s="886">
        <f t="shared" si="30"/>
        <v>1.9771624162222432</v>
      </c>
    </row>
    <row r="46" spans="1:29" ht="17" thickBot="1">
      <c r="A46" s="1031" t="str">
        <f t="shared" si="31"/>
        <v>Li-DIB</v>
      </c>
      <c r="B46" s="1043">
        <f>(B27*C6+C27*M$4+D27*M$5)/1000000</f>
        <v>1.3330222124089211E-4</v>
      </c>
      <c r="C46" s="1044">
        <f>(E27*C$13+F27*M$4+G27*M$5)/1000000</f>
        <v>9.9988129829984578E-5</v>
      </c>
      <c r="D46" s="1044">
        <f>H27*M$11/1000000</f>
        <v>1.0376378587917464E-3</v>
      </c>
      <c r="E46" s="1044">
        <f>I27*M$6/1000000</f>
        <v>9.9999999999999974E-6</v>
      </c>
      <c r="F46" s="1044">
        <f t="shared" si="32"/>
        <v>6.0000000000000002E-5</v>
      </c>
      <c r="G46" s="1044">
        <f t="shared" si="33"/>
        <v>1.3999999999999999E-4</v>
      </c>
      <c r="H46" s="1034">
        <f t="shared" si="27"/>
        <v>13.260063060278211</v>
      </c>
      <c r="I46" s="1033">
        <f t="shared" si="34"/>
        <v>10.052910052910054</v>
      </c>
      <c r="J46" s="1033">
        <f t="shared" si="34"/>
        <v>7.5405470830307424</v>
      </c>
      <c r="K46" s="1033">
        <f t="shared" si="34"/>
        <v>78.252860041072495</v>
      </c>
      <c r="L46" s="1033">
        <f t="shared" si="35"/>
        <v>10.558019171068906</v>
      </c>
      <c r="M46" s="1033">
        <f t="shared" si="36"/>
        <v>0.75414422650492186</v>
      </c>
      <c r="N46" s="1033">
        <f t="shared" si="36"/>
        <v>4.5248653590295316</v>
      </c>
      <c r="O46" s="1033">
        <f t="shared" si="37"/>
        <v>0.75371472725910826</v>
      </c>
      <c r="P46" s="1033">
        <f t="shared" si="41"/>
        <v>112.43706066087576</v>
      </c>
      <c r="Q46" s="1033">
        <f>H46*'Energy Contents Cell'!V46*Z$36*AA$36/1000</f>
        <v>90.485163064293616</v>
      </c>
      <c r="R46" s="1033">
        <f t="shared" si="42"/>
        <v>113.19077538813487</v>
      </c>
      <c r="S46" s="1033">
        <f t="shared" si="39"/>
        <v>20.10781401428747</v>
      </c>
      <c r="T46" s="1218">
        <f t="shared" si="40"/>
        <v>17.307271270856862</v>
      </c>
      <c r="U46" s="1045">
        <f t="shared" si="29"/>
        <v>8.881386330677829E-2</v>
      </c>
      <c r="V46" s="1045">
        <f t="shared" si="30"/>
        <v>4.7906753000039304</v>
      </c>
    </row>
    <row r="47" spans="1:29">
      <c r="A47" s="865"/>
      <c r="B47" s="868"/>
      <c r="C47" s="868"/>
      <c r="D47" s="868"/>
      <c r="E47" s="868"/>
      <c r="F47" s="868"/>
      <c r="G47" s="868"/>
      <c r="H47" s="867"/>
      <c r="I47" s="731"/>
      <c r="J47" s="731"/>
      <c r="K47" s="731"/>
      <c r="L47" s="731"/>
      <c r="M47" s="731"/>
      <c r="N47" s="731"/>
      <c r="O47" s="731"/>
      <c r="P47" s="731"/>
      <c r="Q47" s="870"/>
      <c r="R47" s="731"/>
      <c r="S47" s="731"/>
      <c r="T47" s="736"/>
      <c r="U47" s="869"/>
    </row>
    <row r="48" spans="1:29">
      <c r="A48" s="865"/>
      <c r="B48" s="868"/>
      <c r="C48" s="868"/>
      <c r="D48" s="868"/>
      <c r="E48" s="868"/>
      <c r="F48" s="868"/>
      <c r="G48" s="868"/>
      <c r="H48" s="867"/>
      <c r="I48" s="731"/>
      <c r="J48" s="731"/>
      <c r="K48" s="731"/>
      <c r="L48" s="731"/>
      <c r="M48" s="731"/>
      <c r="N48" s="731"/>
      <c r="O48" s="731"/>
      <c r="P48" s="731"/>
      <c r="Q48" s="731"/>
      <c r="R48" s="731"/>
      <c r="S48" s="731"/>
      <c r="T48" s="736"/>
      <c r="U48" s="869"/>
    </row>
    <row r="49" spans="1:27">
      <c r="A49" s="865"/>
      <c r="B49" s="868"/>
      <c r="C49" s="868"/>
      <c r="D49" s="868"/>
      <c r="E49" s="868"/>
      <c r="F49" s="868"/>
      <c r="G49" s="868"/>
      <c r="H49" s="867"/>
      <c r="I49" s="731"/>
      <c r="J49" s="731"/>
      <c r="K49" s="731"/>
      <c r="L49" s="731"/>
      <c r="M49" s="731"/>
      <c r="N49" s="731"/>
      <c r="O49" s="731"/>
      <c r="P49" s="731"/>
      <c r="Q49" s="731"/>
      <c r="R49" s="731"/>
      <c r="S49" s="731"/>
      <c r="T49" s="736"/>
      <c r="U49" s="869"/>
    </row>
    <row r="50" spans="1:27" ht="17" thickBot="1">
      <c r="M50" s="736"/>
      <c r="N50" s="736"/>
      <c r="O50" s="736"/>
      <c r="P50" s="736"/>
      <c r="Q50" s="736"/>
      <c r="R50" s="736"/>
      <c r="S50" s="736"/>
      <c r="T50" s="736"/>
    </row>
    <row r="51" spans="1:27" ht="15.75" customHeight="1">
      <c r="A51" s="724" t="s">
        <v>258</v>
      </c>
      <c r="B51" s="547" t="s">
        <v>190</v>
      </c>
      <c r="C51" s="547" t="s">
        <v>191</v>
      </c>
      <c r="D51" s="547" t="s">
        <v>122</v>
      </c>
      <c r="E51" s="547" t="s">
        <v>196</v>
      </c>
      <c r="F51" s="547" t="s">
        <v>194</v>
      </c>
      <c r="G51" s="547" t="s">
        <v>195</v>
      </c>
      <c r="H51" s="547" t="s">
        <v>192</v>
      </c>
      <c r="I51" s="547" t="s">
        <v>193</v>
      </c>
      <c r="J51" s="547" t="s">
        <v>105</v>
      </c>
      <c r="K51" s="547" t="s">
        <v>268</v>
      </c>
      <c r="L51" s="547" t="s">
        <v>260</v>
      </c>
      <c r="M51" s="547" t="s">
        <v>261</v>
      </c>
      <c r="N51" s="547" t="s">
        <v>262</v>
      </c>
      <c r="O51" s="547" t="s">
        <v>263</v>
      </c>
      <c r="P51" s="547" t="s">
        <v>264</v>
      </c>
      <c r="Q51" s="547" t="s">
        <v>265</v>
      </c>
      <c r="R51" s="547" t="s">
        <v>266</v>
      </c>
      <c r="S51" s="701" t="s">
        <v>267</v>
      </c>
      <c r="T51" s="466"/>
      <c r="U51" s="466"/>
      <c r="V51" s="466"/>
    </row>
    <row r="52" spans="1:27" ht="16.5" customHeight="1">
      <c r="A52" s="725"/>
      <c r="B52" s="548"/>
      <c r="C52" s="548"/>
      <c r="D52" s="548"/>
      <c r="E52" s="548"/>
      <c r="F52" s="548"/>
      <c r="G52" s="548"/>
      <c r="H52" s="548"/>
      <c r="I52" s="548"/>
      <c r="J52" s="548"/>
      <c r="K52" s="548"/>
      <c r="L52" s="548"/>
      <c r="M52" s="548"/>
      <c r="N52" s="548"/>
      <c r="O52" s="548"/>
      <c r="P52" s="548"/>
      <c r="Q52" s="548"/>
      <c r="R52" s="548"/>
      <c r="S52" s="702"/>
      <c r="T52" s="466"/>
      <c r="U52" s="466"/>
      <c r="V52" s="466"/>
      <c r="X52" s="466"/>
      <c r="Y52" s="466"/>
      <c r="Z52" s="466"/>
      <c r="AA52" s="736"/>
    </row>
    <row r="53" spans="1:27" ht="16.5" customHeight="1">
      <c r="A53" s="725"/>
      <c r="B53" s="548"/>
      <c r="C53" s="548"/>
      <c r="D53" s="548"/>
      <c r="E53" s="548"/>
      <c r="F53" s="548"/>
      <c r="G53" s="548"/>
      <c r="H53" s="548"/>
      <c r="I53" s="548"/>
      <c r="J53" s="548"/>
      <c r="K53" s="548"/>
      <c r="L53" s="548"/>
      <c r="M53" s="548"/>
      <c r="N53" s="548"/>
      <c r="O53" s="548"/>
      <c r="P53" s="548"/>
      <c r="Q53" s="548"/>
      <c r="R53" s="548"/>
      <c r="S53" s="702"/>
      <c r="T53" s="466"/>
      <c r="U53" s="466"/>
      <c r="V53" s="466"/>
      <c r="X53" s="466"/>
      <c r="Y53" s="466"/>
      <c r="Z53" s="466"/>
      <c r="AA53" s="736"/>
    </row>
    <row r="54" spans="1:27" ht="16.5" customHeight="1">
      <c r="A54" s="725"/>
      <c r="B54" s="548"/>
      <c r="C54" s="548"/>
      <c r="D54" s="548"/>
      <c r="E54" s="548"/>
      <c r="F54" s="548"/>
      <c r="G54" s="548"/>
      <c r="H54" s="548"/>
      <c r="I54" s="548"/>
      <c r="J54" s="548"/>
      <c r="K54" s="548"/>
      <c r="L54" s="548"/>
      <c r="M54" s="548"/>
      <c r="N54" s="548"/>
      <c r="O54" s="548"/>
      <c r="P54" s="548"/>
      <c r="Q54" s="548"/>
      <c r="R54" s="548"/>
      <c r="S54" s="702"/>
      <c r="T54" s="466"/>
      <c r="U54" s="466"/>
      <c r="V54" s="466"/>
      <c r="X54" s="466"/>
      <c r="Y54" s="466"/>
      <c r="Z54" s="132"/>
    </row>
    <row r="55" spans="1:27" ht="16.5" customHeight="1">
      <c r="A55" s="725"/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  <c r="P55" s="548"/>
      <c r="Q55" s="548"/>
      <c r="R55" s="548"/>
      <c r="S55" s="702"/>
      <c r="T55" s="466"/>
      <c r="U55" s="466"/>
      <c r="V55" s="466"/>
      <c r="X55" s="486"/>
      <c r="Y55" s="486"/>
      <c r="Z55" s="692"/>
    </row>
    <row r="56" spans="1:27" ht="16.5" customHeight="1">
      <c r="A56" s="726"/>
      <c r="B56" s="466" t="s">
        <v>177</v>
      </c>
      <c r="C56" s="466" t="s">
        <v>177</v>
      </c>
      <c r="D56" s="466" t="s">
        <v>177</v>
      </c>
      <c r="E56" s="466" t="s">
        <v>177</v>
      </c>
      <c r="F56" s="466" t="s">
        <v>177</v>
      </c>
      <c r="G56" s="466" t="s">
        <v>177</v>
      </c>
      <c r="H56" s="466" t="s">
        <v>177</v>
      </c>
      <c r="I56" s="466" t="s">
        <v>177</v>
      </c>
      <c r="J56" s="466" t="s">
        <v>177</v>
      </c>
      <c r="K56" s="466" t="str">
        <f>'Energy Contents Cell'!S37</f>
        <v>[mg cm-2]</v>
      </c>
      <c r="L56" s="466" t="s">
        <v>259</v>
      </c>
      <c r="M56" s="466" t="s">
        <v>259</v>
      </c>
      <c r="N56" s="466" t="s">
        <v>259</v>
      </c>
      <c r="O56" s="466" t="s">
        <v>259</v>
      </c>
      <c r="P56" s="466" t="s">
        <v>259</v>
      </c>
      <c r="Q56" s="466" t="s">
        <v>259</v>
      </c>
      <c r="R56" s="466" t="s">
        <v>259</v>
      </c>
      <c r="S56" s="357" t="s">
        <v>259</v>
      </c>
      <c r="T56" s="466"/>
      <c r="U56" s="466"/>
      <c r="V56" s="466"/>
      <c r="X56" s="486"/>
      <c r="Y56" s="486"/>
      <c r="Z56" s="692"/>
    </row>
    <row r="57" spans="1:27" ht="16.5" customHeight="1">
      <c r="A57" s="1001" t="str">
        <f t="shared" ref="A57:A59" si="43">A38</f>
        <v>Al-gra</v>
      </c>
      <c r="B57" s="1002">
        <f t="shared" ref="B57:B59" si="44">B19</f>
        <v>24.762022521527939</v>
      </c>
      <c r="C57" s="1025">
        <f t="shared" ref="C57:C59" si="45">E19</f>
        <v>2.0249999999999999</v>
      </c>
      <c r="D57" s="1025">
        <f t="shared" ref="D57:D59" si="46">H19</f>
        <v>82.421197160571054</v>
      </c>
      <c r="E57" s="1025">
        <f t="shared" ref="E57:E59" si="47">L19</f>
        <v>11.646273837246961</v>
      </c>
      <c r="F57" s="1025">
        <f t="shared" ref="F57:F59" si="48">I19</f>
        <v>2.2265000000000001</v>
      </c>
      <c r="G57" s="1025">
        <f t="shared" ref="G57:G59" si="49">J19</f>
        <v>0</v>
      </c>
      <c r="H57" s="1026">
        <f t="shared" ref="H57:H59" si="50">C19+F19</f>
        <v>0.77381320379774809</v>
      </c>
      <c r="I57" s="1026">
        <f t="shared" ref="I57:I59" si="51">D19+G19</f>
        <v>0.2579377345992494</v>
      </c>
      <c r="J57" s="1025">
        <f t="shared" ref="J57:J59" si="52">SUM(B57:I57)</f>
        <v>124.11274445774295</v>
      </c>
      <c r="K57" s="1026">
        <f>'Energy Contents Cell'!S38</f>
        <v>124.85491112440963</v>
      </c>
      <c r="L57" s="1026">
        <f t="shared" ref="L57:L59" si="53">100*B57/$J57</f>
        <v>19.951232751894178</v>
      </c>
      <c r="M57" s="1026">
        <f t="shared" ref="M57:M59" si="54">100*C57/$J57</f>
        <v>1.6315810345241846</v>
      </c>
      <c r="N57" s="1026">
        <f t="shared" ref="N57:N59" si="55">100*D57/$J57</f>
        <v>66.408326977761135</v>
      </c>
      <c r="O57" s="1026">
        <f t="shared" ref="O57:O59" si="56">100*E57/$J57</f>
        <v>9.3836244522110324</v>
      </c>
      <c r="P57" s="1026">
        <f t="shared" ref="P57:P59" si="57">100*F57/$J57</f>
        <v>1.7939334189472085</v>
      </c>
      <c r="Q57" s="1026">
        <f t="shared" ref="Q57:Q59" si="58">100*G57/$J57</f>
        <v>0</v>
      </c>
      <c r="R57" s="1026">
        <f t="shared" ref="R57:R59" si="59">100*H57/$J57</f>
        <v>0.62347602349669307</v>
      </c>
      <c r="S57" s="1046">
        <f t="shared" ref="S57:S59" si="60">100*I57/$J57</f>
        <v>0.20782534116556439</v>
      </c>
      <c r="T57" s="466"/>
      <c r="U57" s="466"/>
      <c r="V57" s="466"/>
      <c r="X57" s="486"/>
      <c r="Y57" s="486"/>
      <c r="Z57" s="191"/>
    </row>
    <row r="58" spans="1:27" ht="15.75" customHeight="1">
      <c r="A58" s="873" t="str">
        <f t="shared" si="43"/>
        <v>Al-PPQ</v>
      </c>
      <c r="B58" s="734">
        <f t="shared" si="44"/>
        <v>22.040816326530617</v>
      </c>
      <c r="C58" s="731">
        <f t="shared" si="45"/>
        <v>2.0249999999999999</v>
      </c>
      <c r="D58" s="731">
        <f t="shared" si="46"/>
        <v>11.547969958477031</v>
      </c>
      <c r="E58" s="731">
        <f t="shared" si="47"/>
        <v>0.71711310079048263</v>
      </c>
      <c r="F58" s="731">
        <f t="shared" si="48"/>
        <v>2.2265000000000001</v>
      </c>
      <c r="G58" s="731">
        <f t="shared" si="49"/>
        <v>0</v>
      </c>
      <c r="H58" s="867">
        <f t="shared" si="50"/>
        <v>1.2244897959183678</v>
      </c>
      <c r="I58" s="867">
        <f t="shared" si="51"/>
        <v>1.2244897959183678</v>
      </c>
      <c r="J58" s="731">
        <f t="shared" si="52"/>
        <v>41.006378977634867</v>
      </c>
      <c r="K58" s="867">
        <f>'Energy Contents Cell'!S39</f>
        <v>41.748545644301537</v>
      </c>
      <c r="L58" s="867">
        <f t="shared" si="53"/>
        <v>53.749725959836184</v>
      </c>
      <c r="M58" s="867">
        <f t="shared" si="54"/>
        <v>4.9382560725599483</v>
      </c>
      <c r="N58" s="867">
        <f t="shared" si="55"/>
        <v>28.161398900340274</v>
      </c>
      <c r="O58" s="867">
        <f t="shared" si="56"/>
        <v>1.7487842591066149</v>
      </c>
      <c r="P58" s="867">
        <f t="shared" si="57"/>
        <v>5.4296430348418401</v>
      </c>
      <c r="Q58" s="867">
        <f t="shared" si="58"/>
        <v>0</v>
      </c>
      <c r="R58" s="867">
        <f t="shared" si="59"/>
        <v>2.9860958866575662</v>
      </c>
      <c r="S58" s="887">
        <f t="shared" si="60"/>
        <v>2.9860958866575662</v>
      </c>
      <c r="T58" s="731"/>
      <c r="U58" s="731"/>
      <c r="V58" s="731"/>
      <c r="X58" s="486"/>
      <c r="Y58" s="486"/>
      <c r="Z58" s="692"/>
    </row>
    <row r="59" spans="1:27">
      <c r="A59" s="1001" t="str">
        <f t="shared" si="43"/>
        <v>Al-PBQS</v>
      </c>
      <c r="B59" s="1005">
        <f t="shared" si="44"/>
        <v>17.338775510204087</v>
      </c>
      <c r="C59" s="902">
        <f t="shared" si="45"/>
        <v>2.6173931498127603</v>
      </c>
      <c r="D59" s="902">
        <f t="shared" si="46"/>
        <v>16.031299471768111</v>
      </c>
      <c r="E59" s="902">
        <f t="shared" si="47"/>
        <v>0.69655112815619957</v>
      </c>
      <c r="F59" s="902">
        <f t="shared" si="48"/>
        <v>2.2265000000000001</v>
      </c>
      <c r="G59" s="902">
        <f t="shared" si="49"/>
        <v>0</v>
      </c>
      <c r="H59" s="1029">
        <f t="shared" si="50"/>
        <v>0.96326530612244943</v>
      </c>
      <c r="I59" s="1029">
        <f t="shared" si="51"/>
        <v>0.96326530612244943</v>
      </c>
      <c r="J59" s="902">
        <f t="shared" si="52"/>
        <v>40.837049872186064</v>
      </c>
      <c r="K59" s="1029">
        <f>'Energy Contents Cell'!S40</f>
        <v>41.57921653885272</v>
      </c>
      <c r="L59" s="1029">
        <f t="shared" si="53"/>
        <v>42.458442920024567</v>
      </c>
      <c r="M59" s="1029">
        <f t="shared" si="54"/>
        <v>6.4093590452905254</v>
      </c>
      <c r="N59" s="1029">
        <f t="shared" si="55"/>
        <v>39.256752194254268</v>
      </c>
      <c r="O59" s="1029">
        <f t="shared" si="56"/>
        <v>1.7056842507877081</v>
      </c>
      <c r="P59" s="1029">
        <f t="shared" si="57"/>
        <v>5.452156820751294</v>
      </c>
      <c r="Q59" s="1029">
        <f t="shared" si="58"/>
        <v>0</v>
      </c>
      <c r="R59" s="1029">
        <f t="shared" si="59"/>
        <v>2.3588023844458097</v>
      </c>
      <c r="S59" s="1047">
        <f t="shared" si="60"/>
        <v>2.3588023844458097</v>
      </c>
      <c r="T59" s="731"/>
      <c r="U59" s="731"/>
      <c r="V59" s="731"/>
      <c r="X59" s="486"/>
      <c r="Y59" s="486"/>
      <c r="Z59" s="692"/>
    </row>
    <row r="60" spans="1:27">
      <c r="A60" s="873" t="str">
        <f t="shared" ref="A60:A65" si="61">A41</f>
        <v>Al-TiO2</v>
      </c>
      <c r="B60" s="734">
        <f t="shared" ref="B60:B65" si="62">B22</f>
        <v>58.311315336013791</v>
      </c>
      <c r="C60" s="731">
        <f t="shared" ref="C60:C65" si="63">E22</f>
        <v>3.2275635794841584</v>
      </c>
      <c r="D60" s="731">
        <f t="shared" ref="D60:D65" si="64">H22</f>
        <v>7.9350000000000005</v>
      </c>
      <c r="E60" s="731">
        <f t="shared" ref="E60:E65" si="65">L22</f>
        <v>0.71250000000000002</v>
      </c>
      <c r="F60" s="731">
        <f t="shared" ref="F60:G65" si="66">I22</f>
        <v>2.2265000000000001</v>
      </c>
      <c r="G60" s="731">
        <f t="shared" si="66"/>
        <v>0</v>
      </c>
      <c r="H60" s="867">
        <f t="shared" ref="H60:I65" si="67">C22+F22</f>
        <v>1.2148190695002874</v>
      </c>
      <c r="I60" s="867">
        <f t="shared" si="67"/>
        <v>1.2148190695002874</v>
      </c>
      <c r="J60" s="731">
        <f t="shared" ref="J60:J65" si="68">SUM(B60:I60)</f>
        <v>74.842517054498543</v>
      </c>
      <c r="K60" s="867">
        <f>'Energy Contents Cell'!S41</f>
        <v>75.584683721165192</v>
      </c>
      <c r="L60" s="867">
        <f t="shared" ref="L60:S65" si="69">100*B60/$J60</f>
        <v>77.912017969081504</v>
      </c>
      <c r="M60" s="867">
        <f t="shared" si="69"/>
        <v>4.3124733193218541</v>
      </c>
      <c r="N60" s="867">
        <f t="shared" si="69"/>
        <v>10.602262340030496</v>
      </c>
      <c r="O60" s="867">
        <f t="shared" si="69"/>
        <v>0.95199898138270045</v>
      </c>
      <c r="P60" s="867">
        <f t="shared" si="69"/>
        <v>2.9749133081383614</v>
      </c>
      <c r="Q60" s="867">
        <f t="shared" si="69"/>
        <v>0</v>
      </c>
      <c r="R60" s="867">
        <f t="shared" si="69"/>
        <v>1.6231670410225314</v>
      </c>
      <c r="S60" s="887">
        <f t="shared" si="69"/>
        <v>1.6231670410225314</v>
      </c>
      <c r="T60" s="731"/>
      <c r="U60" s="731"/>
      <c r="V60" s="731"/>
      <c r="X60" s="486"/>
      <c r="Y60" s="486"/>
      <c r="Z60" s="692"/>
    </row>
    <row r="61" spans="1:27">
      <c r="A61" s="1001" t="str">
        <f t="shared" si="61"/>
        <v>Al-V2C</v>
      </c>
      <c r="B61" s="1005">
        <f t="shared" si="62"/>
        <v>54.104046242774572</v>
      </c>
      <c r="C61" s="902">
        <f t="shared" si="63"/>
        <v>3.4030555754848142</v>
      </c>
      <c r="D61" s="902">
        <f t="shared" si="64"/>
        <v>7.9350000000000005</v>
      </c>
      <c r="E61" s="902">
        <f t="shared" si="65"/>
        <v>0.71250000000000002</v>
      </c>
      <c r="F61" s="902">
        <f t="shared" si="66"/>
        <v>2.2265000000000001</v>
      </c>
      <c r="G61" s="902">
        <f t="shared" si="66"/>
        <v>0</v>
      </c>
      <c r="H61" s="1029">
        <f t="shared" si="67"/>
        <v>1.1271676300578037</v>
      </c>
      <c r="I61" s="1029">
        <f t="shared" si="67"/>
        <v>1.1271676300578037</v>
      </c>
      <c r="J61" s="902">
        <f t="shared" si="68"/>
        <v>70.635437078374991</v>
      </c>
      <c r="K61" s="1029">
        <f>'Energy Contents Cell'!S42</f>
        <v>71.377603745041654</v>
      </c>
      <c r="L61" s="1029">
        <f t="shared" si="69"/>
        <v>76.596179595720955</v>
      </c>
      <c r="M61" s="1029">
        <f t="shared" si="69"/>
        <v>4.8177737920824137</v>
      </c>
      <c r="N61" s="1029">
        <f t="shared" si="69"/>
        <v>11.233738089842296</v>
      </c>
      <c r="O61" s="1029">
        <f t="shared" si="69"/>
        <v>1.0087004901087129</v>
      </c>
      <c r="P61" s="1029">
        <f t="shared" si="69"/>
        <v>3.1521005490905951</v>
      </c>
      <c r="Q61" s="1029">
        <f t="shared" si="69"/>
        <v>0</v>
      </c>
      <c r="R61" s="1029">
        <f t="shared" si="69"/>
        <v>1.59575374157752</v>
      </c>
      <c r="S61" s="1047">
        <f t="shared" si="69"/>
        <v>1.59575374157752</v>
      </c>
      <c r="T61" s="731"/>
      <c r="U61" s="731"/>
      <c r="V61" s="731"/>
      <c r="X61" s="486"/>
      <c r="Y61" s="486"/>
      <c r="Z61" s="692"/>
    </row>
    <row r="62" spans="1:27">
      <c r="A62" s="873" t="str">
        <f t="shared" si="61"/>
        <v>Al-MnO2</v>
      </c>
      <c r="B62" s="734">
        <f t="shared" si="62"/>
        <v>68.293418819536129</v>
      </c>
      <c r="C62" s="731">
        <f t="shared" si="63"/>
        <v>9.7938398340663184</v>
      </c>
      <c r="D62" s="731">
        <f t="shared" si="64"/>
        <v>7.9350000000000005</v>
      </c>
      <c r="E62" s="731">
        <f t="shared" si="65"/>
        <v>0.71250000000000002</v>
      </c>
      <c r="F62" s="731">
        <f t="shared" si="66"/>
        <v>2.2265000000000001</v>
      </c>
      <c r="G62" s="731">
        <f t="shared" si="66"/>
        <v>0</v>
      </c>
      <c r="H62" s="867">
        <f t="shared" si="67"/>
        <v>1.4227795587403362</v>
      </c>
      <c r="I62" s="867">
        <f t="shared" si="67"/>
        <v>1.4227795587403362</v>
      </c>
      <c r="J62" s="731">
        <f t="shared" si="68"/>
        <v>91.806817771083118</v>
      </c>
      <c r="K62" s="867">
        <f>'Energy Contents Cell'!S43</f>
        <v>92.548984437749795</v>
      </c>
      <c r="L62" s="867">
        <f t="shared" si="69"/>
        <v>74.388177781984808</v>
      </c>
      <c r="M62" s="867">
        <f t="shared" si="69"/>
        <v>10.667878564843511</v>
      </c>
      <c r="N62" s="867">
        <f t="shared" si="69"/>
        <v>8.6431489432360316</v>
      </c>
      <c r="O62" s="867">
        <f t="shared" si="69"/>
        <v>0.77608615274803694</v>
      </c>
      <c r="P62" s="867">
        <f t="shared" si="69"/>
        <v>2.4252011496049182</v>
      </c>
      <c r="Q62" s="867">
        <f t="shared" si="69"/>
        <v>0</v>
      </c>
      <c r="R62" s="867">
        <f t="shared" si="69"/>
        <v>1.5497537037913505</v>
      </c>
      <c r="S62" s="887">
        <f t="shared" si="69"/>
        <v>1.5497537037913505</v>
      </c>
      <c r="T62" s="731"/>
      <c r="U62" s="731"/>
      <c r="V62" s="731"/>
      <c r="X62" s="486"/>
      <c r="Y62" s="486"/>
      <c r="Z62" s="692"/>
    </row>
    <row r="63" spans="1:27">
      <c r="A63" s="1001" t="str">
        <f t="shared" si="61"/>
        <v>LIB-NMC</v>
      </c>
      <c r="B63" s="1005">
        <f t="shared" si="62"/>
        <v>48.964102564102575</v>
      </c>
      <c r="C63" s="902">
        <f t="shared" si="63"/>
        <v>31.418632478632489</v>
      </c>
      <c r="D63" s="902">
        <f t="shared" si="64"/>
        <v>13.235173167932889</v>
      </c>
      <c r="E63" s="902">
        <f t="shared" si="65"/>
        <v>0.71250000000000002</v>
      </c>
      <c r="F63" s="902">
        <f t="shared" si="66"/>
        <v>2.0249999999999999</v>
      </c>
      <c r="G63" s="902">
        <f t="shared" si="66"/>
        <v>4.4800000000000004</v>
      </c>
      <c r="H63" s="1029">
        <f t="shared" si="67"/>
        <v>2.0019177350427357</v>
      </c>
      <c r="I63" s="1029">
        <f t="shared" si="67"/>
        <v>1.3473628917378919</v>
      </c>
      <c r="J63" s="902">
        <f t="shared" si="68"/>
        <v>104.18468883744859</v>
      </c>
      <c r="K63" s="1029">
        <f>'Energy Contents Cell'!S44</f>
        <v>104.1846888374486</v>
      </c>
      <c r="L63" s="1029">
        <f t="shared" si="69"/>
        <v>46.997407306650906</v>
      </c>
      <c r="M63" s="1029">
        <f t="shared" si="69"/>
        <v>30.156669688434334</v>
      </c>
      <c r="N63" s="1029">
        <f t="shared" si="69"/>
        <v>12.703568360781611</v>
      </c>
      <c r="O63" s="1029">
        <f t="shared" si="69"/>
        <v>0.68388167968871061</v>
      </c>
      <c r="P63" s="1029">
        <f t="shared" si="69"/>
        <v>1.9436637212205459</v>
      </c>
      <c r="Q63" s="1029">
        <f t="shared" si="69"/>
        <v>4.3000560350953316</v>
      </c>
      <c r="R63" s="1029">
        <f t="shared" si="69"/>
        <v>1.921508579985467</v>
      </c>
      <c r="S63" s="1047">
        <f t="shared" si="69"/>
        <v>1.2932446281430849</v>
      </c>
      <c r="T63" s="731"/>
      <c r="U63" s="731"/>
      <c r="V63" s="731"/>
    </row>
    <row r="64" spans="1:27">
      <c r="A64" s="873" t="str">
        <f t="shared" si="61"/>
        <v>LIB-LFP</v>
      </c>
      <c r="B64" s="734">
        <f t="shared" si="62"/>
        <v>50.880929332042591</v>
      </c>
      <c r="C64" s="731">
        <f t="shared" si="63"/>
        <v>24.097773475314618</v>
      </c>
      <c r="D64" s="731">
        <f t="shared" si="64"/>
        <v>13.217392191925709</v>
      </c>
      <c r="E64" s="731">
        <f t="shared" si="65"/>
        <v>0.71250000000000002</v>
      </c>
      <c r="F64" s="731">
        <f t="shared" si="66"/>
        <v>2.0249999999999999</v>
      </c>
      <c r="G64" s="731">
        <f t="shared" si="66"/>
        <v>4.4800000000000004</v>
      </c>
      <c r="H64" s="867">
        <f t="shared" si="67"/>
        <v>1.8130747821878024</v>
      </c>
      <c r="I64" s="867">
        <f t="shared" si="67"/>
        <v>1.3110378347854146</v>
      </c>
      <c r="J64" s="731">
        <f t="shared" si="68"/>
        <v>98.537707616256142</v>
      </c>
      <c r="K64" s="867">
        <f>'Energy Contents Cell'!S45</f>
        <v>98.537707616256156</v>
      </c>
      <c r="L64" s="867">
        <f t="shared" si="69"/>
        <v>51.635998606941982</v>
      </c>
      <c r="M64" s="867">
        <f t="shared" si="69"/>
        <v>24.45538267356558</v>
      </c>
      <c r="N64" s="867">
        <f t="shared" si="69"/>
        <v>13.413537326643862</v>
      </c>
      <c r="O64" s="867">
        <f t="shared" si="69"/>
        <v>0.72307344795836936</v>
      </c>
      <c r="P64" s="867">
        <f t="shared" si="69"/>
        <v>2.0550508520922075</v>
      </c>
      <c r="Q64" s="867">
        <f t="shared" si="69"/>
        <v>4.5464828727768349</v>
      </c>
      <c r="R64" s="867">
        <f t="shared" si="69"/>
        <v>1.8399806795268825</v>
      </c>
      <c r="S64" s="887">
        <f t="shared" si="69"/>
        <v>1.3304935404942662</v>
      </c>
      <c r="T64" s="731"/>
      <c r="U64" s="731"/>
      <c r="V64" s="731"/>
    </row>
    <row r="65" spans="1:27" ht="17" thickBot="1">
      <c r="A65" s="1031" t="str">
        <f t="shared" si="61"/>
        <v>Li-DIB</v>
      </c>
      <c r="B65" s="1048">
        <f t="shared" si="62"/>
        <v>24.762022521527939</v>
      </c>
      <c r="C65" s="1033">
        <f t="shared" si="63"/>
        <v>9.6296754250386432</v>
      </c>
      <c r="D65" s="1033">
        <f t="shared" si="64"/>
        <v>54.326589465536458</v>
      </c>
      <c r="E65" s="1033">
        <f t="shared" si="65"/>
        <v>5.3693111760968373</v>
      </c>
      <c r="F65" s="1033">
        <f t="shared" si="66"/>
        <v>2.0249999999999999</v>
      </c>
      <c r="G65" s="1033">
        <f t="shared" si="66"/>
        <v>4.4800000000000004</v>
      </c>
      <c r="H65" s="1034">
        <f t="shared" si="67"/>
        <v>1.0747405608302056</v>
      </c>
      <c r="I65" s="1034">
        <f t="shared" si="67"/>
        <v>0.35824685361006858</v>
      </c>
      <c r="J65" s="1033">
        <f t="shared" si="68"/>
        <v>102.02558600264017</v>
      </c>
      <c r="K65" s="1034">
        <f>'Energy Contents Cell'!S46</f>
        <v>102.02558600264015</v>
      </c>
      <c r="L65" s="1034">
        <f t="shared" si="69"/>
        <v>24.270404603103341</v>
      </c>
      <c r="M65" s="1034">
        <f t="shared" si="69"/>
        <v>9.4384906789846337</v>
      </c>
      <c r="N65" s="1034">
        <f t="shared" si="69"/>
        <v>53.248005323028103</v>
      </c>
      <c r="O65" s="1034">
        <f t="shared" si="69"/>
        <v>5.2627104498648922</v>
      </c>
      <c r="P65" s="1034">
        <f t="shared" si="69"/>
        <v>1.9847962450787571</v>
      </c>
      <c r="Q65" s="1034">
        <f t="shared" si="69"/>
        <v>4.3910553965199171</v>
      </c>
      <c r="R65" s="1034">
        <f t="shared" si="69"/>
        <v>1.0534029775652494</v>
      </c>
      <c r="S65" s="1049">
        <f t="shared" si="69"/>
        <v>0.35113432585508308</v>
      </c>
      <c r="T65" s="731"/>
      <c r="U65" s="731"/>
      <c r="V65" s="731"/>
    </row>
    <row r="66" spans="1:27">
      <c r="A66" s="865"/>
      <c r="B66" s="731"/>
      <c r="C66" s="731"/>
      <c r="D66" s="731"/>
      <c r="E66" s="731"/>
      <c r="F66" s="731"/>
      <c r="G66" s="731"/>
      <c r="H66" s="867"/>
      <c r="I66" s="867"/>
      <c r="J66" s="731"/>
      <c r="K66" s="867"/>
      <c r="L66" s="867"/>
      <c r="M66" s="867"/>
      <c r="N66" s="867"/>
      <c r="O66" s="867"/>
      <c r="P66" s="867"/>
      <c r="Q66" s="867"/>
      <c r="R66" s="867"/>
      <c r="S66" s="867"/>
      <c r="T66" s="731"/>
      <c r="U66" s="731"/>
      <c r="V66" s="731"/>
    </row>
    <row r="67" spans="1:27">
      <c r="A67" s="865"/>
      <c r="B67" s="731"/>
      <c r="C67" s="731"/>
      <c r="D67" s="731"/>
      <c r="E67" s="731"/>
      <c r="F67" s="731"/>
      <c r="G67" s="731"/>
      <c r="H67" s="867"/>
      <c r="I67" s="867"/>
      <c r="J67" s="731"/>
      <c r="K67" s="867"/>
      <c r="L67" s="867"/>
      <c r="M67" s="867"/>
      <c r="N67" s="867"/>
      <c r="O67" s="867"/>
      <c r="P67" s="867"/>
      <c r="Q67" s="867"/>
      <c r="R67" s="867"/>
      <c r="S67" s="867"/>
      <c r="T67" s="731"/>
      <c r="U67" s="731"/>
      <c r="V67" s="731"/>
    </row>
    <row r="68" spans="1:27">
      <c r="A68" s="865"/>
      <c r="B68" s="731"/>
      <c r="C68" s="731"/>
      <c r="D68" s="731"/>
      <c r="E68" s="731"/>
      <c r="F68" s="731"/>
      <c r="G68" s="731"/>
      <c r="H68" s="867"/>
      <c r="I68" s="867"/>
      <c r="J68" s="731"/>
      <c r="K68" s="867"/>
      <c r="L68" s="867"/>
      <c r="M68" s="867"/>
      <c r="N68" s="867"/>
      <c r="O68" s="867"/>
      <c r="P68" s="867"/>
      <c r="Q68" s="867"/>
      <c r="R68" s="867"/>
      <c r="S68" s="867"/>
      <c r="T68" s="731"/>
      <c r="U68" s="731"/>
      <c r="V68" s="731"/>
    </row>
    <row r="69" spans="1:27" ht="17" thickBot="1">
      <c r="A69" s="865"/>
      <c r="B69" s="731"/>
      <c r="C69" s="731"/>
      <c r="D69" s="731"/>
      <c r="E69" s="731"/>
      <c r="F69" s="731"/>
      <c r="G69" s="731"/>
      <c r="H69" s="731"/>
      <c r="I69" s="731"/>
      <c r="J69" s="731"/>
      <c r="K69" s="871"/>
      <c r="L69" s="871"/>
      <c r="M69" s="731"/>
      <c r="N69" s="731"/>
      <c r="O69" s="731"/>
      <c r="P69" s="731"/>
      <c r="Q69" s="731"/>
      <c r="R69" s="731"/>
      <c r="S69" s="731"/>
      <c r="T69" s="731"/>
      <c r="U69" s="731"/>
      <c r="V69" s="731"/>
    </row>
    <row r="70" spans="1:27" ht="15.75" customHeight="1">
      <c r="A70" s="724" t="s">
        <v>269</v>
      </c>
      <c r="B70" s="547" t="s">
        <v>275</v>
      </c>
      <c r="C70" s="547" t="s">
        <v>274</v>
      </c>
      <c r="D70" s="547" t="s">
        <v>273</v>
      </c>
      <c r="E70" s="547" t="s">
        <v>22</v>
      </c>
      <c r="F70" s="547" t="s">
        <v>270</v>
      </c>
      <c r="G70" s="547" t="s">
        <v>21</v>
      </c>
      <c r="H70" s="547" t="s">
        <v>20</v>
      </c>
      <c r="I70" s="547" t="s">
        <v>271</v>
      </c>
      <c r="J70" s="547" t="s">
        <v>272</v>
      </c>
      <c r="K70" s="547" t="s">
        <v>276</v>
      </c>
      <c r="L70" s="547" t="s">
        <v>277</v>
      </c>
      <c r="M70" s="547" t="s">
        <v>22</v>
      </c>
      <c r="N70" s="547" t="s">
        <v>270</v>
      </c>
      <c r="O70" s="547" t="s">
        <v>21</v>
      </c>
      <c r="P70" s="547" t="s">
        <v>20</v>
      </c>
      <c r="Q70" s="547" t="s">
        <v>271</v>
      </c>
      <c r="R70" s="547" t="s">
        <v>272</v>
      </c>
      <c r="S70" s="701" t="s">
        <v>276</v>
      </c>
      <c r="T70" s="466"/>
      <c r="U70" s="466"/>
    </row>
    <row r="71" spans="1:27" ht="16.5" customHeight="1">
      <c r="A71" s="725"/>
      <c r="B71" s="548"/>
      <c r="C71" s="548"/>
      <c r="D71" s="548"/>
      <c r="E71" s="548"/>
      <c r="F71" s="548"/>
      <c r="G71" s="548"/>
      <c r="H71" s="548"/>
      <c r="I71" s="548"/>
      <c r="J71" s="548"/>
      <c r="K71" s="548"/>
      <c r="L71" s="548"/>
      <c r="M71" s="548"/>
      <c r="N71" s="548"/>
      <c r="O71" s="548"/>
      <c r="P71" s="548"/>
      <c r="Q71" s="548"/>
      <c r="R71" s="548"/>
      <c r="S71" s="702"/>
      <c r="T71" s="466"/>
      <c r="U71" s="466"/>
      <c r="X71" s="466"/>
      <c r="Y71" s="466"/>
      <c r="Z71" s="466"/>
      <c r="AA71" s="736"/>
    </row>
    <row r="72" spans="1:27" ht="16.5" customHeight="1">
      <c r="A72" s="725"/>
      <c r="B72" s="548"/>
      <c r="C72" s="548"/>
      <c r="D72" s="548"/>
      <c r="E72" s="548"/>
      <c r="F72" s="548"/>
      <c r="G72" s="548"/>
      <c r="H72" s="548"/>
      <c r="I72" s="548"/>
      <c r="J72" s="548"/>
      <c r="K72" s="548"/>
      <c r="L72" s="548"/>
      <c r="M72" s="548"/>
      <c r="N72" s="548"/>
      <c r="O72" s="548"/>
      <c r="P72" s="548"/>
      <c r="Q72" s="548"/>
      <c r="R72" s="548"/>
      <c r="S72" s="702"/>
      <c r="T72" s="466"/>
      <c r="U72" s="466"/>
      <c r="X72" s="466"/>
      <c r="Y72" s="466"/>
      <c r="Z72" s="466"/>
      <c r="AA72" s="736"/>
    </row>
    <row r="73" spans="1:27" ht="16.5" customHeight="1">
      <c r="A73" s="725"/>
      <c r="B73" s="548"/>
      <c r="C73" s="548"/>
      <c r="D73" s="548"/>
      <c r="E73" s="548"/>
      <c r="F73" s="548"/>
      <c r="G73" s="548"/>
      <c r="H73" s="548"/>
      <c r="I73" s="548"/>
      <c r="J73" s="548"/>
      <c r="K73" s="548"/>
      <c r="L73" s="548"/>
      <c r="M73" s="548"/>
      <c r="N73" s="548"/>
      <c r="O73" s="548"/>
      <c r="P73" s="548"/>
      <c r="Q73" s="548"/>
      <c r="R73" s="548"/>
      <c r="S73" s="702"/>
      <c r="T73" s="466"/>
      <c r="U73" s="466"/>
      <c r="X73" s="466"/>
      <c r="Y73" s="466"/>
      <c r="Z73" s="132"/>
    </row>
    <row r="74" spans="1:27" ht="16.5" customHeight="1">
      <c r="A74" s="725"/>
      <c r="B74" s="548"/>
      <c r="C74" s="548"/>
      <c r="D74" s="548"/>
      <c r="E74" s="548"/>
      <c r="F74" s="548"/>
      <c r="G74" s="548"/>
      <c r="H74" s="548"/>
      <c r="I74" s="548"/>
      <c r="J74" s="548"/>
      <c r="K74" s="548"/>
      <c r="L74" s="548"/>
      <c r="M74" s="548"/>
      <c r="N74" s="548"/>
      <c r="O74" s="548"/>
      <c r="P74" s="548"/>
      <c r="Q74" s="548"/>
      <c r="R74" s="548"/>
      <c r="S74" s="702"/>
      <c r="T74" s="466"/>
      <c r="U74" s="466"/>
      <c r="X74" s="486"/>
      <c r="Y74" s="486"/>
      <c r="Z74" s="328"/>
    </row>
    <row r="75" spans="1:27" ht="16.5" customHeight="1">
      <c r="A75" s="726"/>
      <c r="B75" s="466" t="str">
        <f>'Energy Contents Cell'!Q37</f>
        <v>[µm]</v>
      </c>
      <c r="C75" s="466" t="str">
        <f>'Energy Contents Cell'!P37</f>
        <v>[µm]</v>
      </c>
      <c r="D75" s="466" t="str">
        <f>'Energy Contents Cell'!Q18</f>
        <v>[µm]</v>
      </c>
      <c r="E75" s="466" t="str">
        <f>'Energy Contents Cell'!P18</f>
        <v>[µm]</v>
      </c>
      <c r="F75" s="466" t="str">
        <f>'Energy Contents Cell'!O37</f>
        <v>[µm]</v>
      </c>
      <c r="G75" s="466" t="str">
        <f>'Energy Contents Cell'!V57</f>
        <v>[µm]</v>
      </c>
      <c r="H75" s="466" t="str">
        <f>'Energy Contents Cell'!Q18</f>
        <v>[µm]</v>
      </c>
      <c r="I75" s="466" t="s">
        <v>68</v>
      </c>
      <c r="J75" s="466" t="s">
        <v>68</v>
      </c>
      <c r="K75" s="466" t="s">
        <v>68</v>
      </c>
      <c r="L75" s="466" t="s">
        <v>68</v>
      </c>
      <c r="M75" s="864" t="s">
        <v>259</v>
      </c>
      <c r="N75" s="466" t="s">
        <v>259</v>
      </c>
      <c r="O75" s="466" t="s">
        <v>259</v>
      </c>
      <c r="P75" s="466" t="s">
        <v>259</v>
      </c>
      <c r="Q75" s="466" t="s">
        <v>259</v>
      </c>
      <c r="R75" s="466" t="s">
        <v>259</v>
      </c>
      <c r="S75" s="357" t="s">
        <v>259</v>
      </c>
      <c r="T75" s="466"/>
      <c r="U75" s="466"/>
      <c r="X75" s="486"/>
      <c r="Y75" s="486"/>
      <c r="Z75" s="328"/>
    </row>
    <row r="76" spans="1:27" ht="16.5" customHeight="1">
      <c r="A76" s="1001" t="str">
        <f t="shared" ref="A76:A78" si="70">A57</f>
        <v>Al-gra</v>
      </c>
      <c r="B76" s="1024">
        <f>'Energy Contents Cell'!Q38</f>
        <v>153.6</v>
      </c>
      <c r="C76" s="1026">
        <f>'Energy Contents Cell'!P38</f>
        <v>4.1533080378275651</v>
      </c>
      <c r="D76" s="1025">
        <f>'Energy Contents Cell'!I90</f>
        <v>-228.63733223638627</v>
      </c>
      <c r="E76" s="1026">
        <f>'Energy Contents Cell'!P19</f>
        <v>200</v>
      </c>
      <c r="F76" s="1026">
        <f>'Energy Contents Cell'!O38</f>
        <v>7.5</v>
      </c>
      <c r="G76" s="1026">
        <f>'Energy Contents Cell'!V58</f>
        <v>114.47388494523757</v>
      </c>
      <c r="H76" s="1026">
        <f>'Energy Contents Cell'!Q19</f>
        <v>612.96178090773492</v>
      </c>
      <c r="I76" s="1025">
        <f>J$9</f>
        <v>7.5</v>
      </c>
      <c r="J76" s="1025">
        <v>0</v>
      </c>
      <c r="K76" s="1026">
        <f t="shared" ref="K76:K78" si="71">MAX(B76+C76+D76,0)</f>
        <v>0</v>
      </c>
      <c r="L76" s="1026">
        <f t="shared" ref="L76:L78" si="72">SUM(E76:K76)</f>
        <v>942.43566585297253</v>
      </c>
      <c r="M76" s="1026">
        <f t="shared" ref="M76:M78" si="73">100*E76/$L76</f>
        <v>21.221607717804854</v>
      </c>
      <c r="N76" s="1026">
        <f t="shared" ref="N76:N78" si="74">100*F76/$L76</f>
        <v>0.79581028941768206</v>
      </c>
      <c r="O76" s="1026">
        <f t="shared" ref="O76:O78" si="75">100*G76/$L76</f>
        <v>12.146599401204794</v>
      </c>
      <c r="P76" s="1026">
        <f t="shared" ref="P76:P78" si="76">100*H76/$L76</f>
        <v>65.040172302154986</v>
      </c>
      <c r="Q76" s="1026">
        <f t="shared" ref="Q76:Q78" si="77">100*I76/$L76</f>
        <v>0.79581028941768206</v>
      </c>
      <c r="R76" s="1026">
        <f t="shared" ref="R76:R78" si="78">100*J76/$L76</f>
        <v>0</v>
      </c>
      <c r="S76" s="1046">
        <f t="shared" ref="S76:S78" si="79">100*K76/$L76</f>
        <v>0</v>
      </c>
      <c r="T76" s="466"/>
      <c r="U76" s="466"/>
      <c r="X76" s="486"/>
      <c r="Y76" s="486"/>
      <c r="Z76" s="328"/>
    </row>
    <row r="77" spans="1:27" ht="15.75" customHeight="1">
      <c r="A77" s="873" t="str">
        <f t="shared" si="70"/>
        <v>Al-PPQ</v>
      </c>
      <c r="B77" s="888">
        <f>'Energy Contents Cell'!Q39</f>
        <v>18</v>
      </c>
      <c r="C77" s="867">
        <f>'Energy Contents Cell'!P39</f>
        <v>-4.6553341229145149</v>
      </c>
      <c r="D77" s="731">
        <f>'Energy Contents Cell'!I91</f>
        <v>-32.034199150351547</v>
      </c>
      <c r="E77" s="867">
        <f>'Energy Contents Cell'!P20</f>
        <v>200</v>
      </c>
      <c r="F77" s="867">
        <f>'Energy Contents Cell'!O39</f>
        <v>7.5</v>
      </c>
      <c r="G77" s="867">
        <f>'Energy Contents Cell'!V59</f>
        <v>16.038847164551431</v>
      </c>
      <c r="H77" s="867">
        <f>'Energy Contents Cell'!Q20</f>
        <v>37.742794778446459</v>
      </c>
      <c r="I77" s="731">
        <f t="shared" ref="I77:I81" si="80">J$9</f>
        <v>7.5</v>
      </c>
      <c r="J77" s="731">
        <v>0</v>
      </c>
      <c r="K77" s="867">
        <f t="shared" si="71"/>
        <v>0</v>
      </c>
      <c r="L77" s="867">
        <f t="shared" si="72"/>
        <v>268.78164194299791</v>
      </c>
      <c r="M77" s="867">
        <f t="shared" si="73"/>
        <v>74.409843824979376</v>
      </c>
      <c r="N77" s="867">
        <f t="shared" si="74"/>
        <v>2.7903691434367266</v>
      </c>
      <c r="O77" s="867">
        <f t="shared" si="75"/>
        <v>5.9672405632349257</v>
      </c>
      <c r="P77" s="867">
        <f t="shared" si="76"/>
        <v>14.04217732491224</v>
      </c>
      <c r="Q77" s="867">
        <f t="shared" si="77"/>
        <v>2.7903691434367266</v>
      </c>
      <c r="R77" s="867">
        <f t="shared" si="78"/>
        <v>0</v>
      </c>
      <c r="S77" s="887">
        <f t="shared" si="79"/>
        <v>0</v>
      </c>
      <c r="T77" s="731"/>
      <c r="U77" s="731"/>
      <c r="X77" s="486"/>
      <c r="Y77" s="486"/>
      <c r="Z77" s="328"/>
    </row>
    <row r="78" spans="1:27">
      <c r="A78" s="1001" t="str">
        <f t="shared" si="70"/>
        <v>Al-PBQS</v>
      </c>
      <c r="B78" s="1028">
        <f>'Energy Contents Cell'!Q40</f>
        <v>18</v>
      </c>
      <c r="C78" s="1029">
        <f>'Energy Contents Cell'!P40</f>
        <v>-6.4626991353401486</v>
      </c>
      <c r="D78" s="902">
        <f>'Energy Contents Cell'!I92</f>
        <v>-44.471005879311591</v>
      </c>
      <c r="E78" s="1029">
        <f>'Energy Contents Cell'!P21</f>
        <v>200</v>
      </c>
      <c r="F78" s="1029">
        <f>'Energy Contents Cell'!O40</f>
        <v>9.6940487030102229</v>
      </c>
      <c r="G78" s="1029">
        <f>'Energy Contents Cell'!V60</f>
        <v>22.265693710789041</v>
      </c>
      <c r="H78" s="1029">
        <f>'Energy Contents Cell'!Q21</f>
        <v>36.660585692431567</v>
      </c>
      <c r="I78" s="902">
        <f t="shared" ref="I78:I80" si="81">J$9</f>
        <v>7.5</v>
      </c>
      <c r="J78" s="902">
        <v>0</v>
      </c>
      <c r="K78" s="1029">
        <f t="shared" si="71"/>
        <v>0</v>
      </c>
      <c r="L78" s="1029">
        <f t="shared" si="72"/>
        <v>276.12032810623083</v>
      </c>
      <c r="M78" s="1029">
        <f t="shared" si="73"/>
        <v>72.432189752814821</v>
      </c>
      <c r="N78" s="1029">
        <f t="shared" si="74"/>
        <v>3.5108058756473244</v>
      </c>
      <c r="O78" s="1029">
        <f t="shared" si="75"/>
        <v>8.0637647591896382</v>
      </c>
      <c r="P78" s="1029">
        <f t="shared" si="76"/>
        <v>13.277032496617657</v>
      </c>
      <c r="Q78" s="1029">
        <f t="shared" si="77"/>
        <v>2.7162071157305561</v>
      </c>
      <c r="R78" s="1029">
        <f t="shared" si="78"/>
        <v>0</v>
      </c>
      <c r="S78" s="1047">
        <f t="shared" si="79"/>
        <v>0</v>
      </c>
    </row>
    <row r="79" spans="1:27" ht="18" customHeight="1">
      <c r="A79" s="873" t="str">
        <f t="shared" ref="A79:A84" si="82">A60</f>
        <v>Al-TiO2</v>
      </c>
      <c r="B79" s="888">
        <f>'Energy Contents Cell'!Q41</f>
        <v>9.6</v>
      </c>
      <c r="C79" s="867">
        <f>'Energy Contents Cell'!P41</f>
        <v>-7.9692927888497742</v>
      </c>
      <c r="D79" s="731">
        <v>0</v>
      </c>
      <c r="E79" s="867">
        <f>'Energy Contents Cell'!P22</f>
        <v>200</v>
      </c>
      <c r="F79" s="867">
        <f>'Energy Contents Cell'!O41</f>
        <v>11.953939183274661</v>
      </c>
      <c r="G79" s="867">
        <f>'Energy Contents Cell'!V61</f>
        <v>8.6249999999999982</v>
      </c>
      <c r="H79" s="867">
        <f>'Energy Contents Cell'!Q22</f>
        <v>15</v>
      </c>
      <c r="I79" s="731">
        <f t="shared" ref="I79" si="83">J$9</f>
        <v>7.5</v>
      </c>
      <c r="J79" s="731">
        <v>0</v>
      </c>
      <c r="K79" s="867">
        <f t="shared" ref="K79:K83" si="84">MAX(B79+C79+D79,0)</f>
        <v>1.6307072111502254</v>
      </c>
      <c r="L79" s="867">
        <f t="shared" ref="L79:L84" si="85">SUM(E79:K79)</f>
        <v>244.70964639442488</v>
      </c>
      <c r="M79" s="867">
        <f t="shared" ref="M79:S84" si="86">100*E79/$L79</f>
        <v>81.729512075563406</v>
      </c>
      <c r="N79" s="867">
        <f t="shared" si="86"/>
        <v>4.8849480841499844</v>
      </c>
      <c r="O79" s="867">
        <f t="shared" si="86"/>
        <v>3.5245852082586713</v>
      </c>
      <c r="P79" s="867">
        <f t="shared" si="86"/>
        <v>6.129713405667256</v>
      </c>
      <c r="Q79" s="867">
        <f t="shared" si="86"/>
        <v>3.064856702833628</v>
      </c>
      <c r="R79" s="867">
        <f t="shared" si="86"/>
        <v>0</v>
      </c>
      <c r="S79" s="887">
        <f t="shared" si="86"/>
        <v>0.66638452352705335</v>
      </c>
      <c r="T79" s="731"/>
      <c r="U79" s="731"/>
    </row>
    <row r="80" spans="1:27" ht="18" customHeight="1">
      <c r="A80" s="1001" t="str">
        <f t="shared" si="82"/>
        <v>Al-V2C</v>
      </c>
      <c r="B80" s="1028">
        <f>'Energy Contents Cell'!Q42</f>
        <v>9.6</v>
      </c>
      <c r="C80" s="1029">
        <f>'Energy Contents Cell'!P42</f>
        <v>-8.4026063592217639</v>
      </c>
      <c r="D80" s="902">
        <v>0</v>
      </c>
      <c r="E80" s="1029">
        <f>'Energy Contents Cell'!P23</f>
        <v>200</v>
      </c>
      <c r="F80" s="1029">
        <f>'Energy Contents Cell'!O42</f>
        <v>12.603909538832646</v>
      </c>
      <c r="G80" s="1029">
        <f>'Energy Contents Cell'!V62</f>
        <v>8.6249999999999982</v>
      </c>
      <c r="H80" s="1029">
        <f>'Energy Contents Cell'!Q23</f>
        <v>15</v>
      </c>
      <c r="I80" s="902">
        <f t="shared" si="81"/>
        <v>7.5</v>
      </c>
      <c r="J80" s="902">
        <v>0</v>
      </c>
      <c r="K80" s="1029">
        <f t="shared" si="84"/>
        <v>1.1973936407782357</v>
      </c>
      <c r="L80" s="1029">
        <f t="shared" si="85"/>
        <v>244.9263031796109</v>
      </c>
      <c r="M80" s="1029">
        <f t="shared" si="86"/>
        <v>81.657215825176095</v>
      </c>
      <c r="N80" s="1029">
        <f t="shared" si="86"/>
        <v>5.1460008072672645</v>
      </c>
      <c r="O80" s="1029">
        <f t="shared" si="86"/>
        <v>3.5214674324607178</v>
      </c>
      <c r="P80" s="1029">
        <f t="shared" si="86"/>
        <v>6.1242911868882066</v>
      </c>
      <c r="Q80" s="1029">
        <f t="shared" si="86"/>
        <v>3.0621455934441033</v>
      </c>
      <c r="R80" s="1029">
        <f t="shared" si="86"/>
        <v>0</v>
      </c>
      <c r="S80" s="1047">
        <f t="shared" si="86"/>
        <v>0.48887915476360888</v>
      </c>
      <c r="T80" s="731"/>
      <c r="U80" s="731"/>
    </row>
    <row r="81" spans="1:26" ht="18" customHeight="1">
      <c r="A81" s="873" t="str">
        <f t="shared" si="82"/>
        <v>Al-MnO2</v>
      </c>
      <c r="B81" s="888">
        <f>'Energy Contents Cell'!Q43</f>
        <v>9.6</v>
      </c>
      <c r="C81" s="867">
        <f>'Energy Contents Cell'!P43</f>
        <v>-24.182320577941528</v>
      </c>
      <c r="D81" s="731">
        <v>0</v>
      </c>
      <c r="E81" s="867">
        <f>'Energy Contents Cell'!P24</f>
        <v>200</v>
      </c>
      <c r="F81" s="867">
        <f>'Energy Contents Cell'!O43</f>
        <v>36.273480866912294</v>
      </c>
      <c r="G81" s="867">
        <f>'Energy Contents Cell'!V63</f>
        <v>8.6249999999999982</v>
      </c>
      <c r="H81" s="867">
        <f>'Energy Contents Cell'!Q24</f>
        <v>15</v>
      </c>
      <c r="I81" s="731">
        <f t="shared" si="80"/>
        <v>7.5</v>
      </c>
      <c r="J81" s="731">
        <v>0</v>
      </c>
      <c r="K81" s="867">
        <f t="shared" si="84"/>
        <v>0</v>
      </c>
      <c r="L81" s="867">
        <f t="shared" si="85"/>
        <v>267.39848086691228</v>
      </c>
      <c r="M81" s="867">
        <f t="shared" si="86"/>
        <v>74.794740550355868</v>
      </c>
      <c r="N81" s="867">
        <f t="shared" si="86"/>
        <v>13.565327951495012</v>
      </c>
      <c r="O81" s="867">
        <f t="shared" si="86"/>
        <v>3.2255231862340956</v>
      </c>
      <c r="P81" s="867">
        <f t="shared" si="86"/>
        <v>5.6096055412766894</v>
      </c>
      <c r="Q81" s="867">
        <f t="shared" si="86"/>
        <v>2.8048027706383447</v>
      </c>
      <c r="R81" s="867">
        <f t="shared" si="86"/>
        <v>0</v>
      </c>
      <c r="S81" s="887">
        <f t="shared" si="86"/>
        <v>0</v>
      </c>
      <c r="T81" s="731"/>
      <c r="U81" s="731"/>
    </row>
    <row r="82" spans="1:26" ht="18" customHeight="1">
      <c r="A82" s="1001" t="str">
        <f t="shared" si="82"/>
        <v>LIB-NMC</v>
      </c>
      <c r="B82" s="1028">
        <f>'Energy Contents Cell'!Q44</f>
        <v>-7.3919999999999995</v>
      </c>
      <c r="C82" s="1029">
        <f>'Energy Contents Cell'!P44</f>
        <v>22.300285609370082</v>
      </c>
      <c r="D82" s="902">
        <v>0</v>
      </c>
      <c r="E82" s="1029">
        <f>'Energy Contents Cell'!P25</f>
        <v>154</v>
      </c>
      <c r="F82" s="1029">
        <f>'Energy Contents Cell'!O44</f>
        <v>199.62820776617073</v>
      </c>
      <c r="G82" s="1029">
        <f>'Energy Contents Cell'!V64</f>
        <v>14.386057791231401</v>
      </c>
      <c r="H82" s="1029">
        <f>'Energy Contents Cell'!Q25</f>
        <v>15</v>
      </c>
      <c r="I82" s="902">
        <f>J$6</f>
        <v>7.5</v>
      </c>
      <c r="J82" s="902">
        <f>J$7</f>
        <v>5</v>
      </c>
      <c r="K82" s="1029">
        <f t="shared" si="84"/>
        <v>14.908285609370083</v>
      </c>
      <c r="L82" s="1029">
        <f t="shared" si="85"/>
        <v>410.42255116677217</v>
      </c>
      <c r="M82" s="1029">
        <f t="shared" si="86"/>
        <v>37.522304649732376</v>
      </c>
      <c r="N82" s="1029">
        <f t="shared" si="86"/>
        <v>48.639678107028118</v>
      </c>
      <c r="O82" s="1029">
        <f t="shared" si="86"/>
        <v>3.50518209838468</v>
      </c>
      <c r="P82" s="1029">
        <f t="shared" si="86"/>
        <v>3.6547699334154915</v>
      </c>
      <c r="Q82" s="1029">
        <f t="shared" si="86"/>
        <v>1.8273849667077458</v>
      </c>
      <c r="R82" s="1029">
        <f t="shared" si="86"/>
        <v>1.2182566444718304</v>
      </c>
      <c r="S82" s="1047">
        <f t="shared" si="86"/>
        <v>3.632423600259775</v>
      </c>
      <c r="T82" s="731"/>
      <c r="U82" s="731"/>
      <c r="V82" s="731"/>
    </row>
    <row r="83" spans="1:26" ht="17" customHeight="1">
      <c r="A83" s="873" t="str">
        <f t="shared" si="82"/>
        <v>LIB-LFP</v>
      </c>
      <c r="B83" s="888">
        <f>'Energy Contents Cell'!Q45</f>
        <v>-9.6</v>
      </c>
      <c r="C83" s="867">
        <f>'Energy Contents Cell'!P45</f>
        <v>17.104093611168153</v>
      </c>
      <c r="D83" s="731">
        <v>0</v>
      </c>
      <c r="E83" s="867">
        <f>'Energy Contents Cell'!P26</f>
        <v>200</v>
      </c>
      <c r="F83" s="867">
        <f>'Energy Contents Cell'!O45</f>
        <v>153.11281715726696</v>
      </c>
      <c r="G83" s="867">
        <f>'Energy Contents Cell'!V65</f>
        <v>14.366730643397503</v>
      </c>
      <c r="H83" s="867">
        <f>'Energy Contents Cell'!Q26</f>
        <v>15</v>
      </c>
      <c r="I83" s="731">
        <f>J$6</f>
        <v>7.5</v>
      </c>
      <c r="J83" s="731">
        <f>J$7</f>
        <v>5</v>
      </c>
      <c r="K83" s="867">
        <f t="shared" si="84"/>
        <v>7.5040936111681535</v>
      </c>
      <c r="L83" s="867">
        <f t="shared" si="85"/>
        <v>402.48364141183259</v>
      </c>
      <c r="M83" s="867">
        <f t="shared" si="86"/>
        <v>49.691460576742884</v>
      </c>
      <c r="N83" s="867">
        <f t="shared" si="86"/>
        <v>38.041997587821868</v>
      </c>
      <c r="O83" s="867">
        <f t="shared" si="86"/>
        <v>3.5695191469153547</v>
      </c>
      <c r="P83" s="867">
        <f t="shared" si="86"/>
        <v>3.7268595432557166</v>
      </c>
      <c r="Q83" s="867">
        <f t="shared" si="86"/>
        <v>1.8634297716278583</v>
      </c>
      <c r="R83" s="867">
        <f t="shared" si="86"/>
        <v>1.2422865144185722</v>
      </c>
      <c r="S83" s="887">
        <f t="shared" si="86"/>
        <v>1.8644468592177523</v>
      </c>
      <c r="T83" s="731"/>
      <c r="U83" s="731"/>
    </row>
    <row r="84" spans="1:26" ht="17" thickBot="1">
      <c r="A84" s="1031" t="str">
        <f t="shared" si="82"/>
        <v>Li-DIB</v>
      </c>
      <c r="B84" s="1032">
        <f>'Energy Contents Cell'!Q46</f>
        <v>251.51999999999998</v>
      </c>
      <c r="C84" s="1034">
        <f>'Energy Contents Cell'!P46</f>
        <v>7.5184355555555626</v>
      </c>
      <c r="D84" s="1033">
        <f>'Energy Contents Cell'!I89</f>
        <v>-24.058918191880498</v>
      </c>
      <c r="E84" s="1034">
        <f>'Energy Contents Cell'!P27</f>
        <v>200</v>
      </c>
      <c r="F84" s="1034">
        <f>'Energy Contents Cell'!O46</f>
        <v>61.185185185185198</v>
      </c>
      <c r="G84" s="1034">
        <f>'Energy Contents Cell'!V66</f>
        <v>64.674511268495749</v>
      </c>
      <c r="H84" s="1034">
        <f>'Energy Contents Cell'!Q27</f>
        <v>282.59532505772836</v>
      </c>
      <c r="I84" s="1033">
        <f t="shared" ref="I84" si="87">J$6</f>
        <v>7.5</v>
      </c>
      <c r="J84" s="1033">
        <f t="shared" ref="J84" si="88">J$7</f>
        <v>5</v>
      </c>
      <c r="K84" s="1034">
        <f>MAX(B84+C84+D84,0)</f>
        <v>234.97951736367506</v>
      </c>
      <c r="L84" s="1034">
        <f t="shared" si="85"/>
        <v>855.9345388750844</v>
      </c>
      <c r="M84" s="1034">
        <f t="shared" si="86"/>
        <v>23.366272876761212</v>
      </c>
      <c r="N84" s="1034">
        <f t="shared" si="86"/>
        <v>7.1483486652610244</v>
      </c>
      <c r="O84" s="1034">
        <f t="shared" si="86"/>
        <v>7.5560113923541987</v>
      </c>
      <c r="P84" s="1034">
        <f t="shared" si="86"/>
        <v>33.015997394979586</v>
      </c>
      <c r="Q84" s="1034">
        <f t="shared" si="86"/>
        <v>0.87623523287854543</v>
      </c>
      <c r="R84" s="1034">
        <f t="shared" si="86"/>
        <v>0.58415682191903029</v>
      </c>
      <c r="S84" s="1049">
        <f t="shared" si="86"/>
        <v>27.4529776158464</v>
      </c>
    </row>
    <row r="85" spans="1:26" ht="18" customHeight="1">
      <c r="A85" s="865"/>
      <c r="B85" s="867"/>
      <c r="C85" s="867"/>
      <c r="D85" s="731"/>
      <c r="E85" s="867"/>
      <c r="F85" s="867"/>
      <c r="G85" s="867"/>
      <c r="H85" s="867"/>
      <c r="I85" s="731"/>
      <c r="J85" s="731"/>
      <c r="K85" s="867"/>
      <c r="L85" s="867"/>
      <c r="M85" s="867"/>
      <c r="N85" s="867"/>
      <c r="O85" s="867"/>
      <c r="P85" s="867"/>
      <c r="Q85" s="867"/>
      <c r="R85" s="867"/>
      <c r="S85" s="867"/>
      <c r="T85" s="731"/>
      <c r="U85" s="731"/>
      <c r="X85" s="552"/>
      <c r="Y85" s="552"/>
      <c r="Z85" s="872"/>
    </row>
    <row r="86" spans="1:26" ht="18" customHeight="1">
      <c r="A86" s="865"/>
      <c r="B86" s="867"/>
      <c r="C86" s="867"/>
      <c r="D86" s="731"/>
      <c r="E86" s="867"/>
      <c r="F86" s="867"/>
      <c r="G86" s="867"/>
      <c r="H86" s="867"/>
      <c r="I86" s="731"/>
      <c r="J86" s="731"/>
      <c r="K86" s="867"/>
      <c r="L86" s="867"/>
      <c r="M86" s="867"/>
      <c r="N86" s="867"/>
      <c r="O86" s="867"/>
      <c r="P86" s="867"/>
      <c r="Q86" s="867"/>
      <c r="R86" s="867"/>
      <c r="S86" s="867"/>
      <c r="T86" s="731"/>
      <c r="U86" s="731"/>
    </row>
    <row r="87" spans="1:26" ht="18" customHeight="1">
      <c r="A87" s="865"/>
      <c r="B87" s="867"/>
      <c r="C87" s="867"/>
      <c r="D87" s="731"/>
      <c r="E87" s="867"/>
      <c r="F87" s="867"/>
      <c r="G87" s="867"/>
      <c r="H87" s="867"/>
      <c r="I87" s="731"/>
      <c r="J87" s="731"/>
      <c r="K87" s="867"/>
      <c r="L87" s="867"/>
      <c r="M87" s="867"/>
      <c r="N87" s="867"/>
      <c r="O87" s="867"/>
      <c r="P87" s="867"/>
      <c r="Q87" s="867"/>
      <c r="R87" s="867"/>
      <c r="S87" s="867"/>
      <c r="T87" s="731"/>
      <c r="U87" s="731"/>
      <c r="V87" s="731"/>
    </row>
    <row r="88" spans="1:26" ht="18" customHeight="1">
      <c r="T88" s="731"/>
      <c r="U88" s="731"/>
      <c r="V88" s="731"/>
    </row>
    <row r="89" spans="1:26" ht="17" thickBot="1"/>
    <row r="90" spans="1:26" ht="68.25" customHeight="1">
      <c r="A90" s="724" t="s">
        <v>258</v>
      </c>
      <c r="B90" s="547" t="str">
        <f>'Energy Contents Cell'!V32</f>
        <v>Number of Stack layers within Pouch cell</v>
      </c>
      <c r="C90" s="547" t="s">
        <v>966</v>
      </c>
      <c r="D90" s="547" t="s">
        <v>967</v>
      </c>
      <c r="E90" s="547" t="s">
        <v>196</v>
      </c>
      <c r="F90" s="547" t="s">
        <v>735</v>
      </c>
      <c r="G90" s="547" t="s">
        <v>194</v>
      </c>
      <c r="H90" s="547" t="s">
        <v>195</v>
      </c>
      <c r="I90" s="547" t="s">
        <v>968</v>
      </c>
      <c r="J90" s="547" t="s">
        <v>105</v>
      </c>
      <c r="K90" s="547" t="str">
        <f>Q32</f>
        <v>Usable Energy per Pouch cell</v>
      </c>
      <c r="L90" s="547" t="s">
        <v>736</v>
      </c>
      <c r="M90" s="547" t="s">
        <v>966</v>
      </c>
      <c r="N90" s="547" t="s">
        <v>967</v>
      </c>
      <c r="O90" s="547" t="s">
        <v>196</v>
      </c>
      <c r="P90" s="547" t="s">
        <v>735</v>
      </c>
      <c r="Q90" s="547" t="s">
        <v>194</v>
      </c>
      <c r="R90" s="547" t="s">
        <v>195</v>
      </c>
      <c r="S90" s="701" t="s">
        <v>968</v>
      </c>
    </row>
    <row r="91" spans="1:26" ht="18" customHeight="1">
      <c r="A91" s="725"/>
      <c r="B91" s="548"/>
      <c r="C91" s="548"/>
      <c r="D91" s="548"/>
      <c r="E91" s="548"/>
      <c r="F91" s="548"/>
      <c r="G91" s="548"/>
      <c r="H91" s="548"/>
      <c r="I91" s="548"/>
      <c r="J91" s="548"/>
      <c r="K91" s="548"/>
      <c r="L91" s="548"/>
      <c r="M91" s="548"/>
      <c r="N91" s="548"/>
      <c r="O91" s="548"/>
      <c r="P91" s="548"/>
      <c r="Q91" s="548"/>
      <c r="R91" s="548"/>
      <c r="S91" s="702"/>
      <c r="W91" s="191"/>
    </row>
    <row r="92" spans="1:26" ht="16.5" customHeight="1">
      <c r="A92" s="725"/>
      <c r="B92" s="548"/>
      <c r="C92" s="548"/>
      <c r="D92" s="548"/>
      <c r="E92" s="548"/>
      <c r="F92" s="548"/>
      <c r="G92" s="548"/>
      <c r="H92" s="548"/>
      <c r="I92" s="548"/>
      <c r="J92" s="548"/>
      <c r="K92" s="548"/>
      <c r="L92" s="548"/>
      <c r="M92" s="548"/>
      <c r="N92" s="548"/>
      <c r="O92" s="548"/>
      <c r="P92" s="548"/>
      <c r="Q92" s="548"/>
      <c r="R92" s="548"/>
      <c r="S92" s="702"/>
    </row>
    <row r="93" spans="1:26" ht="16.5" customHeight="1">
      <c r="A93" s="725"/>
      <c r="B93" s="548"/>
      <c r="C93" s="548"/>
      <c r="D93" s="548"/>
      <c r="E93" s="548"/>
      <c r="F93" s="548"/>
      <c r="G93" s="548"/>
      <c r="H93" s="548"/>
      <c r="I93" s="548"/>
      <c r="J93" s="548"/>
      <c r="K93" s="548"/>
      <c r="L93" s="548"/>
      <c r="M93" s="548"/>
      <c r="N93" s="548"/>
      <c r="O93" s="548"/>
      <c r="P93" s="548"/>
      <c r="Q93" s="548"/>
      <c r="R93" s="548"/>
      <c r="S93" s="702"/>
    </row>
    <row r="94" spans="1:26" ht="15.75" customHeight="1">
      <c r="A94" s="725"/>
      <c r="B94" s="548"/>
      <c r="C94" s="548"/>
      <c r="D94" s="548"/>
      <c r="E94" s="548"/>
      <c r="F94" s="548"/>
      <c r="G94" s="548"/>
      <c r="H94" s="548"/>
      <c r="I94" s="548"/>
      <c r="J94" s="548"/>
      <c r="K94" s="548"/>
      <c r="L94" s="548"/>
      <c r="M94" s="548"/>
      <c r="N94" s="548"/>
      <c r="O94" s="548"/>
      <c r="P94" s="548"/>
      <c r="Q94" s="548"/>
      <c r="R94" s="548"/>
      <c r="S94" s="702"/>
    </row>
    <row r="95" spans="1:26" ht="15.75" customHeight="1">
      <c r="A95" s="726"/>
      <c r="B95" s="466"/>
      <c r="C95" s="466" t="s">
        <v>177</v>
      </c>
      <c r="D95" s="466" t="s">
        <v>177</v>
      </c>
      <c r="E95" s="466" t="s">
        <v>177</v>
      </c>
      <c r="F95" s="466" t="s">
        <v>177</v>
      </c>
      <c r="G95" s="466" t="s">
        <v>177</v>
      </c>
      <c r="H95" s="466" t="s">
        <v>177</v>
      </c>
      <c r="I95" s="466" t="s">
        <v>177</v>
      </c>
      <c r="J95" s="466" t="s">
        <v>177</v>
      </c>
      <c r="K95" s="466" t="str">
        <f>Q37</f>
        <v>[Wh]</v>
      </c>
      <c r="L95" s="466" t="s">
        <v>737</v>
      </c>
      <c r="M95" s="466" t="s">
        <v>259</v>
      </c>
      <c r="N95" s="466" t="s">
        <v>259</v>
      </c>
      <c r="O95" s="466" t="s">
        <v>259</v>
      </c>
      <c r="P95" s="466" t="s">
        <v>259</v>
      </c>
      <c r="Q95" s="466" t="s">
        <v>259</v>
      </c>
      <c r="R95" s="466" t="s">
        <v>259</v>
      </c>
      <c r="S95" s="357" t="s">
        <v>259</v>
      </c>
    </row>
    <row r="96" spans="1:26" ht="15.75" customHeight="1">
      <c r="A96" s="1001" t="str">
        <f>A19</f>
        <v>Al-gra</v>
      </c>
      <c r="B96" s="1002">
        <f>'Energy Contents Cell'!V38</f>
        <v>21.221607717804854</v>
      </c>
      <c r="C96" s="1025">
        <f>B96*(B19+C19+D19)*Z$36*AA$36/1000</f>
        <v>159.85841525678546</v>
      </c>
      <c r="D96" s="1025">
        <f>B96*(E19+F19+G19)*Z$35*AA$35/1000</f>
        <v>12.892126688566448</v>
      </c>
      <c r="E96" s="1025">
        <f>B96*L19*Z$35*AA$35/1000</f>
        <v>74.145796424456663</v>
      </c>
      <c r="F96" s="1025">
        <f>B96*H19*Z$35*AA$35/1000</f>
        <v>524.73309413204709</v>
      </c>
      <c r="G96" s="1025">
        <f>B96*I19*Z$36*AA$36/1000</f>
        <v>13.798863594821562</v>
      </c>
      <c r="H96" s="1026">
        <f>B96*J19*Z$35*AA$35/1000</f>
        <v>0</v>
      </c>
      <c r="I96" s="1026">
        <f>AB$38</f>
        <v>14.662999999999998</v>
      </c>
      <c r="J96" s="1025">
        <f>SUM(C96:I96)</f>
        <v>800.0912960966773</v>
      </c>
      <c r="K96" s="1026">
        <f>Q38</f>
        <v>35.220006049374973</v>
      </c>
      <c r="L96" s="1026">
        <f>K96/O19</f>
        <v>17.610003024687487</v>
      </c>
      <c r="M96" s="1026">
        <f t="shared" ref="M96:M98" si="89">100*C96/$J96</f>
        <v>19.980021784597607</v>
      </c>
      <c r="N96" s="1026">
        <f t="shared" ref="N96:N98" si="90">100*D96/$J96</f>
        <v>1.611331950673871</v>
      </c>
      <c r="O96" s="1026">
        <f t="shared" ref="O96:O98" si="91">100*E96/$J96</f>
        <v>9.2671669828410952</v>
      </c>
      <c r="P96" s="1026">
        <f t="shared" ref="P96:P98" si="92">100*F96/$J96</f>
        <v>65.584152295120347</v>
      </c>
      <c r="Q96" s="1026">
        <f t="shared" ref="Q96:Q98" si="93">100*G96/$J96</f>
        <v>1.7246611308160271</v>
      </c>
      <c r="R96" s="1026">
        <f t="shared" ref="R96:R98" si="94">100*H96/$J96</f>
        <v>0</v>
      </c>
      <c r="S96" s="1046">
        <f t="shared" ref="S96:S98" si="95">100*I96/$J96</f>
        <v>1.8326658559510474</v>
      </c>
    </row>
    <row r="97" spans="1:19">
      <c r="A97" s="873" t="str">
        <f t="shared" ref="A97:A98" si="96">A20</f>
        <v>Al-PPQ</v>
      </c>
      <c r="B97" s="734">
        <f>'Energy Contents Cell'!V39</f>
        <v>74.409843824979376</v>
      </c>
      <c r="C97" s="731">
        <f t="shared" ref="C97:C98" si="97">B97*(B20+C20+D20)*Z$36*AA$36/1000</f>
        <v>532.17920303625249</v>
      </c>
      <c r="D97" s="731">
        <f t="shared" ref="D97:D98" si="98">B97*(E20+F20+G20)*Z$35*AA$35/1000</f>
        <v>45.203980123674967</v>
      </c>
      <c r="E97" s="731">
        <f t="shared" ref="E97:E98" si="99">B97*L20*Z$35*AA$35/1000</f>
        <v>16.008082150399954</v>
      </c>
      <c r="F97" s="731">
        <f t="shared" ref="F97:F98" si="100">B97*H20*Z$35*AA$35/1000</f>
        <v>257.78479233174886</v>
      </c>
      <c r="G97" s="731">
        <f t="shared" ref="G97:G98" si="101">B97*I20*Z$36*AA$36/1000</f>
        <v>48.383293985375502</v>
      </c>
      <c r="H97" s="867">
        <f t="shared" ref="H97:H98" si="102">B97*J20*Z$35*AA$35/1000</f>
        <v>0</v>
      </c>
      <c r="I97" s="867">
        <f t="shared" ref="I97:I104" si="103">AB$38</f>
        <v>14.662999999999998</v>
      </c>
      <c r="J97" s="731">
        <f t="shared" ref="J97:J99" si="104">SUM(C97:I97)</f>
        <v>914.22235162745187</v>
      </c>
      <c r="K97" s="867">
        <f t="shared" ref="K97:K98" si="105">Q39</f>
        <v>96.8938674968105</v>
      </c>
      <c r="L97" s="867">
        <f t="shared" ref="L97:L98" si="106">K97/O20</f>
        <v>69.209905354864645</v>
      </c>
      <c r="M97" s="867">
        <f t="shared" si="89"/>
        <v>58.211134532960642</v>
      </c>
      <c r="N97" s="867">
        <f t="shared" si="90"/>
        <v>4.944527996193175</v>
      </c>
      <c r="O97" s="867">
        <f t="shared" si="91"/>
        <v>1.7510053349607111</v>
      </c>
      <c r="P97" s="867">
        <f t="shared" si="92"/>
        <v>28.197165806857988</v>
      </c>
      <c r="Q97" s="867">
        <f t="shared" si="93"/>
        <v>5.2922895507035062</v>
      </c>
      <c r="R97" s="867">
        <f t="shared" si="94"/>
        <v>0</v>
      </c>
      <c r="S97" s="887">
        <f t="shared" si="95"/>
        <v>1.6038767783239687</v>
      </c>
    </row>
    <row r="98" spans="1:19">
      <c r="A98" s="1001" t="str">
        <f t="shared" si="96"/>
        <v>Al-PBQS</v>
      </c>
      <c r="B98" s="1005">
        <f>'Energy Contents Cell'!V40</f>
        <v>72.432189752814821</v>
      </c>
      <c r="C98" s="902">
        <f t="shared" si="97"/>
        <v>407.52088327487695</v>
      </c>
      <c r="D98" s="902">
        <f t="shared" si="98"/>
        <v>56.875055185486659</v>
      </c>
      <c r="E98" s="902">
        <f t="shared" si="99"/>
        <v>15.135817046144124</v>
      </c>
      <c r="F98" s="902">
        <f t="shared" si="100"/>
        <v>348.3546375969924</v>
      </c>
      <c r="G98" s="902">
        <f t="shared" si="101"/>
        <v>47.097369792334909</v>
      </c>
      <c r="H98" s="1029">
        <f t="shared" si="102"/>
        <v>0</v>
      </c>
      <c r="I98" s="1029">
        <f t="shared" si="103"/>
        <v>14.662999999999998</v>
      </c>
      <c r="J98" s="902">
        <f t="shared" si="104"/>
        <v>889.64676289583497</v>
      </c>
      <c r="K98" s="1029">
        <f t="shared" si="105"/>
        <v>149.6416683385348</v>
      </c>
      <c r="L98" s="1029">
        <f t="shared" si="106"/>
        <v>93.526042711584239</v>
      </c>
      <c r="M98" s="1029">
        <f t="shared" si="89"/>
        <v>45.807043904524598</v>
      </c>
      <c r="N98" s="1029">
        <f t="shared" si="90"/>
        <v>6.3929929897520381</v>
      </c>
      <c r="O98" s="1029">
        <f t="shared" si="91"/>
        <v>1.7013288506638802</v>
      </c>
      <c r="P98" s="1029">
        <f t="shared" si="92"/>
        <v>39.156511564554506</v>
      </c>
      <c r="Q98" s="1029">
        <f t="shared" si="93"/>
        <v>5.2939404442984914</v>
      </c>
      <c r="R98" s="1029">
        <f t="shared" si="94"/>
        <v>0</v>
      </c>
      <c r="S98" s="1047">
        <f t="shared" si="95"/>
        <v>1.6481822462065012</v>
      </c>
    </row>
    <row r="99" spans="1:19">
      <c r="A99" s="873" t="str">
        <f t="shared" ref="A99:A104" si="107">A22</f>
        <v>Al-TiO2</v>
      </c>
      <c r="B99" s="734">
        <f>'Energy Contents Cell'!V41</f>
        <v>81.729512075563406</v>
      </c>
      <c r="C99" s="731">
        <f t="shared" ref="C99:C104" si="108">B99*(B22+C22+D22)*Z$36*AA$36/1000</f>
        <v>1449.7824923707078</v>
      </c>
      <c r="D99" s="731">
        <f t="shared" ref="D99:D104" si="109">B99*(E22+F22+G22)*Z$35*AA$35/1000</f>
        <v>79.136158963229747</v>
      </c>
      <c r="E99" s="731">
        <f t="shared" ref="E99:E104" si="110">B99*L22*Z$35*AA$35/1000</f>
        <v>17.469683206151679</v>
      </c>
      <c r="F99" s="731">
        <f t="shared" ref="F99:F104" si="111">B99*H22*Z$35*AA$35/1000</f>
        <v>194.55710349587869</v>
      </c>
      <c r="G99" s="731">
        <f t="shared" ref="G99:G104" si="112">B99*I22*Z$36*AA$36/1000</f>
        <v>53.142740352128094</v>
      </c>
      <c r="H99" s="867">
        <f t="shared" ref="H99:H104" si="113">B99*J22*Z$35*AA$35/1000</f>
        <v>0</v>
      </c>
      <c r="I99" s="867">
        <f t="shared" ref="I99" si="114">AB$38</f>
        <v>14.662999999999998</v>
      </c>
      <c r="J99" s="731">
        <f t="shared" si="104"/>
        <v>1808.7511783880962</v>
      </c>
      <c r="K99" s="867">
        <f t="shared" ref="K99:K104" si="115">Q41</f>
        <v>83.284784969724626</v>
      </c>
      <c r="L99" s="867">
        <f t="shared" ref="L99:L104" si="116">K99/O22</f>
        <v>130.13247651519472</v>
      </c>
      <c r="M99" s="867">
        <f t="shared" ref="M99:S104" si="117">100*C99/$J99</f>
        <v>80.153782880335697</v>
      </c>
      <c r="N99" s="867">
        <f t="shared" si="117"/>
        <v>4.3751821648433413</v>
      </c>
      <c r="O99" s="867">
        <f t="shared" si="117"/>
        <v>0.96584225707154081</v>
      </c>
      <c r="P99" s="867">
        <f t="shared" si="117"/>
        <v>10.756432715596738</v>
      </c>
      <c r="Q99" s="867">
        <f t="shared" si="117"/>
        <v>2.9380901578451097</v>
      </c>
      <c r="R99" s="867">
        <f t="shared" si="117"/>
        <v>0</v>
      </c>
      <c r="S99" s="887">
        <f t="shared" si="117"/>
        <v>0.8106698243075765</v>
      </c>
    </row>
    <row r="100" spans="1:19">
      <c r="A100" s="1001" t="str">
        <f t="shared" si="107"/>
        <v>Al-V2C</v>
      </c>
      <c r="B100" s="1005">
        <f>'Energy Contents Cell'!V42</f>
        <v>81.657215825176095</v>
      </c>
      <c r="C100" s="902">
        <f t="shared" si="108"/>
        <v>1343.9880911470996</v>
      </c>
      <c r="D100" s="902">
        <f t="shared" si="109"/>
        <v>83.365213077729692</v>
      </c>
      <c r="E100" s="902">
        <f t="shared" si="110"/>
        <v>17.454229882631388</v>
      </c>
      <c r="F100" s="902">
        <f t="shared" si="111"/>
        <v>194.38500227183169</v>
      </c>
      <c r="G100" s="902">
        <f t="shared" si="112"/>
        <v>53.095731373789732</v>
      </c>
      <c r="H100" s="1029">
        <f t="shared" si="113"/>
        <v>0</v>
      </c>
      <c r="I100" s="1029">
        <f t="shared" si="103"/>
        <v>14.662999999999998</v>
      </c>
      <c r="J100" s="902">
        <f t="shared" ref="J100:J104" si="118">SUM(C100:I100)</f>
        <v>1706.9512677530822</v>
      </c>
      <c r="K100" s="1029">
        <f t="shared" si="115"/>
        <v>130.23244603215392</v>
      </c>
      <c r="L100" s="1029">
        <f t="shared" si="116"/>
        <v>137.08678529700413</v>
      </c>
      <c r="M100" s="1029">
        <f t="shared" si="117"/>
        <v>78.736172293672837</v>
      </c>
      <c r="N100" s="1029">
        <f t="shared" si="117"/>
        <v>4.8838660278489465</v>
      </c>
      <c r="O100" s="1029">
        <f t="shared" si="117"/>
        <v>1.0225382652901969</v>
      </c>
      <c r="P100" s="1029">
        <f t="shared" si="117"/>
        <v>11.387847207126613</v>
      </c>
      <c r="Q100" s="1029">
        <f t="shared" si="117"/>
        <v>3.1105592981386891</v>
      </c>
      <c r="R100" s="1029">
        <f t="shared" si="117"/>
        <v>0</v>
      </c>
      <c r="S100" s="1047">
        <f t="shared" si="117"/>
        <v>0.85901690792270846</v>
      </c>
    </row>
    <row r="101" spans="1:19">
      <c r="A101" s="873" t="str">
        <f t="shared" si="107"/>
        <v>Al-MnO2</v>
      </c>
      <c r="B101" s="734">
        <f>'Energy Contents Cell'!V43</f>
        <v>74.794740550355868</v>
      </c>
      <c r="C101" s="731">
        <f t="shared" si="108"/>
        <v>1553.8926810183782</v>
      </c>
      <c r="D101" s="731">
        <f t="shared" si="109"/>
        <v>219.75831281421921</v>
      </c>
      <c r="E101" s="731">
        <f t="shared" si="110"/>
        <v>15.987375792638566</v>
      </c>
      <c r="F101" s="731">
        <f t="shared" si="111"/>
        <v>178.0488798801222</v>
      </c>
      <c r="G101" s="731">
        <f t="shared" si="112"/>
        <v>48.633564251520689</v>
      </c>
      <c r="H101" s="867">
        <f t="shared" si="113"/>
        <v>0</v>
      </c>
      <c r="I101" s="867">
        <f t="shared" si="103"/>
        <v>14.662999999999998</v>
      </c>
      <c r="J101" s="731">
        <f t="shared" si="118"/>
        <v>2030.983813756879</v>
      </c>
      <c r="K101" s="867">
        <f t="shared" si="115"/>
        <v>469.78526646692416</v>
      </c>
      <c r="L101" s="867">
        <f t="shared" si="116"/>
        <v>361.37328189763394</v>
      </c>
      <c r="M101" s="867">
        <f t="shared" si="117"/>
        <v>76.509358198380426</v>
      </c>
      <c r="N101" s="867">
        <f t="shared" si="117"/>
        <v>10.820288735226995</v>
      </c>
      <c r="O101" s="867">
        <f t="shared" si="117"/>
        <v>0.78717396388627003</v>
      </c>
      <c r="P101" s="867">
        <f t="shared" si="117"/>
        <v>8.7666321451755156</v>
      </c>
      <c r="Q101" s="867">
        <f t="shared" si="117"/>
        <v>2.3945815777605417</v>
      </c>
      <c r="R101" s="867">
        <f t="shared" si="117"/>
        <v>0</v>
      </c>
      <c r="S101" s="887">
        <f t="shared" si="117"/>
        <v>0.72196537957024054</v>
      </c>
    </row>
    <row r="102" spans="1:19">
      <c r="A102" s="1001" t="str">
        <f t="shared" si="107"/>
        <v>LIB-NMC</v>
      </c>
      <c r="B102" s="1005">
        <f>'Energy Contents Cell'!V44</f>
        <v>48.730265778873218</v>
      </c>
      <c r="C102" s="902">
        <f t="shared" si="108"/>
        <v>725.85134475885297</v>
      </c>
      <c r="D102" s="902">
        <f t="shared" si="109"/>
        <v>478.44947221640604</v>
      </c>
      <c r="E102" s="902">
        <f t="shared" si="110"/>
        <v>10.416094310234151</v>
      </c>
      <c r="F102" s="902">
        <f t="shared" si="111"/>
        <v>193.4860518308343</v>
      </c>
      <c r="G102" s="902">
        <f t="shared" si="112"/>
        <v>28.818153306575823</v>
      </c>
      <c r="H102" s="1029">
        <f t="shared" si="113"/>
        <v>65.493477206805608</v>
      </c>
      <c r="I102" s="1029">
        <f t="shared" si="103"/>
        <v>14.662999999999998</v>
      </c>
      <c r="J102" s="902">
        <f t="shared" si="118"/>
        <v>1517.1775936297092</v>
      </c>
      <c r="K102" s="1029">
        <f t="shared" si="115"/>
        <v>453.9938854982513</v>
      </c>
      <c r="L102" s="1029">
        <f t="shared" si="116"/>
        <v>124.38188643787707</v>
      </c>
      <c r="M102" s="1029">
        <f t="shared" si="117"/>
        <v>47.84221358175477</v>
      </c>
      <c r="N102" s="1029">
        <f t="shared" si="117"/>
        <v>31.535495529680166</v>
      </c>
      <c r="O102" s="1029">
        <f t="shared" si="117"/>
        <v>0.68654416951377417</v>
      </c>
      <c r="P102" s="1029">
        <f t="shared" si="117"/>
        <v>12.753025924139608</v>
      </c>
      <c r="Q102" s="1029">
        <f t="shared" si="117"/>
        <v>1.899458140403393</v>
      </c>
      <c r="R102" s="1029">
        <f t="shared" si="117"/>
        <v>4.3167970237497659</v>
      </c>
      <c r="S102" s="1047">
        <f t="shared" si="117"/>
        <v>0.96646563075849989</v>
      </c>
    </row>
    <row r="103" spans="1:19">
      <c r="A103" s="873" t="str">
        <f t="shared" si="107"/>
        <v>LIB-LFP</v>
      </c>
      <c r="B103" s="734">
        <f>'Energy Contents Cell'!V45</f>
        <v>49.691460576742891</v>
      </c>
      <c r="C103" s="731">
        <f t="shared" si="108"/>
        <v>769.14443808233466</v>
      </c>
      <c r="D103" s="731">
        <f t="shared" si="109"/>
        <v>374.20423769871149</v>
      </c>
      <c r="E103" s="731">
        <f t="shared" si="110"/>
        <v>10.621549698278793</v>
      </c>
      <c r="F103" s="731">
        <f t="shared" si="111"/>
        <v>197.03745690972772</v>
      </c>
      <c r="G103" s="731">
        <f t="shared" si="112"/>
        <v>29.38658564733479</v>
      </c>
      <c r="H103" s="867">
        <f t="shared" si="113"/>
        <v>66.785323015142467</v>
      </c>
      <c r="I103" s="867">
        <f t="shared" si="103"/>
        <v>14.662999999999998</v>
      </c>
      <c r="J103" s="731">
        <f t="shared" si="118"/>
        <v>1461.84259105153</v>
      </c>
      <c r="K103" s="867">
        <f t="shared" si="115"/>
        <v>321.02858214455716</v>
      </c>
      <c r="L103" s="867">
        <f t="shared" si="116"/>
        <v>97.281388528653693</v>
      </c>
      <c r="M103" s="867">
        <f t="shared" si="117"/>
        <v>52.614723554406432</v>
      </c>
      <c r="N103" s="867">
        <f t="shared" si="117"/>
        <v>25.598121164983954</v>
      </c>
      <c r="O103" s="867">
        <f t="shared" si="117"/>
        <v>0.72658641657433987</v>
      </c>
      <c r="P103" s="867">
        <f t="shared" si="117"/>
        <v>13.478705444475736</v>
      </c>
      <c r="Q103" s="867">
        <f t="shared" si="117"/>
        <v>2.0102428145971918</v>
      </c>
      <c r="R103" s="867">
        <f t="shared" si="117"/>
        <v>4.5685714333376053</v>
      </c>
      <c r="S103" s="887">
        <f t="shared" si="117"/>
        <v>1.0030491716247394</v>
      </c>
    </row>
    <row r="104" spans="1:19" ht="17" thickBot="1">
      <c r="A104" s="1031" t="str">
        <f t="shared" si="107"/>
        <v>Li-DIB</v>
      </c>
      <c r="B104" s="1048">
        <f>'Energy Contents Cell'!V46</f>
        <v>23.366272876761212</v>
      </c>
      <c r="C104" s="1033">
        <f t="shared" si="108"/>
        <v>176.01377813626988</v>
      </c>
      <c r="D104" s="1033">
        <f t="shared" si="109"/>
        <v>70.315507405029521</v>
      </c>
      <c r="E104" s="1033">
        <f t="shared" si="110"/>
        <v>37.638237030276706</v>
      </c>
      <c r="F104" s="1033">
        <f t="shared" si="111"/>
        <v>380.82297417465179</v>
      </c>
      <c r="G104" s="1033">
        <f t="shared" si="112"/>
        <v>13.818369820131922</v>
      </c>
      <c r="H104" s="1034">
        <f t="shared" si="113"/>
        <v>31.404270746367072</v>
      </c>
      <c r="I104" s="1034">
        <f t="shared" si="103"/>
        <v>14.662999999999998</v>
      </c>
      <c r="J104" s="1033">
        <f t="shared" si="118"/>
        <v>724.67613731272684</v>
      </c>
      <c r="K104" s="1034">
        <f t="shared" si="115"/>
        <v>90.485163064293616</v>
      </c>
      <c r="L104" s="1034">
        <f t="shared" si="116"/>
        <v>20.10781401428747</v>
      </c>
      <c r="M104" s="1034">
        <f t="shared" si="117"/>
        <v>24.288612398494482</v>
      </c>
      <c r="N104" s="1034">
        <f t="shared" si="117"/>
        <v>9.7030250872860684</v>
      </c>
      <c r="O104" s="1034">
        <f t="shared" si="117"/>
        <v>5.1938010777957073</v>
      </c>
      <c r="P104" s="1034">
        <f t="shared" si="117"/>
        <v>52.550781592841567</v>
      </c>
      <c r="Q104" s="1034">
        <f t="shared" si="117"/>
        <v>1.9068338404757961</v>
      </c>
      <c r="R104" s="1034">
        <f t="shared" si="117"/>
        <v>4.3335593832055306</v>
      </c>
      <c r="S104" s="1049">
        <f t="shared" si="117"/>
        <v>2.0233866199008466</v>
      </c>
    </row>
    <row r="105" spans="1:19">
      <c r="A105" s="865"/>
      <c r="B105" s="731"/>
      <c r="C105" s="731"/>
      <c r="D105" s="731"/>
      <c r="E105" s="731"/>
      <c r="F105" s="731"/>
      <c r="G105" s="731"/>
      <c r="H105" s="867"/>
      <c r="I105" s="867"/>
      <c r="J105" s="731"/>
      <c r="K105" s="867"/>
      <c r="L105" s="867"/>
      <c r="M105" s="867"/>
      <c r="N105" s="867"/>
      <c r="O105" s="867"/>
      <c r="P105" s="867"/>
      <c r="Q105" s="867"/>
      <c r="R105" s="867"/>
      <c r="S105" s="867"/>
    </row>
    <row r="106" spans="1:19">
      <c r="A106" s="865"/>
      <c r="B106" s="731"/>
      <c r="C106" s="731"/>
      <c r="D106" s="731"/>
      <c r="E106" s="731"/>
      <c r="F106" s="731"/>
      <c r="G106" s="731"/>
      <c r="H106" s="867"/>
      <c r="I106" s="867"/>
      <c r="J106" s="731"/>
      <c r="K106" s="867"/>
      <c r="L106" s="867"/>
      <c r="M106" s="867"/>
      <c r="N106" s="867"/>
      <c r="O106" s="867"/>
      <c r="P106" s="867"/>
      <c r="Q106" s="867"/>
      <c r="R106" s="867"/>
      <c r="S106" s="867"/>
    </row>
    <row r="107" spans="1:19">
      <c r="A107" s="865"/>
      <c r="B107" s="731"/>
      <c r="C107" s="731"/>
      <c r="D107" s="731"/>
      <c r="E107" s="731"/>
      <c r="F107" s="731"/>
      <c r="G107" s="731"/>
      <c r="H107" s="867"/>
      <c r="I107" s="867"/>
      <c r="J107" s="731"/>
      <c r="K107" s="867"/>
      <c r="L107" s="867"/>
      <c r="M107" s="867"/>
      <c r="N107" s="867"/>
      <c r="O107" s="867"/>
      <c r="P107" s="867"/>
      <c r="Q107" s="867"/>
      <c r="R107" s="867"/>
      <c r="S107" s="867"/>
    </row>
  </sheetData>
  <mergeCells count="96">
    <mergeCell ref="V32:V36"/>
    <mergeCell ref="Q32:Q36"/>
    <mergeCell ref="R32:R36"/>
    <mergeCell ref="S32:S36"/>
    <mergeCell ref="Q51:Q55"/>
    <mergeCell ref="R51:R55"/>
    <mergeCell ref="S51:S55"/>
    <mergeCell ref="H90:H94"/>
    <mergeCell ref="R90:R94"/>
    <mergeCell ref="P90:P94"/>
    <mergeCell ref="F90:F94"/>
    <mergeCell ref="K90:K94"/>
    <mergeCell ref="L90:L94"/>
    <mergeCell ref="M90:M94"/>
    <mergeCell ref="N90:N94"/>
    <mergeCell ref="O90:O94"/>
    <mergeCell ref="G90:G94"/>
    <mergeCell ref="I90:I94"/>
    <mergeCell ref="J90:J94"/>
    <mergeCell ref="A90:A95"/>
    <mergeCell ref="B90:B94"/>
    <mergeCell ref="C90:C94"/>
    <mergeCell ref="D90:D94"/>
    <mergeCell ref="E90:E94"/>
    <mergeCell ref="K70:K74"/>
    <mergeCell ref="L70:L74"/>
    <mergeCell ref="M70:M74"/>
    <mergeCell ref="A70:A75"/>
    <mergeCell ref="B70:B74"/>
    <mergeCell ref="C70:C74"/>
    <mergeCell ref="D70:D74"/>
    <mergeCell ref="E70:E74"/>
    <mergeCell ref="F70:F74"/>
    <mergeCell ref="G70:G74"/>
    <mergeCell ref="H70:H74"/>
    <mergeCell ref="I70:I74"/>
    <mergeCell ref="J70:J74"/>
    <mergeCell ref="F51:F55"/>
    <mergeCell ref="G51:G55"/>
    <mergeCell ref="H51:H55"/>
    <mergeCell ref="J51:J55"/>
    <mergeCell ref="A51:A56"/>
    <mergeCell ref="B51:B55"/>
    <mergeCell ref="C51:C55"/>
    <mergeCell ref="D51:D55"/>
    <mergeCell ref="E51:E55"/>
    <mergeCell ref="I51:I55"/>
    <mergeCell ref="A17:A18"/>
    <mergeCell ref="A1:A3"/>
    <mergeCell ref="B1:B2"/>
    <mergeCell ref="C1:C2"/>
    <mergeCell ref="D1:D2"/>
    <mergeCell ref="H15:I15"/>
    <mergeCell ref="O2:O3"/>
    <mergeCell ref="H1:I3"/>
    <mergeCell ref="M32:M36"/>
    <mergeCell ref="F32:F36"/>
    <mergeCell ref="G32:G36"/>
    <mergeCell ref="H32:H36"/>
    <mergeCell ref="I32:I36"/>
    <mergeCell ref="O32:O36"/>
    <mergeCell ref="A32:A37"/>
    <mergeCell ref="B32:B36"/>
    <mergeCell ref="C32:C36"/>
    <mergeCell ref="D32:D36"/>
    <mergeCell ref="E32:E36"/>
    <mergeCell ref="J32:J36"/>
    <mergeCell ref="L32:L36"/>
    <mergeCell ref="N32:N36"/>
    <mergeCell ref="K51:K55"/>
    <mergeCell ref="L51:L55"/>
    <mergeCell ref="M51:M55"/>
    <mergeCell ref="N51:N55"/>
    <mergeCell ref="P32:P36"/>
    <mergeCell ref="O51:O55"/>
    <mergeCell ref="P51:P55"/>
    <mergeCell ref="X32:Y34"/>
    <mergeCell ref="X35:Y35"/>
    <mergeCell ref="X36:Y36"/>
    <mergeCell ref="X37:Y37"/>
    <mergeCell ref="X38:Y38"/>
    <mergeCell ref="X39:Y39"/>
    <mergeCell ref="U32:U36"/>
    <mergeCell ref="T32:T36"/>
    <mergeCell ref="K32:K36"/>
    <mergeCell ref="X40:Y40"/>
    <mergeCell ref="X41:Y41"/>
    <mergeCell ref="N70:N74"/>
    <mergeCell ref="O70:O74"/>
    <mergeCell ref="P70:P74"/>
    <mergeCell ref="S70:S74"/>
    <mergeCell ref="Q70:Q74"/>
    <mergeCell ref="R70:R74"/>
    <mergeCell ref="Q90:Q94"/>
    <mergeCell ref="S90:S94"/>
    <mergeCell ref="X85:Y85"/>
  </mergeCells>
  <pageMargins left="0.7" right="0.7" top="0.75" bottom="0.75" header="0.3" footer="0.3"/>
  <cellWatches>
    <cellWatch r="E169"/>
    <cellWatch r="G169"/>
  </cellWatches>
  <ignoredErrors>
    <ignoredError sqref="B41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2A705-C1A2-CC4B-9424-B6F07443F0C1}">
  <dimension ref="A1:AP103"/>
  <sheetViews>
    <sheetView topLeftCell="A52" zoomScale="61" zoomScaleNormal="61" workbookViewId="0">
      <selection activeCell="T47" sqref="T47:U51"/>
    </sheetView>
  </sheetViews>
  <sheetFormatPr baseColWidth="10" defaultColWidth="11.5" defaultRowHeight="16"/>
  <cols>
    <col min="1" max="1" width="30.6640625" style="1" customWidth="1"/>
    <col min="2" max="2" width="18.5" style="1" customWidth="1"/>
    <col min="3" max="3" width="17.6640625" style="1" customWidth="1"/>
    <col min="4" max="4" width="16.1640625" style="1" customWidth="1"/>
    <col min="5" max="5" width="19.1640625" style="1" customWidth="1"/>
    <col min="6" max="6" width="18.6640625" style="1" customWidth="1"/>
    <col min="7" max="7" width="17.33203125" style="1" customWidth="1"/>
    <col min="8" max="11" width="18.1640625" style="1" customWidth="1"/>
    <col min="12" max="12" width="17.5" style="1" customWidth="1"/>
    <col min="13" max="13" width="17.83203125" style="1" customWidth="1"/>
    <col min="14" max="14" width="18.83203125" style="1" customWidth="1"/>
    <col min="15" max="15" width="17.5" style="1" customWidth="1"/>
    <col min="16" max="16" width="19.1640625" style="1" customWidth="1"/>
    <col min="17" max="17" width="18.83203125" style="1" customWidth="1"/>
    <col min="18" max="18" width="17" style="1" customWidth="1"/>
    <col min="19" max="19" width="18.6640625" style="1" customWidth="1"/>
    <col min="20" max="20" width="16.83203125" style="1" customWidth="1"/>
    <col min="21" max="21" width="17.1640625" style="1" customWidth="1"/>
    <col min="22" max="22" width="18.83203125" style="1" customWidth="1"/>
    <col min="23" max="23" width="18" style="1" customWidth="1"/>
    <col min="24" max="24" width="16.1640625" style="1" customWidth="1"/>
    <col min="25" max="25" width="22.5" style="1" customWidth="1"/>
    <col min="26" max="26" width="22.83203125" style="1" customWidth="1"/>
    <col min="27" max="27" width="16.1640625" style="1" customWidth="1"/>
    <col min="28" max="28" width="19" style="1" customWidth="1"/>
    <col min="29" max="29" width="14.83203125" style="1" customWidth="1"/>
    <col min="30" max="30" width="13.6640625" style="1" bestFit="1" customWidth="1"/>
    <col min="31" max="31" width="15.33203125" style="1" bestFit="1" customWidth="1"/>
    <col min="32" max="32" width="16.1640625" style="1" customWidth="1"/>
    <col min="33" max="36" width="11.5" style="1"/>
    <col min="37" max="37" width="18.1640625" style="1" customWidth="1"/>
    <col min="38" max="39" width="11.5" style="1"/>
    <col min="40" max="40" width="12.5" style="1" customWidth="1"/>
    <col min="41" max="41" width="13.5" style="1" customWidth="1"/>
    <col min="42" max="42" width="19.6640625" style="1" customWidth="1"/>
    <col min="43" max="43" width="22.1640625" style="1" customWidth="1"/>
    <col min="44" max="44" width="19" style="1" customWidth="1"/>
    <col min="45" max="16384" width="11.5" style="1"/>
  </cols>
  <sheetData>
    <row r="1" spans="1:42" ht="18" customHeight="1">
      <c r="A1" s="724" t="s">
        <v>285</v>
      </c>
      <c r="B1" s="700"/>
      <c r="C1" s="700"/>
      <c r="D1" s="743" t="s">
        <v>1495</v>
      </c>
      <c r="E1" s="743" t="s">
        <v>1496</v>
      </c>
      <c r="F1" s="709"/>
      <c r="G1" s="688"/>
      <c r="H1" s="786" t="s">
        <v>36</v>
      </c>
      <c r="I1" s="787"/>
      <c r="J1" s="788"/>
      <c r="K1" s="48" t="s">
        <v>738</v>
      </c>
      <c r="L1" s="49" t="s">
        <v>739</v>
      </c>
      <c r="M1" s="51" t="s">
        <v>63</v>
      </c>
      <c r="N1" s="818" t="s">
        <v>56</v>
      </c>
      <c r="O1" s="819" t="s">
        <v>58</v>
      </c>
      <c r="P1" s="820" t="s">
        <v>60</v>
      </c>
      <c r="Q1" s="50" t="s">
        <v>740</v>
      </c>
      <c r="R1" s="821" t="s">
        <v>729</v>
      </c>
      <c r="T1" s="786" t="s">
        <v>24</v>
      </c>
      <c r="U1" s="787"/>
      <c r="V1" s="788"/>
      <c r="W1" s="48" t="s">
        <v>738</v>
      </c>
      <c r="X1" s="49" t="s">
        <v>62</v>
      </c>
      <c r="Y1" s="51" t="s">
        <v>63</v>
      </c>
      <c r="Z1" s="818" t="s">
        <v>56</v>
      </c>
      <c r="AA1" s="819" t="s">
        <v>58</v>
      </c>
      <c r="AB1" s="820" t="s">
        <v>60</v>
      </c>
      <c r="AC1" s="50" t="s">
        <v>740</v>
      </c>
      <c r="AD1" s="821" t="s">
        <v>729</v>
      </c>
      <c r="AF1" s="291"/>
      <c r="AG1" s="174"/>
      <c r="AH1" s="174"/>
      <c r="AI1" s="174"/>
      <c r="AJ1" s="175"/>
      <c r="AL1" s="291"/>
      <c r="AM1" s="174"/>
      <c r="AN1" s="174"/>
      <c r="AO1" s="174"/>
      <c r="AP1" s="175"/>
    </row>
    <row r="2" spans="1:42" ht="36" customHeight="1">
      <c r="A2" s="725"/>
      <c r="B2" s="466" t="s">
        <v>303</v>
      </c>
      <c r="C2" s="466" t="s">
        <v>296</v>
      </c>
      <c r="D2" s="466" t="s">
        <v>300</v>
      </c>
      <c r="E2" s="466" t="s">
        <v>299</v>
      </c>
      <c r="F2" s="756" t="s">
        <v>299</v>
      </c>
      <c r="G2" s="688"/>
      <c r="H2" s="789"/>
      <c r="I2" s="558"/>
      <c r="J2" s="790"/>
      <c r="K2" s="34" t="s">
        <v>133</v>
      </c>
      <c r="L2" s="35" t="s">
        <v>53</v>
      </c>
      <c r="M2" s="33" t="s">
        <v>57</v>
      </c>
      <c r="N2" s="822" t="s">
        <v>243</v>
      </c>
      <c r="O2" s="823" t="s">
        <v>1459</v>
      </c>
      <c r="P2" s="824" t="s">
        <v>399</v>
      </c>
      <c r="Q2" s="36" t="s">
        <v>55</v>
      </c>
      <c r="R2" s="825" t="s">
        <v>59</v>
      </c>
      <c r="T2" s="789"/>
      <c r="U2" s="558"/>
      <c r="V2" s="790"/>
      <c r="W2" s="34" t="s">
        <v>134</v>
      </c>
      <c r="X2" s="40" t="s">
        <v>53</v>
      </c>
      <c r="Y2" s="33" t="s">
        <v>57</v>
      </c>
      <c r="Z2" s="822" t="s">
        <v>243</v>
      </c>
      <c r="AA2" s="823" t="s">
        <v>1459</v>
      </c>
      <c r="AB2" s="824" t="s">
        <v>399</v>
      </c>
      <c r="AC2" s="36" t="s">
        <v>55</v>
      </c>
      <c r="AD2" s="825" t="s">
        <v>59</v>
      </c>
      <c r="AF2" s="815" t="s">
        <v>741</v>
      </c>
      <c r="AG2" s="816" t="s">
        <v>1456</v>
      </c>
      <c r="AH2" s="11"/>
      <c r="AI2" s="11"/>
      <c r="AJ2" s="169"/>
      <c r="AL2" s="815" t="s">
        <v>741</v>
      </c>
      <c r="AM2" s="816" t="s">
        <v>1457</v>
      </c>
      <c r="AN2" s="11"/>
      <c r="AO2" s="11"/>
      <c r="AP2" s="169"/>
    </row>
    <row r="3" spans="1:42" ht="18.75" customHeight="1" thickBot="1">
      <c r="A3" s="726"/>
      <c r="B3" s="466"/>
      <c r="C3" s="466"/>
      <c r="D3" s="466" t="s">
        <v>284</v>
      </c>
      <c r="E3" s="466" t="s">
        <v>338</v>
      </c>
      <c r="F3" s="756" t="s">
        <v>339</v>
      </c>
      <c r="G3" s="132"/>
      <c r="H3" s="791"/>
      <c r="I3" s="792"/>
      <c r="J3" s="793"/>
      <c r="K3" s="34" t="s">
        <v>77</v>
      </c>
      <c r="L3" s="35" t="s">
        <v>76</v>
      </c>
      <c r="M3" s="826" t="s">
        <v>76</v>
      </c>
      <c r="N3" s="822" t="s">
        <v>77</v>
      </c>
      <c r="O3" s="823" t="s">
        <v>77</v>
      </c>
      <c r="P3" s="824" t="s">
        <v>77</v>
      </c>
      <c r="Q3" s="36" t="s">
        <v>76</v>
      </c>
      <c r="R3" s="825" t="s">
        <v>77</v>
      </c>
      <c r="T3" s="791"/>
      <c r="U3" s="792"/>
      <c r="V3" s="793"/>
      <c r="W3" s="34" t="s">
        <v>64</v>
      </c>
      <c r="X3" s="35" t="s">
        <v>74</v>
      </c>
      <c r="Y3" s="826" t="s">
        <v>75</v>
      </c>
      <c r="Z3" s="822" t="s">
        <v>65</v>
      </c>
      <c r="AA3" s="823" t="s">
        <v>397</v>
      </c>
      <c r="AB3" s="824" t="s">
        <v>397</v>
      </c>
      <c r="AC3" s="36" t="s">
        <v>74</v>
      </c>
      <c r="AD3" s="825" t="s">
        <v>64</v>
      </c>
      <c r="AF3" s="815" t="s">
        <v>742</v>
      </c>
      <c r="AG3" s="684" t="s">
        <v>743</v>
      </c>
      <c r="AH3" s="684" t="s">
        <v>744</v>
      </c>
      <c r="AI3" s="684" t="s">
        <v>745</v>
      </c>
      <c r="AJ3" s="817" t="s">
        <v>746</v>
      </c>
      <c r="AL3" s="815" t="s">
        <v>742</v>
      </c>
      <c r="AM3" s="684" t="s">
        <v>743</v>
      </c>
      <c r="AN3" s="684" t="s">
        <v>744</v>
      </c>
      <c r="AO3" s="684" t="s">
        <v>745</v>
      </c>
      <c r="AP3" s="817" t="s">
        <v>746</v>
      </c>
    </row>
    <row r="4" spans="1:42" ht="16" customHeight="1">
      <c r="A4" s="1052" t="s">
        <v>290</v>
      </c>
      <c r="B4" s="1053">
        <f>12.19*2.44</f>
        <v>29.743599999999997</v>
      </c>
      <c r="C4" s="1054">
        <f>7.17*1.66</f>
        <v>11.902199999999999</v>
      </c>
      <c r="D4" s="1018"/>
      <c r="E4" s="1018"/>
      <c r="F4" s="1004"/>
      <c r="G4" s="13"/>
      <c r="H4" s="1059" t="str">
        <f>A19</f>
        <v>Al-gra</v>
      </c>
      <c r="I4" s="572"/>
      <c r="J4" s="572"/>
      <c r="K4" s="848">
        <f>'Energy Contents Cell'!L4</f>
        <v>270</v>
      </c>
      <c r="L4" s="849">
        <f>'Energy Contents Cell'!M4</f>
        <v>249.58899688979645</v>
      </c>
      <c r="M4" s="850">
        <f>'Energy Contents Cell'!O4</f>
        <v>61.220172806355592</v>
      </c>
      <c r="N4" s="851">
        <f>'Energy Contents Cell'!Q4</f>
        <v>52.555193994147949</v>
      </c>
      <c r="O4" s="852">
        <f t="shared" ref="O4:O6" si="0">M19</f>
        <v>30.719394369113846</v>
      </c>
      <c r="P4" s="853">
        <f t="shared" ref="P4:P6" si="1">Q34</f>
        <v>21.258470991901859</v>
      </c>
      <c r="Q4" s="854">
        <f>'Energy Contents Cell'!N4</f>
        <v>109.37076540677818</v>
      </c>
      <c r="R4" s="855">
        <f>'Energy Contents Cell'!P4</f>
        <v>53.548122541616657</v>
      </c>
      <c r="T4" s="571" t="str">
        <f t="shared" ref="T4" si="2">A19</f>
        <v>Al-gra</v>
      </c>
      <c r="U4" s="572"/>
      <c r="V4" s="572"/>
      <c r="W4" s="848">
        <f>'Energy Contents Cell'!V4</f>
        <v>594.00000000000011</v>
      </c>
      <c r="X4" s="849">
        <f>'Energy Contents Cell'!W4</f>
        <v>556.89189897513006</v>
      </c>
      <c r="Y4" s="850">
        <f>'Energy Contents Cell'!Y4</f>
        <v>82.857392545092779</v>
      </c>
      <c r="Z4" s="851">
        <f>'Energy Contents Cell'!AA4</f>
        <v>67.120973895554044</v>
      </c>
      <c r="AA4" s="852">
        <f t="shared" ref="AA4:AA6" si="3">N19</f>
        <v>33.672132773054869</v>
      </c>
      <c r="AB4" s="853">
        <f t="shared" ref="AB4:AB6" si="4">R34</f>
        <v>9.8206995335274172</v>
      </c>
      <c r="AC4" s="854">
        <f>'Energy Contents Cell'!X4</f>
        <v>164.57652152944684</v>
      </c>
      <c r="AD4" s="855">
        <f>'Energy Contents Cell'!Z4</f>
        <v>70.941140313927519</v>
      </c>
      <c r="AF4" s="1061">
        <f>Y4/X4</f>
        <v>0.14878541544162965</v>
      </c>
      <c r="AG4" s="1062">
        <f>Z4/X4</f>
        <v>0.12052783317386982</v>
      </c>
      <c r="AH4" s="1062">
        <f>Z4/Y4</f>
        <v>0.81007827827825218</v>
      </c>
      <c r="AI4" s="1062">
        <f>AA4/Z4</f>
        <v>0.50166335228466108</v>
      </c>
      <c r="AJ4" s="1063">
        <f>AB4/Z4</f>
        <v>0.14631342430771732</v>
      </c>
      <c r="AK4" s="350" t="str">
        <f>A19</f>
        <v>Al-gra</v>
      </c>
      <c r="AL4" s="1061">
        <f>M4/L4</f>
        <v>0.24528394107608339</v>
      </c>
      <c r="AM4" s="1062">
        <f>N4/L4</f>
        <v>0.21056695066310627</v>
      </c>
      <c r="AN4" s="1062">
        <f>N4/M4</f>
        <v>0.85846203277446342</v>
      </c>
      <c r="AO4" s="1062">
        <f>O4/N4</f>
        <v>0.58451681050848125</v>
      </c>
      <c r="AP4" s="1063">
        <f>P4/N4</f>
        <v>0.40449800250511875</v>
      </c>
    </row>
    <row r="5" spans="1:42">
      <c r="A5" s="795" t="s">
        <v>291</v>
      </c>
      <c r="B5" s="858">
        <f>B4*2.59</f>
        <v>77.035923999999994</v>
      </c>
      <c r="C5" s="859">
        <f>7.17*1.66*2.52</f>
        <v>29.993543999999996</v>
      </c>
      <c r="D5" s="730">
        <v>3900</v>
      </c>
      <c r="E5" s="730"/>
      <c r="F5" s="758"/>
      <c r="G5" s="10"/>
      <c r="H5" s="794" t="str">
        <f t="shared" ref="H5:H6" si="5">A20</f>
        <v>Al-PPQ</v>
      </c>
      <c r="I5" s="556"/>
      <c r="J5" s="556"/>
      <c r="K5" s="856">
        <f>'Energy Contents Cell'!L5</f>
        <v>313.81394260761073</v>
      </c>
      <c r="L5" s="24">
        <f>'Energy Contents Cell'!M5</f>
        <v>217.97366914710932</v>
      </c>
      <c r="M5" s="26">
        <f>'Energy Contents Cell'!O5</f>
        <v>147.29448432509344</v>
      </c>
      <c r="N5" s="827">
        <f>'Energy Contents Cell'!Q5</f>
        <v>123.65522124049309</v>
      </c>
      <c r="O5" s="828">
        <f t="shared" si="0"/>
        <v>74.610856376737345</v>
      </c>
      <c r="P5" s="829">
        <f t="shared" si="1"/>
        <v>52.026247479670019</v>
      </c>
      <c r="Q5" s="25">
        <f>'Energy Contents Cell'!N5</f>
        <v>181.65421691255372</v>
      </c>
      <c r="R5" s="830">
        <f>'Energy Contents Cell'!P5</f>
        <v>125.65022816382346</v>
      </c>
      <c r="T5" s="569" t="str">
        <f t="shared" ref="T5:T6" si="6">A20</f>
        <v>Al-PPQ</v>
      </c>
      <c r="U5" s="556"/>
      <c r="V5" s="556"/>
      <c r="W5" s="856">
        <f>'Energy Contents Cell'!V5</f>
        <v>516.88108744514602</v>
      </c>
      <c r="X5" s="24">
        <f>'Energy Contents Cell'!W5</f>
        <v>361.13804004214961</v>
      </c>
      <c r="Y5" s="26">
        <f>'Energy Contents Cell'!Y5</f>
        <v>217.22446939188114</v>
      </c>
      <c r="Z5" s="827">
        <f>'Energy Contents Cell'!AA5</f>
        <v>184.65671873466661</v>
      </c>
      <c r="AA5" s="828">
        <f t="shared" si="3"/>
        <v>91.833092392288393</v>
      </c>
      <c r="AB5" s="829">
        <f t="shared" si="4"/>
        <v>26.78372687877431</v>
      </c>
      <c r="AC5" s="25">
        <f>'Energy Contents Cell'!X5</f>
        <v>283.01329690398273</v>
      </c>
      <c r="AD5" s="830">
        <f>'Energy Contents Cell'!Z5</f>
        <v>195.16639037523163</v>
      </c>
      <c r="AF5" s="1050">
        <f t="shared" ref="AF5:AF12" si="7">Y5/X5</f>
        <v>0.6014998291692788</v>
      </c>
      <c r="AG5" s="1051">
        <f t="shared" ref="AG5:AG12" si="8">Z5/X5</f>
        <v>0.51131893697245168</v>
      </c>
      <c r="AH5" s="1051">
        <f t="shared" ref="AH5:AH12" si="9">Z5/Y5</f>
        <v>0.85007328710072216</v>
      </c>
      <c r="AI5" s="1051">
        <f t="shared" ref="AI5:AI12" si="10">AA5/Z5</f>
        <v>0.49731790438799811</v>
      </c>
      <c r="AJ5" s="277">
        <f t="shared" ref="AJ5:AJ12" si="11">AB5/Z5</f>
        <v>0.14504604577784072</v>
      </c>
      <c r="AK5" s="350" t="str">
        <f t="shared" ref="AK5:AK12" si="12">A20</f>
        <v>Al-PPQ</v>
      </c>
      <c r="AL5" s="1050">
        <f t="shared" ref="AL5:AL12" si="13">M5/L5</f>
        <v>0.67574439106076223</v>
      </c>
      <c r="AM5" s="1051">
        <f t="shared" ref="AM5:AM12" si="14">N5/L5</f>
        <v>0.56729430542841763</v>
      </c>
      <c r="AN5" s="1051">
        <f t="shared" ref="AN5:AN12" si="15">N5/M5</f>
        <v>0.83951019487989675</v>
      </c>
      <c r="AO5" s="1051">
        <f t="shared" ref="AO5:AO12" si="16">O5/N5</f>
        <v>0.60337813177843147</v>
      </c>
      <c r="AP5" s="277">
        <f t="shared" ref="AP5:AP12" si="17">P5/N5</f>
        <v>0.42073635838219747</v>
      </c>
    </row>
    <row r="6" spans="1:42">
      <c r="A6" s="1052" t="str">
        <f>'Utility System Costs'!A31</f>
        <v xml:space="preserve">Battery Central Inverter </v>
      </c>
      <c r="B6" s="1008"/>
      <c r="C6" s="1019" t="s">
        <v>929</v>
      </c>
      <c r="D6" s="1019">
        <f>'Material Costs and GWP'!BF8</f>
        <v>0.55555555555555558</v>
      </c>
      <c r="E6" s="1009">
        <f>'Utility System Costs'!I31</f>
        <v>76.652322557375797</v>
      </c>
      <c r="F6" s="1055">
        <f>'Utility System Costs'!K31</f>
        <v>0</v>
      </c>
      <c r="G6" s="96"/>
      <c r="H6" s="1059" t="str">
        <f t="shared" si="5"/>
        <v>Al-PBQS</v>
      </c>
      <c r="I6" s="572"/>
      <c r="J6" s="572"/>
      <c r="K6" s="856">
        <f>'Energy Contents Cell'!L6</f>
        <v>583.63538141881861</v>
      </c>
      <c r="L6" s="24">
        <f>'Energy Contents Cell'!M6</f>
        <v>417.04459341299912</v>
      </c>
      <c r="M6" s="26">
        <f>'Energy Contents Cell'!O6</f>
        <v>231.26417825285239</v>
      </c>
      <c r="N6" s="827">
        <f>'Energy Contents Cell'!Q6</f>
        <v>196.88751700393024</v>
      </c>
      <c r="O6" s="828">
        <f t="shared" si="0"/>
        <v>111.65530267664217</v>
      </c>
      <c r="P6" s="829">
        <f t="shared" si="1"/>
        <v>77.358154221839456</v>
      </c>
      <c r="Q6" s="25">
        <f>'Energy Contents Cell'!N6</f>
        <v>312.4587305965884</v>
      </c>
      <c r="R6" s="830">
        <f>'Energy Contents Cell'!P6</f>
        <v>200.1627961681551</v>
      </c>
      <c r="T6" s="571" t="str">
        <f t="shared" si="6"/>
        <v>Al-PBQS</v>
      </c>
      <c r="U6" s="572"/>
      <c r="V6" s="572"/>
      <c r="W6" s="856">
        <f>'Energy Contents Cell'!V6</f>
        <v>979.78845746582851</v>
      </c>
      <c r="X6" s="24">
        <f>'Energy Contents Cell'!W6</f>
        <v>704.9393410653804</v>
      </c>
      <c r="Y6" s="26">
        <f>'Energy Contents Cell'!Y6</f>
        <v>330.7144222894326</v>
      </c>
      <c r="Z6" s="827">
        <f>'Energy Contents Cell'!AA6</f>
        <v>285.18151019500465</v>
      </c>
      <c r="AA6" s="828">
        <f t="shared" si="3"/>
        <v>140.6158175521488</v>
      </c>
      <c r="AB6" s="829">
        <f t="shared" si="4"/>
        <v>41.011530310489427</v>
      </c>
      <c r="AC6" s="25">
        <f>'Energy Contents Cell'!X6</f>
        <v>479.06645949650465</v>
      </c>
      <c r="AD6" s="830">
        <f>'Energy Contents Cell'!Z6</f>
        <v>301.41251468077462</v>
      </c>
      <c r="AF6" s="1064">
        <f t="shared" si="7"/>
        <v>0.46913883652687233</v>
      </c>
      <c r="AG6" s="1065">
        <f t="shared" si="8"/>
        <v>0.40454758811447178</v>
      </c>
      <c r="AH6" s="1065">
        <f t="shared" si="9"/>
        <v>0.86231954512531439</v>
      </c>
      <c r="AI6" s="1065">
        <f t="shared" si="10"/>
        <v>0.49307480508114609</v>
      </c>
      <c r="AJ6" s="1066">
        <f t="shared" si="11"/>
        <v>0.14380851788899673</v>
      </c>
      <c r="AK6" s="350" t="str">
        <f t="shared" si="12"/>
        <v>Al-PBQS</v>
      </c>
      <c r="AL6" s="1064">
        <f t="shared" si="13"/>
        <v>0.55453105472543929</v>
      </c>
      <c r="AM6" s="1065">
        <f t="shared" si="14"/>
        <v>0.47210183302616898</v>
      </c>
      <c r="AN6" s="1065">
        <f t="shared" si="15"/>
        <v>0.85135328130525922</v>
      </c>
      <c r="AO6" s="1065">
        <f t="shared" si="16"/>
        <v>0.56710198988599825</v>
      </c>
      <c r="AP6" s="1066">
        <f t="shared" si="17"/>
        <v>0.3929053268536839</v>
      </c>
    </row>
    <row r="7" spans="1:42">
      <c r="A7" s="171" t="str">
        <f>'Utility System Costs'!A32</f>
        <v>Structural BOS</v>
      </c>
      <c r="B7" s="732"/>
      <c r="C7" s="736" t="s">
        <v>340</v>
      </c>
      <c r="D7" s="860">
        <f>D5+2300</f>
        <v>6200</v>
      </c>
      <c r="E7" s="859">
        <f>'Utility System Costs'!I32</f>
        <v>7.8926139632261298</v>
      </c>
      <c r="F7" s="770">
        <f>'Utility System Costs'!K32</f>
        <v>6431.8033430215073</v>
      </c>
      <c r="G7" s="131"/>
      <c r="H7" s="794" t="str">
        <f t="shared" ref="H7:H12" si="18">A22</f>
        <v>Al-TiO2</v>
      </c>
      <c r="I7" s="556"/>
      <c r="J7" s="556"/>
      <c r="K7" s="856">
        <f>'Energy Contents Cell'!L7</f>
        <v>206.16787173844708</v>
      </c>
      <c r="L7" s="24">
        <f>'Energy Contents Cell'!M7</f>
        <v>66.707692307692312</v>
      </c>
      <c r="M7" s="26">
        <f>'Energy Contents Cell'!O7</f>
        <v>59.088633940368901</v>
      </c>
      <c r="N7" s="827">
        <f>'Energy Contents Cell'!Q7</f>
        <v>53.874234942674377</v>
      </c>
      <c r="O7" s="828">
        <f t="shared" ref="O7:O12" si="19">M22</f>
        <v>40.314903783218476</v>
      </c>
      <c r="P7" s="829">
        <f t="shared" ref="P7:P12" si="20">Q37</f>
        <v>30.173896834539896</v>
      </c>
      <c r="Q7" s="25">
        <f>'Energy Contents Cell'!N7</f>
        <v>59.982230344889089</v>
      </c>
      <c r="R7" s="830">
        <f>'Energy Contents Cell'!P7</f>
        <v>54.311487427787682</v>
      </c>
      <c r="T7" s="569" t="str">
        <f t="shared" ref="T7:T12" si="21">A22</f>
        <v>Al-TiO2</v>
      </c>
      <c r="U7" s="556"/>
      <c r="V7" s="556"/>
      <c r="W7" s="856">
        <f>'Energy Contents Cell'!V7</f>
        <v>842.08800971364985</v>
      </c>
      <c r="X7" s="24">
        <f>'Energy Contents Cell'!W7</f>
        <v>274.02931069609508</v>
      </c>
      <c r="Y7" s="26">
        <f>'Energy Contents Cell'!Y7</f>
        <v>190.11264622547904</v>
      </c>
      <c r="Z7" s="827">
        <f>'Energy Contents Cell'!AA7</f>
        <v>158.72103684516335</v>
      </c>
      <c r="AA7" s="828">
        <f t="shared" ref="AA7:AA12" si="22">N22</f>
        <v>78.811181161656336</v>
      </c>
      <c r="AB7" s="829">
        <f t="shared" ref="AB7:AB12" si="23">R37</f>
        <v>22.985800611073213</v>
      </c>
      <c r="AC7" s="25">
        <f>'Energy Contents Cell'!X7</f>
        <v>198.0223235289404</v>
      </c>
      <c r="AD7" s="830">
        <f>'Energy Contents Cell'!Z7</f>
        <v>167.75458835156476</v>
      </c>
      <c r="AF7" s="1050">
        <f t="shared" si="7"/>
        <v>0.69376755991010908</v>
      </c>
      <c r="AG7" s="1051">
        <f t="shared" si="8"/>
        <v>0.57921189686598418</v>
      </c>
      <c r="AH7" s="1051">
        <f t="shared" si="9"/>
        <v>0.834878899412697</v>
      </c>
      <c r="AI7" s="1051">
        <f t="shared" si="10"/>
        <v>0.4965389763584947</v>
      </c>
      <c r="AJ7" s="277">
        <f t="shared" si="11"/>
        <v>0.14481886628233459</v>
      </c>
      <c r="AK7" s="350" t="str">
        <f t="shared" si="12"/>
        <v>Al-TiO2</v>
      </c>
      <c r="AL7" s="1050">
        <f t="shared" si="13"/>
        <v>0.88578441100645255</v>
      </c>
      <c r="AM7" s="1051">
        <f t="shared" si="14"/>
        <v>0.80761652935282158</v>
      </c>
      <c r="AN7" s="1051">
        <f t="shared" si="15"/>
        <v>0.91175292691726817</v>
      </c>
      <c r="AO7" s="1051">
        <f t="shared" si="16"/>
        <v>0.74831510509831101</v>
      </c>
      <c r="AP7" s="277">
        <f t="shared" si="17"/>
        <v>0.56008028451163805</v>
      </c>
    </row>
    <row r="8" spans="1:42">
      <c r="A8" s="1052" t="str">
        <f>'Utility System Costs'!A33</f>
        <v>Electrical BOS</v>
      </c>
      <c r="B8" s="1008"/>
      <c r="C8" s="1013" t="s">
        <v>1460</v>
      </c>
      <c r="D8" s="1023">
        <v>18</v>
      </c>
      <c r="E8" s="1009">
        <f>'Utility System Costs'!I33</f>
        <v>51.312395956639619</v>
      </c>
      <c r="F8" s="1055">
        <f>'Utility System Costs'!K33</f>
        <v>127325.65023443963</v>
      </c>
      <c r="G8" s="131"/>
      <c r="H8" s="1059" t="str">
        <f t="shared" si="18"/>
        <v>Al-V2C</v>
      </c>
      <c r="I8" s="572"/>
      <c r="J8" s="572"/>
      <c r="K8" s="856">
        <f>'Energy Contents Cell'!L8</f>
        <v>276.78737233054784</v>
      </c>
      <c r="L8" s="24">
        <f>'Energy Contents Cell'!M8</f>
        <v>111.72281836831307</v>
      </c>
      <c r="M8" s="26">
        <f>'Energy Contents Cell'!O8</f>
        <v>98.176178833193333</v>
      </c>
      <c r="N8" s="827">
        <f>'Energy Contents Cell'!Q8</f>
        <v>89.244624190709118</v>
      </c>
      <c r="O8" s="828">
        <f t="shared" si="19"/>
        <v>65.039395369658337</v>
      </c>
      <c r="P8" s="829">
        <f t="shared" si="20"/>
        <v>48.073729237912062</v>
      </c>
      <c r="Q8" s="25">
        <f>'Energy Contents Cell'!N8</f>
        <v>99.753836299897529</v>
      </c>
      <c r="R8" s="830">
        <f>'Energy Contents Cell'!P8</f>
        <v>90.012204868614575</v>
      </c>
      <c r="T8" s="571" t="str">
        <f t="shared" si="21"/>
        <v>Al-V2C</v>
      </c>
      <c r="U8" s="572"/>
      <c r="V8" s="572"/>
      <c r="W8" s="856">
        <f>'Energy Contents Cell'!V8</f>
        <v>1043.582898367632</v>
      </c>
      <c r="X8" s="24">
        <f>'Energy Contents Cell'!W8</f>
        <v>424.55300855927419</v>
      </c>
      <c r="Y8" s="26">
        <f>'Energy Contents Cell'!Y8</f>
        <v>295.45374948692358</v>
      </c>
      <c r="Z8" s="827">
        <f>'Energy Contents Cell'!AA8</f>
        <v>248.19213824733237</v>
      </c>
      <c r="AA8" s="828">
        <f t="shared" si="22"/>
        <v>121.08626977979563</v>
      </c>
      <c r="AB8" s="829">
        <f t="shared" si="23"/>
        <v>35.315608938635386</v>
      </c>
      <c r="AC8" s="25">
        <f>'Energy Contents Cell'!X8</f>
        <v>307.65631299835911</v>
      </c>
      <c r="AD8" s="830">
        <f>'Energy Contents Cell'!Z8</f>
        <v>262.31790575052958</v>
      </c>
      <c r="AF8" s="1064">
        <f t="shared" si="7"/>
        <v>0.69591722006528578</v>
      </c>
      <c r="AG8" s="1065">
        <f t="shared" si="8"/>
        <v>0.5845963477907633</v>
      </c>
      <c r="AH8" s="1065">
        <f t="shared" si="9"/>
        <v>0.84003719254988518</v>
      </c>
      <c r="AI8" s="1065">
        <f t="shared" si="10"/>
        <v>0.48787310764504882</v>
      </c>
      <c r="AJ8" s="1066">
        <f t="shared" si="11"/>
        <v>0.14229140853543926</v>
      </c>
      <c r="AK8" s="350" t="str">
        <f t="shared" si="12"/>
        <v>Al-V2C</v>
      </c>
      <c r="AL8" s="1064">
        <f t="shared" si="13"/>
        <v>0.87874778193957692</v>
      </c>
      <c r="AM8" s="1065">
        <f t="shared" si="14"/>
        <v>0.79880391037486354</v>
      </c>
      <c r="AN8" s="1065">
        <f t="shared" si="15"/>
        <v>0.90902523658351575</v>
      </c>
      <c r="AO8" s="1065">
        <f t="shared" si="16"/>
        <v>0.7287766177453332</v>
      </c>
      <c r="AP8" s="1066">
        <f t="shared" si="17"/>
        <v>0.53867366997010468</v>
      </c>
    </row>
    <row r="9" spans="1:42">
      <c r="A9" s="171" t="str">
        <f>'Utility System Costs'!A34</f>
        <v>Installation Labor &amp; Equipment</v>
      </c>
      <c r="B9" s="732"/>
      <c r="C9" s="730" t="s">
        <v>927</v>
      </c>
      <c r="D9" s="860">
        <v>120</v>
      </c>
      <c r="E9" s="859">
        <f>'Utility System Costs'!I34</f>
        <v>33.452449969565272</v>
      </c>
      <c r="F9" s="770">
        <f>'Utility System Costs'!K34</f>
        <v>43736.796902074624</v>
      </c>
      <c r="G9" s="96"/>
      <c r="H9" s="794" t="str">
        <f t="shared" si="18"/>
        <v>Al-MnO2</v>
      </c>
      <c r="I9" s="556"/>
      <c r="J9" s="556"/>
      <c r="K9" s="856">
        <f>'Energy Contents Cell'!L9</f>
        <v>600.00958466453665</v>
      </c>
      <c r="L9" s="24">
        <f>'Energy Contents Cell'!M9</f>
        <v>324.03124541587209</v>
      </c>
      <c r="M9" s="26">
        <f>'Energy Contents Cell'!O9</f>
        <v>294.14144744243481</v>
      </c>
      <c r="N9" s="827">
        <f>'Energy Contents Cell'!Q9</f>
        <v>271.43530953310426</v>
      </c>
      <c r="O9" s="828">
        <f t="shared" si="19"/>
        <v>204.0443771593076</v>
      </c>
      <c r="P9" s="829">
        <f t="shared" si="20"/>
        <v>146.73153531149478</v>
      </c>
      <c r="Q9" s="25">
        <f>'Energy Contents Cell'!N9</f>
        <v>297.72358908255711</v>
      </c>
      <c r="R9" s="830">
        <f>'Energy Contents Cell'!P9</f>
        <v>273.398047816043</v>
      </c>
      <c r="T9" s="569" t="str">
        <f t="shared" si="21"/>
        <v>Al-MnO2</v>
      </c>
      <c r="U9" s="556"/>
      <c r="V9" s="556"/>
      <c r="W9" s="856">
        <f>'Energy Contents Cell'!V9</f>
        <v>2704.8364119368798</v>
      </c>
      <c r="X9" s="24">
        <f>'Energy Contents Cell'!W9</f>
        <v>1470.6972529727107</v>
      </c>
      <c r="Y9" s="26">
        <f>'Energy Contents Cell'!Y9</f>
        <v>1062.3772460890279</v>
      </c>
      <c r="Z9" s="827">
        <f>'Energy Contents Cell'!AA9</f>
        <v>895.29923881435298</v>
      </c>
      <c r="AA9" s="828">
        <f t="shared" si="22"/>
        <v>426.48357965507751</v>
      </c>
      <c r="AB9" s="829">
        <f t="shared" si="23"/>
        <v>124.38674793796666</v>
      </c>
      <c r="AC9" s="25">
        <f>'Energy Contents Cell'!X9</f>
        <v>1102.2952420921349</v>
      </c>
      <c r="AD9" s="830">
        <f>'Energy Contents Cell'!Z9</f>
        <v>946.25487738771506</v>
      </c>
      <c r="AF9" s="1050">
        <f t="shared" si="7"/>
        <v>0.72236297711282982</v>
      </c>
      <c r="AG9" s="1051">
        <f t="shared" si="8"/>
        <v>0.60875835390641453</v>
      </c>
      <c r="AH9" s="1051">
        <f t="shared" si="9"/>
        <v>0.84273194113508554</v>
      </c>
      <c r="AI9" s="1051">
        <f t="shared" si="10"/>
        <v>0.47635869792525543</v>
      </c>
      <c r="AJ9" s="277">
        <f t="shared" si="11"/>
        <v>0.13893315502277467</v>
      </c>
      <c r="AK9" s="350" t="str">
        <f t="shared" si="12"/>
        <v>Al-MnO2</v>
      </c>
      <c r="AL9" s="1050">
        <f t="shared" si="13"/>
        <v>0.90775643276290918</v>
      </c>
      <c r="AM9" s="1051">
        <f t="shared" si="14"/>
        <v>0.83768251788414871</v>
      </c>
      <c r="AN9" s="1051">
        <f t="shared" si="15"/>
        <v>0.92280537779778804</v>
      </c>
      <c r="AO9" s="1051">
        <f t="shared" si="16"/>
        <v>0.75172378092697012</v>
      </c>
      <c r="AP9" s="277">
        <f t="shared" si="17"/>
        <v>0.54057644734536425</v>
      </c>
    </row>
    <row r="10" spans="1:42">
      <c r="A10" s="1052" t="str">
        <f>'Utility System Costs'!A47</f>
        <v>Total Overhead</v>
      </c>
      <c r="B10" s="1008"/>
      <c r="C10" s="1013" t="s">
        <v>928</v>
      </c>
      <c r="D10" s="1019">
        <f>'Material Costs and GWP'!BF10</f>
        <v>5.367857142857143E-2</v>
      </c>
      <c r="E10" s="1009">
        <f>'Utility System Costs'!I47</f>
        <v>80.639261621843559</v>
      </c>
      <c r="F10" s="1055">
        <f>'Utility System Costs'!K47</f>
        <v>299875.30935189279</v>
      </c>
      <c r="G10" s="466"/>
      <c r="H10" s="1059" t="str">
        <f t="shared" si="18"/>
        <v>LIB-NMC</v>
      </c>
      <c r="I10" s="572"/>
      <c r="J10" s="572"/>
      <c r="K10" s="856">
        <f>'Energy Contents Cell'!L10</f>
        <v>621.65734785789266</v>
      </c>
      <c r="L10" s="24">
        <f>'Energy Contents Cell'!M10</f>
        <v>466.90355329949239</v>
      </c>
      <c r="M10" s="26">
        <f>'Energy Contents Cell'!O10</f>
        <v>400.89535573609299</v>
      </c>
      <c r="N10" s="827">
        <f>'Energy Contents Cell'!Q10</f>
        <v>356.7383808838207</v>
      </c>
      <c r="O10" s="828">
        <f t="shared" si="19"/>
        <v>238.89177876092174</v>
      </c>
      <c r="P10" s="829">
        <f t="shared" si="20"/>
        <v>166.91953227196285</v>
      </c>
      <c r="Q10" s="25">
        <f>'Energy Contents Cell'!N10</f>
        <v>408.42680139297107</v>
      </c>
      <c r="R10" s="830">
        <f>'Energy Contents Cell'!P10</f>
        <v>360.23512700547917</v>
      </c>
      <c r="T10" s="571" t="str">
        <f t="shared" si="21"/>
        <v>LIB-NMC</v>
      </c>
      <c r="U10" s="572"/>
      <c r="V10" s="572"/>
      <c r="W10" s="856">
        <f>'Energy Contents Cell'!V10</f>
        <v>1956.7879318273235</v>
      </c>
      <c r="X10" s="24">
        <f>'Energy Contents Cell'!W10</f>
        <v>1512.6684350132625</v>
      </c>
      <c r="Y10" s="26">
        <f>'Energy Contents Cell'!Y10</f>
        <v>1047.1691579696123</v>
      </c>
      <c r="Z10" s="827">
        <f>'Energy Contents Cell'!AA10</f>
        <v>865.20461395008931</v>
      </c>
      <c r="AA10" s="828">
        <f t="shared" si="22"/>
        <v>415.80876086304261</v>
      </c>
      <c r="AB10" s="829">
        <f t="shared" si="23"/>
        <v>121.27336665505256</v>
      </c>
      <c r="AC10" s="25">
        <f>'Energy Contents Cell'!X10</f>
        <v>1090.9593924446456</v>
      </c>
      <c r="AD10" s="830">
        <f>'Energy Contents Cell'!Z10</f>
        <v>914.44742762524731</v>
      </c>
      <c r="AF10" s="1064">
        <f t="shared" si="7"/>
        <v>0.69226615280065074</v>
      </c>
      <c r="AG10" s="1065">
        <f t="shared" si="8"/>
        <v>0.57197241240940122</v>
      </c>
      <c r="AH10" s="1065">
        <f t="shared" si="9"/>
        <v>0.82623194864491656</v>
      </c>
      <c r="AI10" s="1065">
        <f t="shared" si="10"/>
        <v>0.48059008719875967</v>
      </c>
      <c r="AJ10" s="1066">
        <f t="shared" si="11"/>
        <v>0.14016726760318501</v>
      </c>
      <c r="AK10" s="350" t="str">
        <f t="shared" si="12"/>
        <v>LIB-NMC</v>
      </c>
      <c r="AL10" s="1064">
        <f t="shared" si="13"/>
        <v>0.85862562600576564</v>
      </c>
      <c r="AM10" s="1065">
        <f t="shared" si="14"/>
        <v>0.76405154418474319</v>
      </c>
      <c r="AN10" s="1065">
        <f t="shared" si="15"/>
        <v>0.88985411225032851</v>
      </c>
      <c r="AO10" s="1065">
        <f t="shared" si="16"/>
        <v>0.66965538770755884</v>
      </c>
      <c r="AP10" s="1066">
        <f t="shared" si="17"/>
        <v>0.46790460801671824</v>
      </c>
    </row>
    <row r="11" spans="1:42">
      <c r="A11" s="171" t="s">
        <v>289</v>
      </c>
      <c r="B11" s="732"/>
      <c r="C11" s="730" t="s">
        <v>932</v>
      </c>
      <c r="D11" s="736">
        <f>'Material Costs and GWP'!BF12</f>
        <v>0.74404761904761907</v>
      </c>
      <c r="E11" s="859"/>
      <c r="F11" s="770">
        <v>5000</v>
      </c>
      <c r="G11" s="13" t="s">
        <v>398</v>
      </c>
      <c r="H11" s="794" t="str">
        <f t="shared" si="18"/>
        <v>LIB-LFP</v>
      </c>
      <c r="I11" s="556"/>
      <c r="J11" s="556"/>
      <c r="K11" s="856">
        <f>'Energy Contents Cell'!L11</f>
        <v>455.21601991625647</v>
      </c>
      <c r="L11" s="24">
        <f>'Energy Contents Cell'!M11</f>
        <v>347.10650329877473</v>
      </c>
      <c r="M11" s="26">
        <f>'Energy Contents Cell'!O11</f>
        <v>295.08784208134597</v>
      </c>
      <c r="N11" s="827">
        <f>'Energy Contents Cell'!Q11</f>
        <v>261.45688979578239</v>
      </c>
      <c r="O11" s="828">
        <f t="shared" si="19"/>
        <v>174.30577492301634</v>
      </c>
      <c r="P11" s="829">
        <f t="shared" si="20"/>
        <v>123.64050295620687</v>
      </c>
      <c r="Q11" s="25">
        <f>'Energy Contents Cell'!N11</f>
        <v>300.97105504582612</v>
      </c>
      <c r="R11" s="830">
        <f>'Energy Contents Cell'!P11</f>
        <v>264.11813287450826</v>
      </c>
      <c r="T11" s="569" t="str">
        <f t="shared" si="21"/>
        <v>LIB-LFP</v>
      </c>
      <c r="U11" s="556"/>
      <c r="V11" s="556"/>
      <c r="W11" s="856">
        <f>'Energy Contents Cell'!V11</f>
        <v>1350.3190644376975</v>
      </c>
      <c r="X11" s="24">
        <f>'Energy Contents Cell'!W11</f>
        <v>1045.4769589733619</v>
      </c>
      <c r="Y11" s="26">
        <f>'Energy Contents Cell'!Y11</f>
        <v>724.78528171062021</v>
      </c>
      <c r="Z11" s="827">
        <f>'Energy Contents Cell'!AA11</f>
        <v>611.80429814928846</v>
      </c>
      <c r="AA11" s="828">
        <f t="shared" si="22"/>
        <v>296.50652321896729</v>
      </c>
      <c r="AB11" s="829">
        <f t="shared" si="23"/>
        <v>86.478082451448145</v>
      </c>
      <c r="AC11" s="25">
        <f>'Energy Contents Cell'!X11</f>
        <v>754.99239460029128</v>
      </c>
      <c r="AD11" s="830">
        <f>'Energy Contents Cell'!Z11</f>
        <v>646.62492274337342</v>
      </c>
      <c r="AF11" s="1050">
        <f t="shared" si="7"/>
        <v>0.69325801538691523</v>
      </c>
      <c r="AG11" s="1051">
        <f t="shared" si="8"/>
        <v>0.58519156534073058</v>
      </c>
      <c r="AH11" s="1051">
        <f t="shared" si="9"/>
        <v>0.84411799409795296</v>
      </c>
      <c r="AI11" s="1051">
        <f t="shared" si="10"/>
        <v>0.48464275932009832</v>
      </c>
      <c r="AJ11" s="277">
        <f t="shared" si="11"/>
        <v>0.14134925614783167</v>
      </c>
      <c r="AK11" s="350" t="str">
        <f t="shared" si="12"/>
        <v>LIB-LFP</v>
      </c>
      <c r="AL11" s="1050">
        <f t="shared" si="13"/>
        <v>0.85013631054715999</v>
      </c>
      <c r="AM11" s="1051">
        <f t="shared" si="14"/>
        <v>0.75324687757501119</v>
      </c>
      <c r="AN11" s="1051">
        <f t="shared" si="15"/>
        <v>0.88603070852274346</v>
      </c>
      <c r="AO11" s="1051">
        <f t="shared" si="16"/>
        <v>0.66667118643980794</v>
      </c>
      <c r="AP11" s="277">
        <f t="shared" si="17"/>
        <v>0.47289059031023989</v>
      </c>
    </row>
    <row r="12" spans="1:42" ht="17" thickBot="1">
      <c r="A12" s="1056" t="s">
        <v>1461</v>
      </c>
      <c r="B12" s="1008">
        <f>B4*C12/C4</f>
        <v>42.483003142276218</v>
      </c>
      <c r="C12" s="1013">
        <v>17</v>
      </c>
      <c r="D12" s="1013"/>
      <c r="E12" s="1019" t="s">
        <v>315</v>
      </c>
      <c r="F12" s="1057">
        <f>1000*F8/F11</f>
        <v>25465.130046887924</v>
      </c>
      <c r="G12" s="13" t="s">
        <v>255</v>
      </c>
      <c r="H12" s="1060" t="str">
        <f t="shared" si="18"/>
        <v>Li-DIB</v>
      </c>
      <c r="I12" s="977"/>
      <c r="J12" s="977"/>
      <c r="K12" s="857">
        <f>'Energy Contents Cell'!L12</f>
        <v>457.71177987092477</v>
      </c>
      <c r="L12" s="30">
        <f>'Energy Contents Cell'!M12</f>
        <v>453.6</v>
      </c>
      <c r="M12" s="831">
        <f>'Energy Contents Cell'!O12</f>
        <v>175.83831522918263</v>
      </c>
      <c r="N12" s="832">
        <f>'Energy Contents Cell'!Q12</f>
        <v>149.76363593685821</v>
      </c>
      <c r="O12" s="833">
        <f t="shared" si="19"/>
        <v>79.07979374545107</v>
      </c>
      <c r="P12" s="834">
        <f t="shared" si="20"/>
        <v>53.850440091111608</v>
      </c>
      <c r="Q12" s="835">
        <f>'Energy Contents Cell'!N12</f>
        <v>195.82373995264248</v>
      </c>
      <c r="R12" s="836">
        <f>'Energy Contents Cell'!P12</f>
        <v>152.90354899955108</v>
      </c>
      <c r="T12" s="976" t="str">
        <f t="shared" si="21"/>
        <v>Li-DIB</v>
      </c>
      <c r="U12" s="977"/>
      <c r="V12" s="977"/>
      <c r="W12" s="857">
        <f>'Energy Contents Cell'!V12</f>
        <v>1006.9659157160347</v>
      </c>
      <c r="X12" s="30">
        <f>'Energy Contents Cell'!W12</f>
        <v>997.92000000000007</v>
      </c>
      <c r="Y12" s="831">
        <f>'Energy Contents Cell'!Y12</f>
        <v>286.56959701700441</v>
      </c>
      <c r="Z12" s="832">
        <f>'Energy Contents Cell'!AA12</f>
        <v>172.4432488585897</v>
      </c>
      <c r="AA12" s="833">
        <f t="shared" si="22"/>
        <v>85.161432409285098</v>
      </c>
      <c r="AB12" s="834">
        <f t="shared" si="23"/>
        <v>24.837893256516647</v>
      </c>
      <c r="AC12" s="835">
        <f>'Energy Contents Cell'!X12</f>
        <v>325.2058452596637</v>
      </c>
      <c r="AD12" s="836">
        <f>'Energy Contents Cell'!Z12</f>
        <v>182.25779519383647</v>
      </c>
      <c r="AF12" s="1067">
        <f t="shared" si="7"/>
        <v>0.28716690417769397</v>
      </c>
      <c r="AG12" s="1068">
        <f t="shared" si="8"/>
        <v>0.17280267842972352</v>
      </c>
      <c r="AH12" s="1068">
        <f t="shared" si="9"/>
        <v>0.60174997855183254</v>
      </c>
      <c r="AI12" s="1068">
        <f t="shared" si="10"/>
        <v>0.49385193663986726</v>
      </c>
      <c r="AJ12" s="1069">
        <f t="shared" si="11"/>
        <v>0.14403517343195443</v>
      </c>
      <c r="AK12" s="350" t="str">
        <f t="shared" si="12"/>
        <v>Li-DIB</v>
      </c>
      <c r="AL12" s="1067">
        <f t="shared" si="13"/>
        <v>0.38765060676627561</v>
      </c>
      <c r="AM12" s="1068">
        <f t="shared" si="14"/>
        <v>0.33016674589254452</v>
      </c>
      <c r="AN12" s="1068">
        <f t="shared" si="15"/>
        <v>0.8517121865144156</v>
      </c>
      <c r="AO12" s="1068">
        <f t="shared" si="16"/>
        <v>0.52803067480808141</v>
      </c>
      <c r="AP12" s="1069">
        <f t="shared" si="17"/>
        <v>0.35956952937370906</v>
      </c>
    </row>
    <row r="13" spans="1:42" s="12" customFormat="1">
      <c r="A13" s="171" t="s">
        <v>1462</v>
      </c>
      <c r="B13" s="732"/>
      <c r="C13" s="859"/>
      <c r="D13" s="860">
        <v>54.5</v>
      </c>
      <c r="E13" s="736">
        <v>10.35</v>
      </c>
      <c r="F13" s="769" t="s">
        <v>888</v>
      </c>
      <c r="G13" s="13"/>
      <c r="H13" s="802"/>
      <c r="I13" s="482"/>
      <c r="J13" s="482"/>
      <c r="K13" s="83"/>
      <c r="L13" s="84"/>
      <c r="M13" s="85"/>
      <c r="N13" s="86"/>
      <c r="O13" s="86"/>
      <c r="P13" s="86"/>
      <c r="Q13" s="84"/>
      <c r="R13" s="83"/>
      <c r="S13" s="131"/>
      <c r="T13" s="482"/>
      <c r="U13" s="482"/>
      <c r="V13" s="482"/>
      <c r="W13" s="83"/>
      <c r="X13" s="84"/>
      <c r="Y13" s="85"/>
      <c r="Z13" s="86"/>
      <c r="AA13" s="86"/>
      <c r="AB13" s="86"/>
      <c r="AC13" s="84"/>
      <c r="AD13" s="83"/>
    </row>
    <row r="14" spans="1:42" s="12" customFormat="1">
      <c r="A14" s="1058" t="s">
        <v>1463</v>
      </c>
      <c r="B14" s="1008">
        <f>'Material Costs and GWP'!BK22</f>
        <v>0.34312540387511892</v>
      </c>
      <c r="C14" s="1013">
        <f>3/4*3/4*3/4</f>
        <v>0.421875</v>
      </c>
      <c r="D14" s="1019"/>
      <c r="E14" s="1013" t="s">
        <v>640</v>
      </c>
      <c r="F14" s="1010">
        <v>0.03</v>
      </c>
      <c r="G14" s="349" t="s">
        <v>310</v>
      </c>
      <c r="H14" s="802"/>
      <c r="I14" s="482"/>
      <c r="J14" s="482"/>
      <c r="K14" s="83"/>
      <c r="L14" s="84"/>
      <c r="M14" s="85"/>
      <c r="N14" s="86"/>
      <c r="O14" s="86"/>
      <c r="P14" s="86"/>
      <c r="Q14" s="84"/>
      <c r="R14" s="83"/>
      <c r="S14" s="131"/>
      <c r="T14" s="482"/>
      <c r="U14" s="482"/>
      <c r="V14" s="482"/>
      <c r="W14" s="83"/>
      <c r="X14" s="84"/>
      <c r="Y14" s="85"/>
      <c r="Z14" s="86"/>
      <c r="AA14" s="86"/>
      <c r="AB14" s="86"/>
      <c r="AC14" s="84"/>
      <c r="AD14" s="83"/>
    </row>
    <row r="15" spans="1:42" s="12" customFormat="1" ht="17" thickBot="1">
      <c r="A15" s="837" t="s">
        <v>1464</v>
      </c>
      <c r="B15" s="861">
        <v>2400</v>
      </c>
      <c r="C15" s="741">
        <f>C12*K25/C4</f>
        <v>2472.6706882666999</v>
      </c>
      <c r="D15" s="742"/>
      <c r="E15" s="742"/>
      <c r="F15" s="862"/>
      <c r="G15" s="13"/>
      <c r="H15" s="803"/>
      <c r="J15" s="133"/>
      <c r="K15" s="133"/>
      <c r="L15" s="133"/>
      <c r="M15" s="133"/>
      <c r="N15" s="173"/>
      <c r="Q15" s="86"/>
      <c r="S15" s="109"/>
      <c r="T15" s="109"/>
      <c r="U15" s="109"/>
      <c r="V15" s="83"/>
      <c r="W15" s="84"/>
      <c r="X15" s="84"/>
      <c r="Y15" s="85"/>
      <c r="Z15" s="83"/>
      <c r="AA15" s="86"/>
    </row>
    <row r="16" spans="1:42" ht="16.5" customHeight="1" thickBo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31"/>
      <c r="T16" s="131"/>
      <c r="U16" s="131"/>
      <c r="V16" s="131"/>
      <c r="W16" s="11"/>
      <c r="X16" s="11"/>
      <c r="Y16" s="11"/>
    </row>
    <row r="17" spans="1:40" ht="82.5" customHeight="1">
      <c r="A17" s="516" t="s">
        <v>1458</v>
      </c>
      <c r="B17" s="461" t="s">
        <v>287</v>
      </c>
      <c r="C17" s="477" t="s">
        <v>1055</v>
      </c>
      <c r="D17" s="477" t="s">
        <v>344</v>
      </c>
      <c r="E17" s="477" t="s">
        <v>345</v>
      </c>
      <c r="F17" s="477" t="s">
        <v>417</v>
      </c>
      <c r="G17" s="461" t="s">
        <v>341</v>
      </c>
      <c r="H17" s="461" t="s">
        <v>342</v>
      </c>
      <c r="I17" s="461" t="s">
        <v>343</v>
      </c>
      <c r="J17" s="461" t="s">
        <v>298</v>
      </c>
      <c r="K17" s="461" t="s">
        <v>1465</v>
      </c>
      <c r="L17" s="461" t="s">
        <v>344</v>
      </c>
      <c r="M17" s="480" t="s">
        <v>1466</v>
      </c>
      <c r="N17" s="164" t="s">
        <v>1467</v>
      </c>
      <c r="O17" s="196" t="s">
        <v>1468</v>
      </c>
      <c r="P17" s="461" t="s">
        <v>1469</v>
      </c>
      <c r="Q17" s="196" t="s">
        <v>1470</v>
      </c>
      <c r="R17" s="838" t="s">
        <v>1471</v>
      </c>
      <c r="S17" s="196" t="s">
        <v>304</v>
      </c>
      <c r="T17" s="461" t="s">
        <v>1469</v>
      </c>
      <c r="U17" s="196" t="s">
        <v>1470</v>
      </c>
      <c r="V17" s="838" t="s">
        <v>1471</v>
      </c>
      <c r="W17" s="461" t="s">
        <v>1472</v>
      </c>
      <c r="X17" s="461" t="s">
        <v>1473</v>
      </c>
      <c r="Y17" s="461" t="s">
        <v>1474</v>
      </c>
      <c r="Z17" s="356" t="s">
        <v>1475</v>
      </c>
    </row>
    <row r="18" spans="1:40" ht="18" customHeight="1">
      <c r="A18" s="518"/>
      <c r="B18" s="462" t="str">
        <f>'Energy Contents Cell'!Q3</f>
        <v>[Wh kg-1]</v>
      </c>
      <c r="C18" s="462" t="str">
        <f>'Energy Contents Cell'!AA3</f>
        <v xml:space="preserve">   [Wh L-1]</v>
      </c>
      <c r="D18" s="462" t="s">
        <v>346</v>
      </c>
      <c r="E18" s="462" t="s">
        <v>346</v>
      </c>
      <c r="F18" s="462" t="s">
        <v>79</v>
      </c>
      <c r="G18" s="462" t="s">
        <v>347</v>
      </c>
      <c r="H18" s="462" t="s">
        <v>347</v>
      </c>
      <c r="I18" s="462" t="s">
        <v>284</v>
      </c>
      <c r="J18" s="462" t="s">
        <v>284</v>
      </c>
      <c r="K18" s="462" t="s">
        <v>284</v>
      </c>
      <c r="L18" s="462" t="s">
        <v>346</v>
      </c>
      <c r="M18" s="481" t="s">
        <v>217</v>
      </c>
      <c r="N18" s="163" t="s">
        <v>297</v>
      </c>
      <c r="O18" s="481" t="s">
        <v>249</v>
      </c>
      <c r="P18" s="481" t="s">
        <v>249</v>
      </c>
      <c r="Q18" s="481" t="s">
        <v>249</v>
      </c>
      <c r="R18" s="481" t="s">
        <v>249</v>
      </c>
      <c r="S18" s="481" t="s">
        <v>220</v>
      </c>
      <c r="T18" s="481" t="s">
        <v>220</v>
      </c>
      <c r="U18" s="481" t="s">
        <v>220</v>
      </c>
      <c r="V18" s="481" t="s">
        <v>220</v>
      </c>
      <c r="W18" s="131"/>
      <c r="X18" s="804"/>
      <c r="Y18" s="804"/>
      <c r="Z18" s="357" t="s">
        <v>220</v>
      </c>
    </row>
    <row r="19" spans="1:40" ht="18" customHeight="1">
      <c r="A19" s="1070" t="str">
        <f>'Energy Contents Cell'!A19</f>
        <v>Al-gra</v>
      </c>
      <c r="B19" s="1071">
        <f>'Energy Contents Cell'!Q4</f>
        <v>52.555193994147949</v>
      </c>
      <c r="C19" s="1072">
        <f>'Energy Contents Cell'!AA4*'Energy Contents Cell'!Z$43*'Energy Contents Cell'!AA$43/((0.3+'Energy Contents Cell'!Z$43)*(7.3+'Energy Contents Cell'!AA$43))</f>
        <v>52.461557162657819</v>
      </c>
      <c r="D19" s="1073">
        <f>'BatPac Summary'!F36</f>
        <v>411.17498959728317</v>
      </c>
      <c r="E19" s="1073">
        <f>'BatPac Summary'!F37</f>
        <v>349.49874115769069</v>
      </c>
      <c r="F19" s="1073">
        <f>'BatPac Summary'!F34</f>
        <v>984</v>
      </c>
      <c r="G19" s="1073">
        <f>'BatPac Summary'!F45</f>
        <v>12409.306662813773</v>
      </c>
      <c r="H19" s="1073">
        <f>'BatPac Summary'!F95</f>
        <v>7964.8383344069744</v>
      </c>
      <c r="I19" s="1073">
        <f>'BatPac Summary'!F46-'BatPac Summary'!F97</f>
        <v>5651.4377706382757</v>
      </c>
      <c r="J19" s="1073">
        <f t="shared" ref="J19:J21" si="24">H19*C19/B19</f>
        <v>7950.6474967697268</v>
      </c>
      <c r="K19" s="1073">
        <f t="shared" ref="K19:K21" si="25">I19+J19</f>
        <v>13602.085267408002</v>
      </c>
      <c r="L19" s="1073">
        <f t="shared" ref="L19" si="26">H19*C19/1000</f>
        <v>417.84782157181979</v>
      </c>
      <c r="M19" s="1073">
        <f t="shared" ref="M19:M21" si="27">1000*L19/K19</f>
        <v>30.719394369113846</v>
      </c>
      <c r="N19" s="1073">
        <f t="shared" ref="N19:N21" si="28">1000*L19/G19</f>
        <v>33.672132773054869</v>
      </c>
      <c r="O19" s="1073">
        <f t="shared" ref="O19:O21" si="29">L19*S19</f>
        <v>43428.337763579177</v>
      </c>
      <c r="P19" s="1073">
        <f>'BatPac Manufacturing Costs'!$F$537+'BatPac Manufacturing Costs'!$F$538</f>
        <v>21695.277803592118</v>
      </c>
      <c r="Q19" s="1073">
        <f>SUM('BatPac Manufacturing Costs'!$F$539:$F$545)+'BatPac Manufacturing Costs'!F532</f>
        <v>23896.833744861306</v>
      </c>
      <c r="R19" s="1073">
        <f t="shared" ref="R19:R21" si="30">O19+P19+Q19</f>
        <v>89020.449312032593</v>
      </c>
      <c r="S19" s="1074">
        <f>'Mass and Cost Cell'!R38*E19/L19</f>
        <v>103.93338321165497</v>
      </c>
      <c r="T19" s="1075">
        <f t="shared" ref="T19:T27" si="31">P19/L19</f>
        <v>51.921481179394227</v>
      </c>
      <c r="U19" s="1075">
        <f t="shared" ref="U19:U27" si="32">Q19/L19</f>
        <v>57.190279597410587</v>
      </c>
      <c r="V19" s="1075">
        <f t="shared" ref="V19:V21" si="33">R19/L19</f>
        <v>213.04514398845976</v>
      </c>
      <c r="W19" s="1076">
        <f t="shared" ref="W19" si="34">J19/K19</f>
        <v>0.58451681050848125</v>
      </c>
      <c r="X19" s="1077">
        <f t="shared" ref="X19" si="35">H19/G19</f>
        <v>0.64184394429341718</v>
      </c>
      <c r="Y19" s="1078">
        <f t="shared" ref="Y19" si="36">O19/R19</f>
        <v>0.48784675992091531</v>
      </c>
      <c r="Z19" s="1079">
        <f t="shared" ref="Z19" si="37">R19/(0.85*L19)</f>
        <v>250.6413458687762</v>
      </c>
    </row>
    <row r="20" spans="1:40">
      <c r="A20" s="292" t="str">
        <f>'Energy Contents Cell'!A20</f>
        <v>Al-PPQ</v>
      </c>
      <c r="B20" s="846">
        <f>'Energy Contents Cell'!Q5</f>
        <v>123.65522124049309</v>
      </c>
      <c r="C20" s="209">
        <f>'Energy Contents Cell'!AA5*'Energy Contents Cell'!Z$43*'Energy Contents Cell'!AA$43/((0.3+'Energy Contents Cell'!Z$43)*(7.3+'Energy Contents Cell'!AA$43))</f>
        <v>144.32715205297717</v>
      </c>
      <c r="D20" s="805">
        <f>'BatPac Summary'!G11</f>
        <v>419.2</v>
      </c>
      <c r="E20" s="805">
        <f>'BatPac Summary'!G37</f>
        <v>349.48099701473478</v>
      </c>
      <c r="F20" s="805">
        <f>'BatPac Summary'!G34</f>
        <v>1007.9999999999999</v>
      </c>
      <c r="G20" s="805">
        <f>'BatPac Summary'!G45</f>
        <v>4484.7530491850921</v>
      </c>
      <c r="H20" s="805">
        <f>'BatPac Summary'!G95</f>
        <v>2853.5776897422406</v>
      </c>
      <c r="I20" s="805">
        <f>'BatPac Summary'!G46-'BatPac Summary'!G97</f>
        <v>2189.3357758000725</v>
      </c>
      <c r="J20" s="805">
        <f t="shared" si="24"/>
        <v>3330.6215216049809</v>
      </c>
      <c r="K20" s="805">
        <f t="shared" si="25"/>
        <v>5519.9572974050534</v>
      </c>
      <c r="L20" s="805">
        <f t="shared" ref="L20:L27" si="38">H20*C20/1000</f>
        <v>411.8487411224117</v>
      </c>
      <c r="M20" s="805">
        <f t="shared" si="27"/>
        <v>74.610856376737345</v>
      </c>
      <c r="N20" s="805">
        <f t="shared" si="28"/>
        <v>91.833092392288393</v>
      </c>
      <c r="O20" s="805">
        <f t="shared" si="29"/>
        <v>13347.005179035556</v>
      </c>
      <c r="P20" s="805">
        <f>'BatPac Manufacturing Costs'!$G$537+'BatPac Manufacturing Costs'!$G$538</f>
        <v>9842.7545089348368</v>
      </c>
      <c r="Q20" s="805">
        <f>SUM('BatPac Manufacturing Costs'!$G$539:$G$545)+'BatPac Manufacturing Costs'!G532</f>
        <v>19460.944179337115</v>
      </c>
      <c r="R20" s="805">
        <f t="shared" si="30"/>
        <v>42650.703867307508</v>
      </c>
      <c r="S20" s="806">
        <f>'Mass and Cost Cell'!R39*E20/L20</f>
        <v>32.407541522795363</v>
      </c>
      <c r="T20" s="208">
        <f t="shared" si="31"/>
        <v>23.898954946688367</v>
      </c>
      <c r="U20" s="208">
        <f t="shared" si="32"/>
        <v>47.252649422455896</v>
      </c>
      <c r="V20" s="208">
        <f t="shared" si="33"/>
        <v>103.55914589193962</v>
      </c>
      <c r="W20" s="14">
        <f t="shared" ref="W20:W21" si="39">J20/K20</f>
        <v>0.60337813177843147</v>
      </c>
      <c r="X20" s="807">
        <f t="shared" ref="X20:X21" si="40">H20/G20</f>
        <v>0.63628424094850744</v>
      </c>
      <c r="Y20" s="808">
        <f t="shared" ref="Y20:Y21" si="41">O20/R20</f>
        <v>0.31293751260377822</v>
      </c>
      <c r="Z20" s="839">
        <f t="shared" ref="Z20:Z22" si="42">R20/(0.85*L20)</f>
        <v>121.83428928463486</v>
      </c>
    </row>
    <row r="21" spans="1:40">
      <c r="A21" s="1070" t="str">
        <f>'Energy Contents Cell'!A21</f>
        <v>Al-PBQS</v>
      </c>
      <c r="B21" s="1080">
        <f>'Energy Contents Cell'!Q6</f>
        <v>196.88751700393024</v>
      </c>
      <c r="C21" s="1081">
        <f>'Energy Contents Cell'!AA6*'Energy Contents Cell'!Z$43*'Energy Contents Cell'!AA$43/((0.3+'Energy Contents Cell'!Z$43)*(7.3+'Energy Contents Cell'!AA$43))</f>
        <v>222.89703546478651</v>
      </c>
      <c r="D21" s="1082">
        <f>'BatPac Summary'!H11</f>
        <v>421</v>
      </c>
      <c r="E21" s="1082">
        <f>'BatPac Summary'!H37</f>
        <v>349.65163242580616</v>
      </c>
      <c r="F21" s="1082">
        <f>'BatPac Summary'!H34</f>
        <v>960</v>
      </c>
      <c r="G21" s="1082">
        <f>'BatPac Summary'!H45</f>
        <v>2933.8398269966347</v>
      </c>
      <c r="H21" s="1082">
        <f>'BatPac Summary'!H95</f>
        <v>1850.828948801164</v>
      </c>
      <c r="I21" s="1082">
        <f>'BatPac Summary'!H46-'BatPac Summary'!H97</f>
        <v>1599.4726281950147</v>
      </c>
      <c r="J21" s="1082">
        <f t="shared" si="24"/>
        <v>2095.3298214022957</v>
      </c>
      <c r="K21" s="1082">
        <f t="shared" si="25"/>
        <v>3694.8024495973104</v>
      </c>
      <c r="L21" s="1082">
        <f t="shared" si="38"/>
        <v>412.5442858401866</v>
      </c>
      <c r="M21" s="1082">
        <f t="shared" si="27"/>
        <v>111.65530267664217</v>
      </c>
      <c r="N21" s="1082">
        <f t="shared" si="28"/>
        <v>140.6158175521488</v>
      </c>
      <c r="O21" s="1082">
        <f t="shared" si="29"/>
        <v>8382.1446884792476</v>
      </c>
      <c r="P21" s="1082">
        <f>'BatPac Manufacturing Costs'!$H$537+'BatPac Manufacturing Costs'!$H$538</f>
        <v>7614.5883859657633</v>
      </c>
      <c r="Q21" s="1082">
        <f>SUM('BatPac Manufacturing Costs'!$H$539:$H$545)+'BatPac Manufacturing Costs'!H532</f>
        <v>14349.217850843506</v>
      </c>
      <c r="R21" s="1082">
        <f t="shared" si="30"/>
        <v>30345.950925288518</v>
      </c>
      <c r="S21" s="1083">
        <f>'Mass and Cost Cell'!R40*E21/L21</f>
        <v>20.318169409153722</v>
      </c>
      <c r="T21" s="1084">
        <f t="shared" si="31"/>
        <v>18.457626604760534</v>
      </c>
      <c r="U21" s="1084">
        <f t="shared" si="32"/>
        <v>34.782248459992431</v>
      </c>
      <c r="V21" s="1084">
        <f t="shared" si="33"/>
        <v>73.558044473906691</v>
      </c>
      <c r="W21" s="686">
        <f t="shared" si="39"/>
        <v>0.56710198988599825</v>
      </c>
      <c r="X21" s="1085">
        <f t="shared" si="40"/>
        <v>0.63085548562337623</v>
      </c>
      <c r="Y21" s="1086">
        <f t="shared" si="41"/>
        <v>0.27621954273622928</v>
      </c>
      <c r="Z21" s="1087">
        <f t="shared" si="42"/>
        <v>86.538875851654936</v>
      </c>
    </row>
    <row r="22" spans="1:40">
      <c r="A22" s="292" t="str">
        <f>'Energy Contents Cell'!A22</f>
        <v>Al-TiO2</v>
      </c>
      <c r="B22" s="846">
        <f>'Energy Contents Cell'!Q7</f>
        <v>53.874234942674377</v>
      </c>
      <c r="C22" s="209">
        <f>'Energy Contents Cell'!AA7*'Energy Contents Cell'!Z$43*'Energy Contents Cell'!AA$43/((0.3+'Energy Contents Cell'!Z$43)*(7.3+'Energy Contents Cell'!AA$43))</f>
        <v>124.05589883612225</v>
      </c>
      <c r="D22" s="805">
        <f>'BatPac Summary'!I11</f>
        <v>441</v>
      </c>
      <c r="E22" s="805">
        <f>'BatPac Summary'!I37</f>
        <v>347.98035303298542</v>
      </c>
      <c r="F22" s="805">
        <f>'BatPac Summary'!H34</f>
        <v>960</v>
      </c>
      <c r="G22" s="805">
        <f>'BatPac Summary'!I45</f>
        <v>5213.6830491341434</v>
      </c>
      <c r="H22" s="805">
        <f>'BatPac Summary'!I95</f>
        <v>3312.1884824482368</v>
      </c>
      <c r="I22" s="805">
        <f>'BatPac Summary'!I46-'BatPac Summary'!I97</f>
        <v>2565.21627417944</v>
      </c>
      <c r="J22" s="805">
        <f>H22*C22/B22</f>
        <v>7626.9578536379749</v>
      </c>
      <c r="K22" s="805">
        <f>I22+J22</f>
        <v>10192.174127817416</v>
      </c>
      <c r="L22" s="805">
        <f t="shared" si="38"/>
        <v>410.89651930476776</v>
      </c>
      <c r="M22" s="805">
        <f>1000*L22/K22</f>
        <v>40.314903783218476</v>
      </c>
      <c r="N22" s="805">
        <f>1000*L22/G22</f>
        <v>78.811181161656336</v>
      </c>
      <c r="O22" s="805">
        <f>L22*S22</f>
        <v>25040.950873368089</v>
      </c>
      <c r="P22" s="805">
        <f>'BatPac Manufacturing Costs'!$I$537+'BatPac Manufacturing Costs'!$I$538</f>
        <v>13655.854371796802</v>
      </c>
      <c r="Q22" s="805">
        <f>SUM('BatPac Manufacturing Costs'!$I$539:$I$545)+'BatPac Manufacturing Costs'!I532</f>
        <v>28008.404063007845</v>
      </c>
      <c r="R22" s="805">
        <f>O22+P22+Q22</f>
        <v>66705.209308172736</v>
      </c>
      <c r="S22" s="806">
        <f>'Mass and Cost Cell'!R41*E22/L22</f>
        <v>60.942231673651293</v>
      </c>
      <c r="T22" s="208">
        <f t="shared" si="31"/>
        <v>33.234290703903632</v>
      </c>
      <c r="U22" s="208">
        <f t="shared" si="32"/>
        <v>68.164130741233208</v>
      </c>
      <c r="V22" s="208">
        <f>R22/L22</f>
        <v>162.34065311878814</v>
      </c>
      <c r="W22" s="14">
        <f>J22/K22</f>
        <v>0.7483151050983109</v>
      </c>
      <c r="X22" s="807">
        <f>H22/G22</f>
        <v>0.63528765581526958</v>
      </c>
      <c r="Y22" s="808">
        <f>O22/R22</f>
        <v>0.37539723108701895</v>
      </c>
      <c r="Z22" s="839">
        <f t="shared" si="42"/>
        <v>190.98900366916251</v>
      </c>
    </row>
    <row r="23" spans="1:40">
      <c r="A23" s="1070" t="str">
        <f>'Energy Contents Cell'!A23</f>
        <v>Al-V2C</v>
      </c>
      <c r="B23" s="1080">
        <f>'Energy Contents Cell'!Q8</f>
        <v>89.244624190709118</v>
      </c>
      <c r="C23" s="1081">
        <f>'Energy Contents Cell'!AA8*'Energy Contents Cell'!Z$43*'Energy Contents Cell'!AA$43/((0.3+'Energy Contents Cell'!Z$43)*(7.3+'Energy Contents Cell'!AA$43))</f>
        <v>193.98625038197122</v>
      </c>
      <c r="D23" s="1082">
        <f>'BatPac Summary'!J11</f>
        <v>433</v>
      </c>
      <c r="E23" s="1082">
        <f>'BatPac Summary'!J37</f>
        <v>349.54588656771193</v>
      </c>
      <c r="F23" s="1082">
        <f>'BatPac Summary'!J34</f>
        <v>902.5</v>
      </c>
      <c r="G23" s="1082">
        <f>'BatPac Summary'!J45</f>
        <v>3413.4002496406838</v>
      </c>
      <c r="H23" s="1082">
        <f>'BatPac Summary'!J95</f>
        <v>2130.6453559495499</v>
      </c>
      <c r="I23" s="1082">
        <f>'BatPac Summary'!J46-'BatPac Summary'!J97</f>
        <v>1723.5851693924997</v>
      </c>
      <c r="J23" s="1082">
        <f>H23*C23/B23</f>
        <v>4631.2694713262308</v>
      </c>
      <c r="K23" s="1082">
        <f>I23+J23</f>
        <v>6354.8546407187305</v>
      </c>
      <c r="L23" s="1082">
        <f t="shared" si="38"/>
        <v>413.31590349441359</v>
      </c>
      <c r="M23" s="1082">
        <f>1000*L23/K23</f>
        <v>65.039395369658337</v>
      </c>
      <c r="N23" s="1082">
        <f>1000*L23/G23</f>
        <v>121.08626977979563</v>
      </c>
      <c r="O23" s="1082">
        <f>L23*S23</f>
        <v>61299.359996601554</v>
      </c>
      <c r="P23" s="1082">
        <f>'BatPac Manufacturing Costs'!$J$537+'BatPac Manufacturing Costs'!$J$538</f>
        <v>9442.477661693214</v>
      </c>
      <c r="Q23" s="1082">
        <f>SUM('BatPac Manufacturing Costs'!$J$539:$J$545)+'BatPac Manufacturing Costs'!J532</f>
        <v>22622.855498513662</v>
      </c>
      <c r="R23" s="1082">
        <f>O23+P23+Q23</f>
        <v>93364.693156808426</v>
      </c>
      <c r="S23" s="1083">
        <f>'Mass and Cost Cell'!R42*E23/L23</f>
        <v>148.31115734560666</v>
      </c>
      <c r="T23" s="1084">
        <f t="shared" si="31"/>
        <v>22.845667398377376</v>
      </c>
      <c r="U23" s="1084">
        <f t="shared" si="32"/>
        <v>54.735023035036527</v>
      </c>
      <c r="V23" s="1084">
        <f>R23/L23</f>
        <v>225.89184777902057</v>
      </c>
      <c r="W23" s="686">
        <f>J23/K23</f>
        <v>0.7287766177453332</v>
      </c>
      <c r="X23" s="1085">
        <f>H23/G23</f>
        <v>0.62420026956224517</v>
      </c>
      <c r="Y23" s="1086">
        <f>O23/R23</f>
        <v>0.65655825477461471</v>
      </c>
      <c r="Z23" s="1087">
        <f t="shared" ref="Z23:Z27" si="43">R23/(0.85*L23)</f>
        <v>265.75511503414185</v>
      </c>
    </row>
    <row r="24" spans="1:40">
      <c r="A24" s="292" t="str">
        <f>'Energy Contents Cell'!A24</f>
        <v>Al-MnO2</v>
      </c>
      <c r="B24" s="846">
        <f>'Energy Contents Cell'!Q9</f>
        <v>271.43530953310426</v>
      </c>
      <c r="C24" s="209">
        <f>'Energy Contents Cell'!AA9*'Energy Contents Cell'!Z$43*'Energy Contents Cell'!AA$43/((0.3+'Energy Contents Cell'!Z$43)*(7.3+'Energy Contents Cell'!AA$43))</f>
        <v>699.76327023846022</v>
      </c>
      <c r="D24" s="805">
        <f>'BatPac Summary'!K11</f>
        <v>458.5</v>
      </c>
      <c r="E24" s="805">
        <f>'BatPac Summary'!K37</f>
        <v>347.91642896472649</v>
      </c>
      <c r="F24" s="805">
        <f>'BatPac Summary'!K34</f>
        <v>1007.5</v>
      </c>
      <c r="G24" s="805">
        <f>'BatPac Summary'!K45</f>
        <v>967.22299474195506</v>
      </c>
      <c r="H24" s="805">
        <f>'BatPac Summary'!K95</f>
        <v>589.49182197242624</v>
      </c>
      <c r="I24" s="805">
        <f>'BatPac Summary'!K46-'BatPac Summary'!K97</f>
        <v>501.92568366219621</v>
      </c>
      <c r="J24" s="805">
        <f>H24*C24/B24</f>
        <v>1519.7165241021971</v>
      </c>
      <c r="K24" s="805">
        <f>I24+J24</f>
        <v>2021.6422077643933</v>
      </c>
      <c r="L24" s="805">
        <f t="shared" si="38"/>
        <v>412.50472512225321</v>
      </c>
      <c r="M24" s="805">
        <f>1000*L24/K24</f>
        <v>204.0443771593076</v>
      </c>
      <c r="N24" s="805">
        <f>1000*L24/G24</f>
        <v>426.48357965507751</v>
      </c>
      <c r="O24" s="805">
        <f>L24*S24</f>
        <v>8100.1124403523645</v>
      </c>
      <c r="P24" s="805">
        <f>'BatPac Manufacturing Costs'!$K$537+'BatPac Manufacturing Costs'!$K$538</f>
        <v>4725.4881320056475</v>
      </c>
      <c r="Q24" s="805">
        <f>SUM('BatPac Manufacturing Costs'!$K$539:$K$545)+'BatPac Manufacturing Costs'!K532</f>
        <v>10911.455605565039</v>
      </c>
      <c r="R24" s="805">
        <f>O24+P24+Q24</f>
        <v>23737.056177923052</v>
      </c>
      <c r="S24" s="806">
        <f>'Mass and Cost Cell'!R43*E24/L24</f>
        <v>19.636411287050713</v>
      </c>
      <c r="T24" s="208">
        <f t="shared" si="31"/>
        <v>11.455597582803843</v>
      </c>
      <c r="U24" s="208">
        <f t="shared" si="32"/>
        <v>26.451710589087757</v>
      </c>
      <c r="V24" s="208">
        <f>R24/L24</f>
        <v>57.543719458942313</v>
      </c>
      <c r="W24" s="14">
        <f>J24/K24</f>
        <v>0.75172378092697012</v>
      </c>
      <c r="X24" s="807">
        <f>H24/G24</f>
        <v>0.60946836993851294</v>
      </c>
      <c r="Y24" s="808">
        <f>O24/R24</f>
        <v>0.3412433445679745</v>
      </c>
      <c r="Z24" s="839">
        <f t="shared" si="43"/>
        <v>67.698493481108599</v>
      </c>
    </row>
    <row r="25" spans="1:40" ht="18" customHeight="1">
      <c r="A25" s="1070" t="str">
        <f>'Energy Contents Cell'!A25</f>
        <v>LIB-NMC</v>
      </c>
      <c r="B25" s="1080">
        <f>'Energy Contents Cell'!Q10</f>
        <v>356.7383808838207</v>
      </c>
      <c r="C25" s="1081">
        <f>'Energy Contents Cell'!AA10*'Energy Contents Cell'!Z$43*'Energy Contents Cell'!AA$43/((0.3+'Energy Contents Cell'!Z$43)*(7.3+'Energy Contents Cell'!AA$43))</f>
        <v>676.24139933917797</v>
      </c>
      <c r="D25" s="1082">
        <f>'BatPac Summary'!L11</f>
        <v>420</v>
      </c>
      <c r="E25" s="1082">
        <f>'BatPac Summary'!L37</f>
        <v>350.7391365529104</v>
      </c>
      <c r="F25" s="1082">
        <f>'BatPac Summary'!L34</f>
        <v>963.6</v>
      </c>
      <c r="G25" s="1082">
        <f>'BatPac Summary'!L45</f>
        <v>994.6085120200438</v>
      </c>
      <c r="H25" s="1082">
        <f>'BatPac Summary'!L95</f>
        <v>611.56701339348047</v>
      </c>
      <c r="I25" s="1082">
        <f>'BatPac Summary'!L46-'BatPac Summary'!L97</f>
        <v>571.88911574656345</v>
      </c>
      <c r="J25" s="1082">
        <f>H25*C25/B25</f>
        <v>1159.3003587174314</v>
      </c>
      <c r="K25" s="1082">
        <f>I25+J25</f>
        <v>1731.1894744639949</v>
      </c>
      <c r="L25" s="1082">
        <f t="shared" si="38"/>
        <v>413.56693292688902</v>
      </c>
      <c r="M25" s="1082">
        <f>1000*L25/K25</f>
        <v>238.89177876092174</v>
      </c>
      <c r="N25" s="1082">
        <f>1000*L25/G25</f>
        <v>415.80876086304261</v>
      </c>
      <c r="O25" s="1082">
        <f>L25*S25</f>
        <v>20597.295306614942</v>
      </c>
      <c r="P25" s="1082">
        <f>'BatPac Manufacturing Costs'!$L$537+'BatPac Manufacturing Costs'!$L$538</f>
        <v>3255.0171870040308</v>
      </c>
      <c r="Q25" s="1082">
        <f>SUM('BatPac Manufacturing Costs'!$L$539:$L$545)+'BatPac Manufacturing Costs'!L532</f>
        <v>10164.8435995277</v>
      </c>
      <c r="R25" s="1082">
        <f>O25+P25+Q25</f>
        <v>34017.156093146674</v>
      </c>
      <c r="S25" s="1083">
        <f>'Mass and Cost Cell'!R44*E25/L25</f>
        <v>49.804018809831113</v>
      </c>
      <c r="T25" s="1084">
        <f t="shared" si="31"/>
        <v>7.8705934344597557</v>
      </c>
      <c r="U25" s="1084">
        <f t="shared" si="32"/>
        <v>24.578472770028391</v>
      </c>
      <c r="V25" s="1084">
        <f>R25/L25</f>
        <v>82.253085014319254</v>
      </c>
      <c r="W25" s="686">
        <f>J25/K25</f>
        <v>0.66965538770755884</v>
      </c>
      <c r="X25" s="1085">
        <f>H25/G25</f>
        <v>0.61488214307696965</v>
      </c>
      <c r="Y25" s="1086">
        <f>O25/R25</f>
        <v>0.60549727467560444</v>
      </c>
      <c r="Z25" s="1087">
        <f t="shared" si="43"/>
        <v>96.768335310963835</v>
      </c>
    </row>
    <row r="26" spans="1:40" ht="18" customHeight="1">
      <c r="A26" s="292" t="str">
        <f>'Energy Contents Cell'!A26</f>
        <v>LIB-LFP</v>
      </c>
      <c r="B26" s="846">
        <f>'Energy Contents Cell'!Q11</f>
        <v>261.45688979578239</v>
      </c>
      <c r="C26" s="209">
        <f>'Energy Contents Cell'!AA11*'Energy Contents Cell'!Z$43*'Energy Contents Cell'!AA$43/((0.3+'Energy Contents Cell'!Z$43)*(7.3+'Energy Contents Cell'!AA$43))</f>
        <v>478.18445259246499</v>
      </c>
      <c r="D26" s="805">
        <f>'BatPac Summary'!M11</f>
        <v>418</v>
      </c>
      <c r="E26" s="805">
        <f>'BatPac Summary'!M37</f>
        <v>350.47073624024677</v>
      </c>
      <c r="F26" s="805">
        <f>'BatPac Summary'!M34</f>
        <v>910.8</v>
      </c>
      <c r="G26" s="805">
        <f>'BatPac Summary'!M45</f>
        <v>1392.0697696975062</v>
      </c>
      <c r="H26" s="805">
        <f>'BatPac Summary'!M95</f>
        <v>863.17688760786803</v>
      </c>
      <c r="I26" s="805">
        <f>'BatPac Summary'!M46-'BatPac Summary'!M97</f>
        <v>789.3258670653488</v>
      </c>
      <c r="J26" s="805">
        <f t="shared" ref="J26" si="44">H26*C26/B26</f>
        <v>1578.6838427307503</v>
      </c>
      <c r="K26" s="805">
        <f t="shared" ref="K26" si="45">I26+J26</f>
        <v>2368.0097097960988</v>
      </c>
      <c r="L26" s="805">
        <f t="shared" si="38"/>
        <v>412.75776749123605</v>
      </c>
      <c r="M26" s="805">
        <f t="shared" ref="M26" si="46">1000*L26/K26</f>
        <v>174.30577492301634</v>
      </c>
      <c r="N26" s="805">
        <f t="shared" ref="N26" si="47">1000*L26/G26</f>
        <v>296.50652321896729</v>
      </c>
      <c r="O26" s="805">
        <f t="shared" ref="O26" si="48">L26*S26</f>
        <v>16372.251440459328</v>
      </c>
      <c r="P26" s="805">
        <f>'BatPac Manufacturing Costs'!$M$537+'BatPac Manufacturing Costs'!$M$538</f>
        <v>4023.2264981225721</v>
      </c>
      <c r="Q26" s="805">
        <f>SUM('BatPac Manufacturing Costs'!$M$539:$M$545)+'BatPac Manufacturing Costs'!M532</f>
        <v>11071.329657568049</v>
      </c>
      <c r="R26" s="805">
        <f t="shared" ref="R26" si="49">O26+P26+Q26</f>
        <v>31466.807596149949</v>
      </c>
      <c r="S26" s="806">
        <f>'Mass and Cost Cell'!R45*E26/L26</f>
        <v>39.665519900378264</v>
      </c>
      <c r="T26" s="208">
        <f t="shared" si="31"/>
        <v>9.7471854317266029</v>
      </c>
      <c r="U26" s="208">
        <f t="shared" si="32"/>
        <v>26.822825709277833</v>
      </c>
      <c r="V26" s="208">
        <f t="shared" ref="V26" si="50">R26/L26</f>
        <v>76.2355310413827</v>
      </c>
      <c r="W26" s="14">
        <f t="shared" ref="W26" si="51">J26/K26</f>
        <v>0.66667118643980783</v>
      </c>
      <c r="X26" s="807">
        <f t="shared" ref="X26" si="52">H26/G26</f>
        <v>0.62006725984390465</v>
      </c>
      <c r="Y26" s="808">
        <f t="shared" ref="Y26" si="53">O26/R26</f>
        <v>0.52030227058885115</v>
      </c>
      <c r="Z26" s="839">
        <f t="shared" si="43"/>
        <v>89.688860048685527</v>
      </c>
    </row>
    <row r="27" spans="1:40" ht="17" thickBot="1">
      <c r="A27" s="1088" t="str">
        <f>'Energy Contents Cell'!A27</f>
        <v>Li-DIB</v>
      </c>
      <c r="B27" s="1089">
        <f>'Energy Contents Cell'!Q12</f>
        <v>149.76363593685821</v>
      </c>
      <c r="C27" s="1090">
        <f>'Energy Contents Cell'!AA12*'Energy Contents Cell'!Z$43*'Energy Contents Cell'!AA$43/((0.3+'Energy Contents Cell'!Z$43)*(7.3+'Energy Contents Cell'!AA$43))</f>
        <v>134.78113966860309</v>
      </c>
      <c r="D27" s="1091">
        <f>'BatPac Summary'!N11</f>
        <v>414</v>
      </c>
      <c r="E27" s="1091">
        <f>'BatPac Summary'!N37</f>
        <v>350.28684524281078</v>
      </c>
      <c r="F27" s="1091">
        <f>'BatPac Summary'!N34</f>
        <v>1008</v>
      </c>
      <c r="G27" s="1091">
        <f>'BatPac Summary'!N45</f>
        <v>4835.8400784413579</v>
      </c>
      <c r="H27" s="1091">
        <f>'BatPac Summary'!N95</f>
        <v>3055.5244524188402</v>
      </c>
      <c r="I27" s="1091">
        <f>'BatPac Summary'!N46-'BatPac Summary'!N97</f>
        <v>2457.8939089930445</v>
      </c>
      <c r="J27" s="1091">
        <f>H27*C27/B27</f>
        <v>2749.8468864359429</v>
      </c>
      <c r="K27" s="1091">
        <f>I27+J27</f>
        <v>5207.7407954289874</v>
      </c>
      <c r="L27" s="1091">
        <f t="shared" si="38"/>
        <v>411.82706798229566</v>
      </c>
      <c r="M27" s="1091">
        <f>1000*L27/K27</f>
        <v>79.07979374545107</v>
      </c>
      <c r="N27" s="1091">
        <f>1000*L27/G27</f>
        <v>85.161432409285098</v>
      </c>
      <c r="O27" s="1091">
        <f>L27*S27</f>
        <v>39649.239621297354</v>
      </c>
      <c r="P27" s="1091">
        <f>'BatPac Manufacturing Costs'!$N$537+'BatPac Manufacturing Costs'!$N$538</f>
        <v>9989.4396711279151</v>
      </c>
      <c r="Q27" s="1091">
        <f>SUM('BatPac Manufacturing Costs'!$N$539:$N$545)+'BatPac Manufacturing Costs'!N532</f>
        <v>15582.408685420518</v>
      </c>
      <c r="R27" s="1091">
        <f>O27+P27+Q27</f>
        <v>65221.087977845782</v>
      </c>
      <c r="S27" s="1092">
        <f>'Mass and Cost Cell'!R46*E27/L27</f>
        <v>96.276429365254515</v>
      </c>
      <c r="T27" s="1093">
        <f t="shared" si="31"/>
        <v>24.25639412210117</v>
      </c>
      <c r="U27" s="1093">
        <f t="shared" si="32"/>
        <v>37.837262037594869</v>
      </c>
      <c r="V27" s="1093">
        <f>R27/L27</f>
        <v>158.37008552495053</v>
      </c>
      <c r="W27" s="1094">
        <f>J27/K27</f>
        <v>0.52803067480808141</v>
      </c>
      <c r="X27" s="1095">
        <f>H27/G27</f>
        <v>0.63184977229513095</v>
      </c>
      <c r="Y27" s="1096">
        <f>O27/R27</f>
        <v>0.60792054917522009</v>
      </c>
      <c r="Z27" s="1097">
        <f t="shared" si="43"/>
        <v>186.31774767641238</v>
      </c>
    </row>
    <row r="28" spans="1:40">
      <c r="A28" s="11"/>
      <c r="B28" s="209"/>
      <c r="C28" s="209"/>
      <c r="D28" s="805"/>
      <c r="E28" s="805"/>
      <c r="F28" s="805"/>
      <c r="G28" s="805"/>
      <c r="H28" s="805"/>
      <c r="I28" s="805"/>
      <c r="J28" s="805"/>
      <c r="K28" s="805"/>
      <c r="L28" s="805"/>
      <c r="M28" s="805"/>
      <c r="N28" s="805"/>
      <c r="O28" s="805"/>
      <c r="P28" s="805"/>
      <c r="Q28" s="805"/>
      <c r="R28" s="805"/>
      <c r="S28" s="806"/>
      <c r="T28" s="208"/>
      <c r="U28" s="208"/>
      <c r="V28" s="208"/>
      <c r="W28" s="14"/>
      <c r="X28" s="807"/>
      <c r="Y28" s="808"/>
      <c r="Z28" s="208"/>
    </row>
    <row r="29" spans="1:40">
      <c r="A29" s="11"/>
      <c r="B29" s="209"/>
      <c r="C29" s="209"/>
      <c r="D29" s="805"/>
      <c r="E29" s="805"/>
      <c r="F29" s="805"/>
      <c r="G29" s="805"/>
      <c r="H29" s="805"/>
      <c r="I29" s="805"/>
      <c r="J29" s="805"/>
      <c r="K29" s="805"/>
      <c r="L29" s="805"/>
      <c r="M29" s="805"/>
      <c r="N29" s="805"/>
      <c r="O29" s="805"/>
      <c r="P29" s="805"/>
      <c r="Q29" s="805"/>
      <c r="R29" s="805"/>
      <c r="S29" s="806"/>
      <c r="T29" s="208"/>
      <c r="U29" s="208"/>
      <c r="V29" s="208"/>
      <c r="W29" s="14"/>
      <c r="X29" s="807"/>
      <c r="Y29" s="808"/>
      <c r="Z29" s="208"/>
      <c r="AL29" s="4"/>
      <c r="AM29" s="4"/>
    </row>
    <row r="30" spans="1:40">
      <c r="A30" s="11"/>
      <c r="B30" s="209"/>
      <c r="C30" s="209"/>
      <c r="D30" s="805"/>
      <c r="E30" s="805"/>
      <c r="F30" s="805"/>
      <c r="G30" s="805"/>
      <c r="H30" s="805"/>
      <c r="I30" s="805"/>
      <c r="J30" s="805"/>
      <c r="K30" s="805"/>
      <c r="L30" s="805"/>
      <c r="M30" s="805"/>
      <c r="N30" s="805"/>
      <c r="O30" s="805"/>
      <c r="P30" s="805"/>
      <c r="Q30" s="805"/>
      <c r="R30" s="805"/>
      <c r="S30" s="806"/>
      <c r="T30" s="208"/>
      <c r="U30" s="208"/>
      <c r="V30" s="208"/>
      <c r="W30" s="14"/>
      <c r="X30" s="807"/>
      <c r="Y30" s="808"/>
      <c r="Z30" s="208"/>
      <c r="AL30" s="4"/>
      <c r="AM30" s="4"/>
    </row>
    <row r="31" spans="1:40" ht="15.75" customHeight="1" thickBo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M31" s="2"/>
      <c r="AN31" s="2"/>
    </row>
    <row r="32" spans="1:40" ht="60" customHeight="1">
      <c r="A32" s="505" t="s">
        <v>382</v>
      </c>
      <c r="B32" s="465" t="s">
        <v>1476</v>
      </c>
      <c r="C32" s="465" t="s">
        <v>1477</v>
      </c>
      <c r="D32" s="489" t="s">
        <v>1478</v>
      </c>
      <c r="E32" s="489" t="s">
        <v>408</v>
      </c>
      <c r="F32" s="489" t="s">
        <v>409</v>
      </c>
      <c r="G32" s="489" t="s">
        <v>293</v>
      </c>
      <c r="H32" s="465" t="s">
        <v>294</v>
      </c>
      <c r="I32" s="465" t="s">
        <v>390</v>
      </c>
      <c r="J32" s="465" t="s">
        <v>937</v>
      </c>
      <c r="K32" s="465" t="s">
        <v>938</v>
      </c>
      <c r="L32" s="465" t="s">
        <v>939</v>
      </c>
      <c r="M32" s="465" t="s">
        <v>1479</v>
      </c>
      <c r="N32" s="465" t="s">
        <v>298</v>
      </c>
      <c r="O32" s="465" t="s">
        <v>292</v>
      </c>
      <c r="P32" s="465" t="s">
        <v>288</v>
      </c>
      <c r="Q32" s="465" t="s">
        <v>383</v>
      </c>
      <c r="R32" s="465" t="s">
        <v>384</v>
      </c>
      <c r="S32" s="465" t="s">
        <v>385</v>
      </c>
      <c r="T32" s="356" t="s">
        <v>386</v>
      </c>
      <c r="U32" s="471"/>
      <c r="V32" s="131"/>
      <c r="W32" s="131"/>
      <c r="X32" s="466"/>
      <c r="Y32" s="466"/>
      <c r="Z32" s="210"/>
      <c r="AA32" s="210"/>
      <c r="AB32" s="210"/>
      <c r="AC32" s="131"/>
      <c r="AD32" s="131"/>
      <c r="AE32" s="131"/>
    </row>
    <row r="33" spans="1:31" ht="20" customHeight="1">
      <c r="A33" s="695"/>
      <c r="B33" s="466"/>
      <c r="C33" s="466"/>
      <c r="D33" s="466">
        <f>'Energy Contents Cell'!AA16</f>
        <v>0</v>
      </c>
      <c r="E33" s="466" t="s">
        <v>248</v>
      </c>
      <c r="F33" s="466" t="s">
        <v>248</v>
      </c>
      <c r="G33" s="466"/>
      <c r="H33" s="466" t="s">
        <v>295</v>
      </c>
      <c r="I33" s="466" t="s">
        <v>284</v>
      </c>
      <c r="J33" s="466" t="s">
        <v>284</v>
      </c>
      <c r="K33" s="466" t="s">
        <v>284</v>
      </c>
      <c r="L33" s="466" t="s">
        <v>284</v>
      </c>
      <c r="M33" s="466" t="s">
        <v>284</v>
      </c>
      <c r="N33" s="466" t="s">
        <v>284</v>
      </c>
      <c r="O33" s="466" t="s">
        <v>284</v>
      </c>
      <c r="P33" s="466" t="s">
        <v>284</v>
      </c>
      <c r="Q33" s="466" t="s">
        <v>217</v>
      </c>
      <c r="R33" s="466" t="s">
        <v>297</v>
      </c>
      <c r="S33" s="466"/>
      <c r="T33" s="357"/>
      <c r="U33" s="471"/>
      <c r="V33" s="131"/>
      <c r="W33" s="131"/>
      <c r="X33" s="466"/>
      <c r="Y33" s="466"/>
      <c r="Z33" s="210"/>
      <c r="AA33" s="210"/>
      <c r="AB33" s="210"/>
      <c r="AC33" s="131"/>
      <c r="AD33" s="131"/>
      <c r="AE33" s="131"/>
    </row>
    <row r="34" spans="1:31" ht="15.75" customHeight="1">
      <c r="A34" s="145" t="str">
        <f t="shared" ref="A34:A36" si="54">A19</f>
        <v>Al-gra</v>
      </c>
      <c r="B34" s="1098">
        <f t="shared" ref="B34:B36" si="55">B$14*B$5*1000/G19</f>
        <v>2.130093425332384</v>
      </c>
      <c r="C34" s="1099">
        <f t="shared" ref="C34:C36" si="56">B$4*B$15/K19</f>
        <v>5.2480659102354661</v>
      </c>
      <c r="D34" s="1099">
        <f t="shared" ref="D34:D36" si="57">MIN(B34,C34)</f>
        <v>2.130093425332384</v>
      </c>
      <c r="E34" s="1099">
        <f t="shared" ref="E34:E36" si="58">D34*L19/1000</f>
        <v>0.89005489751959244</v>
      </c>
      <c r="F34" s="1099">
        <f t="shared" ref="F34:F36" si="59">E34*0.85</f>
        <v>0.75654666289165351</v>
      </c>
      <c r="G34" s="1100">
        <v>4</v>
      </c>
      <c r="H34" s="1101">
        <f t="shared" ref="H34:H36" si="60">F34/G34</f>
        <v>0.18913666572291338</v>
      </c>
      <c r="I34" s="1102">
        <f t="shared" ref="I34:I42" si="61">D$7</f>
        <v>6200</v>
      </c>
      <c r="J34" s="1103">
        <f>(D$8)*D34+D$9</f>
        <v>158.34168165598291</v>
      </c>
      <c r="K34" s="1103">
        <f>1000*H34*(D$10)</f>
        <v>10.152586020769242</v>
      </c>
      <c r="L34" s="1103">
        <f>1000*H34*(D$11)</f>
        <v>140.72668580573912</v>
      </c>
      <c r="M34" s="1103">
        <f t="shared" ref="M34:M36" si="62">I19*D34</f>
        <v>12038.090438911697</v>
      </c>
      <c r="N34" s="1102">
        <f t="shared" ref="N34:N36" si="63">J19*D34</f>
        <v>16935.621960004573</v>
      </c>
      <c r="O34" s="1102">
        <f t="shared" ref="O34:O36" si="64">D$6*H34*1000</f>
        <v>105.07592540161855</v>
      </c>
      <c r="P34" s="1102">
        <f>SUM(I34:O34)</f>
        <v>35588.009277800375</v>
      </c>
      <c r="Q34" s="1101">
        <f t="shared" ref="Q34:Q37" si="65">1000000*F34/P34</f>
        <v>21.258470991901859</v>
      </c>
      <c r="R34" s="1101">
        <f t="shared" ref="R34:R36" si="66">1000*F34/B$5</f>
        <v>9.8206995335274172</v>
      </c>
      <c r="S34" s="983">
        <f t="shared" ref="S34:S36" si="67">N34/P34</f>
        <v>0.47588000294719862</v>
      </c>
      <c r="T34" s="1104">
        <f t="shared" ref="T34:T36" si="68">(1000*F34/C19)/B$5</f>
        <v>0.18719801821890636</v>
      </c>
      <c r="U34" s="471"/>
      <c r="V34" s="131"/>
      <c r="W34" s="131"/>
      <c r="X34" s="466"/>
      <c r="Y34" s="466"/>
      <c r="Z34" s="132"/>
      <c r="AA34" s="132"/>
      <c r="AB34" s="132"/>
      <c r="AC34" s="119"/>
      <c r="AD34" s="131"/>
      <c r="AE34" s="131"/>
    </row>
    <row r="35" spans="1:31" ht="17.25" customHeight="1">
      <c r="A35" s="314" t="str">
        <f t="shared" si="54"/>
        <v>Al-PPQ</v>
      </c>
      <c r="B35" s="845">
        <f t="shared" si="55"/>
        <v>5.8939661215450876</v>
      </c>
      <c r="C35" s="809">
        <f t="shared" si="56"/>
        <v>12.932100042432957</v>
      </c>
      <c r="D35" s="809">
        <f t="shared" si="57"/>
        <v>5.8939661215450876</v>
      </c>
      <c r="E35" s="809">
        <f t="shared" si="58"/>
        <v>2.4274225273764878</v>
      </c>
      <c r="F35" s="809">
        <f t="shared" si="59"/>
        <v>2.0633091482700148</v>
      </c>
      <c r="G35" s="466">
        <v>4</v>
      </c>
      <c r="H35" s="206">
        <f t="shared" si="60"/>
        <v>0.51582728706750369</v>
      </c>
      <c r="I35" s="810">
        <f t="shared" si="61"/>
        <v>6200</v>
      </c>
      <c r="J35" s="753">
        <f t="shared" ref="J35:J36" si="69">(D$8)*D35+D$9+H35*(D$10+D$11)</f>
        <v>226.50287912446763</v>
      </c>
      <c r="K35" s="753">
        <f t="shared" ref="K35:K36" si="70">1000*H35*(D$10)</f>
        <v>27.688871873659217</v>
      </c>
      <c r="L35" s="753">
        <f t="shared" ref="L35:L36" si="71">1000*H35*(D$11)</f>
        <v>383.80006478236879</v>
      </c>
      <c r="M35" s="753">
        <f t="shared" si="62"/>
        <v>12903.870891252258</v>
      </c>
      <c r="N35" s="810">
        <f t="shared" si="63"/>
        <v>19630.570412028708</v>
      </c>
      <c r="O35" s="810">
        <f t="shared" si="64"/>
        <v>286.57071503750211</v>
      </c>
      <c r="P35" s="810">
        <f t="shared" ref="P35:P37" si="72">SUM(I35:O35)</f>
        <v>39659.003834098963</v>
      </c>
      <c r="Q35" s="206">
        <f t="shared" si="65"/>
        <v>52.026247479670019</v>
      </c>
      <c r="R35" s="206">
        <f t="shared" si="66"/>
        <v>26.78372687877431</v>
      </c>
      <c r="S35" s="207">
        <f t="shared" si="67"/>
        <v>0.49498395103787929</v>
      </c>
      <c r="T35" s="746">
        <f t="shared" si="68"/>
        <v>0.18557649408160562</v>
      </c>
      <c r="U35" s="471"/>
      <c r="V35" s="131"/>
      <c r="W35" s="131"/>
      <c r="X35" s="552"/>
      <c r="Y35" s="553"/>
      <c r="Z35" s="131"/>
      <c r="AA35" s="131"/>
      <c r="AB35" s="134"/>
      <c r="AC35" s="131"/>
      <c r="AD35" s="131"/>
      <c r="AE35" s="131"/>
    </row>
    <row r="36" spans="1:31">
      <c r="A36" s="145" t="str">
        <f t="shared" si="54"/>
        <v>Al-PBQS</v>
      </c>
      <c r="B36" s="1105">
        <f t="shared" si="55"/>
        <v>9.0096883586355663</v>
      </c>
      <c r="C36" s="1106">
        <f t="shared" si="56"/>
        <v>19.320285989249594</v>
      </c>
      <c r="D36" s="1106">
        <f t="shared" si="57"/>
        <v>9.0096883586355663</v>
      </c>
      <c r="E36" s="1106">
        <f t="shared" si="58"/>
        <v>3.716895449555953</v>
      </c>
      <c r="F36" s="1106">
        <f t="shared" si="59"/>
        <v>3.1593611321225601</v>
      </c>
      <c r="G36" s="176">
        <v>4</v>
      </c>
      <c r="H36" s="165">
        <f t="shared" si="60"/>
        <v>0.78984028303064002</v>
      </c>
      <c r="I36" s="1107">
        <f t="shared" ref="I36:I38" si="73">D$7</f>
        <v>6200</v>
      </c>
      <c r="J36" s="1108">
        <f t="shared" si="69"/>
        <v>282.80446673550682</v>
      </c>
      <c r="K36" s="1108">
        <f t="shared" si="70"/>
        <v>42.397498049823284</v>
      </c>
      <c r="L36" s="1108">
        <f t="shared" si="71"/>
        <v>587.67878201684528</v>
      </c>
      <c r="M36" s="1108">
        <f t="shared" si="62"/>
        <v>14410.749918204858</v>
      </c>
      <c r="N36" s="1107">
        <f t="shared" si="63"/>
        <v>18878.268699390203</v>
      </c>
      <c r="O36" s="1107">
        <f t="shared" si="64"/>
        <v>438.80015723924447</v>
      </c>
      <c r="P36" s="1107">
        <f t="shared" si="72"/>
        <v>40840.699521636481</v>
      </c>
      <c r="Q36" s="165">
        <f t="shared" si="65"/>
        <v>77.358154221839456</v>
      </c>
      <c r="R36" s="165">
        <f t="shared" si="66"/>
        <v>41.011530310489427</v>
      </c>
      <c r="S36" s="144">
        <f t="shared" si="67"/>
        <v>0.46224156100433395</v>
      </c>
      <c r="T36" s="166">
        <f t="shared" si="68"/>
        <v>0.18399316179765193</v>
      </c>
      <c r="U36" s="131"/>
      <c r="V36" s="131"/>
      <c r="W36" s="11"/>
      <c r="X36" s="11"/>
      <c r="Y36" s="11"/>
    </row>
    <row r="37" spans="1:31" ht="16.5" customHeight="1">
      <c r="A37" s="314" t="str">
        <f t="shared" ref="A37:A42" si="74">A22</f>
        <v>Al-TiO2</v>
      </c>
      <c r="B37" s="845">
        <f t="shared" ref="B37:B42" si="75">B$14*B$5*1000/G22</f>
        <v>5.0699250963832165</v>
      </c>
      <c r="C37" s="809">
        <f t="shared" ref="C37:C42" si="76">B$4*B$15/K22</f>
        <v>7.0038677817690038</v>
      </c>
      <c r="D37" s="809">
        <f>MIN(B37,C37)</f>
        <v>5.0699250963832165</v>
      </c>
      <c r="E37" s="809">
        <f t="shared" ref="E37:E42" si="77">D37*L22/1000</f>
        <v>2.0832145752397526</v>
      </c>
      <c r="F37" s="809">
        <f t="shared" ref="F37:F42" si="78">E37*0.85</f>
        <v>1.7707323889537896</v>
      </c>
      <c r="G37" s="466">
        <v>4</v>
      </c>
      <c r="H37" s="206">
        <f>F37/G37</f>
        <v>0.4426830972384474</v>
      </c>
      <c r="I37" s="810">
        <f t="shared" ref="I37" si="79">D$7</f>
        <v>6200</v>
      </c>
      <c r="J37" s="753">
        <f t="shared" ref="J37:J42" si="80">(D$8)*D37+D$9+H37*(D$10+D$11)</f>
        <v>211.61179163564614</v>
      </c>
      <c r="K37" s="753">
        <f t="shared" ref="K37:K42" si="81">1000*H37*(D$10)</f>
        <v>23.762596255335229</v>
      </c>
      <c r="L37" s="753">
        <f t="shared" ref="L37:L42" si="82">1000*H37*(D$11)</f>
        <v>329.37730449289239</v>
      </c>
      <c r="M37" s="753">
        <f t="shared" ref="M37:M42" si="83">I22*D37</f>
        <v>13005.454366112994</v>
      </c>
      <c r="N37" s="810">
        <f t="shared" ref="N37:N42" si="84">J22*D37</f>
        <v>38668.105031216241</v>
      </c>
      <c r="O37" s="810">
        <f t="shared" ref="O37:O42" si="85">D$6*H37*1000</f>
        <v>245.93505402135969</v>
      </c>
      <c r="P37" s="810">
        <f t="shared" si="72"/>
        <v>58684.246143734468</v>
      </c>
      <c r="Q37" s="206">
        <f t="shared" si="65"/>
        <v>30.173896834539896</v>
      </c>
      <c r="R37" s="206">
        <f t="shared" ref="R37:R42" si="86">1000*F37/B$5</f>
        <v>22.985800611073213</v>
      </c>
      <c r="S37" s="207">
        <f>N37/P37</f>
        <v>0.65891798177839778</v>
      </c>
      <c r="T37" s="746">
        <f t="shared" ref="T37:T42" si="87">(1000*F37/C22)/B$5</f>
        <v>0.18528583345671806</v>
      </c>
      <c r="U37" s="13"/>
      <c r="V37" s="131"/>
      <c r="W37" s="131"/>
      <c r="X37" s="552"/>
      <c r="Y37" s="553"/>
      <c r="Z37" s="133"/>
      <c r="AA37" s="133"/>
      <c r="AB37" s="133"/>
      <c r="AC37" s="117"/>
      <c r="AD37" s="131"/>
      <c r="AE37" s="131"/>
    </row>
    <row r="38" spans="1:31">
      <c r="A38" s="145" t="str">
        <f t="shared" si="74"/>
        <v>Al-V2C</v>
      </c>
      <c r="B38" s="1105">
        <f t="shared" si="75"/>
        <v>7.7438860380277603</v>
      </c>
      <c r="C38" s="1106">
        <f t="shared" si="76"/>
        <v>11.233087778688583</v>
      </c>
      <c r="D38" s="1106">
        <f>MIN(B38,C38)</f>
        <v>7.7438860380277603</v>
      </c>
      <c r="E38" s="1106">
        <f t="shared" si="77"/>
        <v>3.2006712543652185</v>
      </c>
      <c r="F38" s="1106">
        <f t="shared" si="78"/>
        <v>2.7205705662104358</v>
      </c>
      <c r="G38" s="176">
        <v>4</v>
      </c>
      <c r="H38" s="165">
        <f>F38/G38</f>
        <v>0.68014264155260895</v>
      </c>
      <c r="I38" s="1107">
        <f t="shared" si="73"/>
        <v>6200</v>
      </c>
      <c r="J38" s="1108">
        <f t="shared" si="80"/>
        <v>259.93251628292586</v>
      </c>
      <c r="K38" s="1108">
        <f t="shared" si="81"/>
        <v>36.509085366198974</v>
      </c>
      <c r="L38" s="1108">
        <f t="shared" si="82"/>
        <v>506.05851305997697</v>
      </c>
      <c r="M38" s="1108">
        <f t="shared" si="83"/>
        <v>13347.24712861029</v>
      </c>
      <c r="N38" s="1107">
        <f t="shared" si="84"/>
        <v>35864.022997347405</v>
      </c>
      <c r="O38" s="1107">
        <f t="shared" si="85"/>
        <v>377.85702308478272</v>
      </c>
      <c r="P38" s="1107">
        <f t="shared" ref="P38:P42" si="88">SUM(I38:O38)</f>
        <v>56591.627263751579</v>
      </c>
      <c r="Q38" s="165">
        <f t="shared" ref="Q38:Q42" si="89">1000000*F38/P38</f>
        <v>48.073729237912062</v>
      </c>
      <c r="R38" s="165">
        <f t="shared" si="86"/>
        <v>35.315608938635386</v>
      </c>
      <c r="S38" s="144">
        <f>N38/P38</f>
        <v>0.63373372937659367</v>
      </c>
      <c r="T38" s="166">
        <f t="shared" si="87"/>
        <v>0.18205212415362798</v>
      </c>
      <c r="U38" s="13"/>
      <c r="V38" s="131"/>
      <c r="W38" s="131"/>
      <c r="X38" s="553"/>
      <c r="Y38" s="553"/>
      <c r="Z38" s="133"/>
      <c r="AA38" s="133"/>
      <c r="AB38" s="133"/>
      <c r="AC38" s="117"/>
      <c r="AD38" s="131"/>
      <c r="AE38" s="131"/>
    </row>
    <row r="39" spans="1:31">
      <c r="A39" s="314" t="str">
        <f t="shared" si="74"/>
        <v>Al-MnO2</v>
      </c>
      <c r="B39" s="845">
        <f t="shared" si="75"/>
        <v>27.328736681291375</v>
      </c>
      <c r="C39" s="809">
        <f t="shared" si="76"/>
        <v>35.310224393731751</v>
      </c>
      <c r="D39" s="809">
        <f>MIN(B39,C39)</f>
        <v>27.328736681291375</v>
      </c>
      <c r="E39" s="809">
        <f t="shared" si="77"/>
        <v>11.273233012654536</v>
      </c>
      <c r="F39" s="809">
        <f t="shared" si="78"/>
        <v>9.5822480607563563</v>
      </c>
      <c r="G39" s="466">
        <v>4</v>
      </c>
      <c r="H39" s="206">
        <f>F39/G39</f>
        <v>2.3955620151890891</v>
      </c>
      <c r="I39" s="810">
        <f t="shared" si="61"/>
        <v>6200</v>
      </c>
      <c r="J39" s="753">
        <f t="shared" si="80"/>
        <v>613.82826282367103</v>
      </c>
      <c r="K39" s="753">
        <f t="shared" si="81"/>
        <v>128.59034674390003</v>
      </c>
      <c r="L39" s="753">
        <f t="shared" si="82"/>
        <v>1782.4122136823578</v>
      </c>
      <c r="M39" s="753">
        <f t="shared" si="83"/>
        <v>13716.994842381313</v>
      </c>
      <c r="N39" s="810">
        <f t="shared" si="84"/>
        <v>41531.932717396339</v>
      </c>
      <c r="O39" s="810">
        <f t="shared" si="85"/>
        <v>1330.8677862161605</v>
      </c>
      <c r="P39" s="810">
        <f t="shared" si="88"/>
        <v>65304.626169243747</v>
      </c>
      <c r="Q39" s="206">
        <f t="shared" si="89"/>
        <v>146.73153531149478</v>
      </c>
      <c r="R39" s="206">
        <f t="shared" si="86"/>
        <v>124.38674793796666</v>
      </c>
      <c r="S39" s="207">
        <f>N39/P39</f>
        <v>0.63597229099454622</v>
      </c>
      <c r="T39" s="746">
        <f t="shared" si="87"/>
        <v>0.17775546849662321</v>
      </c>
      <c r="U39" s="13"/>
      <c r="V39" s="131"/>
      <c r="W39" s="131"/>
      <c r="X39" s="485"/>
      <c r="Y39" s="485"/>
      <c r="Z39" s="133"/>
      <c r="AA39" s="133"/>
      <c r="AB39" s="133"/>
      <c r="AC39" s="117"/>
      <c r="AD39" s="131"/>
      <c r="AE39" s="131"/>
    </row>
    <row r="40" spans="1:31">
      <c r="A40" s="145" t="str">
        <f t="shared" si="74"/>
        <v>LIB-NMC</v>
      </c>
      <c r="B40" s="1105">
        <f t="shared" si="75"/>
        <v>26.576268165760755</v>
      </c>
      <c r="C40" s="1106">
        <f t="shared" si="76"/>
        <v>41.234446635081277</v>
      </c>
      <c r="D40" s="1106">
        <f>MIN(B40,C40)</f>
        <v>26.576268165760755</v>
      </c>
      <c r="E40" s="1106">
        <f t="shared" si="77"/>
        <v>10.991065713956193</v>
      </c>
      <c r="F40" s="1106">
        <f t="shared" si="78"/>
        <v>9.3424058568627633</v>
      </c>
      <c r="G40" s="176">
        <v>4</v>
      </c>
      <c r="H40" s="165">
        <f>F40/G40</f>
        <v>2.3356014642156908</v>
      </c>
      <c r="I40" s="1107">
        <f t="shared" si="61"/>
        <v>6200</v>
      </c>
      <c r="J40" s="1108">
        <f t="shared" si="80"/>
        <v>600.23599744221303</v>
      </c>
      <c r="K40" s="1108">
        <f t="shared" si="81"/>
        <v>125.37175002557797</v>
      </c>
      <c r="L40" s="1108">
        <f t="shared" si="82"/>
        <v>1737.7987084938175</v>
      </c>
      <c r="M40" s="1108">
        <f t="shared" si="83"/>
        <v>15198.678501160462</v>
      </c>
      <c r="N40" s="1107">
        <f t="shared" si="84"/>
        <v>30809.877217937097</v>
      </c>
      <c r="O40" s="1107">
        <f t="shared" si="85"/>
        <v>1297.556369008717</v>
      </c>
      <c r="P40" s="1107">
        <f t="shared" si="88"/>
        <v>55969.518544067883</v>
      </c>
      <c r="Q40" s="165">
        <f t="shared" si="89"/>
        <v>166.91953227196285</v>
      </c>
      <c r="R40" s="165">
        <f t="shared" si="86"/>
        <v>121.27336665505256</v>
      </c>
      <c r="S40" s="144">
        <f>N40/P40</f>
        <v>0.55047600943143338</v>
      </c>
      <c r="T40" s="166">
        <f t="shared" si="87"/>
        <v>0.17933443112705122</v>
      </c>
      <c r="U40" s="13"/>
      <c r="V40" s="131"/>
      <c r="W40" s="131"/>
      <c r="X40" s="202"/>
      <c r="Y40" s="131"/>
      <c r="Z40" s="131"/>
      <c r="AA40" s="131"/>
      <c r="AB40" s="131"/>
      <c r="AC40" s="131"/>
      <c r="AD40" s="131"/>
      <c r="AE40" s="131"/>
    </row>
    <row r="41" spans="1:31" ht="16.5" customHeight="1">
      <c r="A41" s="314" t="str">
        <f t="shared" si="74"/>
        <v>LIB-LFP</v>
      </c>
      <c r="B41" s="845">
        <f t="shared" si="75"/>
        <v>18.988259863682547</v>
      </c>
      <c r="C41" s="809">
        <f t="shared" si="76"/>
        <v>30.145416931650455</v>
      </c>
      <c r="D41" s="809">
        <f t="shared" ref="D41" si="90">MIN(B41,C41)</f>
        <v>18.988259863682547</v>
      </c>
      <c r="E41" s="809">
        <f t="shared" si="77"/>
        <v>7.8375517498770506</v>
      </c>
      <c r="F41" s="809">
        <f t="shared" si="78"/>
        <v>6.6619189873954925</v>
      </c>
      <c r="G41" s="466">
        <v>4</v>
      </c>
      <c r="H41" s="206">
        <f t="shared" ref="H41" si="91">F41/G41</f>
        <v>1.6654797468488731</v>
      </c>
      <c r="I41" s="810">
        <f t="shared" ref="I41" si="92">D$7</f>
        <v>6200</v>
      </c>
      <c r="J41" s="753">
        <f t="shared" si="80"/>
        <v>463.11727436005486</v>
      </c>
      <c r="K41" s="753">
        <f t="shared" si="81"/>
        <v>89.400573554066298</v>
      </c>
      <c r="L41" s="753">
        <f t="shared" si="82"/>
        <v>1239.1962402149354</v>
      </c>
      <c r="M41" s="753">
        <f t="shared" si="83"/>
        <v>14987.924680963388</v>
      </c>
      <c r="N41" s="810">
        <f t="shared" si="84"/>
        <v>29976.459048368437</v>
      </c>
      <c r="O41" s="810">
        <f t="shared" si="85"/>
        <v>925.26652602715171</v>
      </c>
      <c r="P41" s="810">
        <f t="shared" si="88"/>
        <v>53881.364343488036</v>
      </c>
      <c r="Q41" s="206">
        <f t="shared" si="89"/>
        <v>123.64050295620687</v>
      </c>
      <c r="R41" s="206">
        <f t="shared" si="86"/>
        <v>86.478082451448145</v>
      </c>
      <c r="S41" s="207">
        <f t="shared" ref="S41" si="93">N41/P41</f>
        <v>0.55634187095322352</v>
      </c>
      <c r="T41" s="746">
        <f t="shared" si="87"/>
        <v>0.18084670461912636</v>
      </c>
      <c r="U41" s="471"/>
      <c r="V41" s="131"/>
      <c r="W41" s="131"/>
      <c r="X41" s="486"/>
      <c r="Y41" s="485"/>
      <c r="Z41" s="133"/>
      <c r="AA41" s="133"/>
      <c r="AB41" s="133"/>
      <c r="AC41" s="117"/>
      <c r="AD41" s="131"/>
      <c r="AE41" s="131"/>
    </row>
    <row r="42" spans="1:31" ht="17" thickBot="1">
      <c r="A42" s="987" t="str">
        <f t="shared" si="74"/>
        <v>Li-DIB</v>
      </c>
      <c r="B42" s="1109">
        <f t="shared" si="75"/>
        <v>5.4660580388573541</v>
      </c>
      <c r="C42" s="1110">
        <f t="shared" si="76"/>
        <v>13.707410334757203</v>
      </c>
      <c r="D42" s="1110">
        <f>MIN(B42,C42)</f>
        <v>5.4660580388573541</v>
      </c>
      <c r="E42" s="1110">
        <f t="shared" si="77"/>
        <v>2.251070655563681</v>
      </c>
      <c r="F42" s="1110">
        <f t="shared" si="78"/>
        <v>1.9134100572291288</v>
      </c>
      <c r="G42" s="1111">
        <v>4</v>
      </c>
      <c r="H42" s="1112">
        <f>F42/G42</f>
        <v>0.47835251430728221</v>
      </c>
      <c r="I42" s="1113">
        <f t="shared" si="61"/>
        <v>6200</v>
      </c>
      <c r="J42" s="1114">
        <f t="shared" si="80"/>
        <v>218.77063902837543</v>
      </c>
      <c r="K42" s="1114">
        <f t="shared" si="81"/>
        <v>25.677279607280184</v>
      </c>
      <c r="L42" s="1114">
        <f t="shared" si="82"/>
        <v>355.91704933577546</v>
      </c>
      <c r="M42" s="1114">
        <f t="shared" si="83"/>
        <v>13434.990759909957</v>
      </c>
      <c r="N42" s="1113">
        <f t="shared" si="84"/>
        <v>15030.822679230052</v>
      </c>
      <c r="O42" s="1113">
        <f t="shared" si="85"/>
        <v>265.75139683737905</v>
      </c>
      <c r="P42" s="1113">
        <f t="shared" si="88"/>
        <v>35531.92980394882</v>
      </c>
      <c r="Q42" s="1112">
        <f t="shared" si="89"/>
        <v>53.850440091111608</v>
      </c>
      <c r="R42" s="1112">
        <f t="shared" si="86"/>
        <v>24.837893256516647</v>
      </c>
      <c r="S42" s="989">
        <f>N42/P42</f>
        <v>0.4230229757337754</v>
      </c>
      <c r="T42" s="1115">
        <f t="shared" si="87"/>
        <v>0.18428315206109336</v>
      </c>
      <c r="U42" s="131"/>
      <c r="V42" s="131"/>
      <c r="W42" s="11"/>
      <c r="X42" s="11"/>
      <c r="Y42" s="11"/>
    </row>
    <row r="43" spans="1:31" ht="16.5" customHeight="1">
      <c r="A43" s="98"/>
      <c r="B43" s="809"/>
      <c r="C43" s="809"/>
      <c r="D43" s="809"/>
      <c r="E43" s="809"/>
      <c r="F43" s="809"/>
      <c r="G43" s="466"/>
      <c r="H43" s="206"/>
      <c r="I43" s="810"/>
      <c r="J43" s="753"/>
      <c r="K43" s="753"/>
      <c r="L43" s="753"/>
      <c r="M43" s="753"/>
      <c r="N43" s="810"/>
      <c r="O43" s="810"/>
      <c r="P43" s="810"/>
      <c r="Q43" s="206"/>
      <c r="R43" s="206"/>
      <c r="S43" s="207"/>
      <c r="T43" s="207"/>
      <c r="U43" s="13"/>
      <c r="V43" s="131"/>
      <c r="W43" s="131"/>
      <c r="X43" s="552"/>
      <c r="Y43" s="553"/>
      <c r="Z43" s="133"/>
      <c r="AA43" s="133"/>
      <c r="AB43" s="133"/>
      <c r="AC43" s="201"/>
      <c r="AD43" s="131"/>
      <c r="AE43" s="131"/>
    </row>
    <row r="44" spans="1:31" ht="16.5" customHeight="1">
      <c r="A44" s="98"/>
      <c r="B44" s="809"/>
      <c r="C44" s="809"/>
      <c r="D44" s="809"/>
      <c r="E44" s="809"/>
      <c r="F44" s="809"/>
      <c r="G44" s="466"/>
      <c r="H44" s="206"/>
      <c r="I44" s="810"/>
      <c r="J44" s="753"/>
      <c r="K44" s="753"/>
      <c r="L44" s="753"/>
      <c r="M44" s="753"/>
      <c r="N44" s="810"/>
      <c r="O44" s="810"/>
      <c r="P44" s="810"/>
      <c r="Q44" s="206"/>
      <c r="R44" s="206"/>
      <c r="S44" s="207"/>
      <c r="T44" s="207"/>
      <c r="U44" s="13"/>
      <c r="V44" s="131"/>
      <c r="W44" s="131"/>
      <c r="X44" s="552"/>
      <c r="Y44" s="553"/>
      <c r="Z44" s="133"/>
      <c r="AA44" s="133"/>
      <c r="AB44" s="133"/>
      <c r="AC44" s="117"/>
      <c r="AD44" s="131"/>
      <c r="AE44" s="131"/>
    </row>
    <row r="45" spans="1:31" ht="16.5" customHeight="1">
      <c r="A45" s="98"/>
      <c r="B45" s="809"/>
      <c r="C45" s="809"/>
      <c r="D45" s="809"/>
      <c r="E45" s="809"/>
      <c r="F45" s="809"/>
      <c r="G45" s="466"/>
      <c r="H45" s="206"/>
      <c r="I45" s="810"/>
      <c r="J45" s="753"/>
      <c r="K45" s="753"/>
      <c r="L45" s="753"/>
      <c r="M45" s="753"/>
      <c r="N45" s="810"/>
      <c r="O45" s="810"/>
      <c r="P45" s="810"/>
      <c r="Q45" s="206"/>
      <c r="R45" s="206"/>
      <c r="S45" s="207"/>
      <c r="T45" s="207"/>
      <c r="U45" s="13"/>
      <c r="V45" s="131"/>
      <c r="W45" s="131"/>
      <c r="X45" s="486"/>
      <c r="Y45" s="485"/>
      <c r="Z45" s="133"/>
      <c r="AA45" s="133"/>
      <c r="AB45" s="133"/>
      <c r="AC45" s="117"/>
      <c r="AD45" s="131"/>
      <c r="AE45" s="131"/>
    </row>
    <row r="46" spans="1:31" ht="17" thickBot="1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754"/>
      <c r="N46" s="754"/>
      <c r="O46" s="118"/>
      <c r="P46" s="118"/>
      <c r="Q46" s="118"/>
      <c r="R46" s="118"/>
      <c r="S46" s="118"/>
      <c r="T46" s="118"/>
      <c r="U46" s="131"/>
      <c r="V46" s="131"/>
      <c r="W46" s="131"/>
      <c r="X46" s="177"/>
      <c r="Y46" s="10"/>
      <c r="Z46" s="203"/>
      <c r="AA46" s="10"/>
      <c r="AB46" s="10"/>
      <c r="AC46" s="131"/>
      <c r="AD46" s="131"/>
      <c r="AE46" s="131"/>
    </row>
    <row r="47" spans="1:31" ht="15.75" customHeight="1">
      <c r="A47" s="724" t="s">
        <v>387</v>
      </c>
      <c r="B47" s="547" t="s">
        <v>388</v>
      </c>
      <c r="C47" s="547" t="s">
        <v>293</v>
      </c>
      <c r="D47" s="547" t="s">
        <v>410</v>
      </c>
      <c r="E47" s="547" t="s">
        <v>389</v>
      </c>
      <c r="F47" s="547" t="s">
        <v>391</v>
      </c>
      <c r="G47" s="547" t="s">
        <v>392</v>
      </c>
      <c r="H47" s="547" t="s">
        <v>1480</v>
      </c>
      <c r="I47" s="547" t="s">
        <v>304</v>
      </c>
      <c r="J47" s="547" t="s">
        <v>395</v>
      </c>
      <c r="K47" s="547" t="s">
        <v>396</v>
      </c>
      <c r="L47" s="547" t="s">
        <v>393</v>
      </c>
      <c r="M47" s="547" t="s">
        <v>394</v>
      </c>
      <c r="N47" s="547" t="s">
        <v>391</v>
      </c>
      <c r="O47" s="547" t="s">
        <v>392</v>
      </c>
      <c r="P47" s="547" t="s">
        <v>1480</v>
      </c>
      <c r="Q47" s="547" t="s">
        <v>304</v>
      </c>
      <c r="R47" s="547" t="s">
        <v>395</v>
      </c>
      <c r="S47" s="547" t="s">
        <v>396</v>
      </c>
      <c r="T47" s="547" t="s">
        <v>393</v>
      </c>
      <c r="U47" s="547" t="s">
        <v>394</v>
      </c>
      <c r="V47" s="840" t="s">
        <v>400</v>
      </c>
      <c r="W47" s="131"/>
      <c r="X47" s="177"/>
      <c r="Y47" s="10"/>
      <c r="Z47" s="203"/>
      <c r="AA47" s="10"/>
      <c r="AB47" s="10"/>
      <c r="AC47" s="131"/>
      <c r="AD47" s="131"/>
      <c r="AE47" s="131"/>
    </row>
    <row r="48" spans="1:31" ht="16.5" customHeight="1">
      <c r="A48" s="725"/>
      <c r="B48" s="548"/>
      <c r="C48" s="548"/>
      <c r="D48" s="548"/>
      <c r="E48" s="548"/>
      <c r="F48" s="548"/>
      <c r="G48" s="548"/>
      <c r="H48" s="548"/>
      <c r="I48" s="548"/>
      <c r="J48" s="548"/>
      <c r="K48" s="548"/>
      <c r="L48" s="548"/>
      <c r="M48" s="548"/>
      <c r="N48" s="548"/>
      <c r="O48" s="548"/>
      <c r="P48" s="548"/>
      <c r="Q48" s="548"/>
      <c r="R48" s="548"/>
      <c r="S48" s="548"/>
      <c r="T48" s="548"/>
      <c r="U48" s="548"/>
      <c r="V48" s="841"/>
      <c r="W48" s="131"/>
      <c r="X48" s="177"/>
      <c r="Y48" s="10"/>
      <c r="Z48" s="203"/>
      <c r="AA48" s="10"/>
      <c r="AB48" s="10"/>
      <c r="AC48" s="131"/>
      <c r="AD48" s="131"/>
      <c r="AE48" s="131"/>
    </row>
    <row r="49" spans="1:31" ht="16.5" customHeight="1">
      <c r="A49" s="725"/>
      <c r="B49" s="548"/>
      <c r="C49" s="548"/>
      <c r="D49" s="548"/>
      <c r="E49" s="548"/>
      <c r="F49" s="548"/>
      <c r="G49" s="548"/>
      <c r="H49" s="548"/>
      <c r="I49" s="548"/>
      <c r="J49" s="548"/>
      <c r="K49" s="548"/>
      <c r="L49" s="548"/>
      <c r="M49" s="548"/>
      <c r="N49" s="548"/>
      <c r="O49" s="548"/>
      <c r="P49" s="548"/>
      <c r="Q49" s="548"/>
      <c r="R49" s="548"/>
      <c r="S49" s="548"/>
      <c r="T49" s="548"/>
      <c r="U49" s="548"/>
      <c r="V49" s="841"/>
      <c r="W49" s="131"/>
      <c r="X49" s="177"/>
      <c r="Y49" s="10"/>
      <c r="Z49" s="203"/>
      <c r="AA49" s="10"/>
      <c r="AB49" s="10"/>
      <c r="AC49" s="131"/>
      <c r="AD49" s="131"/>
      <c r="AE49" s="131"/>
    </row>
    <row r="50" spans="1:31" ht="16.5" customHeight="1">
      <c r="A50" s="725"/>
      <c r="B50" s="548"/>
      <c r="C50" s="548"/>
      <c r="D50" s="548"/>
      <c r="E50" s="548"/>
      <c r="F50" s="548"/>
      <c r="G50" s="548"/>
      <c r="H50" s="548"/>
      <c r="I50" s="548"/>
      <c r="J50" s="548"/>
      <c r="K50" s="548"/>
      <c r="L50" s="548"/>
      <c r="M50" s="548"/>
      <c r="N50" s="548"/>
      <c r="O50" s="548"/>
      <c r="P50" s="548"/>
      <c r="Q50" s="548"/>
      <c r="R50" s="548"/>
      <c r="S50" s="548"/>
      <c r="T50" s="548"/>
      <c r="U50" s="548"/>
      <c r="V50" s="841"/>
      <c r="W50" s="131"/>
      <c r="X50" s="177"/>
      <c r="Y50" s="10"/>
      <c r="Z50" s="203"/>
      <c r="AA50" s="10"/>
      <c r="AB50" s="10"/>
      <c r="AC50" s="131"/>
      <c r="AD50" s="131"/>
      <c r="AE50" s="131"/>
    </row>
    <row r="51" spans="1:31" ht="16.5" customHeight="1">
      <c r="A51" s="725"/>
      <c r="B51" s="548"/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8"/>
      <c r="P51" s="548"/>
      <c r="Q51" s="548"/>
      <c r="R51" s="548"/>
      <c r="S51" s="548"/>
      <c r="T51" s="548"/>
      <c r="U51" s="548"/>
      <c r="V51" s="841"/>
      <c r="W51" s="131"/>
      <c r="X51" s="177"/>
      <c r="Y51" s="10"/>
      <c r="Z51" s="203"/>
      <c r="AA51" s="10"/>
      <c r="AB51" s="10"/>
      <c r="AC51" s="131"/>
      <c r="AD51" s="131"/>
      <c r="AE51" s="131"/>
    </row>
    <row r="52" spans="1:31" ht="16.5" customHeight="1">
      <c r="A52" s="726"/>
      <c r="B52" s="466" t="s">
        <v>295</v>
      </c>
      <c r="C52" s="466"/>
      <c r="D52" s="466" t="s">
        <v>248</v>
      </c>
      <c r="E52" s="466"/>
      <c r="F52" s="466" t="s">
        <v>249</v>
      </c>
      <c r="G52" s="466" t="s">
        <v>249</v>
      </c>
      <c r="H52" s="466" t="s">
        <v>249</v>
      </c>
      <c r="I52" s="466" t="s">
        <v>249</v>
      </c>
      <c r="J52" s="466" t="s">
        <v>249</v>
      </c>
      <c r="K52" s="466" t="s">
        <v>249</v>
      </c>
      <c r="L52" s="466" t="s">
        <v>249</v>
      </c>
      <c r="M52" s="466" t="s">
        <v>249</v>
      </c>
      <c r="N52" s="466" t="s">
        <v>220</v>
      </c>
      <c r="O52" s="466" t="s">
        <v>220</v>
      </c>
      <c r="P52" s="466" t="s">
        <v>220</v>
      </c>
      <c r="Q52" s="466" t="s">
        <v>220</v>
      </c>
      <c r="R52" s="466" t="s">
        <v>220</v>
      </c>
      <c r="S52" s="466" t="s">
        <v>220</v>
      </c>
      <c r="T52" s="466" t="s">
        <v>220</v>
      </c>
      <c r="U52" s="466" t="s">
        <v>220</v>
      </c>
      <c r="V52" s="841"/>
      <c r="W52" s="131"/>
      <c r="X52" s="177"/>
      <c r="Y52" s="10"/>
      <c r="Z52" s="203"/>
      <c r="AA52" s="10"/>
      <c r="AB52" s="10"/>
      <c r="AC52" s="131"/>
      <c r="AD52" s="131"/>
      <c r="AE52" s="131"/>
    </row>
    <row r="53" spans="1:31" ht="15.75" customHeight="1">
      <c r="A53" s="145" t="str">
        <f t="shared" ref="A53:A55" si="94">A34</f>
        <v>Al-gra</v>
      </c>
      <c r="B53" s="1116">
        <v>60</v>
      </c>
      <c r="C53" s="1117">
        <v>4</v>
      </c>
      <c r="D53" s="1117">
        <f t="shared" ref="D53:D55" si="95">B53*C53</f>
        <v>240</v>
      </c>
      <c r="E53" s="1075">
        <f t="shared" ref="E53:E55" si="96">D53/F34</f>
        <v>317.23092807346222</v>
      </c>
      <c r="F53" s="1118">
        <f t="shared" ref="F53:F55" si="97">1000*B53*E$7+F$7*E53</f>
        <v>2513923.7814862775</v>
      </c>
      <c r="G53" s="1118">
        <f>1000*B53*E$8+F$12*D53</f>
        <v>9190374.9686514791</v>
      </c>
      <c r="H53" s="1118">
        <f t="shared" ref="H53:H55" si="98">E53*D34*(P19+Q19)</f>
        <v>30808026.572274305</v>
      </c>
      <c r="I53" s="1118">
        <f t="shared" ref="I53:I55" si="99">E53*D34*O19</f>
        <v>29345896.436231997</v>
      </c>
      <c r="J53" s="1119">
        <f t="shared" ref="J53:J55" si="100">1000*B53*E$9+F$9*E53</f>
        <v>15881811.670379577</v>
      </c>
      <c r="K53" s="1118">
        <f t="shared" ref="K53:K55" si="101">1000*B53*E$6</f>
        <v>4599139.3534425478</v>
      </c>
      <c r="L53" s="1118">
        <f t="shared" ref="L53:L55" si="102">H72</f>
        <v>24411301.183181711</v>
      </c>
      <c r="M53" s="1118">
        <f t="shared" ref="M53:M55" si="103">SUM(F53:L53)</f>
        <v>116750473.96564791</v>
      </c>
      <c r="N53" s="1075">
        <f t="shared" ref="N53:N55" si="104">F53/(1000*$D53)</f>
        <v>10.474682422859489</v>
      </c>
      <c r="O53" s="1075">
        <f t="shared" ref="O53:O55" si="105">G53/(1000*$D53)</f>
        <v>38.293229036047826</v>
      </c>
      <c r="P53" s="1075">
        <f t="shared" ref="P53:P55" si="106">H53/(1000*$D53)</f>
        <v>128.36677738447628</v>
      </c>
      <c r="Q53" s="1075">
        <f t="shared" ref="Q53:Q55" si="107">I53/(1000*$D53)</f>
        <v>122.27456848429999</v>
      </c>
      <c r="R53" s="1075">
        <f t="shared" ref="R53:R55" si="108">J53/(1000*$D53)</f>
        <v>66.174215293248238</v>
      </c>
      <c r="S53" s="1075">
        <f t="shared" ref="S53:S55" si="109">K53/(1000*$D53)</f>
        <v>19.163080639343949</v>
      </c>
      <c r="T53" s="1075">
        <f t="shared" ref="T53:T55" si="110">L53/(1000*$D53)</f>
        <v>101.71375492992379</v>
      </c>
      <c r="U53" s="1075">
        <f t="shared" ref="U53:U55" si="111">M53/(1000*$D53)</f>
        <v>486.46030819019961</v>
      </c>
      <c r="V53" s="1120">
        <f t="shared" ref="V53:V55" si="112">I53/M53</f>
        <v>0.25135569423783743</v>
      </c>
      <c r="W53" s="131"/>
      <c r="X53" s="177"/>
      <c r="Y53" s="10"/>
      <c r="Z53" s="204"/>
      <c r="AA53" s="10"/>
      <c r="AB53" s="10"/>
      <c r="AC53" s="131"/>
      <c r="AD53" s="131"/>
      <c r="AE53" s="131"/>
    </row>
    <row r="54" spans="1:31">
      <c r="A54" s="314" t="str">
        <f t="shared" si="94"/>
        <v>Al-PPQ</v>
      </c>
      <c r="B54" s="721">
        <v>60</v>
      </c>
      <c r="C54" s="798">
        <v>4</v>
      </c>
      <c r="D54" s="798">
        <f t="shared" si="95"/>
        <v>240</v>
      </c>
      <c r="E54" s="208">
        <f t="shared" si="96"/>
        <v>116.31800314617342</v>
      </c>
      <c r="F54" s="800">
        <f t="shared" si="97"/>
        <v>1221691.3592827122</v>
      </c>
      <c r="G54" s="800">
        <f t="shared" ref="G54:G55" si="113">1000*B54*E$8+F$12*D54</f>
        <v>9190374.9686514791</v>
      </c>
      <c r="H54" s="800">
        <f t="shared" si="98"/>
        <v>20089864.763052493</v>
      </c>
      <c r="I54" s="800">
        <f t="shared" si="99"/>
        <v>9150364.665259866</v>
      </c>
      <c r="J54" s="811">
        <f t="shared" si="100"/>
        <v>7094523.8778329808</v>
      </c>
      <c r="K54" s="800">
        <f t="shared" si="101"/>
        <v>4599139.3534425478</v>
      </c>
      <c r="L54" s="800">
        <f t="shared" si="102"/>
        <v>14497090.293071963</v>
      </c>
      <c r="M54" s="800">
        <f t="shared" si="103"/>
        <v>65843049.280594043</v>
      </c>
      <c r="N54" s="208">
        <f t="shared" si="104"/>
        <v>5.0903806636779674</v>
      </c>
      <c r="O54" s="208">
        <f t="shared" si="105"/>
        <v>38.293229036047826</v>
      </c>
      <c r="P54" s="208">
        <f t="shared" si="106"/>
        <v>83.707769846052059</v>
      </c>
      <c r="Q54" s="208">
        <f t="shared" si="107"/>
        <v>38.126519438582775</v>
      </c>
      <c r="R54" s="208">
        <f t="shared" si="108"/>
        <v>29.560516157637419</v>
      </c>
      <c r="S54" s="208">
        <f t="shared" si="109"/>
        <v>19.163080639343949</v>
      </c>
      <c r="T54" s="208">
        <f t="shared" si="110"/>
        <v>60.404542887799849</v>
      </c>
      <c r="U54" s="208">
        <f t="shared" si="111"/>
        <v>274.34603866914182</v>
      </c>
      <c r="V54" s="842">
        <f t="shared" si="112"/>
        <v>0.13897237089164943</v>
      </c>
      <c r="W54" s="131"/>
      <c r="X54" s="177"/>
      <c r="Y54" s="10"/>
      <c r="Z54" s="203"/>
      <c r="AA54" s="10"/>
      <c r="AB54" s="10"/>
      <c r="AC54" s="131"/>
      <c r="AD54" s="131"/>
      <c r="AE54" s="131"/>
    </row>
    <row r="55" spans="1:31">
      <c r="A55" s="145" t="str">
        <f t="shared" si="94"/>
        <v>Al-PBQS</v>
      </c>
      <c r="B55" s="1121">
        <v>60</v>
      </c>
      <c r="C55" s="1122">
        <v>4</v>
      </c>
      <c r="D55" s="1122">
        <f t="shared" si="95"/>
        <v>240</v>
      </c>
      <c r="E55" s="1084">
        <f t="shared" si="96"/>
        <v>75.964725133767885</v>
      </c>
      <c r="F55" s="215">
        <f t="shared" si="97"/>
        <v>962147.01086064603</v>
      </c>
      <c r="G55" s="215">
        <f t="shared" si="113"/>
        <v>9190374.9686514791</v>
      </c>
      <c r="H55" s="215">
        <f t="shared" si="98"/>
        <v>15032435.312400835</v>
      </c>
      <c r="I55" s="215">
        <f t="shared" si="99"/>
        <v>5736894.8919963436</v>
      </c>
      <c r="J55" s="1123">
        <f t="shared" si="100"/>
        <v>5329600.753071446</v>
      </c>
      <c r="K55" s="215">
        <f t="shared" si="101"/>
        <v>4599139.3534425478</v>
      </c>
      <c r="L55" s="215">
        <f t="shared" si="102"/>
        <v>12131481.236731019</v>
      </c>
      <c r="M55" s="215">
        <f t="shared" si="103"/>
        <v>52982073.527154312</v>
      </c>
      <c r="N55" s="1084">
        <f t="shared" si="104"/>
        <v>4.008945878586025</v>
      </c>
      <c r="O55" s="1084">
        <f t="shared" si="105"/>
        <v>38.293229036047826</v>
      </c>
      <c r="P55" s="1084">
        <f t="shared" si="106"/>
        <v>62.635147135003479</v>
      </c>
      <c r="Q55" s="1084">
        <f t="shared" si="107"/>
        <v>23.903728716651433</v>
      </c>
      <c r="R55" s="1084">
        <f t="shared" si="108"/>
        <v>22.206669804464358</v>
      </c>
      <c r="S55" s="1084">
        <f t="shared" si="109"/>
        <v>19.163080639343949</v>
      </c>
      <c r="T55" s="1084">
        <f t="shared" si="110"/>
        <v>50.547838486379248</v>
      </c>
      <c r="U55" s="1084">
        <f t="shared" si="111"/>
        <v>220.75863969647631</v>
      </c>
      <c r="V55" s="1124">
        <f t="shared" si="112"/>
        <v>0.10827992394552238</v>
      </c>
      <c r="W55" s="11"/>
      <c r="X55" s="11"/>
      <c r="Y55" s="11"/>
    </row>
    <row r="56" spans="1:31">
      <c r="A56" s="314" t="str">
        <f t="shared" ref="A56:A61" si="114">A37</f>
        <v>Al-TiO2</v>
      </c>
      <c r="B56" s="721">
        <v>60</v>
      </c>
      <c r="C56" s="798">
        <v>4</v>
      </c>
      <c r="D56" s="798">
        <f>B56*C56</f>
        <v>240</v>
      </c>
      <c r="E56" s="208">
        <f t="shared" ref="E56:E61" si="115">D56/F37</f>
        <v>135.53713790811742</v>
      </c>
      <c r="F56" s="800">
        <f t="shared" ref="F56:F61" si="116">1000*B56*E$7+F$7*E56</f>
        <v>1345305.0544945644</v>
      </c>
      <c r="G56" s="800">
        <f t="shared" ref="G56:G61" si="117">1000*B56*E$8+F$12*D56</f>
        <v>9190374.9686514791</v>
      </c>
      <c r="H56" s="800">
        <f t="shared" ref="H56:H61" si="118">E56*D37*(P22+Q22)</f>
        <v>28630142.525685702</v>
      </c>
      <c r="I56" s="800">
        <f t="shared" ref="I56:I61" si="119">E56*D37*O22</f>
        <v>17207218.354913309</v>
      </c>
      <c r="J56" s="811">
        <f t="shared" ref="J56:J61" si="120">1000*B56*E$9+F$9*E56</f>
        <v>7935107.2715497278</v>
      </c>
      <c r="K56" s="800">
        <f t="shared" ref="K56:K61" si="121">1000*B56*E$6</f>
        <v>4599139.3534425478</v>
      </c>
      <c r="L56" s="800">
        <f t="shared" ref="L56:L61" si="122">H75</f>
        <v>17702887.040118057</v>
      </c>
      <c r="M56" s="800">
        <f>SUM(F56:L56)</f>
        <v>86610174.56885539</v>
      </c>
      <c r="N56" s="208">
        <f t="shared" ref="N56:U61" si="123">F56/(1000*$D56)</f>
        <v>5.6054377270606848</v>
      </c>
      <c r="O56" s="208">
        <f t="shared" si="123"/>
        <v>38.293229036047826</v>
      </c>
      <c r="P56" s="208">
        <f t="shared" si="123"/>
        <v>119.29226052369042</v>
      </c>
      <c r="Q56" s="208">
        <f t="shared" si="123"/>
        <v>71.696743145472126</v>
      </c>
      <c r="R56" s="208">
        <f t="shared" si="123"/>
        <v>33.062946964790534</v>
      </c>
      <c r="S56" s="208">
        <f t="shared" si="123"/>
        <v>19.163080639343949</v>
      </c>
      <c r="T56" s="208">
        <f t="shared" si="123"/>
        <v>73.76202933382524</v>
      </c>
      <c r="U56" s="208">
        <f t="shared" si="123"/>
        <v>360.87572737023078</v>
      </c>
      <c r="V56" s="842">
        <f>I56/M56</f>
        <v>0.19867432943728236</v>
      </c>
      <c r="W56" s="131"/>
      <c r="X56" s="131"/>
      <c r="Y56" s="131"/>
      <c r="Z56" s="131"/>
      <c r="AA56" s="131"/>
      <c r="AB56" s="131"/>
      <c r="AC56" s="131"/>
      <c r="AD56" s="131"/>
      <c r="AE56" s="131"/>
    </row>
    <row r="57" spans="1:31">
      <c r="A57" s="145" t="str">
        <f t="shared" si="114"/>
        <v>Al-V2C</v>
      </c>
      <c r="B57" s="1121">
        <v>60</v>
      </c>
      <c r="C57" s="1122">
        <v>4</v>
      </c>
      <c r="D57" s="1122">
        <f>B57*C57</f>
        <v>240</v>
      </c>
      <c r="E57" s="1084">
        <f t="shared" si="115"/>
        <v>88.216789147396824</v>
      </c>
      <c r="F57" s="215">
        <f t="shared" si="116"/>
        <v>1040949.8771424182</v>
      </c>
      <c r="G57" s="215">
        <f t="shared" si="117"/>
        <v>9190374.9686514791</v>
      </c>
      <c r="H57" s="215">
        <f t="shared" si="118"/>
        <v>21905136.122375693</v>
      </c>
      <c r="I57" s="215">
        <f t="shared" si="119"/>
        <v>41876091.485818356</v>
      </c>
      <c r="J57" s="1123">
        <f t="shared" si="120"/>
        <v>5865466.7884667516</v>
      </c>
      <c r="K57" s="215">
        <f t="shared" si="121"/>
        <v>4599139.3534425478</v>
      </c>
      <c r="L57" s="215">
        <f t="shared" si="122"/>
        <v>19542541.37348073</v>
      </c>
      <c r="M57" s="215">
        <f>SUM(F57:L57)</f>
        <v>104019699.96937799</v>
      </c>
      <c r="N57" s="1084">
        <f t="shared" si="123"/>
        <v>4.3372911547600754</v>
      </c>
      <c r="O57" s="1084">
        <f t="shared" si="123"/>
        <v>38.293229036047826</v>
      </c>
      <c r="P57" s="1084">
        <f t="shared" si="123"/>
        <v>91.271400509898726</v>
      </c>
      <c r="Q57" s="1084">
        <f t="shared" si="123"/>
        <v>174.48371452424314</v>
      </c>
      <c r="R57" s="1084">
        <f t="shared" si="123"/>
        <v>24.439444951944797</v>
      </c>
      <c r="S57" s="1084">
        <f t="shared" si="123"/>
        <v>19.163080639343949</v>
      </c>
      <c r="T57" s="1084">
        <f t="shared" si="123"/>
        <v>81.427255722836378</v>
      </c>
      <c r="U57" s="1084">
        <f t="shared" si="123"/>
        <v>433.41541653907495</v>
      </c>
      <c r="V57" s="1124">
        <f>I57/M57</f>
        <v>0.40257846829154587</v>
      </c>
      <c r="W57" s="131"/>
      <c r="X57" s="131"/>
      <c r="Y57" s="131"/>
      <c r="Z57" s="131"/>
      <c r="AA57" s="131"/>
    </row>
    <row r="58" spans="1:31">
      <c r="A58" s="314" t="str">
        <f t="shared" si="114"/>
        <v>Al-MnO2</v>
      </c>
      <c r="B58" s="721">
        <v>60</v>
      </c>
      <c r="C58" s="798">
        <v>4</v>
      </c>
      <c r="D58" s="798">
        <f>B58*C58</f>
        <v>240</v>
      </c>
      <c r="E58" s="208">
        <f t="shared" si="115"/>
        <v>25.046314651663909</v>
      </c>
      <c r="F58" s="800">
        <f t="shared" si="116"/>
        <v>634649.80810050829</v>
      </c>
      <c r="G58" s="800">
        <f t="shared" si="117"/>
        <v>9190374.9686514791</v>
      </c>
      <c r="H58" s="800">
        <f t="shared" si="118"/>
        <v>10703239.954416452</v>
      </c>
      <c r="I58" s="800">
        <f t="shared" si="119"/>
        <v>5544398.4810496131</v>
      </c>
      <c r="J58" s="811">
        <f t="shared" si="120"/>
        <v>3102592.5752391964</v>
      </c>
      <c r="K58" s="800">
        <f t="shared" si="121"/>
        <v>4599139.3534425478</v>
      </c>
      <c r="L58" s="800">
        <f t="shared" si="122"/>
        <v>10167160.451550886</v>
      </c>
      <c r="M58" s="800">
        <f>SUM(F58:L58)</f>
        <v>43941555.592450686</v>
      </c>
      <c r="N58" s="208">
        <f t="shared" si="123"/>
        <v>2.6443742004187847</v>
      </c>
      <c r="O58" s="208">
        <f t="shared" si="123"/>
        <v>38.293229036047826</v>
      </c>
      <c r="P58" s="208">
        <f t="shared" si="123"/>
        <v>44.596833143401881</v>
      </c>
      <c r="Q58" s="208">
        <f t="shared" si="123"/>
        <v>23.101660337706722</v>
      </c>
      <c r="R58" s="208">
        <f t="shared" si="123"/>
        <v>12.927469063496652</v>
      </c>
      <c r="S58" s="208">
        <f t="shared" si="123"/>
        <v>19.163080639343949</v>
      </c>
      <c r="T58" s="208">
        <f t="shared" si="123"/>
        <v>42.363168548128691</v>
      </c>
      <c r="U58" s="208">
        <f t="shared" si="123"/>
        <v>183.08981496854452</v>
      </c>
      <c r="V58" s="842">
        <f>I58/M58</f>
        <v>0.12617665456527807</v>
      </c>
      <c r="W58" s="131"/>
      <c r="X58" s="131"/>
      <c r="Y58" s="131"/>
      <c r="Z58" s="131"/>
      <c r="AA58" s="131"/>
    </row>
    <row r="59" spans="1:31">
      <c r="A59" s="145" t="str">
        <f t="shared" si="114"/>
        <v>LIB-NMC</v>
      </c>
      <c r="B59" s="1121">
        <v>60</v>
      </c>
      <c r="C59" s="1122">
        <v>4</v>
      </c>
      <c r="D59" s="1122">
        <f>B59*C59</f>
        <v>240</v>
      </c>
      <c r="E59" s="1084">
        <f t="shared" si="115"/>
        <v>25.68931425984885</v>
      </c>
      <c r="F59" s="215">
        <f t="shared" si="116"/>
        <v>638785.45512999373</v>
      </c>
      <c r="G59" s="215">
        <f t="shared" si="117"/>
        <v>9190374.9686514791</v>
      </c>
      <c r="H59" s="215">
        <f t="shared" si="118"/>
        <v>9162089.2812672425</v>
      </c>
      <c r="I59" s="215">
        <f t="shared" si="119"/>
        <v>14062311.193364082</v>
      </c>
      <c r="J59" s="1123">
        <f t="shared" si="120"/>
        <v>3130715.3185104951</v>
      </c>
      <c r="K59" s="215">
        <f t="shared" si="121"/>
        <v>4599139.3534425478</v>
      </c>
      <c r="L59" s="215">
        <f t="shared" si="122"/>
        <v>11337170.02040877</v>
      </c>
      <c r="M59" s="215">
        <f>SUM(F59:L59)</f>
        <v>52120585.590774618</v>
      </c>
      <c r="N59" s="1084">
        <f t="shared" si="123"/>
        <v>2.6616060630416407</v>
      </c>
      <c r="O59" s="1084">
        <f t="shared" si="123"/>
        <v>38.293229036047826</v>
      </c>
      <c r="P59" s="1084">
        <f t="shared" si="123"/>
        <v>38.175372005280174</v>
      </c>
      <c r="Q59" s="1084">
        <f t="shared" si="123"/>
        <v>58.592963305683675</v>
      </c>
      <c r="R59" s="1084">
        <f t="shared" si="123"/>
        <v>13.044647160460396</v>
      </c>
      <c r="S59" s="1084">
        <f t="shared" si="123"/>
        <v>19.163080639343949</v>
      </c>
      <c r="T59" s="1084">
        <f t="shared" si="123"/>
        <v>47.238208418369872</v>
      </c>
      <c r="U59" s="1084">
        <f t="shared" si="123"/>
        <v>217.16910662822758</v>
      </c>
      <c r="V59" s="1124">
        <f>I59/M59</f>
        <v>0.26980339982697971</v>
      </c>
      <c r="W59" s="131"/>
      <c r="X59" s="131"/>
      <c r="Y59" s="131"/>
      <c r="Z59" s="131"/>
      <c r="AA59" s="131"/>
    </row>
    <row r="60" spans="1:31">
      <c r="A60" s="314" t="str">
        <f t="shared" si="114"/>
        <v>LIB-LFP</v>
      </c>
      <c r="B60" s="721">
        <v>60</v>
      </c>
      <c r="C60" s="798">
        <v>4</v>
      </c>
      <c r="D60" s="798">
        <f t="shared" ref="D60" si="124">B60*C60</f>
        <v>240</v>
      </c>
      <c r="E60" s="208">
        <f t="shared" si="115"/>
        <v>36.02565573884727</v>
      </c>
      <c r="F60" s="800">
        <f t="shared" si="116"/>
        <v>705266.7708092276</v>
      </c>
      <c r="G60" s="800">
        <f t="shared" si="117"/>
        <v>9190374.9686514791</v>
      </c>
      <c r="H60" s="800">
        <f t="shared" si="118"/>
        <v>10325650.204518901</v>
      </c>
      <c r="I60" s="800">
        <f t="shared" si="119"/>
        <v>11199676.207165629</v>
      </c>
      <c r="J60" s="811">
        <f t="shared" si="120"/>
        <v>3582793.7864879384</v>
      </c>
      <c r="K60" s="800">
        <f t="shared" si="121"/>
        <v>4599139.3534425478</v>
      </c>
      <c r="L60" s="800">
        <f t="shared" si="122"/>
        <v>11302815.075904232</v>
      </c>
      <c r="M60" s="800">
        <f t="shared" ref="M60" si="125">SUM(F60:L60)</f>
        <v>50905716.366979957</v>
      </c>
      <c r="N60" s="208">
        <f t="shared" si="123"/>
        <v>2.9386115450384485</v>
      </c>
      <c r="O60" s="208">
        <f t="shared" si="123"/>
        <v>38.293229036047826</v>
      </c>
      <c r="P60" s="208">
        <f t="shared" si="123"/>
        <v>43.023542518828755</v>
      </c>
      <c r="Q60" s="208">
        <f t="shared" si="123"/>
        <v>46.665317529856786</v>
      </c>
      <c r="R60" s="208">
        <f t="shared" si="123"/>
        <v>14.928307443699744</v>
      </c>
      <c r="S60" s="208">
        <f t="shared" si="123"/>
        <v>19.163080639343949</v>
      </c>
      <c r="T60" s="208">
        <f t="shared" si="123"/>
        <v>47.095062816267628</v>
      </c>
      <c r="U60" s="208">
        <f t="shared" si="123"/>
        <v>212.10715152908315</v>
      </c>
      <c r="V60" s="842">
        <f t="shared" ref="V60" si="126">I60/M60</f>
        <v>0.22000822317138258</v>
      </c>
      <c r="W60" s="131"/>
      <c r="X60" s="177"/>
      <c r="Y60" s="10"/>
      <c r="Z60" s="203"/>
      <c r="AA60" s="10"/>
      <c r="AB60" s="10"/>
      <c r="AC60" s="131"/>
      <c r="AD60" s="131"/>
      <c r="AE60" s="131"/>
    </row>
    <row r="61" spans="1:31" ht="17" thickBot="1">
      <c r="A61" s="987" t="str">
        <f t="shared" si="114"/>
        <v>Li-DIB</v>
      </c>
      <c r="B61" s="1125">
        <v>60</v>
      </c>
      <c r="C61" s="1126">
        <v>4</v>
      </c>
      <c r="D61" s="1126">
        <f>B61*C61</f>
        <v>240</v>
      </c>
      <c r="E61" s="1093">
        <f t="shared" si="115"/>
        <v>125.43051035675634</v>
      </c>
      <c r="F61" s="1127">
        <f t="shared" si="116"/>
        <v>1280301.2136230469</v>
      </c>
      <c r="G61" s="1127">
        <f t="shared" si="117"/>
        <v>9190374.9686514791</v>
      </c>
      <c r="H61" s="1127">
        <f t="shared" si="118"/>
        <v>17532326.445090652</v>
      </c>
      <c r="I61" s="1127">
        <f t="shared" si="119"/>
        <v>27183932.997248337</v>
      </c>
      <c r="J61" s="1128">
        <f t="shared" si="120"/>
        <v>7493075.7549709361</v>
      </c>
      <c r="K61" s="1127">
        <f t="shared" si="121"/>
        <v>4599139.3534425478</v>
      </c>
      <c r="L61" s="1127">
        <f t="shared" si="122"/>
        <v>17275988.729523793</v>
      </c>
      <c r="M61" s="1127">
        <f>SUM(F61:L61)</f>
        <v>84555139.462550789</v>
      </c>
      <c r="N61" s="1093">
        <f t="shared" si="123"/>
        <v>5.3345883900960285</v>
      </c>
      <c r="O61" s="1093">
        <f t="shared" si="123"/>
        <v>38.293229036047826</v>
      </c>
      <c r="P61" s="1093">
        <f t="shared" si="123"/>
        <v>73.051360187877719</v>
      </c>
      <c r="Q61" s="1093">
        <f t="shared" si="123"/>
        <v>113.26638748853473</v>
      </c>
      <c r="R61" s="1093">
        <f t="shared" si="123"/>
        <v>31.221148979045566</v>
      </c>
      <c r="S61" s="1093">
        <f t="shared" si="123"/>
        <v>19.163080639343949</v>
      </c>
      <c r="T61" s="1093">
        <f t="shared" si="123"/>
        <v>71.983286373015801</v>
      </c>
      <c r="U61" s="1093">
        <f t="shared" si="123"/>
        <v>352.31308109396161</v>
      </c>
      <c r="V61" s="1129">
        <f>I61/M61</f>
        <v>0.32149356230780052</v>
      </c>
      <c r="W61" s="11"/>
      <c r="X61" s="11"/>
      <c r="Y61" s="11"/>
    </row>
    <row r="62" spans="1:31">
      <c r="A62" s="98"/>
      <c r="B62" s="466"/>
      <c r="C62" s="798"/>
      <c r="D62" s="798"/>
      <c r="E62" s="208"/>
      <c r="F62" s="800"/>
      <c r="G62" s="800"/>
      <c r="H62" s="800"/>
      <c r="I62" s="800"/>
      <c r="J62" s="811"/>
      <c r="K62" s="800"/>
      <c r="L62" s="800"/>
      <c r="M62" s="800"/>
      <c r="N62" s="208"/>
      <c r="O62" s="208"/>
      <c r="P62" s="208"/>
      <c r="Q62" s="208"/>
      <c r="R62" s="208"/>
      <c r="S62" s="208"/>
      <c r="T62" s="208"/>
      <c r="U62" s="208"/>
      <c r="V62" s="214"/>
      <c r="W62" s="131"/>
      <c r="X62" s="177"/>
      <c r="Y62" s="10"/>
      <c r="Z62" s="205"/>
      <c r="AA62" s="10"/>
      <c r="AB62" s="10"/>
      <c r="AC62" s="131"/>
      <c r="AD62" s="131"/>
      <c r="AE62" s="131"/>
    </row>
    <row r="63" spans="1:31">
      <c r="A63" s="98"/>
      <c r="B63" s="466"/>
      <c r="C63" s="798"/>
      <c r="D63" s="798"/>
      <c r="E63" s="208"/>
      <c r="F63" s="800"/>
      <c r="G63" s="800"/>
      <c r="H63" s="800"/>
      <c r="I63" s="800"/>
      <c r="J63" s="811"/>
      <c r="K63" s="800"/>
      <c r="L63" s="800"/>
      <c r="M63" s="800"/>
      <c r="N63" s="208"/>
      <c r="O63" s="208"/>
      <c r="P63" s="208"/>
      <c r="Q63" s="208"/>
      <c r="R63" s="208"/>
      <c r="S63" s="208"/>
      <c r="T63" s="208"/>
      <c r="U63" s="208"/>
      <c r="V63" s="214"/>
      <c r="W63" s="131"/>
      <c r="X63" s="131"/>
      <c r="Y63" s="131"/>
      <c r="Z63" s="131"/>
      <c r="AA63" s="131"/>
      <c r="AB63" s="131"/>
      <c r="AC63" s="131"/>
      <c r="AD63" s="131"/>
      <c r="AE63" s="131"/>
    </row>
    <row r="64" spans="1:31">
      <c r="A64" s="98"/>
      <c r="B64" s="466"/>
      <c r="C64" s="798"/>
      <c r="D64" s="798"/>
      <c r="E64" s="208"/>
      <c r="F64" s="800"/>
      <c r="G64" s="800"/>
      <c r="H64" s="800"/>
      <c r="I64" s="800"/>
      <c r="J64" s="811"/>
      <c r="K64" s="800"/>
      <c r="L64" s="800"/>
      <c r="M64" s="800"/>
      <c r="N64" s="208"/>
      <c r="O64" s="208"/>
      <c r="P64" s="208"/>
      <c r="Q64" s="208"/>
      <c r="R64" s="208"/>
      <c r="S64" s="208"/>
      <c r="T64" s="208"/>
      <c r="U64" s="208"/>
      <c r="V64" s="214"/>
      <c r="W64" s="131"/>
      <c r="X64" s="131"/>
      <c r="Y64" s="131"/>
      <c r="Z64" s="131"/>
      <c r="AA64" s="131"/>
      <c r="AB64" s="131"/>
      <c r="AC64" s="131"/>
      <c r="AD64" s="131"/>
      <c r="AE64" s="131"/>
    </row>
    <row r="65" spans="1:27" ht="17" thickBot="1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"/>
      <c r="W65" s="131"/>
      <c r="X65" s="131"/>
      <c r="Y65" s="131"/>
      <c r="Z65" s="131"/>
      <c r="AA65" s="131"/>
    </row>
    <row r="66" spans="1:27" ht="16.5" customHeight="1">
      <c r="A66" s="724" t="s">
        <v>401</v>
      </c>
      <c r="B66" s="547" t="s">
        <v>402</v>
      </c>
      <c r="C66" s="547" t="s">
        <v>403</v>
      </c>
      <c r="D66" s="547" t="s">
        <v>404</v>
      </c>
      <c r="E66" s="547" t="s">
        <v>323</v>
      </c>
      <c r="F66" s="547" t="s">
        <v>405</v>
      </c>
      <c r="G66" s="547" t="s">
        <v>406</v>
      </c>
      <c r="H66" s="701" t="s">
        <v>407</v>
      </c>
      <c r="I66" s="466"/>
      <c r="J66" s="466"/>
      <c r="K66" s="466"/>
      <c r="L66" s="466"/>
      <c r="M66" s="466"/>
      <c r="N66" s="466"/>
      <c r="O66" s="466"/>
      <c r="P66" s="471"/>
      <c r="Q66" s="471"/>
      <c r="R66" s="471"/>
      <c r="S66" s="471"/>
      <c r="T66" s="471"/>
      <c r="U66" s="471"/>
      <c r="V66" s="131"/>
      <c r="W66" s="131"/>
      <c r="X66" s="548"/>
      <c r="Y66" s="548"/>
      <c r="Z66" s="108"/>
      <c r="AA66" s="14"/>
    </row>
    <row r="67" spans="1:27" ht="16.5" customHeight="1">
      <c r="A67" s="725"/>
      <c r="B67" s="548"/>
      <c r="C67" s="548"/>
      <c r="D67" s="548"/>
      <c r="E67" s="548"/>
      <c r="F67" s="548"/>
      <c r="G67" s="548"/>
      <c r="H67" s="702"/>
      <c r="I67" s="466"/>
      <c r="J67" s="466"/>
      <c r="K67" s="466"/>
      <c r="L67" s="466"/>
      <c r="M67" s="466"/>
      <c r="N67" s="466"/>
      <c r="O67" s="466"/>
      <c r="P67" s="471"/>
      <c r="Q67" s="471"/>
      <c r="R67" s="471"/>
      <c r="S67" s="471"/>
      <c r="T67" s="471"/>
      <c r="U67" s="471"/>
      <c r="V67" s="131"/>
      <c r="W67" s="131"/>
      <c r="X67" s="548"/>
      <c r="Y67" s="548"/>
      <c r="Z67" s="108"/>
      <c r="AA67" s="14"/>
    </row>
    <row r="68" spans="1:27" ht="16.5" customHeight="1">
      <c r="A68" s="725"/>
      <c r="B68" s="548"/>
      <c r="C68" s="548"/>
      <c r="D68" s="548"/>
      <c r="E68" s="548"/>
      <c r="F68" s="548"/>
      <c r="G68" s="548"/>
      <c r="H68" s="702"/>
      <c r="I68" s="466"/>
      <c r="J68" s="466"/>
      <c r="K68" s="466"/>
      <c r="L68" s="466"/>
      <c r="M68" s="466"/>
      <c r="N68" s="466"/>
      <c r="O68" s="466"/>
      <c r="P68" s="471"/>
      <c r="Q68" s="471"/>
      <c r="R68" s="471"/>
      <c r="S68" s="471"/>
      <c r="T68" s="471"/>
      <c r="U68" s="471"/>
      <c r="V68" s="131"/>
      <c r="W68" s="131"/>
      <c r="X68" s="548"/>
      <c r="Y68" s="548"/>
      <c r="Z68" s="132"/>
      <c r="AA68" s="131"/>
    </row>
    <row r="69" spans="1:27" ht="16.5" customHeight="1">
      <c r="A69" s="725"/>
      <c r="B69" s="548"/>
      <c r="C69" s="548"/>
      <c r="D69" s="548"/>
      <c r="E69" s="548"/>
      <c r="F69" s="548"/>
      <c r="G69" s="548"/>
      <c r="H69" s="702"/>
      <c r="I69" s="466"/>
      <c r="J69" s="466"/>
      <c r="K69" s="466"/>
      <c r="L69" s="466"/>
      <c r="M69" s="466"/>
      <c r="N69" s="466"/>
      <c r="O69" s="466"/>
      <c r="P69" s="471"/>
      <c r="Q69" s="471"/>
      <c r="R69" s="471"/>
      <c r="S69" s="471"/>
      <c r="T69" s="471"/>
      <c r="U69" s="471"/>
      <c r="V69" s="131"/>
      <c r="W69" s="131"/>
      <c r="X69" s="552"/>
      <c r="Y69" s="553"/>
      <c r="Z69" s="136"/>
      <c r="AA69" s="131"/>
    </row>
    <row r="70" spans="1:27" ht="16.5" customHeight="1">
      <c r="A70" s="725"/>
      <c r="B70" s="548"/>
      <c r="C70" s="548"/>
      <c r="D70" s="548"/>
      <c r="E70" s="548"/>
      <c r="F70" s="548"/>
      <c r="G70" s="548"/>
      <c r="H70" s="702"/>
      <c r="I70" s="466"/>
      <c r="J70" s="466"/>
      <c r="K70" s="466"/>
      <c r="L70" s="466"/>
      <c r="M70" s="466"/>
      <c r="N70" s="466"/>
      <c r="O70" s="466"/>
      <c r="P70" s="471"/>
      <c r="Q70" s="471"/>
      <c r="R70" s="471"/>
      <c r="S70" s="471"/>
      <c r="T70" s="471"/>
      <c r="U70" s="471"/>
      <c r="V70" s="131"/>
      <c r="W70" s="131"/>
      <c r="X70" s="552"/>
      <c r="Y70" s="553"/>
      <c r="Z70" s="136"/>
      <c r="AA70" s="131"/>
    </row>
    <row r="71" spans="1:27" ht="16.5" customHeight="1">
      <c r="A71" s="726"/>
      <c r="B71" s="466" t="s">
        <v>295</v>
      </c>
      <c r="C71" s="466" t="s">
        <v>249</v>
      </c>
      <c r="D71" s="466" t="s">
        <v>249</v>
      </c>
      <c r="E71" s="466" t="s">
        <v>249</v>
      </c>
      <c r="F71" s="466" t="s">
        <v>249</v>
      </c>
      <c r="G71" s="466" t="s">
        <v>249</v>
      </c>
      <c r="H71" s="357" t="s">
        <v>249</v>
      </c>
      <c r="I71" s="207"/>
      <c r="J71" s="206"/>
      <c r="K71" s="206"/>
      <c r="L71" s="206"/>
      <c r="M71" s="206"/>
      <c r="N71" s="206"/>
      <c r="O71" s="207"/>
      <c r="P71" s="206"/>
      <c r="Q71" s="206"/>
      <c r="R71" s="206"/>
      <c r="S71" s="206"/>
      <c r="T71" s="135"/>
      <c r="U71" s="466"/>
      <c r="V71" s="131"/>
      <c r="W71" s="131"/>
      <c r="X71" s="552"/>
      <c r="Y71" s="553"/>
      <c r="Z71" s="136"/>
      <c r="AA71" s="131"/>
    </row>
    <row r="72" spans="1:27" ht="17" customHeight="1">
      <c r="A72" s="145" t="str">
        <f t="shared" ref="A72:A74" si="127">A53</f>
        <v>Al-gra</v>
      </c>
      <c r="B72" s="1130">
        <f t="shared" ref="B72:B74" si="128">0.05*(F53+G53+H53+I53+J53+K53)</f>
        <v>4616958.6391233094</v>
      </c>
      <c r="C72" s="1118">
        <f t="shared" ref="C72:C74" si="129">0.23*J53+0.087*((F53+G53+K53+J53))</f>
        <v>6452933.4145218125</v>
      </c>
      <c r="D72" s="1118">
        <f t="shared" ref="D72:D74" si="130">(31+5)*1000*B53</f>
        <v>2160000</v>
      </c>
      <c r="E72" s="1118">
        <f t="shared" ref="E72:E74" si="131">0.03*(F53+G53+H53+I53+J53+K53+B72+C72)</f>
        <v>3102271.9450833392</v>
      </c>
      <c r="F72" s="1118">
        <f t="shared" ref="F72:F74" si="132">0.03*(F53+G53+H53+I53+J53+K53)</f>
        <v>2770175.1834739856</v>
      </c>
      <c r="G72" s="1118">
        <f t="shared" ref="G72:G74" si="133">0.05*(F53+G53+H53+I53+J53+K53+B72+C72+F72)</f>
        <v>5308962.0009792652</v>
      </c>
      <c r="H72" s="1131">
        <f t="shared" ref="H72:H74" si="134">SUM(B72:G72)</f>
        <v>24411301.183181711</v>
      </c>
      <c r="I72" s="207"/>
      <c r="J72" s="206"/>
      <c r="K72" s="206"/>
      <c r="L72" s="206"/>
      <c r="M72" s="206"/>
      <c r="N72" s="206"/>
      <c r="O72" s="207"/>
      <c r="P72" s="206"/>
      <c r="Q72" s="206"/>
      <c r="R72" s="206"/>
      <c r="S72" s="206"/>
      <c r="T72" s="13"/>
      <c r="U72" s="13"/>
      <c r="V72" s="131"/>
      <c r="W72" s="131"/>
      <c r="X72" s="117"/>
      <c r="Y72" s="131"/>
      <c r="Z72" s="131"/>
      <c r="AA72" s="131"/>
    </row>
    <row r="73" spans="1:27" ht="18" customHeight="1">
      <c r="A73" s="314" t="str">
        <f t="shared" si="127"/>
        <v>Al-PPQ</v>
      </c>
      <c r="B73" s="844">
        <f t="shared" si="128"/>
        <v>2567297.9493761044</v>
      </c>
      <c r="C73" s="800">
        <f t="shared" si="129"/>
        <v>3554938.9635528307</v>
      </c>
      <c r="D73" s="800">
        <f t="shared" si="130"/>
        <v>2160000</v>
      </c>
      <c r="E73" s="800">
        <f t="shared" si="131"/>
        <v>1724045.8770135306</v>
      </c>
      <c r="F73" s="800">
        <f t="shared" si="132"/>
        <v>1540378.7696256624</v>
      </c>
      <c r="G73" s="800">
        <f t="shared" si="133"/>
        <v>2950428.7335038343</v>
      </c>
      <c r="H73" s="801">
        <f t="shared" si="134"/>
        <v>14497090.293071963</v>
      </c>
      <c r="I73" s="207"/>
      <c r="J73" s="206"/>
      <c r="K73" s="206"/>
      <c r="L73" s="206"/>
      <c r="M73" s="206"/>
      <c r="N73" s="206"/>
      <c r="O73" s="207"/>
      <c r="P73" s="206"/>
      <c r="Q73" s="206"/>
      <c r="R73" s="206"/>
      <c r="S73" s="206"/>
      <c r="T73" s="13"/>
      <c r="U73" s="13"/>
      <c r="V73" s="131"/>
      <c r="W73" s="131"/>
      <c r="X73" s="552"/>
      <c r="Y73" s="553"/>
      <c r="Z73" s="137"/>
      <c r="AA73" s="131"/>
    </row>
    <row r="74" spans="1:27">
      <c r="A74" s="145" t="str">
        <f t="shared" si="127"/>
        <v>Al-PBQS</v>
      </c>
      <c r="B74" s="1132">
        <f t="shared" si="128"/>
        <v>2042529.6145211649</v>
      </c>
      <c r="C74" s="215">
        <f t="shared" si="129"/>
        <v>2972877.9746907046</v>
      </c>
      <c r="D74" s="215">
        <f t="shared" si="130"/>
        <v>2160000</v>
      </c>
      <c r="E74" s="215">
        <f t="shared" si="131"/>
        <v>1375979.9963890552</v>
      </c>
      <c r="F74" s="215">
        <f t="shared" si="132"/>
        <v>1225517.7687126989</v>
      </c>
      <c r="G74" s="215">
        <f t="shared" si="133"/>
        <v>2354575.8824173934</v>
      </c>
      <c r="H74" s="216">
        <f t="shared" si="134"/>
        <v>12131481.236731019</v>
      </c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1"/>
      <c r="X74" s="11"/>
      <c r="Y74" s="11"/>
    </row>
    <row r="75" spans="1:27" ht="18" customHeight="1">
      <c r="A75" s="314" t="str">
        <f t="shared" ref="A75:A80" si="135">A56</f>
        <v>Al-TiO2</v>
      </c>
      <c r="B75" s="844">
        <f t="shared" ref="B75:B80" si="136">0.05*(F56+G56+H56+I56+J56+K56)</f>
        <v>3445364.3764368668</v>
      </c>
      <c r="C75" s="800">
        <f t="shared" ref="C75:C80" si="137">0.23*J56+0.087*((F56+G56+K56+J56))</f>
        <v>3832158.2908444712</v>
      </c>
      <c r="D75" s="800">
        <f t="shared" ref="D75:D80" si="138">(31+5)*1000*B56</f>
        <v>2160000</v>
      </c>
      <c r="E75" s="800">
        <f t="shared" ref="E75:E80" si="139">0.03*(F56+G56+H56+I56+J56+K56+B75+C75)</f>
        <v>2285544.3058805601</v>
      </c>
      <c r="F75" s="800">
        <f t="shared" ref="F75:F80" si="140">0.03*(F56+G56+H56+I56+J56+K56)</f>
        <v>2067218.62586212</v>
      </c>
      <c r="G75" s="800">
        <f t="shared" ref="G75:G80" si="141">0.05*(F56+G56+H56+I56+J56+K56+B75+C75+F75)</f>
        <v>3912601.4410940395</v>
      </c>
      <c r="H75" s="801">
        <f>SUM(B75:G75)</f>
        <v>17702887.040118057</v>
      </c>
      <c r="I75" s="207"/>
      <c r="J75" s="206"/>
      <c r="K75" s="206"/>
      <c r="L75" s="206"/>
      <c r="M75" s="206"/>
      <c r="N75" s="206"/>
      <c r="O75" s="207"/>
      <c r="P75" s="206"/>
      <c r="Q75" s="206"/>
      <c r="R75" s="206"/>
      <c r="S75" s="206"/>
      <c r="T75" s="96"/>
      <c r="U75" s="96"/>
      <c r="V75" s="131"/>
      <c r="W75" s="131"/>
      <c r="X75" s="117"/>
      <c r="Y75" s="131"/>
      <c r="Z75" s="131"/>
      <c r="AA75" s="131"/>
    </row>
    <row r="76" spans="1:27" ht="18" customHeight="1">
      <c r="A76" s="145" t="str">
        <f t="shared" si="135"/>
        <v>Al-V2C</v>
      </c>
      <c r="B76" s="1132">
        <f t="shared" si="136"/>
        <v>4223857.9297948629</v>
      </c>
      <c r="C76" s="215">
        <f t="shared" si="137"/>
        <v>3149603.3572775312</v>
      </c>
      <c r="D76" s="215">
        <f t="shared" si="138"/>
        <v>2160000</v>
      </c>
      <c r="E76" s="215">
        <f t="shared" si="139"/>
        <v>2755518.5964890895</v>
      </c>
      <c r="F76" s="215">
        <f t="shared" si="140"/>
        <v>2534314.7578769177</v>
      </c>
      <c r="G76" s="215">
        <f t="shared" si="141"/>
        <v>4719246.7320423285</v>
      </c>
      <c r="H76" s="216">
        <f>SUM(B76:G76)</f>
        <v>19542541.37348073</v>
      </c>
      <c r="I76" s="207"/>
      <c r="J76" s="206"/>
      <c r="K76" s="206"/>
      <c r="L76" s="206"/>
      <c r="M76" s="206"/>
      <c r="N76" s="206"/>
      <c r="O76" s="207"/>
      <c r="P76" s="206"/>
      <c r="Q76" s="206"/>
      <c r="R76" s="206"/>
      <c r="S76" s="206"/>
      <c r="T76" s="13"/>
      <c r="U76" s="13"/>
      <c r="V76" s="131"/>
      <c r="W76" s="131"/>
      <c r="X76" s="117"/>
      <c r="Y76" s="131"/>
      <c r="Z76" s="131"/>
      <c r="AA76" s="131"/>
    </row>
    <row r="77" spans="1:27" ht="18" customHeight="1">
      <c r="A77" s="314" t="str">
        <f t="shared" si="135"/>
        <v>Al-MnO2</v>
      </c>
      <c r="B77" s="844">
        <f t="shared" si="136"/>
        <v>1688719.7570449901</v>
      </c>
      <c r="C77" s="800">
        <f t="shared" si="137"/>
        <v>2238424.12567775</v>
      </c>
      <c r="D77" s="800">
        <f t="shared" si="138"/>
        <v>2160000</v>
      </c>
      <c r="E77" s="800">
        <f t="shared" si="139"/>
        <v>1131046.1707086763</v>
      </c>
      <c r="F77" s="800">
        <f t="shared" si="140"/>
        <v>1013231.854226994</v>
      </c>
      <c r="G77" s="800">
        <f t="shared" si="141"/>
        <v>1935738.5438924767</v>
      </c>
      <c r="H77" s="801">
        <f>SUM(B77:G77)</f>
        <v>10167160.451550886</v>
      </c>
      <c r="I77" s="207"/>
      <c r="J77" s="206"/>
      <c r="K77" s="206"/>
      <c r="L77" s="206"/>
      <c r="M77" s="206"/>
      <c r="N77" s="206"/>
      <c r="O77" s="207"/>
      <c r="P77" s="206"/>
      <c r="Q77" s="206"/>
      <c r="R77" s="206"/>
      <c r="S77" s="206"/>
      <c r="T77" s="13"/>
      <c r="U77" s="13"/>
      <c r="V77" s="131"/>
      <c r="W77" s="131"/>
      <c r="X77" s="117"/>
      <c r="Y77" s="131"/>
      <c r="Z77" s="131"/>
      <c r="AA77" s="131"/>
    </row>
    <row r="78" spans="1:27">
      <c r="A78" s="145" t="str">
        <f t="shared" si="135"/>
        <v>LIB-NMC</v>
      </c>
      <c r="B78" s="1132">
        <f t="shared" si="136"/>
        <v>2039170.7785182924</v>
      </c>
      <c r="C78" s="215">
        <f t="shared" si="137"/>
        <v>2247698.8365863166</v>
      </c>
      <c r="D78" s="215">
        <f t="shared" si="138"/>
        <v>2160000</v>
      </c>
      <c r="E78" s="215">
        <f t="shared" si="139"/>
        <v>1352108.5555641137</v>
      </c>
      <c r="F78" s="215">
        <f t="shared" si="140"/>
        <v>1223502.4671109754</v>
      </c>
      <c r="G78" s="215">
        <f t="shared" si="141"/>
        <v>2314689.3826290718</v>
      </c>
      <c r="H78" s="216">
        <f>SUM(B78:G78)</f>
        <v>11337170.02040877</v>
      </c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1"/>
      <c r="X78" s="11"/>
      <c r="Y78" s="11"/>
    </row>
    <row r="79" spans="1:27" ht="18" customHeight="1">
      <c r="A79" s="314" t="str">
        <f t="shared" si="135"/>
        <v>LIB-LFP</v>
      </c>
      <c r="B79" s="844">
        <f t="shared" si="136"/>
        <v>1980145.0645537861</v>
      </c>
      <c r="C79" s="800">
        <f t="shared" si="137"/>
        <v>2396791.5853992593</v>
      </c>
      <c r="D79" s="800">
        <f t="shared" si="138"/>
        <v>2160000</v>
      </c>
      <c r="E79" s="800">
        <f t="shared" si="139"/>
        <v>1319395.138230863</v>
      </c>
      <c r="F79" s="800">
        <f t="shared" si="140"/>
        <v>1188087.0387322716</v>
      </c>
      <c r="G79" s="800">
        <f t="shared" si="141"/>
        <v>2258396.2489880519</v>
      </c>
      <c r="H79" s="801">
        <f t="shared" ref="H79" si="142">SUM(B79:G79)</f>
        <v>11302815.075904232</v>
      </c>
      <c r="I79" s="207"/>
      <c r="J79" s="206"/>
      <c r="K79" s="206"/>
      <c r="L79" s="206"/>
      <c r="M79" s="206"/>
      <c r="N79" s="206"/>
      <c r="O79" s="207"/>
      <c r="P79" s="206"/>
      <c r="Q79" s="206"/>
      <c r="R79" s="206"/>
      <c r="S79" s="206"/>
      <c r="T79" s="13"/>
      <c r="U79" s="13"/>
      <c r="V79" s="131"/>
      <c r="W79" s="131"/>
      <c r="X79" s="552"/>
      <c r="Y79" s="553"/>
      <c r="Z79" s="137"/>
      <c r="AA79" s="131"/>
    </row>
    <row r="80" spans="1:27" ht="17" thickBot="1">
      <c r="A80" s="987" t="str">
        <f t="shared" si="135"/>
        <v>Li-DIB</v>
      </c>
      <c r="B80" s="1133">
        <f t="shared" si="136"/>
        <v>3363957.5366513501</v>
      </c>
      <c r="C80" s="1127">
        <f t="shared" si="137"/>
        <v>3686378.965933172</v>
      </c>
      <c r="D80" s="1127">
        <f t="shared" si="138"/>
        <v>2160000</v>
      </c>
      <c r="E80" s="1127">
        <f t="shared" si="139"/>
        <v>2229884.6170683452</v>
      </c>
      <c r="F80" s="1127">
        <f t="shared" si="140"/>
        <v>2018374.5219908098</v>
      </c>
      <c r="G80" s="1127">
        <f t="shared" si="141"/>
        <v>3817393.087880116</v>
      </c>
      <c r="H80" s="1134">
        <f>SUM(B80:G80)</f>
        <v>17275988.729523793</v>
      </c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1"/>
      <c r="X80" s="11"/>
      <c r="Y80" s="11"/>
    </row>
    <row r="81" spans="1:27" ht="18" customHeight="1">
      <c r="A81" s="98"/>
      <c r="B81" s="799"/>
      <c r="C81" s="800"/>
      <c r="D81" s="800"/>
      <c r="E81" s="800"/>
      <c r="F81" s="800"/>
      <c r="G81" s="800"/>
      <c r="H81" s="800"/>
      <c r="I81" s="207"/>
      <c r="J81" s="206"/>
      <c r="K81" s="206"/>
      <c r="L81" s="206"/>
      <c r="M81" s="206"/>
      <c r="N81" s="206"/>
      <c r="O81" s="207"/>
      <c r="P81" s="206"/>
      <c r="Q81" s="206"/>
      <c r="R81" s="206"/>
      <c r="S81" s="206"/>
      <c r="T81" s="96"/>
      <c r="U81" s="96"/>
      <c r="V81" s="131"/>
      <c r="W81" s="131"/>
      <c r="X81" s="117"/>
      <c r="Y81" s="131"/>
      <c r="Z81" s="131"/>
      <c r="AA81" s="131"/>
    </row>
    <row r="82" spans="1:27" ht="18" customHeight="1">
      <c r="A82" s="98"/>
      <c r="B82" s="799"/>
      <c r="C82" s="800"/>
      <c r="D82" s="800"/>
      <c r="E82" s="800"/>
      <c r="F82" s="800"/>
      <c r="G82" s="800"/>
      <c r="H82" s="800"/>
      <c r="I82" s="207"/>
      <c r="J82" s="206"/>
      <c r="K82" s="206"/>
      <c r="L82" s="206"/>
      <c r="M82" s="206"/>
      <c r="N82" s="206"/>
      <c r="O82" s="207"/>
      <c r="P82" s="206"/>
      <c r="Q82" s="206"/>
      <c r="R82" s="206"/>
      <c r="S82" s="206"/>
      <c r="T82" s="13"/>
      <c r="U82" s="13"/>
      <c r="V82" s="131"/>
      <c r="W82" s="131"/>
      <c r="X82" s="117"/>
      <c r="Y82" s="131"/>
      <c r="Z82" s="131"/>
      <c r="AA82" s="131"/>
    </row>
    <row r="83" spans="1:27">
      <c r="A83" s="98"/>
      <c r="B83" s="799"/>
      <c r="C83" s="800"/>
      <c r="D83" s="800"/>
      <c r="E83" s="800"/>
      <c r="F83" s="800"/>
      <c r="G83" s="800"/>
      <c r="H83" s="800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  <c r="W83" s="11"/>
      <c r="X83" s="11"/>
      <c r="Y83" s="11"/>
    </row>
    <row r="84" spans="1:27" ht="18" customHeight="1" thickBot="1">
      <c r="A84" s="488"/>
      <c r="B84" s="466"/>
      <c r="C84" s="466"/>
      <c r="D84" s="466"/>
      <c r="E84" s="466"/>
      <c r="F84" s="135"/>
      <c r="G84" s="135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812"/>
      <c r="W84" s="8"/>
      <c r="X84" s="11"/>
      <c r="Y84" s="11"/>
    </row>
    <row r="85" spans="1:27" ht="16.5" customHeight="1">
      <c r="A85" s="724" t="s">
        <v>877</v>
      </c>
      <c r="B85" s="547" t="s">
        <v>878</v>
      </c>
      <c r="C85" s="547" t="s">
        <v>879</v>
      </c>
      <c r="D85" s="547" t="s">
        <v>890</v>
      </c>
      <c r="E85" s="547" t="s">
        <v>943</v>
      </c>
      <c r="F85" s="547" t="s">
        <v>944</v>
      </c>
      <c r="G85" s="547" t="s">
        <v>942</v>
      </c>
      <c r="H85" s="547" t="s">
        <v>880</v>
      </c>
      <c r="I85" s="547" t="s">
        <v>881</v>
      </c>
      <c r="J85" s="547" t="s">
        <v>882</v>
      </c>
      <c r="K85" s="547" t="s">
        <v>945</v>
      </c>
      <c r="L85" s="547" t="s">
        <v>889</v>
      </c>
      <c r="M85" s="547" t="s">
        <v>885</v>
      </c>
      <c r="N85" s="547" t="s">
        <v>884</v>
      </c>
      <c r="O85" s="547" t="s">
        <v>885</v>
      </c>
      <c r="P85" s="547" t="s">
        <v>884</v>
      </c>
      <c r="Q85" s="547" t="s">
        <v>256</v>
      </c>
      <c r="R85" s="547" t="s">
        <v>947</v>
      </c>
      <c r="S85" s="701" t="s">
        <v>946</v>
      </c>
      <c r="T85" s="466"/>
      <c r="U85" s="466"/>
      <c r="V85" s="471"/>
      <c r="W85" s="11"/>
      <c r="X85" s="11"/>
      <c r="Y85" s="11"/>
    </row>
    <row r="86" spans="1:27" ht="16.5" customHeight="1">
      <c r="A86" s="725"/>
      <c r="B86" s="548"/>
      <c r="C86" s="548"/>
      <c r="D86" s="548"/>
      <c r="E86" s="548"/>
      <c r="F86" s="548"/>
      <c r="G86" s="548"/>
      <c r="H86" s="548"/>
      <c r="I86" s="548"/>
      <c r="J86" s="548"/>
      <c r="K86" s="548"/>
      <c r="L86" s="548"/>
      <c r="M86" s="548"/>
      <c r="N86" s="548"/>
      <c r="O86" s="548"/>
      <c r="P86" s="548"/>
      <c r="Q86" s="548"/>
      <c r="R86" s="548"/>
      <c r="S86" s="702"/>
      <c r="T86" s="466"/>
      <c r="U86" s="466"/>
      <c r="V86" s="471"/>
      <c r="W86" s="11"/>
      <c r="X86" s="11"/>
      <c r="Y86" s="11"/>
    </row>
    <row r="87" spans="1:27" ht="15.75" customHeight="1">
      <c r="A87" s="725"/>
      <c r="B87" s="548"/>
      <c r="C87" s="548"/>
      <c r="D87" s="548"/>
      <c r="E87" s="548"/>
      <c r="F87" s="548"/>
      <c r="G87" s="548"/>
      <c r="H87" s="548"/>
      <c r="I87" s="548"/>
      <c r="J87" s="548"/>
      <c r="K87" s="548"/>
      <c r="L87" s="548"/>
      <c r="M87" s="548"/>
      <c r="N87" s="548"/>
      <c r="O87" s="548"/>
      <c r="P87" s="548"/>
      <c r="Q87" s="548"/>
      <c r="R87" s="548"/>
      <c r="S87" s="702"/>
      <c r="T87" s="466"/>
      <c r="U87" s="466"/>
      <c r="V87" s="471"/>
      <c r="W87" s="11"/>
      <c r="X87" s="11"/>
      <c r="Y87" s="11"/>
    </row>
    <row r="88" spans="1:27" ht="15.75" customHeight="1">
      <c r="A88" s="725"/>
      <c r="B88" s="548"/>
      <c r="C88" s="548"/>
      <c r="D88" s="548"/>
      <c r="E88" s="548"/>
      <c r="F88" s="548"/>
      <c r="G88" s="548"/>
      <c r="H88" s="548"/>
      <c r="I88" s="548"/>
      <c r="J88" s="548"/>
      <c r="K88" s="548"/>
      <c r="L88" s="548"/>
      <c r="M88" s="548"/>
      <c r="N88" s="548"/>
      <c r="O88" s="548"/>
      <c r="P88" s="548"/>
      <c r="Q88" s="548"/>
      <c r="R88" s="548"/>
      <c r="S88" s="702"/>
      <c r="T88" s="466"/>
      <c r="U88" s="466"/>
      <c r="V88" s="471"/>
      <c r="W88" s="11"/>
      <c r="X88" s="11"/>
      <c r="Y88" s="11"/>
    </row>
    <row r="89" spans="1:27" ht="15.75" customHeight="1">
      <c r="A89" s="725"/>
      <c r="B89" s="548"/>
      <c r="C89" s="548"/>
      <c r="D89" s="548"/>
      <c r="E89" s="548"/>
      <c r="F89" s="548"/>
      <c r="G89" s="548"/>
      <c r="H89" s="548"/>
      <c r="I89" s="548"/>
      <c r="J89" s="548"/>
      <c r="K89" s="548"/>
      <c r="L89" s="548"/>
      <c r="M89" s="548"/>
      <c r="N89" s="548"/>
      <c r="O89" s="548"/>
      <c r="P89" s="548"/>
      <c r="Q89" s="548"/>
      <c r="R89" s="548"/>
      <c r="S89" s="702"/>
      <c r="T89" s="466"/>
      <c r="U89" s="466"/>
      <c r="V89" s="471"/>
      <c r="W89" s="11"/>
      <c r="X89" s="11"/>
      <c r="Y89" s="11"/>
    </row>
    <row r="90" spans="1:27" ht="34" customHeight="1">
      <c r="A90" s="726"/>
      <c r="B90" s="466" t="s">
        <v>247</v>
      </c>
      <c r="C90" s="466"/>
      <c r="D90" s="466" t="s">
        <v>259</v>
      </c>
      <c r="E90" s="466" t="s">
        <v>259</v>
      </c>
      <c r="F90" s="466" t="s">
        <v>259</v>
      </c>
      <c r="G90" s="466" t="s">
        <v>259</v>
      </c>
      <c r="H90" s="466" t="s">
        <v>248</v>
      </c>
      <c r="I90" s="466" t="s">
        <v>248</v>
      </c>
      <c r="J90" s="466" t="s">
        <v>248</v>
      </c>
      <c r="K90" s="466" t="s">
        <v>883</v>
      </c>
      <c r="L90" s="466" t="s">
        <v>249</v>
      </c>
      <c r="M90" s="466" t="s">
        <v>249</v>
      </c>
      <c r="N90" s="466" t="s">
        <v>886</v>
      </c>
      <c r="O90" s="466" t="s">
        <v>887</v>
      </c>
      <c r="P90" s="466" t="s">
        <v>887</v>
      </c>
      <c r="Q90" s="466" t="s">
        <v>887</v>
      </c>
      <c r="R90" s="466" t="s">
        <v>249</v>
      </c>
      <c r="S90" s="357" t="s">
        <v>887</v>
      </c>
      <c r="T90" s="466"/>
      <c r="U90" s="466"/>
      <c r="V90" s="471"/>
      <c r="W90" s="11"/>
      <c r="X90" s="11"/>
      <c r="Y90" s="11"/>
    </row>
    <row r="91" spans="1:27">
      <c r="A91" s="145" t="str">
        <f t="shared" ref="A91:A93" si="143">A72</f>
        <v>Al-gra</v>
      </c>
      <c r="B91" s="1116">
        <v>20</v>
      </c>
      <c r="C91" s="1117">
        <f>B91*365</f>
        <v>7300</v>
      </c>
      <c r="D91" s="1135">
        <v>0.9</v>
      </c>
      <c r="E91" s="1135">
        <v>0.98</v>
      </c>
      <c r="F91" s="1135">
        <v>0.98</v>
      </c>
      <c r="G91" s="1135">
        <f>D91*E91*F91*E91*F91</f>
        <v>0.83013134399999999</v>
      </c>
      <c r="H91" s="1117">
        <f>D53</f>
        <v>240</v>
      </c>
      <c r="I91" s="1117">
        <f>H91/G91</f>
        <v>289.11087592905056</v>
      </c>
      <c r="J91" s="1119">
        <f>I91*C91</f>
        <v>2110509.3942820691</v>
      </c>
      <c r="K91" s="1136">
        <f>F$14/G91</f>
        <v>3.6138859491131319E-2</v>
      </c>
      <c r="L91" s="1118">
        <f>1000*B53*E$13*B91</f>
        <v>12420000</v>
      </c>
      <c r="M91" s="1118">
        <f>J91*1000*F$14+L91</f>
        <v>75735281.828462064</v>
      </c>
      <c r="N91" s="1118">
        <f>M53</f>
        <v>116750473.96564791</v>
      </c>
      <c r="O91" s="1136">
        <f>M91/($C91*1000*$H91)</f>
        <v>4.3227900587021729E-2</v>
      </c>
      <c r="P91" s="1136">
        <f>N91/($C91*1000*$H91)</f>
        <v>6.6638398382219119E-2</v>
      </c>
      <c r="Q91" s="1136">
        <f>O91+P91</f>
        <v>0.10986629896924086</v>
      </c>
      <c r="R91" s="1118">
        <f>J91*1000*F$14/2</f>
        <v>31657640.914231032</v>
      </c>
      <c r="S91" s="1137">
        <f>R91/($C91*1000*$H91)</f>
        <v>1.8069429745565659E-2</v>
      </c>
      <c r="T91" s="208"/>
      <c r="U91" s="208"/>
      <c r="V91" s="214"/>
      <c r="W91" s="11"/>
      <c r="X91" s="11"/>
      <c r="Y91" s="11"/>
    </row>
    <row r="92" spans="1:27">
      <c r="A92" s="314" t="str">
        <f t="shared" si="143"/>
        <v>Al-PPQ</v>
      </c>
      <c r="B92" s="721">
        <v>20</v>
      </c>
      <c r="C92" s="798">
        <f t="shared" ref="C92:C102" si="144">B92*365</f>
        <v>7300</v>
      </c>
      <c r="D92" s="813">
        <v>0.9</v>
      </c>
      <c r="E92" s="813">
        <v>0.98</v>
      </c>
      <c r="F92" s="813">
        <v>0.98</v>
      </c>
      <c r="G92" s="813">
        <f t="shared" ref="G92:G102" si="145">D92*E92*F92*E92*F92</f>
        <v>0.83013134399999999</v>
      </c>
      <c r="H92" s="798">
        <f t="shared" ref="H92:H93" si="146">D54</f>
        <v>240</v>
      </c>
      <c r="I92" s="798">
        <f t="shared" ref="I92:I102" si="147">H92/G92</f>
        <v>289.11087592905056</v>
      </c>
      <c r="J92" s="811">
        <f t="shared" ref="J92:J102" si="148">I92*C92</f>
        <v>2110509.3942820691</v>
      </c>
      <c r="K92" s="814">
        <f t="shared" ref="K92:K93" si="149">F$14/G92</f>
        <v>3.6138859491131319E-2</v>
      </c>
      <c r="L92" s="800">
        <f t="shared" ref="L92:L93" si="150">1000*B54*E$13*B92</f>
        <v>12420000</v>
      </c>
      <c r="M92" s="800">
        <f t="shared" ref="M92:M93" si="151">J92*1000*F$14+L92</f>
        <v>75735281.828462064</v>
      </c>
      <c r="N92" s="800">
        <f t="shared" ref="N92:N93" si="152">M54</f>
        <v>65843049.280594043</v>
      </c>
      <c r="O92" s="814">
        <f t="shared" ref="O92:O102" si="153">M92/(C92*1000*H92)</f>
        <v>4.3227900587021729E-2</v>
      </c>
      <c r="P92" s="814">
        <f t="shared" ref="P92:P102" si="154">N92/($C92*1000*$H92)</f>
        <v>3.758164913275916E-2</v>
      </c>
      <c r="Q92" s="814">
        <f t="shared" ref="Q92:Q102" si="155">O92+P92</f>
        <v>8.0809549719780882E-2</v>
      </c>
      <c r="R92" s="800">
        <f t="shared" ref="R92:R93" si="156">J92*1000*F$14/2</f>
        <v>31657640.914231032</v>
      </c>
      <c r="S92" s="843">
        <f t="shared" ref="S92:S102" si="157">R92/($C92*1000*$H92)</f>
        <v>1.8069429745565659E-2</v>
      </c>
      <c r="T92" s="208"/>
      <c r="U92" s="208"/>
      <c r="V92" s="214"/>
      <c r="W92" s="11"/>
      <c r="X92" s="11"/>
      <c r="Y92" s="11"/>
    </row>
    <row r="93" spans="1:27">
      <c r="A93" s="145" t="str">
        <f t="shared" si="143"/>
        <v>Al-PBQS</v>
      </c>
      <c r="B93" s="1121">
        <v>20</v>
      </c>
      <c r="C93" s="1122">
        <f t="shared" si="144"/>
        <v>7300</v>
      </c>
      <c r="D93" s="1138">
        <v>0.9</v>
      </c>
      <c r="E93" s="1138">
        <v>0.98</v>
      </c>
      <c r="F93" s="1138">
        <v>0.98</v>
      </c>
      <c r="G93" s="1138">
        <f t="shared" si="145"/>
        <v>0.83013134399999999</v>
      </c>
      <c r="H93" s="1122">
        <f t="shared" si="146"/>
        <v>240</v>
      </c>
      <c r="I93" s="1122">
        <f t="shared" si="147"/>
        <v>289.11087592905056</v>
      </c>
      <c r="J93" s="1123">
        <f t="shared" si="148"/>
        <v>2110509.3942820691</v>
      </c>
      <c r="K93" s="1139">
        <f t="shared" si="149"/>
        <v>3.6138859491131319E-2</v>
      </c>
      <c r="L93" s="215">
        <f t="shared" si="150"/>
        <v>12420000</v>
      </c>
      <c r="M93" s="215">
        <f t="shared" si="151"/>
        <v>75735281.828462064</v>
      </c>
      <c r="N93" s="215">
        <f t="shared" si="152"/>
        <v>52982073.527154312</v>
      </c>
      <c r="O93" s="1139">
        <f t="shared" si="153"/>
        <v>4.3227900587021729E-2</v>
      </c>
      <c r="P93" s="1139">
        <f t="shared" si="154"/>
        <v>3.0240909547462506E-2</v>
      </c>
      <c r="Q93" s="1139">
        <f t="shared" si="155"/>
        <v>7.3468810134484239E-2</v>
      </c>
      <c r="R93" s="215">
        <f t="shared" si="156"/>
        <v>31657640.914231032</v>
      </c>
      <c r="S93" s="1140">
        <f t="shared" si="157"/>
        <v>1.8069429745565659E-2</v>
      </c>
      <c r="T93" s="208"/>
      <c r="U93" s="208"/>
      <c r="V93" s="214"/>
      <c r="W93" s="11"/>
      <c r="X93" s="11"/>
      <c r="Y93" s="11"/>
    </row>
    <row r="94" spans="1:27">
      <c r="A94" s="314" t="str">
        <f t="shared" ref="A94:A99" si="158">A75</f>
        <v>Al-TiO2</v>
      </c>
      <c r="B94" s="721">
        <v>20</v>
      </c>
      <c r="C94" s="798">
        <f t="shared" si="144"/>
        <v>7300</v>
      </c>
      <c r="D94" s="813">
        <v>0.4</v>
      </c>
      <c r="E94" s="813">
        <v>0.98</v>
      </c>
      <c r="F94" s="813">
        <v>0.98</v>
      </c>
      <c r="G94" s="813">
        <f t="shared" si="145"/>
        <v>0.368947264</v>
      </c>
      <c r="H94" s="798">
        <f t="shared" ref="H94:H99" si="159">D56</f>
        <v>240</v>
      </c>
      <c r="I94" s="798">
        <f t="shared" si="147"/>
        <v>650.49947084036376</v>
      </c>
      <c r="J94" s="811">
        <f t="shared" si="148"/>
        <v>4748646.1371346554</v>
      </c>
      <c r="K94" s="814">
        <f t="shared" ref="K94:K99" si="160">F$14/G94</f>
        <v>8.1312433855045468E-2</v>
      </c>
      <c r="L94" s="800">
        <f t="shared" ref="L94:L99" si="161">1000*B56*E$13*B94</f>
        <v>12420000</v>
      </c>
      <c r="M94" s="800">
        <f t="shared" ref="M94:M99" si="162">J94*1000*F$14+L94</f>
        <v>154879384.11403966</v>
      </c>
      <c r="N94" s="800">
        <f t="shared" ref="N94:N99" si="163">M56</f>
        <v>86610174.56885539</v>
      </c>
      <c r="O94" s="814">
        <f t="shared" si="153"/>
        <v>8.8401474950935879E-2</v>
      </c>
      <c r="P94" s="814">
        <f t="shared" ref="P94:P101" si="164">N94/($C94*1000*$H94)</f>
        <v>4.943503114660696E-2</v>
      </c>
      <c r="Q94" s="814">
        <f t="shared" si="155"/>
        <v>0.13783650609754283</v>
      </c>
      <c r="R94" s="800">
        <f t="shared" ref="R94:R99" si="165">J94*1000*F$14/2</f>
        <v>71229692.05701983</v>
      </c>
      <c r="S94" s="843">
        <f t="shared" ref="S94:S101" si="166">R94/($C94*1000*$H94)</f>
        <v>4.0656216927522734E-2</v>
      </c>
      <c r="T94" s="208"/>
      <c r="U94" s="208"/>
      <c r="V94" s="214"/>
      <c r="W94" s="11"/>
      <c r="X94" s="11"/>
      <c r="Y94" s="11"/>
    </row>
    <row r="95" spans="1:27">
      <c r="A95" s="145" t="str">
        <f t="shared" si="158"/>
        <v>Al-V2C</v>
      </c>
      <c r="B95" s="1121">
        <v>20</v>
      </c>
      <c r="C95" s="1122">
        <f t="shared" ref="C95" si="167">B95*365</f>
        <v>7300</v>
      </c>
      <c r="D95" s="1138">
        <v>0.65</v>
      </c>
      <c r="E95" s="1138">
        <v>0.98</v>
      </c>
      <c r="F95" s="1138">
        <v>0.98</v>
      </c>
      <c r="G95" s="1138">
        <f t="shared" ref="G95" si="168">D95*E95*F95*E95*F95</f>
        <v>0.59953930400000011</v>
      </c>
      <c r="H95" s="1122">
        <f t="shared" si="159"/>
        <v>240</v>
      </c>
      <c r="I95" s="1122">
        <f t="shared" ref="I95" si="169">H95/G95</f>
        <v>400.30736667099302</v>
      </c>
      <c r="J95" s="1123">
        <f t="shared" ref="J95" si="170">I95*C95</f>
        <v>2922243.7766982489</v>
      </c>
      <c r="K95" s="1139">
        <f t="shared" si="160"/>
        <v>5.003842083387413E-2</v>
      </c>
      <c r="L95" s="215">
        <f t="shared" si="161"/>
        <v>12420000</v>
      </c>
      <c r="M95" s="215">
        <f t="shared" si="162"/>
        <v>100087313.30094746</v>
      </c>
      <c r="N95" s="215">
        <f t="shared" si="163"/>
        <v>104019699.96937799</v>
      </c>
      <c r="O95" s="1139">
        <f t="shared" ref="O95" si="171">M95/(C95*1000*H95)</f>
        <v>5.7127461929764534E-2</v>
      </c>
      <c r="P95" s="1139">
        <f t="shared" si="164"/>
        <v>5.9371974868366435E-2</v>
      </c>
      <c r="Q95" s="1139">
        <f t="shared" ref="Q95" si="172">O95+P95</f>
        <v>0.11649943679813096</v>
      </c>
      <c r="R95" s="215">
        <f t="shared" si="165"/>
        <v>43833656.650473729</v>
      </c>
      <c r="S95" s="1140">
        <f t="shared" si="166"/>
        <v>2.5019210416937061E-2</v>
      </c>
      <c r="T95" s="208"/>
      <c r="U95" s="208"/>
      <c r="V95" s="214"/>
      <c r="W95" s="11"/>
      <c r="X95" s="11"/>
      <c r="Y95" s="11"/>
    </row>
    <row r="96" spans="1:27">
      <c r="A96" s="314" t="str">
        <f t="shared" si="158"/>
        <v>Al-MnO2</v>
      </c>
      <c r="B96" s="721">
        <v>20</v>
      </c>
      <c r="C96" s="798">
        <f t="shared" ref="C96:C101" si="173">B96*365</f>
        <v>7300</v>
      </c>
      <c r="D96" s="813">
        <v>0.7</v>
      </c>
      <c r="E96" s="813">
        <v>0.98</v>
      </c>
      <c r="F96" s="813">
        <v>0.98</v>
      </c>
      <c r="G96" s="813">
        <f t="shared" ref="G96:G101" si="174">D96*E96*F96*E96*F96</f>
        <v>0.64565771199999977</v>
      </c>
      <c r="H96" s="798">
        <f t="shared" si="159"/>
        <v>240</v>
      </c>
      <c r="I96" s="798">
        <f t="shared" ref="I96:I101" si="175">H96/G96</f>
        <v>371.71398333735084</v>
      </c>
      <c r="J96" s="811">
        <f t="shared" ref="J96:J101" si="176">I96*C96</f>
        <v>2713512.0783626609</v>
      </c>
      <c r="K96" s="814">
        <f t="shared" si="160"/>
        <v>4.6464247917168855E-2</v>
      </c>
      <c r="L96" s="800">
        <f t="shared" si="161"/>
        <v>12420000</v>
      </c>
      <c r="M96" s="800">
        <f t="shared" si="162"/>
        <v>93825362.350879818</v>
      </c>
      <c r="N96" s="800">
        <f t="shared" si="163"/>
        <v>43941555.592450686</v>
      </c>
      <c r="O96" s="814">
        <f t="shared" ref="O96:O101" si="177">M96/(C96*1000*H96)</f>
        <v>5.3553289013059259E-2</v>
      </c>
      <c r="P96" s="814">
        <f t="shared" si="164"/>
        <v>2.5080796571033497E-2</v>
      </c>
      <c r="Q96" s="814">
        <f t="shared" ref="Q96:Q101" si="178">O96+P96</f>
        <v>7.8634085584092753E-2</v>
      </c>
      <c r="R96" s="800">
        <f t="shared" si="165"/>
        <v>40702681.175439909</v>
      </c>
      <c r="S96" s="843">
        <f t="shared" si="166"/>
        <v>2.3232123958584424E-2</v>
      </c>
      <c r="T96" s="208"/>
      <c r="U96" s="208"/>
      <c r="V96" s="214"/>
      <c r="W96" s="11"/>
      <c r="X96" s="11"/>
      <c r="Y96" s="11"/>
    </row>
    <row r="97" spans="1:25">
      <c r="A97" s="145" t="str">
        <f t="shared" si="158"/>
        <v>LIB-NMC</v>
      </c>
      <c r="B97" s="1121">
        <v>20</v>
      </c>
      <c r="C97" s="1122">
        <f t="shared" si="173"/>
        <v>7300</v>
      </c>
      <c r="D97" s="1138">
        <v>0.94</v>
      </c>
      <c r="E97" s="1138">
        <v>0.98</v>
      </c>
      <c r="F97" s="1138">
        <v>0.98</v>
      </c>
      <c r="G97" s="1138">
        <f t="shared" si="174"/>
        <v>0.8670260703999999</v>
      </c>
      <c r="H97" s="1122">
        <f t="shared" si="159"/>
        <v>240</v>
      </c>
      <c r="I97" s="1122">
        <f t="shared" si="175"/>
        <v>276.80828546398465</v>
      </c>
      <c r="J97" s="1123">
        <f t="shared" si="176"/>
        <v>2020700.483887088</v>
      </c>
      <c r="K97" s="1139">
        <f t="shared" si="160"/>
        <v>3.4601035682998077E-2</v>
      </c>
      <c r="L97" s="215">
        <f t="shared" si="161"/>
        <v>12420000</v>
      </c>
      <c r="M97" s="215">
        <f t="shared" si="162"/>
        <v>73041014.516612649</v>
      </c>
      <c r="N97" s="215">
        <f t="shared" si="163"/>
        <v>52120585.590774618</v>
      </c>
      <c r="O97" s="1139">
        <f t="shared" si="177"/>
        <v>4.1690076778888495E-2</v>
      </c>
      <c r="P97" s="1139">
        <f t="shared" si="164"/>
        <v>2.9749192688798297E-2</v>
      </c>
      <c r="Q97" s="1139">
        <f t="shared" si="178"/>
        <v>7.1439269467686792E-2</v>
      </c>
      <c r="R97" s="215">
        <f t="shared" si="165"/>
        <v>30310507.258306321</v>
      </c>
      <c r="S97" s="1140">
        <f t="shared" si="166"/>
        <v>1.7300517841499042E-2</v>
      </c>
      <c r="T97" s="208"/>
      <c r="U97" s="208"/>
      <c r="V97" s="214"/>
      <c r="W97" s="11"/>
      <c r="X97" s="11"/>
      <c r="Y97" s="11"/>
    </row>
    <row r="98" spans="1:25">
      <c r="A98" s="314" t="str">
        <f t="shared" si="158"/>
        <v>LIB-LFP</v>
      </c>
      <c r="B98" s="721">
        <v>20</v>
      </c>
      <c r="C98" s="798">
        <f t="shared" si="173"/>
        <v>7300</v>
      </c>
      <c r="D98" s="813">
        <v>0.96</v>
      </c>
      <c r="E98" s="813">
        <v>0.98</v>
      </c>
      <c r="F98" s="813">
        <v>0.98</v>
      </c>
      <c r="G98" s="813">
        <f t="shared" si="174"/>
        <v>0.88547343359999986</v>
      </c>
      <c r="H98" s="798">
        <f t="shared" si="159"/>
        <v>240</v>
      </c>
      <c r="I98" s="798">
        <f t="shared" si="175"/>
        <v>271.04144618348494</v>
      </c>
      <c r="J98" s="811">
        <f t="shared" si="176"/>
        <v>1978602.55713944</v>
      </c>
      <c r="K98" s="814">
        <f t="shared" si="160"/>
        <v>3.3880180772935621E-2</v>
      </c>
      <c r="L98" s="800">
        <f t="shared" si="161"/>
        <v>12420000</v>
      </c>
      <c r="M98" s="800">
        <f t="shared" si="162"/>
        <v>71778076.714183196</v>
      </c>
      <c r="N98" s="800">
        <f t="shared" si="163"/>
        <v>50905716.366979957</v>
      </c>
      <c r="O98" s="814">
        <f t="shared" si="177"/>
        <v>4.0969221868826025E-2</v>
      </c>
      <c r="P98" s="814">
        <f t="shared" si="164"/>
        <v>2.9055774182066185E-2</v>
      </c>
      <c r="Q98" s="814">
        <f t="shared" si="178"/>
        <v>7.0024996050892213E-2</v>
      </c>
      <c r="R98" s="800">
        <f t="shared" si="165"/>
        <v>29679038.357091598</v>
      </c>
      <c r="S98" s="843">
        <f t="shared" si="166"/>
        <v>1.6940090386467807E-2</v>
      </c>
      <c r="T98" s="208"/>
      <c r="U98" s="208"/>
      <c r="V98" s="214"/>
      <c r="W98" s="11"/>
      <c r="X98" s="11"/>
      <c r="Y98" s="11"/>
    </row>
    <row r="99" spans="1:25" ht="17" thickBot="1">
      <c r="A99" s="987" t="str">
        <f t="shared" si="158"/>
        <v>Li-DIB</v>
      </c>
      <c r="B99" s="1125">
        <v>20</v>
      </c>
      <c r="C99" s="1126">
        <f t="shared" si="173"/>
        <v>7300</v>
      </c>
      <c r="D99" s="1141">
        <v>0.96</v>
      </c>
      <c r="E99" s="1141">
        <v>0.98</v>
      </c>
      <c r="F99" s="1141">
        <v>0.98</v>
      </c>
      <c r="G99" s="1141">
        <f t="shared" si="174"/>
        <v>0.88547343359999986</v>
      </c>
      <c r="H99" s="1126">
        <f t="shared" si="159"/>
        <v>240</v>
      </c>
      <c r="I99" s="1126">
        <f t="shared" si="175"/>
        <v>271.04144618348494</v>
      </c>
      <c r="J99" s="1128">
        <f t="shared" si="176"/>
        <v>1978602.55713944</v>
      </c>
      <c r="K99" s="1142">
        <f t="shared" si="160"/>
        <v>3.3880180772935621E-2</v>
      </c>
      <c r="L99" s="1127">
        <f t="shared" si="161"/>
        <v>12420000</v>
      </c>
      <c r="M99" s="1127">
        <f t="shared" si="162"/>
        <v>71778076.714183196</v>
      </c>
      <c r="N99" s="1127">
        <f t="shared" si="163"/>
        <v>84555139.462550789</v>
      </c>
      <c r="O99" s="1142">
        <f t="shared" si="177"/>
        <v>4.0969221868826025E-2</v>
      </c>
      <c r="P99" s="1142">
        <f t="shared" si="164"/>
        <v>4.8262065903282414E-2</v>
      </c>
      <c r="Q99" s="1142">
        <f t="shared" si="178"/>
        <v>8.9231287772108439E-2</v>
      </c>
      <c r="R99" s="1127">
        <f t="shared" si="165"/>
        <v>29679038.357091598</v>
      </c>
      <c r="S99" s="1143">
        <f t="shared" si="166"/>
        <v>1.6940090386467807E-2</v>
      </c>
      <c r="T99" s="208"/>
      <c r="U99" s="208"/>
      <c r="V99" s="214"/>
      <c r="W99" s="11"/>
      <c r="X99" s="11"/>
      <c r="Y99" s="11"/>
    </row>
    <row r="100" spans="1:25">
      <c r="A100" s="98"/>
      <c r="B100" s="466"/>
      <c r="C100" s="798"/>
      <c r="D100" s="813"/>
      <c r="E100" s="813"/>
      <c r="F100" s="813"/>
      <c r="G100" s="813"/>
      <c r="H100" s="798"/>
      <c r="I100" s="798"/>
      <c r="J100" s="811"/>
      <c r="K100" s="814"/>
      <c r="L100" s="800"/>
      <c r="M100" s="800"/>
      <c r="N100" s="800"/>
      <c r="O100" s="814"/>
      <c r="P100" s="814"/>
      <c r="Q100" s="814"/>
      <c r="R100" s="800"/>
      <c r="S100" s="814"/>
      <c r="T100" s="208"/>
      <c r="U100" s="208"/>
      <c r="V100" s="214"/>
      <c r="W100" s="11"/>
      <c r="X100" s="11"/>
      <c r="Y100" s="11"/>
    </row>
    <row r="101" spans="1:25">
      <c r="A101" s="98"/>
      <c r="B101" s="466"/>
      <c r="C101" s="798"/>
      <c r="D101" s="813"/>
      <c r="E101" s="813"/>
      <c r="F101" s="813"/>
      <c r="G101" s="813"/>
      <c r="H101" s="798"/>
      <c r="I101" s="798"/>
      <c r="J101" s="811"/>
      <c r="K101" s="814"/>
      <c r="L101" s="800"/>
      <c r="M101" s="800"/>
      <c r="N101" s="800"/>
      <c r="O101" s="814"/>
      <c r="P101" s="814"/>
      <c r="Q101" s="814"/>
      <c r="R101" s="800"/>
      <c r="S101" s="814"/>
      <c r="T101" s="208"/>
      <c r="U101" s="208"/>
      <c r="V101" s="214"/>
      <c r="W101" s="11"/>
      <c r="X101" s="11"/>
      <c r="Y101" s="11"/>
    </row>
    <row r="102" spans="1:25">
      <c r="A102" s="98"/>
      <c r="B102" s="466"/>
      <c r="C102" s="798"/>
      <c r="D102" s="813"/>
      <c r="E102" s="813"/>
      <c r="F102" s="813"/>
      <c r="G102" s="813"/>
      <c r="H102" s="798"/>
      <c r="I102" s="798"/>
      <c r="J102" s="811"/>
      <c r="K102" s="814"/>
      <c r="L102" s="800"/>
      <c r="M102" s="800"/>
      <c r="N102" s="800"/>
      <c r="O102" s="814"/>
      <c r="P102" s="814"/>
      <c r="Q102" s="814"/>
      <c r="R102" s="800"/>
      <c r="S102" s="814"/>
      <c r="T102" s="208"/>
      <c r="U102" s="208"/>
      <c r="V102" s="214"/>
      <c r="W102" s="11"/>
      <c r="X102" s="11"/>
      <c r="Y102" s="11"/>
    </row>
    <row r="103" spans="1: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</sheetData>
  <mergeCells count="84">
    <mergeCell ref="U47:U51"/>
    <mergeCell ref="L47:L51"/>
    <mergeCell ref="M47:M51"/>
    <mergeCell ref="R47:R51"/>
    <mergeCell ref="T47:T51"/>
    <mergeCell ref="A32:A33"/>
    <mergeCell ref="J85:J89"/>
    <mergeCell ref="K85:K89"/>
    <mergeCell ref="L85:L89"/>
    <mergeCell ref="M85:M89"/>
    <mergeCell ref="T10:V10"/>
    <mergeCell ref="T9:V9"/>
    <mergeCell ref="T12:V12"/>
    <mergeCell ref="T11:V11"/>
    <mergeCell ref="N85:N89"/>
    <mergeCell ref="O85:O89"/>
    <mergeCell ref="P85:P89"/>
    <mergeCell ref="Q85:Q89"/>
    <mergeCell ref="S85:S89"/>
    <mergeCell ref="R85:R89"/>
    <mergeCell ref="F85:F89"/>
    <mergeCell ref="G85:G89"/>
    <mergeCell ref="H85:H89"/>
    <mergeCell ref="I85:I89"/>
    <mergeCell ref="A85:A90"/>
    <mergeCell ref="B85:B89"/>
    <mergeCell ref="C85:C89"/>
    <mergeCell ref="D85:D89"/>
    <mergeCell ref="E85:E89"/>
    <mergeCell ref="T1:V3"/>
    <mergeCell ref="T4:V4"/>
    <mergeCell ref="T5:V5"/>
    <mergeCell ref="X73:Y73"/>
    <mergeCell ref="X66:Y68"/>
    <mergeCell ref="X69:Y69"/>
    <mergeCell ref="X70:Y70"/>
    <mergeCell ref="X71:Y71"/>
    <mergeCell ref="T6:V6"/>
    <mergeCell ref="T7:V7"/>
    <mergeCell ref="X35:Y35"/>
    <mergeCell ref="X43:Y43"/>
    <mergeCell ref="X44:Y44"/>
    <mergeCell ref="X37:Y37"/>
    <mergeCell ref="X38:Y38"/>
    <mergeCell ref="T8:V8"/>
    <mergeCell ref="X79:Y79"/>
    <mergeCell ref="I47:I51"/>
    <mergeCell ref="N47:N51"/>
    <mergeCell ref="O47:O51"/>
    <mergeCell ref="V47:V52"/>
    <mergeCell ref="P47:P51"/>
    <mergeCell ref="Q47:Q51"/>
    <mergeCell ref="G1:G2"/>
    <mergeCell ref="A47:A52"/>
    <mergeCell ref="G47:G51"/>
    <mergeCell ref="S47:S51"/>
    <mergeCell ref="K47:K51"/>
    <mergeCell ref="H6:J6"/>
    <mergeCell ref="H7:J7"/>
    <mergeCell ref="A17:A18"/>
    <mergeCell ref="B47:B51"/>
    <mergeCell ref="C47:C51"/>
    <mergeCell ref="D47:D51"/>
    <mergeCell ref="A1:A3"/>
    <mergeCell ref="H8:J8"/>
    <mergeCell ref="H1:J3"/>
    <mergeCell ref="H4:J4"/>
    <mergeCell ref="A66:A71"/>
    <mergeCell ref="B66:B70"/>
    <mergeCell ref="C66:C70"/>
    <mergeCell ref="D66:D70"/>
    <mergeCell ref="E66:E70"/>
    <mergeCell ref="H5:J5"/>
    <mergeCell ref="F66:F70"/>
    <mergeCell ref="G66:G70"/>
    <mergeCell ref="H66:H70"/>
    <mergeCell ref="E47:E51"/>
    <mergeCell ref="F47:F51"/>
    <mergeCell ref="H47:H51"/>
    <mergeCell ref="H10:J10"/>
    <mergeCell ref="H9:J9"/>
    <mergeCell ref="H12:J12"/>
    <mergeCell ref="H11:J11"/>
    <mergeCell ref="J47:J5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601BD-62C0-0246-BF81-D5101EFD8804}">
  <dimension ref="A1:AN158"/>
  <sheetViews>
    <sheetView zoomScale="92" zoomScaleNormal="92" workbookViewId="0">
      <selection activeCell="D16" sqref="D16"/>
    </sheetView>
  </sheetViews>
  <sheetFormatPr baseColWidth="10" defaultColWidth="11.5" defaultRowHeight="16"/>
  <cols>
    <col min="1" max="1" width="30.6640625" style="131" customWidth="1"/>
    <col min="2" max="2" width="18.5" style="131" customWidth="1"/>
    <col min="3" max="3" width="17.6640625" style="131" customWidth="1"/>
    <col min="4" max="4" width="16.1640625" style="131" customWidth="1"/>
    <col min="5" max="5" width="19.1640625" style="131" customWidth="1"/>
    <col min="6" max="6" width="18.6640625" style="131" customWidth="1"/>
    <col min="7" max="7" width="17.33203125" style="131" customWidth="1"/>
    <col min="8" max="11" width="18.1640625" style="131" customWidth="1"/>
    <col min="12" max="12" width="17.5" style="131" customWidth="1"/>
    <col min="13" max="13" width="17.83203125" style="131" customWidth="1"/>
    <col min="14" max="14" width="18.83203125" style="131" customWidth="1"/>
    <col min="15" max="15" width="16.5" style="131" customWidth="1"/>
    <col min="16" max="16" width="19.1640625" style="131" customWidth="1"/>
    <col min="17" max="17" width="18.83203125" style="131" customWidth="1"/>
    <col min="18" max="18" width="17" style="131" customWidth="1"/>
    <col min="19" max="19" width="16" style="131" customWidth="1"/>
    <col min="20" max="20" width="16.83203125" style="131" customWidth="1"/>
    <col min="21" max="21" width="17.1640625" style="131" customWidth="1"/>
    <col min="22" max="22" width="18.83203125" style="131" customWidth="1"/>
    <col min="23" max="23" width="18" style="131" customWidth="1"/>
    <col min="24" max="24" width="16.1640625" style="131" customWidth="1"/>
    <col min="25" max="25" width="22.5" style="131" customWidth="1"/>
    <col min="26" max="26" width="22.83203125" style="131" customWidth="1"/>
    <col min="27" max="27" width="16.1640625" style="131" customWidth="1"/>
    <col min="28" max="28" width="19" style="131" customWidth="1"/>
    <col min="29" max="29" width="14.83203125" style="131" customWidth="1"/>
    <col min="30" max="30" width="13.6640625" style="131" bestFit="1" customWidth="1"/>
    <col min="31" max="31" width="15.33203125" style="131" bestFit="1" customWidth="1"/>
    <col min="32" max="32" width="16.1640625" style="131" customWidth="1"/>
    <col min="33" max="36" width="11.5" style="131"/>
    <col min="37" max="37" width="18.1640625" style="131" customWidth="1"/>
    <col min="38" max="39" width="11.5" style="131"/>
    <col min="40" max="40" width="12.5" style="131" customWidth="1"/>
    <col min="41" max="41" width="13.5" style="131" customWidth="1"/>
    <col min="42" max="42" width="19.6640625" style="131" customWidth="1"/>
    <col min="43" max="43" width="22.1640625" style="131" customWidth="1"/>
    <col min="44" max="44" width="19" style="131" customWidth="1"/>
    <col min="45" max="16384" width="11.5" style="131"/>
  </cols>
  <sheetData>
    <row r="1" spans="1:27" ht="18" customHeight="1">
      <c r="A1" s="724" t="s">
        <v>1452</v>
      </c>
      <c r="B1" s="703" t="s">
        <v>0</v>
      </c>
      <c r="C1" s="547" t="s">
        <v>529</v>
      </c>
      <c r="D1" s="547" t="s">
        <v>809</v>
      </c>
      <c r="E1" s="547" t="s">
        <v>810</v>
      </c>
      <c r="F1" s="701" t="s">
        <v>650</v>
      </c>
      <c r="G1" s="505" t="s">
        <v>1439</v>
      </c>
      <c r="H1" s="700"/>
      <c r="I1" s="1167"/>
      <c r="J1" s="700"/>
      <c r="K1" s="709"/>
      <c r="M1" s="505" t="s">
        <v>1438</v>
      </c>
      <c r="N1" s="743" t="s">
        <v>1440</v>
      </c>
      <c r="O1" s="700"/>
      <c r="P1" s="700"/>
      <c r="Q1" s="700"/>
      <c r="R1" s="709"/>
      <c r="S1" s="558"/>
      <c r="T1" s="558"/>
      <c r="U1" s="558"/>
      <c r="V1" s="213"/>
      <c r="W1" s="471"/>
      <c r="X1" s="471"/>
      <c r="Y1" s="466"/>
      <c r="Z1" s="213"/>
      <c r="AA1" s="213"/>
    </row>
    <row r="2" spans="1:27" ht="36" customHeight="1">
      <c r="A2" s="725"/>
      <c r="B2" s="688"/>
      <c r="C2" s="548"/>
      <c r="D2" s="548"/>
      <c r="E2" s="548"/>
      <c r="F2" s="702"/>
      <c r="G2" s="695"/>
      <c r="H2" s="466" t="s">
        <v>282</v>
      </c>
      <c r="I2" s="1168" t="s">
        <v>638</v>
      </c>
      <c r="J2" s="201" t="s">
        <v>859</v>
      </c>
      <c r="K2" s="357" t="s">
        <v>282</v>
      </c>
      <c r="M2" s="695"/>
      <c r="N2" s="466" t="s">
        <v>675</v>
      </c>
      <c r="O2" s="466" t="s">
        <v>674</v>
      </c>
      <c r="P2" s="466" t="s">
        <v>675</v>
      </c>
      <c r="Q2" s="466" t="s">
        <v>678</v>
      </c>
      <c r="R2" s="357" t="s">
        <v>675</v>
      </c>
      <c r="S2" s="558"/>
      <c r="T2" s="558"/>
      <c r="U2" s="558"/>
      <c r="V2" s="213"/>
      <c r="W2" s="471"/>
      <c r="X2" s="471"/>
      <c r="Y2" s="466"/>
      <c r="Z2" s="213"/>
      <c r="AA2" s="213"/>
    </row>
    <row r="3" spans="1:27" ht="18.75" customHeight="1">
      <c r="A3" s="726"/>
      <c r="B3" s="689"/>
      <c r="C3" s="466"/>
      <c r="D3" s="466"/>
      <c r="E3" s="466"/>
      <c r="F3" s="357"/>
      <c r="G3" s="695"/>
      <c r="I3" s="847"/>
      <c r="J3" s="131" t="s">
        <v>820</v>
      </c>
      <c r="K3" s="172"/>
      <c r="M3" s="695"/>
      <c r="N3" s="466" t="s">
        <v>676</v>
      </c>
      <c r="O3" s="466"/>
      <c r="P3" s="466" t="s">
        <v>676</v>
      </c>
      <c r="Q3" s="466"/>
      <c r="R3" s="357" t="s">
        <v>676</v>
      </c>
      <c r="S3" s="558"/>
      <c r="T3" s="558"/>
      <c r="U3" s="558"/>
      <c r="V3" s="213"/>
      <c r="W3" s="471"/>
      <c r="X3" s="471"/>
      <c r="Y3" s="471"/>
      <c r="Z3" s="213"/>
      <c r="AA3" s="213"/>
    </row>
    <row r="4" spans="1:27">
      <c r="A4" s="145" t="s">
        <v>66</v>
      </c>
      <c r="B4" s="1002" t="s">
        <v>685</v>
      </c>
      <c r="C4" s="1144">
        <f>6.94/(6.94+0.8*58.7+0.1*54.9+0.1*58.9+2*16)</f>
        <v>7.1340460526315791E-2</v>
      </c>
      <c r="D4" s="1144">
        <f>0.1*54.9/(6.94+0.8*58.7+0.1*54.9+0.1*58.9+2*16)</f>
        <v>5.6435032894736843E-2</v>
      </c>
      <c r="E4" s="1144">
        <f>0.8*58.7/(6.94+0.8*58.7+0.1*54.9+0.1*58.9+2*16)</f>
        <v>0.4827302631578948</v>
      </c>
      <c r="F4" s="1144">
        <f>0.1*58.9/(6.94+0.8*58.7+0.1*54.9+0.1*58.9+2*16)</f>
        <v>6.0546875000000007E-2</v>
      </c>
      <c r="G4" s="1002">
        <v>14.8</v>
      </c>
      <c r="H4" s="1017" t="s">
        <v>1006</v>
      </c>
      <c r="I4" s="1016" t="s">
        <v>822</v>
      </c>
      <c r="J4" s="1018">
        <f>'Material Costs and GWP'!W22</f>
        <v>2.3642857142857143</v>
      </c>
      <c r="K4" s="1004" t="s">
        <v>1007</v>
      </c>
      <c r="L4" s="730"/>
      <c r="M4" s="1170" t="s">
        <v>655</v>
      </c>
      <c r="N4" s="1171">
        <v>1</v>
      </c>
      <c r="O4" s="1016" t="s">
        <v>225</v>
      </c>
      <c r="P4" s="1152">
        <v>700</v>
      </c>
      <c r="Q4" s="1016" t="s">
        <v>680</v>
      </c>
      <c r="R4" s="1153">
        <f>0.69*N6+0.02*N13+0.19*P7+0.1*P9</f>
        <v>890.12599999999998</v>
      </c>
      <c r="S4" s="556"/>
      <c r="T4" s="556"/>
      <c r="U4" s="556"/>
      <c r="V4" s="83"/>
      <c r="W4" s="84"/>
      <c r="X4" s="84"/>
      <c r="Y4" s="85"/>
      <c r="Z4" s="83"/>
      <c r="AA4" s="86"/>
    </row>
    <row r="5" spans="1:27">
      <c r="A5" s="705" t="s">
        <v>199</v>
      </c>
      <c r="B5" s="727" t="s">
        <v>144</v>
      </c>
      <c r="C5" s="728">
        <f>6.94/(6.94+55.8+31+4*16)</f>
        <v>4.3996449854190441E-2</v>
      </c>
      <c r="D5" s="735">
        <v>0</v>
      </c>
      <c r="E5" s="728">
        <f>55.8/(6.94+55.8+31+4*16)</f>
        <v>0.35374667173830349</v>
      </c>
      <c r="F5" s="728">
        <f>31/(6.94+55.8+31+4*16)</f>
        <v>0.19652592874350194</v>
      </c>
      <c r="G5" s="734">
        <f>'Material Costs and GWP'!W68</f>
        <v>11.150795555976828</v>
      </c>
      <c r="H5" s="730"/>
      <c r="I5" s="732" t="s">
        <v>865</v>
      </c>
      <c r="J5" s="736">
        <f>'Material Costs and GWP'!J72</f>
        <v>18.14113805406059</v>
      </c>
      <c r="K5" s="758"/>
      <c r="L5" s="730"/>
      <c r="M5" s="761" t="s">
        <v>38</v>
      </c>
      <c r="N5" s="1172">
        <v>3.4</v>
      </c>
      <c r="O5" s="779" t="s">
        <v>665</v>
      </c>
      <c r="P5" s="762">
        <v>1200</v>
      </c>
      <c r="Q5" s="732" t="s">
        <v>681</v>
      </c>
      <c r="R5" s="764"/>
      <c r="S5" s="556"/>
      <c r="T5" s="556"/>
      <c r="U5" s="556"/>
      <c r="V5" s="83"/>
      <c r="W5" s="84"/>
      <c r="X5" s="84"/>
      <c r="Y5" s="85"/>
      <c r="Z5" s="83"/>
      <c r="AA5" s="86"/>
    </row>
    <row r="6" spans="1:27">
      <c r="A6" s="1145" t="s">
        <v>244</v>
      </c>
      <c r="B6" s="1008" t="s">
        <v>246</v>
      </c>
      <c r="C6" s="1013">
        <v>0</v>
      </c>
      <c r="D6" s="1020">
        <f>54.9/(54.9+2*16)</f>
        <v>0.63176064441887225</v>
      </c>
      <c r="E6" s="1146"/>
      <c r="F6" s="1147"/>
      <c r="G6" s="1005">
        <f>'Material Costs and GWP'!AC20</f>
        <v>6.4829977520873472</v>
      </c>
      <c r="H6" s="1013"/>
      <c r="I6" s="1008" t="s">
        <v>823</v>
      </c>
      <c r="J6" s="1019">
        <f>'Material Costs and GWP'!W11</f>
        <v>1.4400000000000002</v>
      </c>
      <c r="K6" s="1010" t="s">
        <v>1007</v>
      </c>
      <c r="L6" s="730"/>
      <c r="M6" s="1014" t="s">
        <v>656</v>
      </c>
      <c r="N6" s="1173">
        <v>5.4</v>
      </c>
      <c r="O6" s="1021" t="s">
        <v>666</v>
      </c>
      <c r="P6" s="1151">
        <v>2000</v>
      </c>
      <c r="Q6" s="1008" t="s">
        <v>795</v>
      </c>
      <c r="R6" s="1154">
        <f>2*52/(2*52+14)*P7</f>
        <v>1850.8474576271185</v>
      </c>
      <c r="S6" s="556"/>
      <c r="T6" s="556"/>
      <c r="U6" s="556"/>
      <c r="V6" s="83"/>
      <c r="W6" s="84"/>
      <c r="X6" s="84"/>
      <c r="Y6" s="85"/>
      <c r="Z6" s="83"/>
      <c r="AA6" s="86"/>
    </row>
    <row r="7" spans="1:27">
      <c r="A7" s="755" t="s">
        <v>988</v>
      </c>
      <c r="B7" s="727" t="s">
        <v>989</v>
      </c>
      <c r="C7" s="728">
        <f>6.94/(6.94+2*54.9+4*16)</f>
        <v>3.8397698351222753E-2</v>
      </c>
      <c r="D7" s="728">
        <f>2*54.9/(6.94+2*54.9+4*16)</f>
        <v>0.60750248976430221</v>
      </c>
      <c r="E7" s="730"/>
      <c r="F7" s="730"/>
      <c r="G7" s="778">
        <f>'Material Costs and GWP'!AC31</f>
        <v>7.3128924889294522</v>
      </c>
      <c r="H7" s="730"/>
      <c r="I7" s="732" t="s">
        <v>824</v>
      </c>
      <c r="J7" s="736">
        <f>'Material Costs and GWP'!W25</f>
        <v>2.2695852534562211</v>
      </c>
      <c r="K7" s="758" t="s">
        <v>1007</v>
      </c>
      <c r="L7" s="730"/>
      <c r="M7" s="766" t="s">
        <v>657</v>
      </c>
      <c r="N7" s="1172">
        <v>6.2</v>
      </c>
      <c r="O7" s="732" t="s">
        <v>667</v>
      </c>
      <c r="P7" s="762">
        <v>2100</v>
      </c>
      <c r="Q7" s="732" t="s">
        <v>732</v>
      </c>
      <c r="R7" s="758">
        <f>0.975*N5+0.01*N12+0.004*P10+0.006*P6+0.004*P8+0.001*P5</f>
        <v>53.915000000000006</v>
      </c>
      <c r="S7" s="556"/>
      <c r="T7" s="556"/>
      <c r="U7" s="556"/>
      <c r="V7" s="83"/>
      <c r="W7" s="84"/>
      <c r="X7" s="84"/>
      <c r="Y7" s="85"/>
      <c r="Z7" s="83"/>
      <c r="AA7" s="86"/>
    </row>
    <row r="8" spans="1:27" ht="16" customHeight="1">
      <c r="A8" s="1148" t="s">
        <v>148</v>
      </c>
      <c r="B8" s="1005" t="s">
        <v>35</v>
      </c>
      <c r="C8" s="901"/>
      <c r="D8" s="901"/>
      <c r="E8" s="902"/>
      <c r="F8" s="1149"/>
      <c r="G8" s="1005">
        <f>'Material Costs and GWP'!W8</f>
        <v>2.4651162790697674</v>
      </c>
      <c r="H8" s="1013" t="s">
        <v>1007</v>
      </c>
      <c r="I8" s="1008"/>
      <c r="J8" s="1013"/>
      <c r="K8" s="1010"/>
      <c r="L8" s="730"/>
      <c r="M8" s="986" t="s">
        <v>658</v>
      </c>
      <c r="N8" s="1173">
        <v>10</v>
      </c>
      <c r="O8" s="1008" t="s">
        <v>668</v>
      </c>
      <c r="P8" s="1151">
        <v>3900</v>
      </c>
      <c r="Q8" s="1008" t="s">
        <v>733</v>
      </c>
      <c r="R8" s="1154"/>
      <c r="S8" s="482"/>
      <c r="T8" s="482"/>
      <c r="U8" s="482"/>
      <c r="V8" s="83"/>
      <c r="W8" s="84"/>
      <c r="X8" s="84"/>
      <c r="Y8" s="85"/>
      <c r="Z8" s="83"/>
      <c r="AA8" s="86"/>
    </row>
    <row r="9" spans="1:27" ht="34">
      <c r="A9" s="313" t="s">
        <v>413</v>
      </c>
      <c r="B9" s="721" t="s">
        <v>652</v>
      </c>
      <c r="C9" s="466" t="s">
        <v>70</v>
      </c>
      <c r="D9" s="466" t="s">
        <v>527</v>
      </c>
      <c r="E9" s="132" t="s">
        <v>647</v>
      </c>
      <c r="F9" s="132" t="s">
        <v>647</v>
      </c>
      <c r="G9" s="778">
        <f>'Material Costs and GWP'!AI51</f>
        <v>5.13</v>
      </c>
      <c r="H9" s="191" t="s">
        <v>1014</v>
      </c>
      <c r="I9" s="1169" t="s">
        <v>1455</v>
      </c>
      <c r="J9" s="731">
        <v>3.1</v>
      </c>
      <c r="K9" s="758" t="s">
        <v>1006</v>
      </c>
      <c r="L9" s="730"/>
      <c r="M9" s="761" t="s">
        <v>659</v>
      </c>
      <c r="N9" s="1172">
        <v>12</v>
      </c>
      <c r="O9" s="778" t="s">
        <v>669</v>
      </c>
      <c r="P9" s="762">
        <v>4800</v>
      </c>
      <c r="Q9" s="732"/>
      <c r="R9" s="758"/>
      <c r="S9" s="482"/>
      <c r="T9" s="482"/>
      <c r="U9" s="482"/>
      <c r="V9" s="83"/>
      <c r="W9" s="84"/>
      <c r="X9" s="84"/>
      <c r="Y9" s="85"/>
      <c r="Z9" s="83"/>
      <c r="AA9" s="86"/>
    </row>
    <row r="10" spans="1:27" ht="20">
      <c r="A10" s="1148" t="s">
        <v>150</v>
      </c>
      <c r="B10" s="721" t="s">
        <v>653</v>
      </c>
      <c r="C10" s="466" t="s">
        <v>72</v>
      </c>
      <c r="D10" s="466"/>
      <c r="E10" s="466"/>
      <c r="F10" s="466"/>
      <c r="G10" s="1021">
        <f>G9</f>
        <v>5.13</v>
      </c>
      <c r="H10" s="969" t="s">
        <v>1014</v>
      </c>
      <c r="I10" s="1008"/>
      <c r="J10" s="1013"/>
      <c r="K10" s="1010"/>
      <c r="L10" s="730"/>
      <c r="M10" s="986" t="s">
        <v>660</v>
      </c>
      <c r="N10" s="1173">
        <v>19</v>
      </c>
      <c r="O10" s="1021" t="s">
        <v>670</v>
      </c>
      <c r="P10" s="1151">
        <v>5100</v>
      </c>
      <c r="Q10" s="1008" t="s">
        <v>808</v>
      </c>
      <c r="R10" s="1010"/>
      <c r="S10" s="482"/>
      <c r="T10" s="482"/>
      <c r="U10" s="482"/>
      <c r="V10" s="83"/>
      <c r="W10" s="84"/>
      <c r="X10" s="84"/>
      <c r="Y10" s="85"/>
      <c r="Z10" s="83"/>
      <c r="AA10" s="86"/>
    </row>
    <row r="11" spans="1:27">
      <c r="A11" s="113" t="s">
        <v>16</v>
      </c>
      <c r="B11" s="732">
        <v>1E-3</v>
      </c>
      <c r="C11" s="730">
        <v>1.2</v>
      </c>
      <c r="D11" s="768">
        <f>6.94*B11/C11</f>
        <v>5.7833333333333339E-3</v>
      </c>
      <c r="E11" s="768">
        <f>6*19*B11/C11</f>
        <v>9.5000000000000001E-2</v>
      </c>
      <c r="F11" s="768">
        <f>31*B11/C11</f>
        <v>2.5833333333333333E-2</v>
      </c>
      <c r="G11" s="778">
        <f>'Material Costs and GWP'!W23</f>
        <v>4.5227272727272725</v>
      </c>
      <c r="H11" s="730" t="s">
        <v>1007</v>
      </c>
      <c r="I11" s="732"/>
      <c r="J11" s="730"/>
      <c r="K11" s="758"/>
      <c r="L11" s="730"/>
      <c r="M11" s="766" t="s">
        <v>661</v>
      </c>
      <c r="N11" s="1172">
        <v>67</v>
      </c>
      <c r="O11" s="732" t="s">
        <v>37</v>
      </c>
      <c r="P11" s="762">
        <v>10000</v>
      </c>
      <c r="Q11" s="732"/>
      <c r="R11" s="769">
        <v>0.41</v>
      </c>
      <c r="S11" s="482"/>
      <c r="T11" s="482"/>
      <c r="U11" s="482"/>
      <c r="V11" s="83"/>
      <c r="W11" s="84"/>
      <c r="X11" s="84"/>
      <c r="Y11" s="85"/>
      <c r="Z11" s="83"/>
      <c r="AA11" s="86"/>
    </row>
    <row r="12" spans="1:27">
      <c r="A12" s="1150" t="s">
        <v>18</v>
      </c>
      <c r="B12" s="1008">
        <f>'Energy Contents Cell'!Z81</f>
        <v>4.0000000000000001E-3</v>
      </c>
      <c r="C12" s="1013">
        <v>1.4</v>
      </c>
      <c r="D12" s="1020">
        <f>6.94*B12/C12</f>
        <v>1.9828571428571432E-2</v>
      </c>
      <c r="E12" s="1020">
        <f>6*19*B12/C12</f>
        <v>0.32571428571428573</v>
      </c>
      <c r="F12" s="1020">
        <f>31*B12/C12</f>
        <v>8.8571428571428579E-2</v>
      </c>
      <c r="G12" s="1021">
        <f>G11</f>
        <v>4.5227272727272725</v>
      </c>
      <c r="H12" s="1013" t="s">
        <v>1007</v>
      </c>
      <c r="I12" s="1008"/>
      <c r="J12" s="1013"/>
      <c r="K12" s="1010"/>
      <c r="L12" s="730"/>
      <c r="M12" s="986" t="s">
        <v>662</v>
      </c>
      <c r="N12" s="1173">
        <v>140</v>
      </c>
      <c r="O12" s="1021" t="s">
        <v>671</v>
      </c>
      <c r="P12" s="1151">
        <v>11000</v>
      </c>
      <c r="Q12" s="1008" t="s">
        <v>798</v>
      </c>
      <c r="R12" s="1055">
        <f>P5*R11</f>
        <v>491.99999999999994</v>
      </c>
      <c r="S12" s="482"/>
      <c r="T12" s="482"/>
      <c r="U12" s="482"/>
      <c r="V12" s="83"/>
      <c r="W12" s="84"/>
      <c r="X12" s="84"/>
      <c r="Y12" s="85"/>
      <c r="Z12" s="83"/>
      <c r="AA12" s="86"/>
    </row>
    <row r="13" spans="1:27">
      <c r="A13" s="113" t="s">
        <v>152</v>
      </c>
      <c r="B13" s="732"/>
      <c r="C13" s="730">
        <v>1.2</v>
      </c>
      <c r="D13" s="768">
        <f>'Energy Contents Cell'!Z79*27/('Energy Contents Cell'!Z79*133+147)</f>
        <v>0.13075060532687652</v>
      </c>
      <c r="E13" s="768">
        <f>('Energy Contents Cell'!Z79+1)*3*35.45/('Energy Contents Cell'!Z79*133+147)</f>
        <v>0.77251815980629546</v>
      </c>
      <c r="F13" s="768"/>
      <c r="G13" s="778">
        <f>'Material Costs and GWP'!AC13</f>
        <v>2.9555254237288135</v>
      </c>
      <c r="H13" s="730"/>
      <c r="I13" s="732"/>
      <c r="J13" s="730"/>
      <c r="K13" s="758"/>
      <c r="L13" s="730"/>
      <c r="M13" s="761" t="s">
        <v>663</v>
      </c>
      <c r="N13" s="1172">
        <v>370</v>
      </c>
      <c r="O13" s="780" t="s">
        <v>672</v>
      </c>
      <c r="P13" s="762">
        <v>18000</v>
      </c>
      <c r="Q13" s="732" t="s">
        <v>866</v>
      </c>
      <c r="R13" s="781">
        <v>0.3</v>
      </c>
      <c r="T13" s="482"/>
      <c r="U13" s="482"/>
      <c r="V13" s="83"/>
      <c r="W13" s="84"/>
      <c r="X13" s="84"/>
      <c r="Y13" s="85"/>
      <c r="Z13" s="83"/>
      <c r="AA13" s="86"/>
    </row>
    <row r="14" spans="1:27">
      <c r="A14" s="145" t="s">
        <v>3</v>
      </c>
      <c r="B14" s="1005" t="s">
        <v>4</v>
      </c>
      <c r="C14" s="901"/>
      <c r="D14" s="785" t="s">
        <v>986</v>
      </c>
      <c r="E14" s="731"/>
      <c r="F14" s="729"/>
      <c r="G14" s="1005">
        <v>4.7</v>
      </c>
      <c r="H14" s="1013" t="s">
        <v>1007</v>
      </c>
      <c r="I14" s="1008"/>
      <c r="J14" s="1013"/>
      <c r="K14" s="1010"/>
      <c r="L14" s="730"/>
      <c r="M14" s="1014" t="s">
        <v>677</v>
      </c>
      <c r="N14" s="1173">
        <v>510</v>
      </c>
      <c r="O14" s="1155" t="s">
        <v>673</v>
      </c>
      <c r="P14" s="1151">
        <v>26000</v>
      </c>
      <c r="Q14" s="1008" t="s">
        <v>851</v>
      </c>
      <c r="R14" s="1154">
        <f>(1-R13)*'Env. Impacts System'!P11</f>
        <v>7000</v>
      </c>
      <c r="S14" s="482"/>
      <c r="T14" s="482"/>
      <c r="U14" s="482"/>
      <c r="V14" s="83"/>
      <c r="W14" s="84"/>
      <c r="X14" s="84"/>
      <c r="Y14" s="85"/>
      <c r="Z14" s="83"/>
      <c r="AA14" s="86"/>
    </row>
    <row r="15" spans="1:27" ht="17" thickBot="1">
      <c r="A15" s="757" t="s">
        <v>958</v>
      </c>
      <c r="B15" s="732" t="s">
        <v>959</v>
      </c>
      <c r="C15" s="730"/>
      <c r="D15" s="730">
        <f>48/(48+2*16)</f>
        <v>0.6</v>
      </c>
      <c r="E15" s="730"/>
      <c r="F15" s="730"/>
      <c r="G15" s="778">
        <f>'Material Costs and GWP'!AC39</f>
        <v>10.082997752087348</v>
      </c>
      <c r="H15" s="730"/>
      <c r="I15" s="732"/>
      <c r="J15" s="730"/>
      <c r="K15" s="758"/>
      <c r="L15" s="730"/>
      <c r="M15" s="773" t="s">
        <v>664</v>
      </c>
      <c r="N15" s="1174">
        <v>650</v>
      </c>
      <c r="O15" s="782" t="s">
        <v>679</v>
      </c>
      <c r="P15" s="715">
        <v>350000</v>
      </c>
      <c r="Q15" s="782"/>
      <c r="R15" s="774"/>
      <c r="S15" s="482"/>
      <c r="T15" s="482"/>
      <c r="U15" s="482"/>
      <c r="V15" s="83"/>
      <c r="W15" s="84"/>
      <c r="X15" s="84"/>
      <c r="Y15" s="85"/>
      <c r="Z15" s="83"/>
      <c r="AA15" s="86"/>
    </row>
    <row r="16" spans="1:27">
      <c r="A16" s="1011" t="s">
        <v>983</v>
      </c>
      <c r="B16" s="1012" t="s">
        <v>956</v>
      </c>
      <c r="C16" s="1013"/>
      <c r="D16" s="1020">
        <f>2*51/(2*51+12)</f>
        <v>0.89473684210526316</v>
      </c>
      <c r="E16" s="1013"/>
      <c r="F16" s="1013"/>
      <c r="G16" s="1021">
        <f>'Material Costs and GWP'!AI35</f>
        <v>13.191064871481029</v>
      </c>
      <c r="H16" s="1013"/>
      <c r="I16" s="1008"/>
      <c r="J16" s="1013"/>
      <c r="K16" s="1010"/>
      <c r="L16" s="730"/>
      <c r="M16" s="775"/>
      <c r="N16" s="762"/>
      <c r="O16" s="692"/>
      <c r="P16" s="693"/>
      <c r="Q16" s="692"/>
      <c r="R16" s="730"/>
      <c r="S16" s="482"/>
      <c r="T16" s="482"/>
      <c r="U16" s="482"/>
      <c r="V16" s="83"/>
      <c r="W16" s="84"/>
      <c r="X16" s="84"/>
      <c r="Y16" s="85"/>
      <c r="Z16" s="83"/>
      <c r="AA16" s="86"/>
    </row>
    <row r="17" spans="1:39" ht="17" thickBot="1">
      <c r="A17" s="697" t="s">
        <v>145</v>
      </c>
      <c r="B17" s="737" t="s">
        <v>38</v>
      </c>
      <c r="C17" s="738">
        <f>R6</f>
        <v>1850.8474576271185</v>
      </c>
      <c r="D17" s="738">
        <v>1</v>
      </c>
      <c r="E17" s="739"/>
      <c r="F17" s="740"/>
      <c r="G17" s="737">
        <v>7.41</v>
      </c>
      <c r="H17" s="741" t="s">
        <v>1006</v>
      </c>
      <c r="I17" s="861"/>
      <c r="J17" s="741"/>
      <c r="K17" s="774"/>
      <c r="L17" s="730"/>
      <c r="M17" s="775"/>
      <c r="N17" s="762"/>
      <c r="O17" s="692"/>
      <c r="P17" s="693"/>
      <c r="Q17" s="692"/>
      <c r="R17" s="730"/>
      <c r="S17" s="482"/>
      <c r="T17" s="482"/>
      <c r="U17" s="482"/>
      <c r="V17" s="83"/>
      <c r="W17" s="84"/>
      <c r="X17" s="84"/>
      <c r="Y17" s="85"/>
      <c r="Z17" s="83"/>
      <c r="AA17" s="86"/>
    </row>
    <row r="18" spans="1:39" ht="16.5" customHeight="1" thickBot="1"/>
    <row r="19" spans="1:39" ht="82.5" customHeight="1">
      <c r="A19" s="724" t="s">
        <v>523</v>
      </c>
      <c r="B19" s="465" t="s">
        <v>190</v>
      </c>
      <c r="C19" s="465" t="s">
        <v>192</v>
      </c>
      <c r="D19" s="465" t="s">
        <v>193</v>
      </c>
      <c r="E19" s="465" t="s">
        <v>191</v>
      </c>
      <c r="F19" s="465" t="s">
        <v>192</v>
      </c>
      <c r="G19" s="465" t="s">
        <v>193</v>
      </c>
      <c r="H19" s="465" t="s">
        <v>122</v>
      </c>
      <c r="I19" s="465" t="s">
        <v>194</v>
      </c>
      <c r="J19" s="465" t="s">
        <v>195</v>
      </c>
      <c r="K19" s="489" t="s">
        <v>174</v>
      </c>
      <c r="L19" s="465" t="s">
        <v>196</v>
      </c>
      <c r="M19" s="465" t="s">
        <v>213</v>
      </c>
      <c r="N19" s="465" t="s">
        <v>215</v>
      </c>
      <c r="O19" s="465" t="s">
        <v>214</v>
      </c>
      <c r="P19" s="465" t="s">
        <v>218</v>
      </c>
      <c r="Q19" s="465" t="s">
        <v>216</v>
      </c>
      <c r="R19" s="465" t="s">
        <v>83</v>
      </c>
      <c r="S19" s="465" t="s">
        <v>250</v>
      </c>
      <c r="T19" s="465" t="s">
        <v>521</v>
      </c>
      <c r="U19" s="465" t="s">
        <v>216</v>
      </c>
      <c r="V19" s="356" t="s">
        <v>83</v>
      </c>
    </row>
    <row r="20" spans="1:39" ht="18" customHeight="1" thickBot="1">
      <c r="A20" s="726"/>
      <c r="B20" s="466" t="str">
        <f>'Energy Contents Cell'!G37</f>
        <v>[mg cm-2]</v>
      </c>
      <c r="C20" s="466" t="s">
        <v>177</v>
      </c>
      <c r="D20" s="466" t="s">
        <v>177</v>
      </c>
      <c r="E20" s="466" t="str">
        <f>'Energy Contents Cell'!M37</f>
        <v>[mg cm-2]</v>
      </c>
      <c r="F20" s="466" t="s">
        <v>177</v>
      </c>
      <c r="G20" s="466" t="s">
        <v>177</v>
      </c>
      <c r="H20" s="466" t="str">
        <f>'Energy Contents Cell'!R57</f>
        <v>[mg cm-2]</v>
      </c>
      <c r="I20" s="466" t="s">
        <v>177</v>
      </c>
      <c r="J20" s="466" t="s">
        <v>177</v>
      </c>
      <c r="K20" s="466" t="str">
        <f>'Energy Contents Cell'!Q18</f>
        <v>[µm]</v>
      </c>
      <c r="L20" s="466" t="str">
        <f>'Energy Contents Cell'!D57</f>
        <v>[mg cm-2]</v>
      </c>
      <c r="M20" s="466" t="s">
        <v>177</v>
      </c>
      <c r="N20" s="466" t="str">
        <f>'Energy Contents Cell'!I37</f>
        <v xml:space="preserve"> [mAh cm-2] </v>
      </c>
      <c r="O20" s="466" t="str">
        <f>'Energy Contents Cell'!M18</f>
        <v>[V]</v>
      </c>
      <c r="P20" s="466" t="s">
        <v>219</v>
      </c>
      <c r="Q20" s="466" t="s">
        <v>217</v>
      </c>
      <c r="R20" s="466" t="s">
        <v>283</v>
      </c>
      <c r="S20" s="471" t="s">
        <v>251</v>
      </c>
      <c r="T20" s="466" t="s">
        <v>522</v>
      </c>
      <c r="U20" s="466" t="s">
        <v>217</v>
      </c>
      <c r="V20" s="357" t="s">
        <v>283</v>
      </c>
    </row>
    <row r="21" spans="1:39" ht="18" customHeight="1">
      <c r="A21" s="145" t="str">
        <f>'Energy Contents Cell'!A19</f>
        <v>Al-gra</v>
      </c>
      <c r="B21" s="1156">
        <f>'Energy Contents Cell'!G38</f>
        <v>24.762022521527939</v>
      </c>
      <c r="C21" s="983">
        <f>B21*'Energy Contents Cell'!C19/'Energy Contents Cell'!B19</f>
        <v>0.77381320379774809</v>
      </c>
      <c r="D21" s="983">
        <f>B21*'Energy Contents Cell'!D19/'Energy Contents Cell'!B19</f>
        <v>0.2579377345992494</v>
      </c>
      <c r="E21" s="1101">
        <f>'Energy Contents Cell'!M38</f>
        <v>2.0249999999999999</v>
      </c>
      <c r="F21" s="983">
        <f>E21*'Energy Contents Cell'!F19/'Energy Contents Cell'!E19</f>
        <v>0</v>
      </c>
      <c r="G21" s="983">
        <f>E21*'Energy Contents Cell'!G19/'Energy Contents Cell'!E19</f>
        <v>0</v>
      </c>
      <c r="H21" s="1101">
        <f>'Energy Contents Cell'!R58</f>
        <v>82.421197160571054</v>
      </c>
      <c r="I21" s="983">
        <f>'Mass and Cost Cell'!K$9</f>
        <v>2.2265000000000001</v>
      </c>
      <c r="J21" s="983">
        <v>0</v>
      </c>
      <c r="K21" s="1101">
        <f>'Energy Contents Cell'!Q19</f>
        <v>612.96178090773492</v>
      </c>
      <c r="L21" s="1101">
        <f>'Energy Contents Cell'!D58</f>
        <v>11.646273837246961</v>
      </c>
      <c r="M21" s="983">
        <f t="shared" ref="M21:M23" si="0">SUM(B21:J21)+L21</f>
        <v>124.11274445774296</v>
      </c>
      <c r="N21" s="1101">
        <f>'Energy Contents Cell'!I38</f>
        <v>3.3428730404062716</v>
      </c>
      <c r="O21" s="1101">
        <f>'Energy Contents Cell'!M19</f>
        <v>2</v>
      </c>
      <c r="P21" s="983">
        <f t="shared" ref="P21:P23" si="1">N21*O21</f>
        <v>6.6857460808125433</v>
      </c>
      <c r="Q21" s="983">
        <f t="shared" ref="Q21:Q23" si="2">1000*P21/M21</f>
        <v>53.868328430114275</v>
      </c>
      <c r="R21" s="983">
        <v>1.2</v>
      </c>
      <c r="S21" s="991">
        <f>P21*'Energy Contents Cell'!V38*Z$25*AA$25/1000</f>
        <v>41.435301234558786</v>
      </c>
      <c r="T21" s="983">
        <f>AB$27</f>
        <v>14.662999999999998</v>
      </c>
      <c r="U21" s="983">
        <f t="shared" ref="U21:U23" si="3">1000*T21/Q21</f>
        <v>272.20076113969168</v>
      </c>
      <c r="V21" s="1104">
        <v>1.2</v>
      </c>
      <c r="X21" s="550" t="s">
        <v>226</v>
      </c>
      <c r="Y21" s="547"/>
      <c r="Z21" s="465" t="s">
        <v>235</v>
      </c>
      <c r="AA21" s="465" t="s">
        <v>236</v>
      </c>
      <c r="AB21" s="356" t="s">
        <v>131</v>
      </c>
    </row>
    <row r="22" spans="1:39" ht="18" customHeight="1">
      <c r="A22" s="314" t="str">
        <f>'Energy Contents Cell'!A20</f>
        <v>Al-PPQ</v>
      </c>
      <c r="B22" s="718">
        <f>'Energy Contents Cell'!G39</f>
        <v>22.040816326530617</v>
      </c>
      <c r="C22" s="207">
        <f>B22*'Energy Contents Cell'!C20/'Energy Contents Cell'!B20</f>
        <v>1.2244897959183678</v>
      </c>
      <c r="D22" s="207">
        <f>B22*'Energy Contents Cell'!D20/'Energy Contents Cell'!B20</f>
        <v>1.2244897959183678</v>
      </c>
      <c r="E22" s="206">
        <f>'Energy Contents Cell'!M39</f>
        <v>2.0249999999999999</v>
      </c>
      <c r="F22" s="207">
        <f>E22*'Energy Contents Cell'!F20/'Energy Contents Cell'!E20</f>
        <v>0</v>
      </c>
      <c r="G22" s="207">
        <f>E22*'Energy Contents Cell'!G20/'Energy Contents Cell'!E20</f>
        <v>0</v>
      </c>
      <c r="H22" s="206">
        <f>'Energy Contents Cell'!R59</f>
        <v>11.547969958477031</v>
      </c>
      <c r="I22" s="207">
        <f>'Mass and Cost Cell'!K$9</f>
        <v>2.2265000000000001</v>
      </c>
      <c r="J22" s="207">
        <v>0</v>
      </c>
      <c r="K22" s="206">
        <f>'Energy Contents Cell'!Q20</f>
        <v>37.742794778446459</v>
      </c>
      <c r="L22" s="206">
        <f>'Energy Contents Cell'!D59</f>
        <v>0.71711310079048263</v>
      </c>
      <c r="M22" s="207">
        <f t="shared" si="0"/>
        <v>41.006378977634867</v>
      </c>
      <c r="N22" s="206">
        <f>'Energy Contents Cell'!I39</f>
        <v>3.7469387755102046</v>
      </c>
      <c r="O22" s="206">
        <f>'Energy Contents Cell'!M20</f>
        <v>1.4</v>
      </c>
      <c r="P22" s="207">
        <f t="shared" si="1"/>
        <v>5.2457142857142864</v>
      </c>
      <c r="Q22" s="207">
        <f t="shared" si="2"/>
        <v>127.92434778441012</v>
      </c>
      <c r="R22" s="207">
        <v>1.2</v>
      </c>
      <c r="S22" s="13">
        <f>P22*'Energy Contents Cell'!V39*Z$25*AA$25/1000</f>
        <v>113.99278529036532</v>
      </c>
      <c r="T22" s="207">
        <f>AB$27</f>
        <v>14.662999999999998</v>
      </c>
      <c r="U22" s="207">
        <f t="shared" si="3"/>
        <v>114.62243313299072</v>
      </c>
      <c r="V22" s="746">
        <v>1.2</v>
      </c>
      <c r="X22" s="551"/>
      <c r="Y22" s="548"/>
      <c r="Z22" s="466"/>
      <c r="AA22" s="466"/>
      <c r="AB22" s="357"/>
    </row>
    <row r="23" spans="1:39" ht="18" customHeight="1">
      <c r="A23" s="145" t="str">
        <f>'Energy Contents Cell'!A21</f>
        <v>Al-PBQS</v>
      </c>
      <c r="B23" s="1157">
        <f>'Energy Contents Cell'!G40</f>
        <v>17.338775510204087</v>
      </c>
      <c r="C23" s="144">
        <f>B23*'Energy Contents Cell'!C21/'Energy Contents Cell'!B21</f>
        <v>0.96326530612244943</v>
      </c>
      <c r="D23" s="144">
        <f>B23*'Energy Contents Cell'!D21/'Energy Contents Cell'!B21</f>
        <v>0.96326530612244943</v>
      </c>
      <c r="E23" s="165">
        <f>'Energy Contents Cell'!M40</f>
        <v>2.6173931498127603</v>
      </c>
      <c r="F23" s="144">
        <f>E23*'Energy Contents Cell'!F21/'Energy Contents Cell'!E21</f>
        <v>0</v>
      </c>
      <c r="G23" s="144">
        <f>E23*'Energy Contents Cell'!G21/'Energy Contents Cell'!E21</f>
        <v>0</v>
      </c>
      <c r="H23" s="165">
        <f>'Energy Contents Cell'!R60</f>
        <v>16.031299471768111</v>
      </c>
      <c r="I23" s="144">
        <f>'Mass and Cost Cell'!K$9</f>
        <v>2.2265000000000001</v>
      </c>
      <c r="J23" s="144">
        <v>0</v>
      </c>
      <c r="K23" s="165">
        <f>'Energy Contents Cell'!Q21</f>
        <v>36.660585692431567</v>
      </c>
      <c r="L23" s="165">
        <f>'Energy Contents Cell'!D60</f>
        <v>0.69655112815619957</v>
      </c>
      <c r="M23" s="144">
        <f t="shared" si="0"/>
        <v>40.837049872186057</v>
      </c>
      <c r="N23" s="165">
        <f>'Energy Contents Cell'!I40</f>
        <v>5.2016326530612256</v>
      </c>
      <c r="O23" s="165">
        <f>'Energy Contents Cell'!M21</f>
        <v>1.6</v>
      </c>
      <c r="P23" s="144">
        <f t="shared" si="1"/>
        <v>8.3226122448979609</v>
      </c>
      <c r="Q23" s="144">
        <f t="shared" si="2"/>
        <v>203.80052601611794</v>
      </c>
      <c r="R23" s="144">
        <v>1.2</v>
      </c>
      <c r="S23" s="90">
        <f>P23*'Energy Contents Cell'!V40*Z$25*AA$25/1000</f>
        <v>176.04902157474686</v>
      </c>
      <c r="T23" s="144">
        <f>AB$27</f>
        <v>14.662999999999998</v>
      </c>
      <c r="U23" s="144">
        <f t="shared" si="3"/>
        <v>71.947802523533952</v>
      </c>
      <c r="V23" s="166">
        <v>1.2</v>
      </c>
      <c r="X23" s="551"/>
      <c r="Y23" s="548"/>
      <c r="Z23" s="132" t="s">
        <v>234</v>
      </c>
      <c r="AA23" s="132" t="s">
        <v>234</v>
      </c>
      <c r="AB23" s="756" t="s">
        <v>108</v>
      </c>
      <c r="AC23" s="119"/>
    </row>
    <row r="24" spans="1:39">
      <c r="A24" s="314" t="str">
        <f>'Energy Contents Cell'!A22</f>
        <v>Al-TiO2</v>
      </c>
      <c r="B24" s="718">
        <f>'Energy Contents Cell'!G41</f>
        <v>58.311315336013791</v>
      </c>
      <c r="C24" s="207">
        <f>B24*'Energy Contents Cell'!C22/'Energy Contents Cell'!B22</f>
        <v>1.2148190695002874</v>
      </c>
      <c r="D24" s="207">
        <f>B24*'Energy Contents Cell'!D22/'Energy Contents Cell'!B22</f>
        <v>1.2148190695002874</v>
      </c>
      <c r="E24" s="206">
        <f>'Energy Contents Cell'!M41</f>
        <v>3.2275635794841584</v>
      </c>
      <c r="F24" s="207">
        <f>E24*'Energy Contents Cell'!F22/'Energy Contents Cell'!E22</f>
        <v>0</v>
      </c>
      <c r="G24" s="207">
        <f>E24*'Energy Contents Cell'!G22/'Energy Contents Cell'!E22</f>
        <v>0</v>
      </c>
      <c r="H24" s="206">
        <f>'Energy Contents Cell'!R61</f>
        <v>7.9350000000000005</v>
      </c>
      <c r="I24" s="207">
        <f>'Mass and Cost Cell'!K$9</f>
        <v>2.2265000000000001</v>
      </c>
      <c r="J24" s="207">
        <v>0</v>
      </c>
      <c r="K24" s="206">
        <f>'Energy Contents Cell'!Q22</f>
        <v>15</v>
      </c>
      <c r="L24" s="206">
        <f>'Energy Contents Cell'!D61</f>
        <v>0.71250000000000002</v>
      </c>
      <c r="M24" s="207">
        <f t="shared" ref="M24:M29" si="4">SUM(B24:J24)+L24</f>
        <v>74.842517054498529</v>
      </c>
      <c r="N24" s="206">
        <f>'Energy Contents Cell'!I41</f>
        <v>6.4142446869615171</v>
      </c>
      <c r="O24" s="206">
        <f>'Energy Contents Cell'!M22</f>
        <v>0.64</v>
      </c>
      <c r="P24" s="207">
        <f t="shared" ref="P24:P29" si="5">N24*O24</f>
        <v>4.1051165996553713</v>
      </c>
      <c r="Q24" s="207">
        <f t="shared" ref="Q24:Q29" si="6">1000*P24/M24</f>
        <v>54.850060650233388</v>
      </c>
      <c r="R24" s="207">
        <v>0.2</v>
      </c>
      <c r="S24" s="13">
        <f>P24*'Energy Contents Cell'!V41*Z$25*AA$25/1000</f>
        <v>97.982099964381945</v>
      </c>
      <c r="T24" s="207">
        <f>AB$27</f>
        <v>14.662999999999998</v>
      </c>
      <c r="U24" s="207">
        <f t="shared" ref="U24:U29" si="7">1000*T24/Q24</f>
        <v>267.32878370914995</v>
      </c>
      <c r="V24" s="746">
        <v>1.2</v>
      </c>
      <c r="X24" s="750" t="s">
        <v>230</v>
      </c>
      <c r="Y24" s="552"/>
      <c r="Z24" s="133">
        <f>'Energy Contents Cell'!Z38</f>
        <v>10</v>
      </c>
      <c r="AA24" s="133">
        <f>'Energy Contents Cell'!AA38</f>
        <v>30</v>
      </c>
      <c r="AB24" s="749"/>
      <c r="AC24" s="117"/>
    </row>
    <row r="25" spans="1:39">
      <c r="A25" s="145" t="str">
        <f>'Energy Contents Cell'!A23</f>
        <v>Al-V2C</v>
      </c>
      <c r="B25" s="1157">
        <f>'Energy Contents Cell'!G42</f>
        <v>54.104046242774572</v>
      </c>
      <c r="C25" s="144">
        <f>B25*'Energy Contents Cell'!C23/'Energy Contents Cell'!B23</f>
        <v>1.1271676300578037</v>
      </c>
      <c r="D25" s="144">
        <f>B25*'Energy Contents Cell'!D23/'Energy Contents Cell'!B23</f>
        <v>1.1271676300578037</v>
      </c>
      <c r="E25" s="165">
        <f>'Energy Contents Cell'!M42</f>
        <v>3.4030555754848142</v>
      </c>
      <c r="F25" s="144">
        <f>E25*'Energy Contents Cell'!F23/'Energy Contents Cell'!E23</f>
        <v>0</v>
      </c>
      <c r="G25" s="144">
        <f>E25*'Energy Contents Cell'!G23/'Energy Contents Cell'!E23</f>
        <v>0</v>
      </c>
      <c r="H25" s="165">
        <f>'Energy Contents Cell'!R62</f>
        <v>7.9350000000000005</v>
      </c>
      <c r="I25" s="144">
        <f>'Mass and Cost Cell'!K$9</f>
        <v>2.2265000000000001</v>
      </c>
      <c r="J25" s="144">
        <v>0</v>
      </c>
      <c r="K25" s="165">
        <f>'Energy Contents Cell'!Q23</f>
        <v>15</v>
      </c>
      <c r="L25" s="165">
        <f>'Energy Contents Cell'!D62</f>
        <v>0.71250000000000002</v>
      </c>
      <c r="M25" s="144">
        <f t="shared" si="4"/>
        <v>70.635437078375006</v>
      </c>
      <c r="N25" s="165">
        <f>'Energy Contents Cell'!I42</f>
        <v>6.7630057803468215</v>
      </c>
      <c r="O25" s="165">
        <f>'Energy Contents Cell'!M23</f>
        <v>0.95</v>
      </c>
      <c r="P25" s="144">
        <f t="shared" si="5"/>
        <v>6.4248554913294802</v>
      </c>
      <c r="Q25" s="144">
        <f t="shared" si="6"/>
        <v>90.957963269918594</v>
      </c>
      <c r="R25" s="144">
        <v>1.2</v>
      </c>
      <c r="S25" s="90">
        <f>P25*'Energy Contents Cell'!V42*Z$25*AA$25/1000</f>
        <v>153.21464239076931</v>
      </c>
      <c r="T25" s="144">
        <f t="shared" ref="T25" si="8">AB$27</f>
        <v>14.662999999999998</v>
      </c>
      <c r="U25" s="144">
        <f t="shared" si="7"/>
        <v>161.20633612350588</v>
      </c>
      <c r="V25" s="166">
        <v>1.2</v>
      </c>
      <c r="X25" s="750" t="s">
        <v>231</v>
      </c>
      <c r="Y25" s="552"/>
      <c r="Z25" s="133">
        <f>'Energy Contents Cell'!Z39</f>
        <v>9.8000000000000007</v>
      </c>
      <c r="AA25" s="133">
        <f>'Energy Contents Cell'!AA39</f>
        <v>29.8</v>
      </c>
      <c r="AB25" s="749"/>
      <c r="AC25" s="117"/>
    </row>
    <row r="26" spans="1:39">
      <c r="A26" s="314" t="str">
        <f>'Energy Contents Cell'!A24</f>
        <v>Al-MnO2</v>
      </c>
      <c r="B26" s="718">
        <f>'Energy Contents Cell'!G43</f>
        <v>68.293418819536129</v>
      </c>
      <c r="C26" s="207">
        <f>B26*'Energy Contents Cell'!C24/'Energy Contents Cell'!B24</f>
        <v>1.4227795587403362</v>
      </c>
      <c r="D26" s="207">
        <f>B26*'Energy Contents Cell'!D24/'Energy Contents Cell'!B24</f>
        <v>1.4227795587403362</v>
      </c>
      <c r="E26" s="206">
        <f>'Energy Contents Cell'!M43</f>
        <v>9.7938398340663184</v>
      </c>
      <c r="F26" s="207">
        <f>E26*'Energy Contents Cell'!F24/'Energy Contents Cell'!E24</f>
        <v>0</v>
      </c>
      <c r="G26" s="207">
        <f>E26*'Energy Contents Cell'!G24/'Energy Contents Cell'!E24</f>
        <v>0</v>
      </c>
      <c r="H26" s="206">
        <f>'Energy Contents Cell'!R63</f>
        <v>7.9350000000000005</v>
      </c>
      <c r="I26" s="207">
        <f>'Mass and Cost Cell'!K$9</f>
        <v>2.2265000000000001</v>
      </c>
      <c r="J26" s="207">
        <v>0</v>
      </c>
      <c r="K26" s="206">
        <f>'Energy Contents Cell'!Q24</f>
        <v>15</v>
      </c>
      <c r="L26" s="206">
        <f>'Energy Contents Cell'!D63</f>
        <v>0.71250000000000002</v>
      </c>
      <c r="M26" s="207">
        <f t="shared" si="4"/>
        <v>91.806817771083118</v>
      </c>
      <c r="N26" s="206">
        <f>'Energy Contents Cell'!I43</f>
        <v>19.463624363567796</v>
      </c>
      <c r="O26" s="206">
        <f>'Energy Contents Cell'!M24</f>
        <v>1.3</v>
      </c>
      <c r="P26" s="207">
        <f t="shared" si="5"/>
        <v>25.302711672638136</v>
      </c>
      <c r="Q26" s="207">
        <f t="shared" si="6"/>
        <v>275.60819868225371</v>
      </c>
      <c r="R26" s="207">
        <v>1.2</v>
      </c>
      <c r="S26" s="13">
        <f>P26*'Energy Contents Cell'!V43*Z$25*AA$25/1000</f>
        <v>552.68854878461673</v>
      </c>
      <c r="T26" s="207">
        <f t="shared" ref="T26:T29" si="9">AB$27</f>
        <v>14.662999999999998</v>
      </c>
      <c r="U26" s="207">
        <f t="shared" si="7"/>
        <v>53.202336033932148</v>
      </c>
      <c r="V26" s="746">
        <v>1.2</v>
      </c>
      <c r="X26" s="750" t="s">
        <v>233</v>
      </c>
      <c r="Y26" s="552"/>
      <c r="Z26" s="133">
        <f>'Energy Contents Cell'!Z40</f>
        <v>1.5299999999999999E-2</v>
      </c>
      <c r="AA26" s="133">
        <f>'Energy Contents Cell'!AA40</f>
        <v>0</v>
      </c>
      <c r="AB26" s="751">
        <v>2.1499999999999998E-2</v>
      </c>
    </row>
    <row r="27" spans="1:39">
      <c r="A27" s="145" t="str">
        <f>'Energy Contents Cell'!A25</f>
        <v>LIB-NMC</v>
      </c>
      <c r="B27" s="1157">
        <f>'Energy Contents Cell'!G44</f>
        <v>48.964102564102575</v>
      </c>
      <c r="C27" s="144">
        <f>B27*'Energy Contents Cell'!C25/'Energy Contents Cell'!B25</f>
        <v>1.0200854700854702</v>
      </c>
      <c r="D27" s="144">
        <f>B27*'Energy Contents Cell'!D25/'Energy Contents Cell'!B25</f>
        <v>1.0200854700854702</v>
      </c>
      <c r="E27" s="165">
        <f>'Energy Contents Cell'!M44</f>
        <v>31.418632478632489</v>
      </c>
      <c r="F27" s="144">
        <f>E27*'Energy Contents Cell'!F25/'Energy Contents Cell'!E25</f>
        <v>0.98183226495726528</v>
      </c>
      <c r="G27" s="144">
        <f>E27*'Energy Contents Cell'!G25/'Energy Contents Cell'!E25</f>
        <v>0.3272774216524218</v>
      </c>
      <c r="H27" s="165">
        <f>'Energy Contents Cell'!R64</f>
        <v>13.235173167932889</v>
      </c>
      <c r="I27" s="144">
        <f>'Mass and Cost Cell'!K$6</f>
        <v>2.0249999999999999</v>
      </c>
      <c r="J27" s="144">
        <f>'Mass and Cost Cell'!K$7</f>
        <v>4.4800000000000004</v>
      </c>
      <c r="K27" s="165">
        <f>'Energy Contents Cell'!Q25</f>
        <v>15</v>
      </c>
      <c r="L27" s="165">
        <f>'Energy Contents Cell'!D64</f>
        <v>0.71250000000000002</v>
      </c>
      <c r="M27" s="144">
        <f t="shared" si="4"/>
        <v>104.18468883744859</v>
      </c>
      <c r="N27" s="165">
        <f>'Energy Contents Cell'!I44</f>
        <v>10.282461538461542</v>
      </c>
      <c r="O27" s="165">
        <f>'Energy Contents Cell'!M25</f>
        <v>3.65</v>
      </c>
      <c r="P27" s="144">
        <f t="shared" si="5"/>
        <v>37.530984615384625</v>
      </c>
      <c r="Q27" s="144">
        <f t="shared" si="6"/>
        <v>360.23512700547917</v>
      </c>
      <c r="R27" s="144">
        <f>C11</f>
        <v>1.2</v>
      </c>
      <c r="S27" s="90">
        <f>P27*'Energy Contents Cell'!V44*Z$25*AA$25/1000</f>
        <v>534.11045352735448</v>
      </c>
      <c r="T27" s="144">
        <f t="shared" si="9"/>
        <v>14.662999999999998</v>
      </c>
      <c r="U27" s="144">
        <f t="shared" si="7"/>
        <v>40.703970548038683</v>
      </c>
      <c r="V27" s="166">
        <v>1.2</v>
      </c>
      <c r="X27" s="750" t="s">
        <v>232</v>
      </c>
      <c r="Y27" s="552"/>
      <c r="Z27" s="133">
        <f>'Energy Contents Cell'!Z41</f>
        <v>11</v>
      </c>
      <c r="AA27" s="133">
        <f>'Energy Contents Cell'!AA41</f>
        <v>31</v>
      </c>
      <c r="AB27" s="749">
        <f>2*Z27*AA27*AB26</f>
        <v>14.662999999999998</v>
      </c>
      <c r="AC27" s="201"/>
      <c r="AL27" s="687"/>
      <c r="AM27" s="687"/>
    </row>
    <row r="28" spans="1:39">
      <c r="A28" s="314" t="str">
        <f>'Energy Contents Cell'!A26</f>
        <v>LIB-LFP</v>
      </c>
      <c r="B28" s="718">
        <f>'Energy Contents Cell'!G45</f>
        <v>50.880929332042591</v>
      </c>
      <c r="C28" s="207">
        <f>B28*'Energy Contents Cell'!C26/'Energy Contents Cell'!B26</f>
        <v>1.0600193610842206</v>
      </c>
      <c r="D28" s="207">
        <f>B28*'Energy Contents Cell'!D26/'Energy Contents Cell'!B26</f>
        <v>1.0600193610842206</v>
      </c>
      <c r="E28" s="206">
        <f>'Energy Contents Cell'!M45</f>
        <v>24.097773475314618</v>
      </c>
      <c r="F28" s="207">
        <f>E28*'Energy Contents Cell'!F26/'Energy Contents Cell'!E26</f>
        <v>0.75305542110358181</v>
      </c>
      <c r="G28" s="207">
        <f>E28*'Energy Contents Cell'!G26/'Energy Contents Cell'!E26</f>
        <v>0.25101847370119396</v>
      </c>
      <c r="H28" s="206">
        <f>'Energy Contents Cell'!R65</f>
        <v>13.217392191925709</v>
      </c>
      <c r="I28" s="207">
        <f>'Mass and Cost Cell'!K$6</f>
        <v>2.0249999999999999</v>
      </c>
      <c r="J28" s="207">
        <f>'Mass and Cost Cell'!K$7</f>
        <v>4.4800000000000004</v>
      </c>
      <c r="K28" s="206">
        <f>'Energy Contents Cell'!Q26</f>
        <v>15</v>
      </c>
      <c r="L28" s="206">
        <f>'Energy Contents Cell'!D65</f>
        <v>0.71250000000000002</v>
      </c>
      <c r="M28" s="207">
        <f t="shared" si="4"/>
        <v>98.537707616256156</v>
      </c>
      <c r="N28" s="206">
        <f>'Energy Contents Cell'!I45</f>
        <v>7.8865440464666019</v>
      </c>
      <c r="O28" s="206">
        <f>'Energy Contents Cell'!M26</f>
        <v>3.3</v>
      </c>
      <c r="P28" s="207">
        <f t="shared" si="5"/>
        <v>26.025595353339785</v>
      </c>
      <c r="Q28" s="207">
        <f t="shared" si="6"/>
        <v>264.11813287450821</v>
      </c>
      <c r="R28" s="207">
        <f>C11</f>
        <v>1.2</v>
      </c>
      <c r="S28" s="13">
        <f>P28*'Energy Contents Cell'!V45*Z$25*AA$25/1000</f>
        <v>377.68068487594957</v>
      </c>
      <c r="T28" s="207">
        <f t="shared" si="9"/>
        <v>14.662999999999998</v>
      </c>
      <c r="U28" s="207">
        <f t="shared" si="7"/>
        <v>55.516824386180652</v>
      </c>
      <c r="V28" s="746">
        <v>1.2</v>
      </c>
      <c r="X28" s="750" t="s">
        <v>238</v>
      </c>
      <c r="Y28" s="552"/>
      <c r="Z28" s="133">
        <f>'Energy Contents Cell'!Z42</f>
        <v>2</v>
      </c>
      <c r="AA28" s="133">
        <f>'Energy Contents Cell'!AA42</f>
        <v>0</v>
      </c>
      <c r="AB28" s="749"/>
      <c r="AC28" s="117"/>
    </row>
    <row r="29" spans="1:39" ht="17" thickBot="1">
      <c r="A29" s="987" t="str">
        <f>'Energy Contents Cell'!A27</f>
        <v>Li-DIB</v>
      </c>
      <c r="B29" s="1158">
        <f>'Energy Contents Cell'!G46</f>
        <v>24.762022521527939</v>
      </c>
      <c r="C29" s="989">
        <f>B29*'Energy Contents Cell'!C27/'Energy Contents Cell'!B27</f>
        <v>0.77381320379774809</v>
      </c>
      <c r="D29" s="989">
        <f>B29*'Energy Contents Cell'!D27/'Energy Contents Cell'!B27</f>
        <v>0.2579377345992494</v>
      </c>
      <c r="E29" s="1112">
        <f>'Energy Contents Cell'!M46</f>
        <v>9.6296754250386432</v>
      </c>
      <c r="F29" s="989">
        <f>E29*'Energy Contents Cell'!F27/'Energy Contents Cell'!E27</f>
        <v>0.3009273570324576</v>
      </c>
      <c r="G29" s="989">
        <f>E29*'Energy Contents Cell'!G27/'Energy Contents Cell'!E27</f>
        <v>0.10030911901081921</v>
      </c>
      <c r="H29" s="1112">
        <f>'Energy Contents Cell'!R66</f>
        <v>54.326589465536458</v>
      </c>
      <c r="I29" s="989">
        <f>'Mass and Cost Cell'!K$6</f>
        <v>2.0249999999999999</v>
      </c>
      <c r="J29" s="989">
        <f>'Mass and Cost Cell'!K$7</f>
        <v>4.4800000000000004</v>
      </c>
      <c r="K29" s="1112">
        <f>'Energy Contents Cell'!Q27</f>
        <v>282.59532505772836</v>
      </c>
      <c r="L29" s="1112">
        <f>'Energy Contents Cell'!D66</f>
        <v>5.3693111760968373</v>
      </c>
      <c r="M29" s="989">
        <f t="shared" si="4"/>
        <v>102.02558600264015</v>
      </c>
      <c r="N29" s="1112">
        <f>'Energy Contents Cell'!I46</f>
        <v>3.4666831530139115</v>
      </c>
      <c r="O29" s="1112">
        <f>'Energy Contents Cell'!M27</f>
        <v>4.5</v>
      </c>
      <c r="P29" s="989">
        <f t="shared" si="5"/>
        <v>15.600074188562601</v>
      </c>
      <c r="Q29" s="989">
        <f t="shared" si="6"/>
        <v>152.90354899955108</v>
      </c>
      <c r="R29" s="989">
        <v>1.4</v>
      </c>
      <c r="S29" s="94">
        <f>P29*'Energy Contents Cell'!V46*Z$25*AA$25/1000</f>
        <v>106.45313301681604</v>
      </c>
      <c r="T29" s="989">
        <f t="shared" si="9"/>
        <v>14.662999999999998</v>
      </c>
      <c r="U29" s="989">
        <f t="shared" si="7"/>
        <v>95.897054685388952</v>
      </c>
      <c r="V29" s="1115">
        <v>1.4</v>
      </c>
      <c r="X29" s="750" t="s">
        <v>239</v>
      </c>
      <c r="Y29" s="552"/>
      <c r="Z29" s="133">
        <f>'Energy Contents Cell'!Z43</f>
        <v>10.1</v>
      </c>
      <c r="AA29" s="133">
        <f>'Energy Contents Cell'!AA43</f>
        <v>30.1</v>
      </c>
      <c r="AB29" s="749"/>
      <c r="AC29" s="117"/>
    </row>
    <row r="30" spans="1:39" ht="18" customHeight="1" thickBot="1">
      <c r="A30" s="98"/>
      <c r="B30" s="206"/>
      <c r="C30" s="207"/>
      <c r="D30" s="207"/>
      <c r="E30" s="206"/>
      <c r="F30" s="207"/>
      <c r="G30" s="207"/>
      <c r="H30" s="206"/>
      <c r="I30" s="207"/>
      <c r="J30" s="207"/>
      <c r="K30" s="206"/>
      <c r="L30" s="206"/>
      <c r="M30" s="207"/>
      <c r="N30" s="206"/>
      <c r="O30" s="206"/>
      <c r="P30" s="207"/>
      <c r="Q30" s="207"/>
      <c r="R30" s="207"/>
      <c r="S30" s="13"/>
      <c r="T30" s="207"/>
      <c r="U30" s="207"/>
      <c r="V30" s="207"/>
      <c r="X30" s="783" t="s">
        <v>33</v>
      </c>
      <c r="Y30" s="784"/>
      <c r="Z30" s="716">
        <f>SUM(Z24:Z29)</f>
        <v>42.915300000000002</v>
      </c>
      <c r="AA30" s="716">
        <f>SUM(AA24:AA29)</f>
        <v>120.9</v>
      </c>
      <c r="AB30" s="752">
        <f>SUM(AB24:AB29)</f>
        <v>14.684499999999998</v>
      </c>
      <c r="AC30" s="117"/>
    </row>
    <row r="31" spans="1:39" ht="18" customHeight="1">
      <c r="A31" s="98"/>
      <c r="B31" s="206"/>
      <c r="C31" s="207"/>
      <c r="D31" s="207"/>
      <c r="E31" s="206"/>
      <c r="F31" s="207"/>
      <c r="G31" s="207"/>
      <c r="H31" s="206"/>
      <c r="I31" s="207"/>
      <c r="J31" s="207"/>
      <c r="K31" s="206"/>
      <c r="L31" s="206"/>
      <c r="M31" s="207"/>
      <c r="N31" s="206"/>
      <c r="O31" s="206"/>
      <c r="P31" s="207"/>
      <c r="Q31" s="207"/>
      <c r="R31" s="207"/>
      <c r="S31" s="13"/>
      <c r="T31" s="207"/>
      <c r="U31" s="207"/>
      <c r="V31" s="207"/>
    </row>
    <row r="32" spans="1:39" ht="18" customHeight="1">
      <c r="A32" s="98"/>
      <c r="B32" s="206"/>
      <c r="C32" s="207"/>
      <c r="D32" s="207"/>
      <c r="E32" s="206"/>
      <c r="F32" s="207"/>
      <c r="G32" s="207"/>
      <c r="H32" s="206"/>
      <c r="I32" s="207"/>
      <c r="J32" s="207"/>
      <c r="K32" s="206"/>
      <c r="L32" s="206"/>
      <c r="M32" s="207"/>
      <c r="N32" s="206"/>
      <c r="O32" s="206"/>
      <c r="P32" s="207"/>
      <c r="Q32" s="207"/>
      <c r="R32" s="207"/>
      <c r="S32" s="13"/>
      <c r="T32" s="207"/>
      <c r="U32" s="207"/>
      <c r="V32" s="207"/>
    </row>
    <row r="33" spans="1:40" ht="15.75" customHeight="1" thickBot="1">
      <c r="AM33" s="13"/>
      <c r="AN33" s="13"/>
    </row>
    <row r="34" spans="1:40" ht="15.75" customHeight="1">
      <c r="A34" s="724" t="s">
        <v>551</v>
      </c>
      <c r="B34" s="547" t="str">
        <f>'Energy Contents Cell'!V32</f>
        <v>Number of Stack layers within Pouch cell</v>
      </c>
      <c r="C34" s="547" t="s">
        <v>524</v>
      </c>
      <c r="D34" s="547" t="s">
        <v>525</v>
      </c>
      <c r="E34" s="547" t="s">
        <v>526</v>
      </c>
      <c r="F34" s="547" t="s">
        <v>962</v>
      </c>
      <c r="G34" s="547" t="s">
        <v>811</v>
      </c>
      <c r="H34" s="547" t="s">
        <v>651</v>
      </c>
      <c r="I34" s="547" t="s">
        <v>537</v>
      </c>
      <c r="J34" s="547" t="s">
        <v>538</v>
      </c>
      <c r="K34" s="547" t="s">
        <v>648</v>
      </c>
      <c r="L34" s="547" t="s">
        <v>649</v>
      </c>
      <c r="M34" s="547" t="s">
        <v>533</v>
      </c>
      <c r="N34" s="547" t="s">
        <v>793</v>
      </c>
      <c r="O34" s="547" t="s">
        <v>654</v>
      </c>
      <c r="P34" s="547" t="s">
        <v>804</v>
      </c>
      <c r="Q34" s="547" t="s">
        <v>805</v>
      </c>
      <c r="R34" s="547" t="s">
        <v>796</v>
      </c>
      <c r="S34" s="547" t="s">
        <v>797</v>
      </c>
      <c r="T34" s="547" t="s">
        <v>536</v>
      </c>
      <c r="U34" s="547" t="s">
        <v>196</v>
      </c>
      <c r="V34" s="547" t="s">
        <v>540</v>
      </c>
      <c r="W34" s="547" t="s">
        <v>543</v>
      </c>
      <c r="X34" s="547" t="s">
        <v>541</v>
      </c>
      <c r="Y34" s="547" t="s">
        <v>542</v>
      </c>
      <c r="Z34" s="701" t="s">
        <v>544</v>
      </c>
    </row>
    <row r="35" spans="1:40" ht="15.75" customHeight="1">
      <c r="A35" s="725"/>
      <c r="B35" s="548"/>
      <c r="C35" s="548"/>
      <c r="D35" s="548"/>
      <c r="E35" s="548"/>
      <c r="F35" s="548"/>
      <c r="G35" s="548"/>
      <c r="H35" s="548"/>
      <c r="I35" s="548"/>
      <c r="J35" s="548"/>
      <c r="K35" s="548"/>
      <c r="L35" s="548"/>
      <c r="M35" s="548"/>
      <c r="N35" s="548"/>
      <c r="O35" s="548"/>
      <c r="P35" s="548"/>
      <c r="Q35" s="548"/>
      <c r="R35" s="548"/>
      <c r="S35" s="548"/>
      <c r="T35" s="548"/>
      <c r="U35" s="548"/>
      <c r="V35" s="548"/>
      <c r="W35" s="548"/>
      <c r="X35" s="548"/>
      <c r="Y35" s="548"/>
      <c r="Z35" s="702"/>
    </row>
    <row r="36" spans="1:40" ht="15.75" customHeight="1">
      <c r="A36" s="725"/>
      <c r="B36" s="548"/>
      <c r="C36" s="548"/>
      <c r="D36" s="548"/>
      <c r="E36" s="548"/>
      <c r="F36" s="548"/>
      <c r="G36" s="548"/>
      <c r="H36" s="548"/>
      <c r="I36" s="548"/>
      <c r="J36" s="548"/>
      <c r="K36" s="548"/>
      <c r="L36" s="548"/>
      <c r="M36" s="548"/>
      <c r="N36" s="548"/>
      <c r="O36" s="548"/>
      <c r="P36" s="548"/>
      <c r="Q36" s="548"/>
      <c r="R36" s="548"/>
      <c r="S36" s="548"/>
      <c r="T36" s="548"/>
      <c r="U36" s="548"/>
      <c r="V36" s="548"/>
      <c r="W36" s="548"/>
      <c r="X36" s="548"/>
      <c r="Y36" s="548"/>
      <c r="Z36" s="702"/>
    </row>
    <row r="37" spans="1:40" ht="15.75" customHeight="1">
      <c r="A37" s="725"/>
      <c r="B37" s="548"/>
      <c r="C37" s="548"/>
      <c r="D37" s="548"/>
      <c r="E37" s="548"/>
      <c r="F37" s="548"/>
      <c r="G37" s="548"/>
      <c r="H37" s="548"/>
      <c r="I37" s="548"/>
      <c r="J37" s="548"/>
      <c r="K37" s="548"/>
      <c r="L37" s="548"/>
      <c r="M37" s="548"/>
      <c r="N37" s="548"/>
      <c r="O37" s="548"/>
      <c r="P37" s="548"/>
      <c r="Q37" s="548"/>
      <c r="R37" s="548"/>
      <c r="S37" s="548"/>
      <c r="T37" s="548"/>
      <c r="U37" s="548"/>
      <c r="V37" s="548"/>
      <c r="W37" s="548"/>
      <c r="X37" s="548"/>
      <c r="Y37" s="548"/>
      <c r="Z37" s="702"/>
    </row>
    <row r="38" spans="1:40" ht="16.5" customHeight="1">
      <c r="A38" s="725"/>
      <c r="B38" s="548"/>
      <c r="C38" s="548"/>
      <c r="D38" s="548"/>
      <c r="E38" s="548"/>
      <c r="F38" s="548"/>
      <c r="G38" s="548"/>
      <c r="H38" s="548"/>
      <c r="I38" s="548"/>
      <c r="J38" s="548"/>
      <c r="K38" s="548"/>
      <c r="L38" s="548"/>
      <c r="M38" s="548"/>
      <c r="N38" s="548"/>
      <c r="O38" s="548"/>
      <c r="P38" s="548"/>
      <c r="Q38" s="548"/>
      <c r="R38" s="548"/>
      <c r="S38" s="548"/>
      <c r="T38" s="548"/>
      <c r="U38" s="548"/>
      <c r="V38" s="548"/>
      <c r="W38" s="548"/>
      <c r="X38" s="548"/>
      <c r="Y38" s="548"/>
      <c r="Z38" s="702"/>
    </row>
    <row r="39" spans="1:40" ht="17.25" customHeight="1">
      <c r="A39" s="726"/>
      <c r="B39" s="466"/>
      <c r="C39" s="466" t="s">
        <v>108</v>
      </c>
      <c r="D39" s="466" t="s">
        <v>108</v>
      </c>
      <c r="E39" s="466" t="s">
        <v>108</v>
      </c>
      <c r="F39" s="466" t="s">
        <v>108</v>
      </c>
      <c r="G39" s="466" t="s">
        <v>108</v>
      </c>
      <c r="H39" s="466" t="s">
        <v>108</v>
      </c>
      <c r="I39" s="466" t="s">
        <v>108</v>
      </c>
      <c r="J39" s="466" t="s">
        <v>108</v>
      </c>
      <c r="K39" s="466" t="s">
        <v>108</v>
      </c>
      <c r="L39" s="466" t="s">
        <v>108</v>
      </c>
      <c r="M39" s="466" t="s">
        <v>108</v>
      </c>
      <c r="N39" s="466" t="s">
        <v>108</v>
      </c>
      <c r="O39" s="466" t="s">
        <v>108</v>
      </c>
      <c r="P39" s="466" t="s">
        <v>108</v>
      </c>
      <c r="Q39" s="466" t="s">
        <v>108</v>
      </c>
      <c r="R39" s="466" t="s">
        <v>108</v>
      </c>
      <c r="S39" s="466" t="s">
        <v>108</v>
      </c>
      <c r="T39" s="466" t="s">
        <v>108</v>
      </c>
      <c r="U39" s="466" t="s">
        <v>108</v>
      </c>
      <c r="V39" s="466" t="s">
        <v>108</v>
      </c>
      <c r="W39" s="466" t="s">
        <v>108</v>
      </c>
      <c r="X39" s="466" t="s">
        <v>108</v>
      </c>
      <c r="Y39" s="466" t="s">
        <v>108</v>
      </c>
      <c r="Z39" s="357" t="s">
        <v>108</v>
      </c>
    </row>
    <row r="40" spans="1:40" ht="16.5" customHeight="1">
      <c r="A40" s="145" t="str">
        <f t="shared" ref="A40:A42" si="10">A21</f>
        <v>Al-gra</v>
      </c>
      <c r="B40" s="1160">
        <f>'Energy Contents Cell'!V38</f>
        <v>21.221607717804854</v>
      </c>
      <c r="C40" s="991">
        <f t="shared" ref="C40:C45" si="11">B40*E21*Z$24*AA$24/1000</f>
        <v>12.892126688566448</v>
      </c>
      <c r="D40" s="991">
        <v>0</v>
      </c>
      <c r="E40" s="991">
        <f t="shared" ref="E40:E45" si="12">B40*D$13*H21*Z$24*AA$24/1000</f>
        <v>68.609169692810042</v>
      </c>
      <c r="F40" s="991">
        <v>0</v>
      </c>
      <c r="G40" s="991">
        <v>0</v>
      </c>
      <c r="H40" s="991">
        <v>0</v>
      </c>
      <c r="I40" s="991">
        <v>0</v>
      </c>
      <c r="J40" s="991">
        <v>0</v>
      </c>
      <c r="K40" s="991">
        <v>0</v>
      </c>
      <c r="L40" s="1076">
        <f t="shared" ref="L40:L45" si="13">B40*E$13*H21*Z$24*AA$24/1000</f>
        <v>405.36584426835259</v>
      </c>
      <c r="M40" s="991">
        <v>0</v>
      </c>
      <c r="N40" s="991">
        <f>B40*I21*Z$25*AA$25/1000-O40</f>
        <v>11.713385220845611</v>
      </c>
      <c r="O40" s="1076">
        <f>B40*(I21-'Mass and Cost Cell'!K$10)*Z$25*AA$25/1000</f>
        <v>2.0854783739759513</v>
      </c>
      <c r="P40" s="991">
        <v>0</v>
      </c>
      <c r="Q40" s="991">
        <f>B40*B21*Z25*AA25/1000</f>
        <v>153.46407864651405</v>
      </c>
      <c r="R40" s="991">
        <f t="shared" ref="R40:R42" si="14">B40*(C21*Z$25*AA$25+D21*Z$25*AA$25)/1000</f>
        <v>6.3943366102714183</v>
      </c>
      <c r="S40" s="991">
        <f t="shared" ref="S40:S42" si="15">B40*(F21*Z$24*AA$24+G21*Z$24*AA$24)/1000</f>
        <v>0</v>
      </c>
      <c r="T40" s="991">
        <v>0</v>
      </c>
      <c r="U40" s="991">
        <f t="shared" ref="U40:U42" si="16">B40*L21*Z$24*AA$24/1000</f>
        <v>74.145796424456663</v>
      </c>
      <c r="V40" s="991">
        <f t="shared" ref="V40:V42" si="17">B40*H21*Z$24*AA$24/1000-E40-J40-K40-L40</f>
        <v>50.758080170884455</v>
      </c>
      <c r="W40" s="991">
        <v>0</v>
      </c>
      <c r="X40" s="991">
        <f>AB$27</f>
        <v>14.662999999999998</v>
      </c>
      <c r="Y40" s="1076">
        <f t="shared" ref="Y40:Y42" si="18">SUM(C40:X40)</f>
        <v>800.0912960966773</v>
      </c>
      <c r="Z40" s="1161">
        <f>'Energy Contents Cell'!V19+X40</f>
        <v>790.76799919731423</v>
      </c>
    </row>
    <row r="41" spans="1:40" ht="16.5" customHeight="1">
      <c r="A41" s="314" t="str">
        <f t="shared" si="10"/>
        <v>Al-PPQ</v>
      </c>
      <c r="B41" s="1159">
        <f>'Energy Contents Cell'!V39</f>
        <v>74.409843824979376</v>
      </c>
      <c r="C41" s="13">
        <f t="shared" si="11"/>
        <v>45.203980123674967</v>
      </c>
      <c r="D41" s="13">
        <v>0</v>
      </c>
      <c r="E41" s="13">
        <f t="shared" si="12"/>
        <v>33.705517641439322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4">
        <f t="shared" si="13"/>
        <v>199.14343339817063</v>
      </c>
      <c r="M41" s="13">
        <v>0</v>
      </c>
      <c r="N41" s="13">
        <f t="shared" ref="N41:N42" si="19">B41*I22*Z$25*AA$25/1000-O41</f>
        <v>41.070929994322796</v>
      </c>
      <c r="O41" s="14">
        <f>B41*(I22-'Mass and Cost Cell'!K$10)*Z$25*AA$25/1000</f>
        <v>7.3123639910527087</v>
      </c>
      <c r="P41" s="13">
        <v>0</v>
      </c>
      <c r="Q41" s="13">
        <v>0</v>
      </c>
      <c r="R41" s="13">
        <f t="shared" si="14"/>
        <v>53.217920303625277</v>
      </c>
      <c r="S41" s="13">
        <f t="shared" si="15"/>
        <v>0</v>
      </c>
      <c r="T41" s="13">
        <f>B41*B22*Z$25*AA$25/1000</f>
        <v>478.96128273262735</v>
      </c>
      <c r="U41" s="13">
        <f t="shared" si="16"/>
        <v>16.008082150399954</v>
      </c>
      <c r="V41" s="13">
        <f t="shared" si="17"/>
        <v>24.935841292138917</v>
      </c>
      <c r="W41" s="13">
        <v>0</v>
      </c>
      <c r="X41" s="13">
        <f>AB$27</f>
        <v>14.662999999999998</v>
      </c>
      <c r="Y41" s="14">
        <f t="shared" si="18"/>
        <v>914.22235162745187</v>
      </c>
      <c r="Z41" s="777">
        <f>'Energy Contents Cell'!V20+X41</f>
        <v>923.51022646604144</v>
      </c>
    </row>
    <row r="42" spans="1:40" ht="16.5" customHeight="1">
      <c r="A42" s="145" t="str">
        <f t="shared" si="10"/>
        <v>Al-PBQS</v>
      </c>
      <c r="B42" s="1162">
        <f>'Energy Contents Cell'!V40</f>
        <v>72.432189752814821</v>
      </c>
      <c r="C42" s="90">
        <f t="shared" si="11"/>
        <v>56.875055185486659</v>
      </c>
      <c r="D42" s="90">
        <v>0</v>
      </c>
      <c r="E42" s="90">
        <f t="shared" si="12"/>
        <v>45.547579734231448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686">
        <f t="shared" si="13"/>
        <v>269.11028359641739</v>
      </c>
      <c r="M42" s="90">
        <v>0</v>
      </c>
      <c r="N42" s="90">
        <f t="shared" si="19"/>
        <v>39.979352754328758</v>
      </c>
      <c r="O42" s="686">
        <f>B42*(I23-'Mass and Cost Cell'!K$10)*Z$25*AA$25/1000</f>
        <v>7.1180170380061529</v>
      </c>
      <c r="P42" s="90">
        <v>0</v>
      </c>
      <c r="Q42" s="90">
        <v>0</v>
      </c>
      <c r="R42" s="90">
        <f t="shared" si="14"/>
        <v>40.752088327487705</v>
      </c>
      <c r="S42" s="90">
        <f t="shared" si="15"/>
        <v>0</v>
      </c>
      <c r="T42" s="90">
        <f>B42*B23*Z$25*AA$25/1000</f>
        <v>366.76879494738932</v>
      </c>
      <c r="U42" s="90">
        <f t="shared" si="16"/>
        <v>15.135817046144124</v>
      </c>
      <c r="V42" s="90">
        <f t="shared" si="17"/>
        <v>33.696774266343596</v>
      </c>
      <c r="W42" s="90">
        <v>0</v>
      </c>
      <c r="X42" s="90">
        <f>AB$27</f>
        <v>14.662999999999998</v>
      </c>
      <c r="Y42" s="686">
        <f t="shared" si="18"/>
        <v>889.64676289583508</v>
      </c>
      <c r="Z42" s="1163">
        <f>'Energy Contents Cell'!V21+X42</f>
        <v>896.10287644237326</v>
      </c>
    </row>
    <row r="43" spans="1:40">
      <c r="A43" s="314" t="str">
        <f t="shared" ref="A43:A48" si="20">A24</f>
        <v>Al-TiO2</v>
      </c>
      <c r="B43" s="1159">
        <f>'Energy Contents Cell'!V41</f>
        <v>81.729512075563406</v>
      </c>
      <c r="C43" s="13">
        <f t="shared" si="11"/>
        <v>79.136158963229747</v>
      </c>
      <c r="D43" s="13">
        <v>0</v>
      </c>
      <c r="E43" s="13">
        <f t="shared" si="12"/>
        <v>25.4384590527299</v>
      </c>
      <c r="F43" s="13">
        <f>B43*B24*D15*Z$25*AA$25/1000</f>
        <v>835.07471560552779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4">
        <f t="shared" si="13"/>
        <v>150.29889556987922</v>
      </c>
      <c r="M43" s="13">
        <v>0</v>
      </c>
      <c r="N43" s="13">
        <f>B43*I24*Z$25*AA$25/1000-O43</f>
        <v>45.111061875374844</v>
      </c>
      <c r="O43" s="14">
        <f>B43*(I24-'Mass and Cost Cell'!K$10)*Z$25*AA$25/1000</f>
        <v>8.0316784767532479</v>
      </c>
      <c r="P43" s="13">
        <v>0</v>
      </c>
      <c r="Q43" s="13">
        <v>0</v>
      </c>
      <c r="R43" s="13">
        <f t="shared" ref="R43:R48" si="21">B43*(C24*Z$25*AA$25+D24*Z$25*AA$25)/1000</f>
        <v>57.991299694828328</v>
      </c>
      <c r="S43" s="13">
        <f t="shared" ref="S43:S48" si="22">B43*(F24*Z$24*AA$24+G24*Z$24*AA$24)/1000</f>
        <v>0</v>
      </c>
      <c r="T43" s="13">
        <v>0</v>
      </c>
      <c r="U43" s="13">
        <f t="shared" ref="U43:U48" si="23">B43*L24*Z$24*AA$24/1000</f>
        <v>17.469683206151679</v>
      </c>
      <c r="V43" s="13">
        <f t="shared" ref="V43:V48" si="24">B43*H24*Z$24*AA$24/1000-E43-J43-K43-L43</f>
        <v>18.81974887326956</v>
      </c>
      <c r="W43" s="13">
        <f>B43*B24*Z$25*AA$25/1000-F43-G43-H43-I43</f>
        <v>556.71647707035174</v>
      </c>
      <c r="X43" s="13">
        <f>AB$27</f>
        <v>14.662999999999998</v>
      </c>
      <c r="Y43" s="14">
        <f t="shared" ref="Y43" si="25">SUM(C43:X43)</f>
        <v>1808.7511783880964</v>
      </c>
      <c r="Z43" s="777">
        <f>'Energy Contents Cell'!V22+X43</f>
        <v>1821.3031766927154</v>
      </c>
    </row>
    <row r="44" spans="1:40">
      <c r="A44" s="145" t="str">
        <f t="shared" si="20"/>
        <v>Al-V2C</v>
      </c>
      <c r="B44" s="1162">
        <f>'Energy Contents Cell'!V42</f>
        <v>81.657215825176095</v>
      </c>
      <c r="C44" s="90">
        <f t="shared" si="11"/>
        <v>83.365213077729692</v>
      </c>
      <c r="D44" s="90">
        <v>0</v>
      </c>
      <c r="E44" s="90">
        <f t="shared" si="12"/>
        <v>25.415956713508262</v>
      </c>
      <c r="F44" s="90">
        <f>B44*B25*D16*Z$25*AA$25/1000</f>
        <v>1154.415034080035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686">
        <f t="shared" si="13"/>
        <v>150.16594424897801</v>
      </c>
      <c r="M44" s="90">
        <v>0</v>
      </c>
      <c r="N44" s="90">
        <f>B44*I25*Z$25*AA$25/1000-O44</f>
        <v>45.071157555114574</v>
      </c>
      <c r="O44" s="686">
        <f>B44*(I25-'Mass and Cost Cell'!K$10)*Z$25*AA$25/1000</f>
        <v>8.0245738186751598</v>
      </c>
      <c r="P44" s="90">
        <v>0</v>
      </c>
      <c r="Q44" s="90">
        <v>0</v>
      </c>
      <c r="R44" s="90">
        <f t="shared" si="21"/>
        <v>53.759523645883988</v>
      </c>
      <c r="S44" s="90">
        <f t="shared" si="22"/>
        <v>0</v>
      </c>
      <c r="T44" s="90">
        <f>B44*B25*Z$25*AA$25/1000-F44-G44-H44-I44</f>
        <v>135.81353342118064</v>
      </c>
      <c r="U44" s="90">
        <f t="shared" si="23"/>
        <v>17.454229882631388</v>
      </c>
      <c r="V44" s="90">
        <f t="shared" si="24"/>
        <v>18.803101309345436</v>
      </c>
      <c r="W44" s="90">
        <v>0</v>
      </c>
      <c r="X44" s="90">
        <f t="shared" ref="X44" si="26">AB$27</f>
        <v>14.662999999999998</v>
      </c>
      <c r="Y44" s="686">
        <f t="shared" ref="Y44:Y48" si="27">SUM(C44:X44)</f>
        <v>1706.951267753082</v>
      </c>
      <c r="Z44" s="1163">
        <f>'Energy Contents Cell'!V23+X44</f>
        <v>1719.492162817399</v>
      </c>
      <c r="AA44" s="117"/>
      <c r="AB44" s="117"/>
      <c r="AC44" s="117"/>
    </row>
    <row r="45" spans="1:40">
      <c r="A45" s="314" t="str">
        <f t="shared" si="20"/>
        <v>Al-MnO2</v>
      </c>
      <c r="B45" s="1159">
        <f>'Energy Contents Cell'!V43</f>
        <v>74.794740550355868</v>
      </c>
      <c r="C45" s="13">
        <f t="shared" si="11"/>
        <v>219.75831281421921</v>
      </c>
      <c r="D45" s="13">
        <v>0</v>
      </c>
      <c r="E45" s="13">
        <f t="shared" si="12"/>
        <v>23.279998822098296</v>
      </c>
      <c r="F45" s="13">
        <f>B45*B26*D6*Z$25*AA$25/1000</f>
        <v>942.42071185722216</v>
      </c>
      <c r="G45" s="13">
        <f>B45*B26*E6*Z$25*AA$25/1000</f>
        <v>0</v>
      </c>
      <c r="H45" s="13">
        <v>0</v>
      </c>
      <c r="I45" s="13">
        <v>0</v>
      </c>
      <c r="J45" s="13">
        <v>0</v>
      </c>
      <c r="K45" s="13">
        <v>0</v>
      </c>
      <c r="L45" s="14">
        <f t="shared" si="13"/>
        <v>137.54599304056413</v>
      </c>
      <c r="M45" s="13">
        <v>0</v>
      </c>
      <c r="N45" s="13">
        <f>B45*I26*Z$25*AA$25/1000-O45</f>
        <v>41.283375897316013</v>
      </c>
      <c r="O45" s="14">
        <f>B45*(I26-'Mass and Cost Cell'!K$10)*Z$25*AA$25/1000</f>
        <v>7.3501883542046764</v>
      </c>
      <c r="P45" s="13">
        <v>0</v>
      </c>
      <c r="Q45" s="13">
        <v>0</v>
      </c>
      <c r="R45" s="13">
        <f t="shared" si="21"/>
        <v>62.155707240735133</v>
      </c>
      <c r="S45" s="13">
        <f t="shared" si="22"/>
        <v>0</v>
      </c>
      <c r="T45" s="13">
        <v>0</v>
      </c>
      <c r="U45" s="13">
        <f t="shared" si="23"/>
        <v>15.987375792638566</v>
      </c>
      <c r="V45" s="13">
        <f t="shared" si="24"/>
        <v>17.22288801745978</v>
      </c>
      <c r="W45" s="13">
        <f>B45*B26*Z$25*AA$25/1000-F45-G45-H45-I45</f>
        <v>549.31626192042108</v>
      </c>
      <c r="X45" s="13">
        <f t="shared" ref="X45:X51" si="28">AB$27</f>
        <v>14.662999999999998</v>
      </c>
      <c r="Y45" s="14">
        <f t="shared" si="27"/>
        <v>2030.9838137568793</v>
      </c>
      <c r="Z45" s="777">
        <f>'Energy Contents Cell'!V24+X45</f>
        <v>2042.4707715612328</v>
      </c>
      <c r="AA45" s="117"/>
      <c r="AB45" s="117"/>
      <c r="AC45" s="117"/>
    </row>
    <row r="46" spans="1:40">
      <c r="A46" s="145" t="str">
        <f t="shared" si="20"/>
        <v>LIB-NMC</v>
      </c>
      <c r="B46" s="1162">
        <f>'Energy Contents Cell'!V44</f>
        <v>48.730265778873218</v>
      </c>
      <c r="C46" s="90">
        <v>0</v>
      </c>
      <c r="D46" s="90">
        <f>B46*I27*Z$25*AA$25/1000</f>
        <v>28.818153306575823</v>
      </c>
      <c r="E46" s="90">
        <v>0</v>
      </c>
      <c r="F46" s="90">
        <f>B46*B27*D4*Z$25*AA$25/1000</f>
        <v>39.324906737428655</v>
      </c>
      <c r="G46" s="90">
        <f>B46*B27*E4*Z$25*AA$25/1000</f>
        <v>336.37479424219487</v>
      </c>
      <c r="H46" s="90">
        <f>B46*B27*F4*Z$25*AA$25/1000</f>
        <v>42.190109414108335</v>
      </c>
      <c r="I46" s="90">
        <f>B46*B27*C4*Z$25*AA$25/1000</f>
        <v>49.711266440392507</v>
      </c>
      <c r="J46" s="90">
        <f>B46*D$11*H27*Z$24*AA$24/1000</f>
        <v>1.1189943330883252</v>
      </c>
      <c r="K46" s="686">
        <f>B46*F$11*H27*Z$24*AA$24/1000</f>
        <v>4.9983896722965531</v>
      </c>
      <c r="L46" s="686">
        <f>B46*E$11*H27*Z$24*AA$24/1000</f>
        <v>18.381174923929258</v>
      </c>
      <c r="M46" s="90">
        <f>B46*J27*Z$24*AA$24/1000</f>
        <v>65.493477206805608</v>
      </c>
      <c r="N46" s="90">
        <v>0</v>
      </c>
      <c r="O46" s="686">
        <v>0</v>
      </c>
      <c r="P46" s="90">
        <f>B46*E27*Z$24*AA$24/1000</f>
        <v>459.31149332774982</v>
      </c>
      <c r="Q46" s="90">
        <v>0</v>
      </c>
      <c r="R46" s="90">
        <f t="shared" si="21"/>
        <v>29.034053790354122</v>
      </c>
      <c r="S46" s="90">
        <f t="shared" si="22"/>
        <v>19.137978888656246</v>
      </c>
      <c r="T46" s="90">
        <v>0</v>
      </c>
      <c r="U46" s="90">
        <f t="shared" si="23"/>
        <v>10.416094310234151</v>
      </c>
      <c r="V46" s="90">
        <f t="shared" si="24"/>
        <v>168.98749290152017</v>
      </c>
      <c r="W46" s="90">
        <f>B46*B27*Z$25*AA$25/1000-F46-G46-H46-I46</f>
        <v>229.21621413437461</v>
      </c>
      <c r="X46" s="90">
        <f t="shared" si="28"/>
        <v>14.662999999999998</v>
      </c>
      <c r="Y46" s="686">
        <f t="shared" si="27"/>
        <v>1517.1775936297092</v>
      </c>
      <c r="Z46" s="1163">
        <f>'Energy Contents Cell'!V25+X46</f>
        <v>1510.5836922401547</v>
      </c>
    </row>
    <row r="47" spans="1:40">
      <c r="A47" s="314" t="str">
        <f t="shared" si="20"/>
        <v>LIB-LFP</v>
      </c>
      <c r="B47" s="1159">
        <f>'Energy Contents Cell'!V45</f>
        <v>49.691460576742891</v>
      </c>
      <c r="C47" s="13">
        <v>0</v>
      </c>
      <c r="D47" s="13">
        <f>B47*I28*Z$25*AA$25/1000</f>
        <v>29.38658564733479</v>
      </c>
      <c r="E47" s="13">
        <v>0</v>
      </c>
      <c r="F47" s="13">
        <v>0</v>
      </c>
      <c r="G47" s="13">
        <f>B47*B28*E5*Z$25*AA$25/1000</f>
        <v>261.19899365534741</v>
      </c>
      <c r="H47" s="13">
        <f>B47*B28*F5*Z$25*AA$25/1000</f>
        <v>145.11055203074858</v>
      </c>
      <c r="I47" s="13">
        <f>B47*B28*C5*Z$25*AA$25/1000</f>
        <v>32.486039712690165</v>
      </c>
      <c r="J47" s="13">
        <f>B47*D$11*H28*Z$24*AA$24/1000</f>
        <v>1.1395332924612587</v>
      </c>
      <c r="K47" s="14">
        <f>B47*F$11*H28*Z$24*AA$24/1000</f>
        <v>5.0901343035012987</v>
      </c>
      <c r="L47" s="14">
        <f>B47*E$11*H28*Z$24*AA$24/1000</f>
        <v>18.718558406424133</v>
      </c>
      <c r="M47" s="13">
        <f>B47*J28*Z$24*AA$24/1000</f>
        <v>66.785323015142467</v>
      </c>
      <c r="N47" s="13">
        <v>0</v>
      </c>
      <c r="O47" s="14">
        <v>0</v>
      </c>
      <c r="P47" s="13">
        <f>B47*E28*Z$24*AA$24/1000</f>
        <v>359.23606819076298</v>
      </c>
      <c r="Q47" s="13">
        <v>0</v>
      </c>
      <c r="R47" s="13">
        <f t="shared" si="21"/>
        <v>30.765777523293387</v>
      </c>
      <c r="S47" s="13">
        <f t="shared" si="22"/>
        <v>14.968169507948462</v>
      </c>
      <c r="T47" s="13">
        <v>0</v>
      </c>
      <c r="U47" s="13">
        <f t="shared" si="23"/>
        <v>10.621549698278793</v>
      </c>
      <c r="V47" s="13">
        <f t="shared" si="24"/>
        <v>172.08923090734103</v>
      </c>
      <c r="W47" s="13">
        <f>B47*B28*Z$25*AA$25/1000-F47-G47-H47-I47</f>
        <v>299.58307516025519</v>
      </c>
      <c r="X47" s="13">
        <f t="shared" si="28"/>
        <v>14.662999999999998</v>
      </c>
      <c r="Y47" s="14">
        <f t="shared" si="27"/>
        <v>1461.84259105153</v>
      </c>
      <c r="Z47" s="777">
        <f>'Energy Contents Cell'!V26+X47</f>
        <v>1455.2463145129489</v>
      </c>
    </row>
    <row r="48" spans="1:40" ht="17" thickBot="1">
      <c r="A48" s="987" t="str">
        <f t="shared" si="20"/>
        <v>Li-DIB</v>
      </c>
      <c r="B48" s="1164">
        <f>'Energy Contents Cell'!V46</f>
        <v>23.366272876761212</v>
      </c>
      <c r="C48" s="94">
        <v>0</v>
      </c>
      <c r="D48" s="94">
        <f>B48*I29*Z$25*AA$25/1000</f>
        <v>13.818369820131922</v>
      </c>
      <c r="E48" s="94">
        <v>0</v>
      </c>
      <c r="F48" s="94">
        <v>0</v>
      </c>
      <c r="G48" s="94">
        <v>0</v>
      </c>
      <c r="H48" s="94">
        <v>0</v>
      </c>
      <c r="I48" s="94">
        <v>0</v>
      </c>
      <c r="J48" s="94">
        <f>B48*D$12*H29*Z$24*AA$24/1000</f>
        <v>7.5511755450630957</v>
      </c>
      <c r="K48" s="1094">
        <f>B48*F$11*H29*Z$24*AA$24/1000</f>
        <v>9.8379268328451701</v>
      </c>
      <c r="L48" s="1094">
        <f>B48*E$11*H29*Z$24*AA$24/1000</f>
        <v>36.17818254659192</v>
      </c>
      <c r="M48" s="94">
        <f>B48*J29*Z$24*AA$24/1000</f>
        <v>31.404270746367072</v>
      </c>
      <c r="N48" s="94">
        <v>0</v>
      </c>
      <c r="O48" s="1094">
        <v>0</v>
      </c>
      <c r="P48" s="94">
        <f>B48*(E29*Z$24*AA$24)/1000</f>
        <v>67.502887108828332</v>
      </c>
      <c r="Q48" s="94">
        <f>B48*B29*Z25*AA25/1000</f>
        <v>168.97322701081907</v>
      </c>
      <c r="R48" s="94">
        <f t="shared" si="21"/>
        <v>7.0405511254507953</v>
      </c>
      <c r="S48" s="94">
        <f t="shared" si="22"/>
        <v>2.8126202962011808</v>
      </c>
      <c r="T48" s="94">
        <v>0</v>
      </c>
      <c r="U48" s="94">
        <f t="shared" si="23"/>
        <v>37.638237030276706</v>
      </c>
      <c r="V48" s="94">
        <f t="shared" si="24"/>
        <v>327.25568925015165</v>
      </c>
      <c r="W48" s="94">
        <v>0</v>
      </c>
      <c r="X48" s="94">
        <f t="shared" si="28"/>
        <v>14.662999999999998</v>
      </c>
      <c r="Y48" s="1094">
        <f t="shared" si="27"/>
        <v>724.67613731272695</v>
      </c>
      <c r="Z48" s="1165">
        <f>'Energy Contents Cell'!V27+X48</f>
        <v>714.04038717479705</v>
      </c>
    </row>
    <row r="49" spans="1:27">
      <c r="A49" s="98"/>
      <c r="B49" s="466"/>
      <c r="C49" s="13"/>
      <c r="D49" s="13"/>
      <c r="E49" s="13"/>
      <c r="F49" s="13"/>
      <c r="G49" s="13"/>
      <c r="H49" s="13"/>
      <c r="I49" s="13"/>
      <c r="J49" s="13"/>
      <c r="M49" s="13"/>
      <c r="N49" s="13"/>
      <c r="P49" s="13"/>
      <c r="Q49" s="13"/>
      <c r="R49" s="13"/>
      <c r="S49" s="13"/>
      <c r="T49" s="13"/>
      <c r="U49" s="13"/>
      <c r="V49" s="13"/>
      <c r="W49" s="13"/>
      <c r="X49" s="13"/>
      <c r="Y49" s="14"/>
      <c r="Z49" s="14"/>
    </row>
    <row r="50" spans="1:27">
      <c r="A50" s="98"/>
      <c r="B50" s="466"/>
      <c r="C50" s="13"/>
      <c r="D50" s="13"/>
      <c r="E50" s="13"/>
      <c r="F50" s="13"/>
      <c r="G50" s="13"/>
      <c r="H50" s="13"/>
      <c r="I50" s="13"/>
      <c r="J50" s="13"/>
      <c r="K50" s="13"/>
      <c r="M50" s="13"/>
      <c r="N50" s="13"/>
      <c r="P50" s="13"/>
      <c r="Q50" s="13"/>
      <c r="R50" s="13"/>
      <c r="S50" s="13"/>
      <c r="T50" s="13"/>
      <c r="U50" s="13"/>
      <c r="V50" s="13"/>
      <c r="W50" s="13"/>
      <c r="X50" s="13"/>
      <c r="Y50" s="14"/>
      <c r="Z50" s="14"/>
    </row>
    <row r="51" spans="1:27">
      <c r="A51" s="98"/>
      <c r="B51" s="466"/>
      <c r="C51" s="13"/>
      <c r="D51" s="13"/>
      <c r="E51" s="13"/>
      <c r="F51" s="13"/>
      <c r="G51" s="13"/>
      <c r="H51" s="13"/>
      <c r="I51" s="13"/>
      <c r="J51" s="13"/>
      <c r="M51" s="13"/>
      <c r="N51" s="13"/>
      <c r="P51" s="13"/>
      <c r="Q51" s="13"/>
      <c r="R51" s="13"/>
      <c r="S51" s="13"/>
      <c r="T51" s="13"/>
      <c r="U51" s="13"/>
      <c r="V51" s="13"/>
      <c r="W51" s="13"/>
      <c r="X51" s="13"/>
      <c r="Y51" s="14"/>
      <c r="Z51" s="14"/>
    </row>
    <row r="52" spans="1:27" ht="17" thickBot="1">
      <c r="M52" s="754"/>
      <c r="N52" s="754"/>
      <c r="O52" s="118"/>
      <c r="P52" s="118"/>
      <c r="Q52" s="118"/>
      <c r="R52" s="118"/>
      <c r="S52" s="118"/>
      <c r="T52" s="118"/>
    </row>
    <row r="53" spans="1:27" ht="15.75" customHeight="1">
      <c r="A53" s="724" t="s">
        <v>545</v>
      </c>
      <c r="B53" s="547" t="s">
        <v>999</v>
      </c>
      <c r="C53" s="547" t="s">
        <v>524</v>
      </c>
      <c r="D53" s="547" t="s">
        <v>525</v>
      </c>
      <c r="E53" s="547" t="s">
        <v>526</v>
      </c>
      <c r="F53" s="547" t="s">
        <v>962</v>
      </c>
      <c r="G53" s="547" t="s">
        <v>811</v>
      </c>
      <c r="H53" s="547" t="s">
        <v>651</v>
      </c>
      <c r="I53" s="547" t="s">
        <v>537</v>
      </c>
      <c r="J53" s="547" t="s">
        <v>538</v>
      </c>
      <c r="K53" s="547" t="s">
        <v>648</v>
      </c>
      <c r="L53" s="547" t="s">
        <v>649</v>
      </c>
      <c r="M53" s="547" t="s">
        <v>533</v>
      </c>
      <c r="N53" s="547" t="s">
        <v>793</v>
      </c>
      <c r="O53" s="547" t="s">
        <v>654</v>
      </c>
      <c r="P53" s="547" t="s">
        <v>804</v>
      </c>
      <c r="Q53" s="547" t="s">
        <v>805</v>
      </c>
      <c r="R53" s="547" t="s">
        <v>535</v>
      </c>
      <c r="S53" s="547" t="s">
        <v>539</v>
      </c>
      <c r="T53" s="547" t="s">
        <v>536</v>
      </c>
      <c r="U53" s="547" t="s">
        <v>196</v>
      </c>
      <c r="V53" s="547" t="s">
        <v>540</v>
      </c>
      <c r="W53" s="547" t="s">
        <v>543</v>
      </c>
      <c r="X53" s="547" t="s">
        <v>541</v>
      </c>
      <c r="Y53" s="547" t="s">
        <v>542</v>
      </c>
      <c r="Z53" s="701" t="s">
        <v>544</v>
      </c>
    </row>
    <row r="54" spans="1:27" ht="16.5" customHeight="1">
      <c r="A54" s="725"/>
      <c r="B54" s="548"/>
      <c r="C54" s="548"/>
      <c r="D54" s="548"/>
      <c r="E54" s="548"/>
      <c r="F54" s="548"/>
      <c r="G54" s="548"/>
      <c r="H54" s="548"/>
      <c r="I54" s="548"/>
      <c r="J54" s="548"/>
      <c r="K54" s="548"/>
      <c r="L54" s="548"/>
      <c r="M54" s="548"/>
      <c r="N54" s="548"/>
      <c r="O54" s="548"/>
      <c r="P54" s="548"/>
      <c r="Q54" s="548"/>
      <c r="R54" s="548"/>
      <c r="S54" s="548"/>
      <c r="T54" s="548"/>
      <c r="U54" s="548"/>
      <c r="V54" s="548"/>
      <c r="W54" s="548"/>
      <c r="X54" s="548"/>
      <c r="Y54" s="548"/>
      <c r="Z54" s="702"/>
      <c r="AA54" s="14"/>
    </row>
    <row r="55" spans="1:27" ht="16.5" customHeight="1">
      <c r="A55" s="725"/>
      <c r="B55" s="548"/>
      <c r="C55" s="548"/>
      <c r="D55" s="548"/>
      <c r="E55" s="548"/>
      <c r="F55" s="548"/>
      <c r="G55" s="548"/>
      <c r="H55" s="548"/>
      <c r="I55" s="548"/>
      <c r="J55" s="548"/>
      <c r="K55" s="548"/>
      <c r="L55" s="548"/>
      <c r="M55" s="548"/>
      <c r="N55" s="548"/>
      <c r="O55" s="548"/>
      <c r="P55" s="548"/>
      <c r="Q55" s="548"/>
      <c r="R55" s="548"/>
      <c r="S55" s="548"/>
      <c r="T55" s="548"/>
      <c r="U55" s="548"/>
      <c r="V55" s="548"/>
      <c r="W55" s="548"/>
      <c r="X55" s="548"/>
      <c r="Y55" s="548"/>
      <c r="Z55" s="702"/>
      <c r="AA55" s="14"/>
    </row>
    <row r="56" spans="1:27" ht="16.5" customHeight="1">
      <c r="A56" s="725"/>
      <c r="B56" s="548"/>
      <c r="C56" s="548"/>
      <c r="D56" s="548"/>
      <c r="E56" s="548"/>
      <c r="F56" s="548"/>
      <c r="G56" s="548"/>
      <c r="H56" s="548"/>
      <c r="I56" s="548"/>
      <c r="J56" s="548"/>
      <c r="K56" s="548"/>
      <c r="L56" s="548"/>
      <c r="M56" s="548"/>
      <c r="N56" s="548"/>
      <c r="O56" s="548"/>
      <c r="P56" s="548"/>
      <c r="Q56" s="548"/>
      <c r="R56" s="548"/>
      <c r="S56" s="548"/>
      <c r="T56" s="548"/>
      <c r="U56" s="548"/>
      <c r="V56" s="548"/>
      <c r="W56" s="548"/>
      <c r="X56" s="548"/>
      <c r="Y56" s="548"/>
      <c r="Z56" s="702"/>
    </row>
    <row r="57" spans="1:27" ht="16.5" customHeight="1">
      <c r="A57" s="725"/>
      <c r="B57" s="548"/>
      <c r="C57" s="548"/>
      <c r="D57" s="548"/>
      <c r="E57" s="548"/>
      <c r="F57" s="548"/>
      <c r="G57" s="548"/>
      <c r="H57" s="548"/>
      <c r="I57" s="548"/>
      <c r="J57" s="548"/>
      <c r="K57" s="548"/>
      <c r="L57" s="548"/>
      <c r="M57" s="548"/>
      <c r="N57" s="548"/>
      <c r="O57" s="548"/>
      <c r="P57" s="548"/>
      <c r="Q57" s="548"/>
      <c r="R57" s="548"/>
      <c r="S57" s="548"/>
      <c r="T57" s="548"/>
      <c r="U57" s="548"/>
      <c r="V57" s="548"/>
      <c r="W57" s="548"/>
      <c r="X57" s="548"/>
      <c r="Y57" s="548"/>
      <c r="Z57" s="702"/>
    </row>
    <row r="58" spans="1:27" ht="16.5" customHeight="1">
      <c r="A58" s="726"/>
      <c r="B58" s="471" t="s">
        <v>546</v>
      </c>
      <c r="C58" s="471" t="s">
        <v>546</v>
      </c>
      <c r="D58" s="471" t="s">
        <v>546</v>
      </c>
      <c r="E58" s="471" t="s">
        <v>546</v>
      </c>
      <c r="F58" s="471" t="s">
        <v>546</v>
      </c>
      <c r="G58" s="471" t="s">
        <v>546</v>
      </c>
      <c r="H58" s="471" t="s">
        <v>546</v>
      </c>
      <c r="I58" s="471" t="s">
        <v>546</v>
      </c>
      <c r="J58" s="471" t="s">
        <v>546</v>
      </c>
      <c r="K58" s="471" t="s">
        <v>546</v>
      </c>
      <c r="L58" s="471" t="s">
        <v>546</v>
      </c>
      <c r="M58" s="471" t="s">
        <v>546</v>
      </c>
      <c r="N58" s="471" t="s">
        <v>546</v>
      </c>
      <c r="O58" s="471" t="s">
        <v>546</v>
      </c>
      <c r="P58" s="471" t="s">
        <v>546</v>
      </c>
      <c r="Q58" s="471" t="s">
        <v>546</v>
      </c>
      <c r="R58" s="471" t="s">
        <v>546</v>
      </c>
      <c r="S58" s="471" t="s">
        <v>546</v>
      </c>
      <c r="T58" s="471" t="s">
        <v>546</v>
      </c>
      <c r="U58" s="471" t="s">
        <v>546</v>
      </c>
      <c r="V58" s="471" t="s">
        <v>546</v>
      </c>
      <c r="W58" s="471" t="s">
        <v>546</v>
      </c>
      <c r="X58" s="471" t="s">
        <v>546</v>
      </c>
      <c r="Y58" s="471" t="s">
        <v>546</v>
      </c>
      <c r="Z58" s="698" t="s">
        <v>546</v>
      </c>
    </row>
    <row r="59" spans="1:27" ht="16.5" customHeight="1">
      <c r="A59" s="145" t="str">
        <f t="shared" ref="A59:A61" si="29">A40</f>
        <v>Al-gra</v>
      </c>
      <c r="B59" s="990">
        <f>0.85*B40*P21*Z$25*AA$25/1000000</f>
        <v>3.5220006049374961E-2</v>
      </c>
      <c r="C59" s="991">
        <f>C40/$B59</f>
        <v>366.0455557700065</v>
      </c>
      <c r="D59" s="991">
        <f t="shared" ref="D59:L59" si="30">D40/$B59</f>
        <v>0</v>
      </c>
      <c r="E59" s="991">
        <f t="shared" si="30"/>
        <v>1948.0169763919625</v>
      </c>
      <c r="F59" s="991">
        <f t="shared" si="30"/>
        <v>0</v>
      </c>
      <c r="G59" s="991">
        <f t="shared" si="30"/>
        <v>0</v>
      </c>
      <c r="H59" s="991">
        <f t="shared" si="30"/>
        <v>0</v>
      </c>
      <c r="I59" s="991">
        <f t="shared" si="30"/>
        <v>0</v>
      </c>
      <c r="J59" s="991">
        <f t="shared" si="30"/>
        <v>0</v>
      </c>
      <c r="K59" s="991">
        <f t="shared" si="30"/>
        <v>0</v>
      </c>
      <c r="L59" s="991">
        <f t="shared" si="30"/>
        <v>11509.533635515843</v>
      </c>
      <c r="M59" s="991">
        <f t="shared" ref="M59:N59" si="31">M40/$B59</f>
        <v>0</v>
      </c>
      <c r="N59" s="991">
        <f t="shared" si="31"/>
        <v>332.57760388867069</v>
      </c>
      <c r="O59" s="991">
        <f t="shared" ref="O59:Y59" si="32">O40/$B59</f>
        <v>59.212890851078136</v>
      </c>
      <c r="P59" s="991">
        <f t="shared" si="32"/>
        <v>0</v>
      </c>
      <c r="Q59" s="991">
        <f t="shared" si="32"/>
        <v>4357.2984749455354</v>
      </c>
      <c r="R59" s="991">
        <f t="shared" si="32"/>
        <v>181.55410312273062</v>
      </c>
      <c r="S59" s="991">
        <f t="shared" si="32"/>
        <v>0</v>
      </c>
      <c r="T59" s="991">
        <f t="shared" si="32"/>
        <v>0</v>
      </c>
      <c r="U59" s="991">
        <f t="shared" si="32"/>
        <v>2105.2181626690126</v>
      </c>
      <c r="V59" s="991">
        <f t="shared" si="32"/>
        <v>1441.171818645535</v>
      </c>
      <c r="W59" s="991">
        <f t="shared" si="32"/>
        <v>0</v>
      </c>
      <c r="X59" s="991">
        <f t="shared" si="32"/>
        <v>416.32587965612282</v>
      </c>
      <c r="Y59" s="991">
        <f t="shared" si="32"/>
        <v>22716.9551014565</v>
      </c>
      <c r="Z59" s="1161">
        <f t="shared" ref="Z59:Z61" si="33">Z40/B59</f>
        <v>22452.239164545736</v>
      </c>
    </row>
    <row r="60" spans="1:27" ht="15.75" customHeight="1">
      <c r="A60" s="314" t="str">
        <f t="shared" si="29"/>
        <v>Al-PPQ</v>
      </c>
      <c r="B60" s="722">
        <f t="shared" ref="B60:B67" si="34">0.85*B41*P22*Z$25*AA$25/1000000</f>
        <v>9.6893867496810504E-2</v>
      </c>
      <c r="C60" s="13">
        <f t="shared" ref="C60:L61" si="35">C41/$B60</f>
        <v>466.5308681704027</v>
      </c>
      <c r="D60" s="13">
        <f t="shared" si="35"/>
        <v>0</v>
      </c>
      <c r="E60" s="13">
        <f t="shared" si="35"/>
        <v>347.8601743557075</v>
      </c>
      <c r="F60" s="13">
        <f t="shared" si="35"/>
        <v>0</v>
      </c>
      <c r="G60" s="13">
        <f t="shared" si="35"/>
        <v>0</v>
      </c>
      <c r="H60" s="13">
        <f t="shared" si="35"/>
        <v>0</v>
      </c>
      <c r="I60" s="13">
        <f t="shared" si="35"/>
        <v>0</v>
      </c>
      <c r="J60" s="13">
        <f t="shared" si="35"/>
        <v>0</v>
      </c>
      <c r="K60" s="13">
        <f t="shared" si="35"/>
        <v>0</v>
      </c>
      <c r="L60" s="13">
        <f t="shared" si="35"/>
        <v>2055.2738634849716</v>
      </c>
      <c r="M60" s="13">
        <f t="shared" ref="M60:O61" si="36">M41/$B60</f>
        <v>0</v>
      </c>
      <c r="N60" s="13">
        <f t="shared" si="36"/>
        <v>423.87543252595162</v>
      </c>
      <c r="O60" s="13">
        <f t="shared" si="36"/>
        <v>75.467768806869159</v>
      </c>
      <c r="P60" s="13">
        <f t="shared" ref="P60:Q60" si="37">P41/$B60</f>
        <v>0</v>
      </c>
      <c r="Q60" s="13">
        <f t="shared" si="37"/>
        <v>0</v>
      </c>
      <c r="R60" s="13">
        <f t="shared" ref="R60:Y61" si="38">R41/$B60</f>
        <v>549.23930356456333</v>
      </c>
      <c r="S60" s="13">
        <f t="shared" si="38"/>
        <v>0</v>
      </c>
      <c r="T60" s="13">
        <f t="shared" si="38"/>
        <v>4943.1537320810685</v>
      </c>
      <c r="U60" s="13">
        <f t="shared" si="38"/>
        <v>165.21254196945847</v>
      </c>
      <c r="V60" s="13">
        <f t="shared" si="38"/>
        <v>257.35211047241705</v>
      </c>
      <c r="W60" s="13">
        <f t="shared" si="38"/>
        <v>0</v>
      </c>
      <c r="X60" s="13">
        <f t="shared" si="38"/>
        <v>151.33052667634169</v>
      </c>
      <c r="Y60" s="13">
        <f t="shared" si="38"/>
        <v>9435.2963221077498</v>
      </c>
      <c r="Z60" s="777">
        <f t="shared" si="33"/>
        <v>9531.152490083452</v>
      </c>
    </row>
    <row r="61" spans="1:27">
      <c r="A61" s="145" t="str">
        <f t="shared" si="29"/>
        <v>Al-PBQS</v>
      </c>
      <c r="B61" s="992">
        <f t="shared" si="34"/>
        <v>0.14964166833853479</v>
      </c>
      <c r="C61" s="90">
        <f t="shared" si="35"/>
        <v>380.07498724765651</v>
      </c>
      <c r="D61" s="90">
        <f t="shared" si="35"/>
        <v>0</v>
      </c>
      <c r="E61" s="90">
        <f t="shared" si="35"/>
        <v>304.37765256124402</v>
      </c>
      <c r="F61" s="90">
        <f t="shared" si="35"/>
        <v>0</v>
      </c>
      <c r="G61" s="90">
        <f t="shared" si="35"/>
        <v>0</v>
      </c>
      <c r="H61" s="90">
        <f t="shared" si="35"/>
        <v>0</v>
      </c>
      <c r="I61" s="90">
        <f t="shared" si="35"/>
        <v>0</v>
      </c>
      <c r="J61" s="90">
        <f t="shared" si="35"/>
        <v>0</v>
      </c>
      <c r="K61" s="90">
        <f t="shared" si="35"/>
        <v>0</v>
      </c>
      <c r="L61" s="90">
        <f t="shared" si="35"/>
        <v>1798.3646305493494</v>
      </c>
      <c r="M61" s="90">
        <f t="shared" si="36"/>
        <v>0</v>
      </c>
      <c r="N61" s="90">
        <f t="shared" si="36"/>
        <v>267.16724825523431</v>
      </c>
      <c r="O61" s="90">
        <f t="shared" si="36"/>
        <v>47.567078856024523</v>
      </c>
      <c r="P61" s="90">
        <f t="shared" ref="P61:Q61" si="39">P42/$B61</f>
        <v>0</v>
      </c>
      <c r="Q61" s="90">
        <f t="shared" si="39"/>
        <v>0</v>
      </c>
      <c r="R61" s="90">
        <f t="shared" si="38"/>
        <v>272.33115468409596</v>
      </c>
      <c r="S61" s="90">
        <f t="shared" si="38"/>
        <v>0</v>
      </c>
      <c r="T61" s="90">
        <f t="shared" si="38"/>
        <v>2450.9803921568637</v>
      </c>
      <c r="U61" s="90">
        <f t="shared" si="38"/>
        <v>101.14707497047092</v>
      </c>
      <c r="V61" s="90">
        <f t="shared" si="38"/>
        <v>225.18309666336575</v>
      </c>
      <c r="W61" s="90">
        <f t="shared" si="38"/>
        <v>0</v>
      </c>
      <c r="X61" s="90">
        <f t="shared" si="38"/>
        <v>97.987413284031632</v>
      </c>
      <c r="Y61" s="90">
        <f t="shared" si="38"/>
        <v>5945.1807292283365</v>
      </c>
      <c r="Z61" s="1163">
        <f t="shared" si="33"/>
        <v>5988.3245515220869</v>
      </c>
    </row>
    <row r="62" spans="1:27">
      <c r="A62" s="314" t="str">
        <f t="shared" ref="A62:A67" si="40">A43</f>
        <v>Al-TiO2</v>
      </c>
      <c r="B62" s="722">
        <f t="shared" si="34"/>
        <v>8.3284784969724662E-2</v>
      </c>
      <c r="C62" s="13">
        <f t="shared" ref="C62:Y62" si="41">C43/$B62</f>
        <v>950.18746811914082</v>
      </c>
      <c r="D62" s="13">
        <f t="shared" si="41"/>
        <v>0</v>
      </c>
      <c r="E62" s="13">
        <f t="shared" si="41"/>
        <v>305.43945165947395</v>
      </c>
      <c r="F62" s="13">
        <f t="shared" si="41"/>
        <v>10026.737967914436</v>
      </c>
      <c r="G62" s="13">
        <f t="shared" si="41"/>
        <v>0</v>
      </c>
      <c r="H62" s="13">
        <f t="shared" si="41"/>
        <v>0</v>
      </c>
      <c r="I62" s="13">
        <f t="shared" si="41"/>
        <v>0</v>
      </c>
      <c r="J62" s="13">
        <f t="shared" si="41"/>
        <v>0</v>
      </c>
      <c r="K62" s="13">
        <f t="shared" si="41"/>
        <v>0</v>
      </c>
      <c r="L62" s="13">
        <f t="shared" si="41"/>
        <v>1804.6380935547261</v>
      </c>
      <c r="M62" s="13">
        <f t="shared" si="41"/>
        <v>0</v>
      </c>
      <c r="N62" s="13">
        <f t="shared" si="41"/>
        <v>541.64829616566135</v>
      </c>
      <c r="O62" s="13">
        <f t="shared" si="41"/>
        <v>96.436323629494751</v>
      </c>
      <c r="P62" s="13">
        <f t="shared" si="41"/>
        <v>0</v>
      </c>
      <c r="Q62" s="13">
        <f t="shared" si="41"/>
        <v>0</v>
      </c>
      <c r="R62" s="13">
        <f t="shared" si="41"/>
        <v>696.30124777183596</v>
      </c>
      <c r="S62" s="13">
        <f t="shared" si="41"/>
        <v>0</v>
      </c>
      <c r="T62" s="13">
        <f t="shared" si="41"/>
        <v>0</v>
      </c>
      <c r="U62" s="13">
        <f t="shared" si="41"/>
        <v>209.75839959846431</v>
      </c>
      <c r="V62" s="13">
        <f t="shared" si="41"/>
        <v>225.96863136659158</v>
      </c>
      <c r="W62" s="13">
        <f t="shared" si="41"/>
        <v>6684.4919786096225</v>
      </c>
      <c r="X62" s="13">
        <f t="shared" si="41"/>
        <v>176.0585682646624</v>
      </c>
      <c r="Y62" s="13">
        <f t="shared" si="41"/>
        <v>21717.666426654112</v>
      </c>
      <c r="Z62" s="777">
        <f t="shared" ref="Z62:Z67" si="42">Z43/B62</f>
        <v>21868.378208033893</v>
      </c>
    </row>
    <row r="63" spans="1:27">
      <c r="A63" s="145" t="str">
        <f t="shared" si="40"/>
        <v>Al-V2C</v>
      </c>
      <c r="B63" s="992">
        <f t="shared" si="34"/>
        <v>0.13023244603215395</v>
      </c>
      <c r="C63" s="90">
        <f t="shared" ref="C63:Y63" si="43">C44/$B63</f>
        <v>640.12629431184223</v>
      </c>
      <c r="D63" s="90">
        <f t="shared" si="43"/>
        <v>0</v>
      </c>
      <c r="E63" s="90">
        <f t="shared" si="43"/>
        <v>195.15840704729717</v>
      </c>
      <c r="F63" s="90">
        <f t="shared" si="43"/>
        <v>8864.2659279778381</v>
      </c>
      <c r="G63" s="90">
        <f t="shared" si="43"/>
        <v>0</v>
      </c>
      <c r="H63" s="90">
        <f t="shared" si="43"/>
        <v>0</v>
      </c>
      <c r="I63" s="90">
        <f t="shared" si="43"/>
        <v>0</v>
      </c>
      <c r="J63" s="90">
        <f t="shared" si="43"/>
        <v>0</v>
      </c>
      <c r="K63" s="90">
        <f t="shared" si="43"/>
        <v>0</v>
      </c>
      <c r="L63" s="90">
        <f t="shared" si="43"/>
        <v>1153.0609216377811</v>
      </c>
      <c r="M63" s="90">
        <f t="shared" si="43"/>
        <v>0</v>
      </c>
      <c r="N63" s="90">
        <f t="shared" si="43"/>
        <v>346.08240057156462</v>
      </c>
      <c r="O63" s="90">
        <f t="shared" si="43"/>
        <v>61.617316292238876</v>
      </c>
      <c r="P63" s="90">
        <f t="shared" si="43"/>
        <v>0</v>
      </c>
      <c r="Q63" s="90">
        <f t="shared" si="43"/>
        <v>0</v>
      </c>
      <c r="R63" s="90">
        <f t="shared" si="43"/>
        <v>412.79669762641902</v>
      </c>
      <c r="S63" s="90">
        <f t="shared" si="43"/>
        <v>0</v>
      </c>
      <c r="T63" s="90">
        <f t="shared" si="43"/>
        <v>1042.8548150562167</v>
      </c>
      <c r="U63" s="90">
        <f t="shared" si="43"/>
        <v>134.02366625535083</v>
      </c>
      <c r="V63" s="90">
        <f t="shared" si="43"/>
        <v>144.38108076925019</v>
      </c>
      <c r="W63" s="90">
        <f t="shared" si="43"/>
        <v>0</v>
      </c>
      <c r="X63" s="90">
        <f t="shared" si="43"/>
        <v>112.59098977822894</v>
      </c>
      <c r="Y63" s="90">
        <f t="shared" si="43"/>
        <v>13106.958517324028</v>
      </c>
      <c r="Z63" s="1163">
        <f t="shared" si="42"/>
        <v>13203.254758747773</v>
      </c>
    </row>
    <row r="64" spans="1:27">
      <c r="A64" s="314" t="str">
        <f t="shared" si="40"/>
        <v>Al-MnO2</v>
      </c>
      <c r="B64" s="722">
        <f t="shared" si="34"/>
        <v>0.4697852664669242</v>
      </c>
      <c r="C64" s="13">
        <f t="shared" ref="C64:Y64" si="44">C45/$B64</f>
        <v>467.78459968942332</v>
      </c>
      <c r="D64" s="13">
        <f t="shared" si="44"/>
        <v>0</v>
      </c>
      <c r="E64" s="13">
        <f t="shared" si="44"/>
        <v>49.554552864499747</v>
      </c>
      <c r="F64" s="13">
        <f t="shared" si="44"/>
        <v>2006.0669823572989</v>
      </c>
      <c r="G64" s="13">
        <f t="shared" si="44"/>
        <v>0</v>
      </c>
      <c r="H64" s="13">
        <f t="shared" si="44"/>
        <v>0</v>
      </c>
      <c r="I64" s="13">
        <f t="shared" si="44"/>
        <v>0</v>
      </c>
      <c r="J64" s="13">
        <f t="shared" si="44"/>
        <v>0</v>
      </c>
      <c r="K64" s="13">
        <f t="shared" si="44"/>
        <v>0</v>
      </c>
      <c r="L64" s="13">
        <f t="shared" si="44"/>
        <v>292.78481650775274</v>
      </c>
      <c r="M64" s="13">
        <f t="shared" si="44"/>
        <v>0</v>
      </c>
      <c r="N64" s="13">
        <f t="shared" si="44"/>
        <v>87.877119280033057</v>
      </c>
      <c r="O64" s="13">
        <f t="shared" si="44"/>
        <v>15.645846898270436</v>
      </c>
      <c r="P64" s="13">
        <f t="shared" si="44"/>
        <v>0</v>
      </c>
      <c r="Q64" s="13">
        <f t="shared" si="44"/>
        <v>0</v>
      </c>
      <c r="R64" s="13">
        <f t="shared" si="44"/>
        <v>132.30663385462148</v>
      </c>
      <c r="S64" s="13">
        <f t="shared" si="44"/>
        <v>0</v>
      </c>
      <c r="T64" s="13">
        <f t="shared" si="44"/>
        <v>0</v>
      </c>
      <c r="U64" s="13">
        <f t="shared" si="44"/>
        <v>34.031241364535596</v>
      </c>
      <c r="V64" s="13">
        <f t="shared" si="44"/>
        <v>36.661192350680878</v>
      </c>
      <c r="W64" s="13">
        <f t="shared" si="44"/>
        <v>1169.2922301536171</v>
      </c>
      <c r="X64" s="13">
        <f t="shared" si="44"/>
        <v>31.212132535093808</v>
      </c>
      <c r="Y64" s="13">
        <f t="shared" si="44"/>
        <v>4323.2173478558279</v>
      </c>
      <c r="Z64" s="777">
        <f t="shared" si="42"/>
        <v>4347.6688550108784</v>
      </c>
    </row>
    <row r="65" spans="1:32">
      <c r="A65" s="145" t="str">
        <f t="shared" si="40"/>
        <v>LIB-NMC</v>
      </c>
      <c r="B65" s="992">
        <f t="shared" si="34"/>
        <v>0.45399388549825132</v>
      </c>
      <c r="C65" s="90">
        <f t="shared" ref="C65:Y65" si="45">C46/$B65</f>
        <v>0</v>
      </c>
      <c r="D65" s="90">
        <f t="shared" si="45"/>
        <v>63.476963516696578</v>
      </c>
      <c r="E65" s="90">
        <f t="shared" si="45"/>
        <v>0</v>
      </c>
      <c r="F65" s="90">
        <f t="shared" si="45"/>
        <v>86.61990390965326</v>
      </c>
      <c r="G65" s="90">
        <f t="shared" si="45"/>
        <v>740.92362251317263</v>
      </c>
      <c r="H65" s="90">
        <f t="shared" si="45"/>
        <v>92.931008019646214</v>
      </c>
      <c r="I65" s="90">
        <f t="shared" si="45"/>
        <v>109.49765630837771</v>
      </c>
      <c r="J65" s="90">
        <f t="shared" si="45"/>
        <v>2.464778422864101</v>
      </c>
      <c r="K65" s="90">
        <f t="shared" si="45"/>
        <v>11.009817162649442</v>
      </c>
      <c r="L65" s="90">
        <f t="shared" si="45"/>
        <v>40.487714727162462</v>
      </c>
      <c r="M65" s="90">
        <f t="shared" si="45"/>
        <v>144.26070328001779</v>
      </c>
      <c r="N65" s="90">
        <f t="shared" si="45"/>
        <v>0</v>
      </c>
      <c r="O65" s="90">
        <f t="shared" si="45"/>
        <v>0</v>
      </c>
      <c r="P65" s="90">
        <f t="shared" si="45"/>
        <v>1011.7129503267704</v>
      </c>
      <c r="Q65" s="90">
        <f t="shared" si="45"/>
        <v>0</v>
      </c>
      <c r="R65" s="90">
        <f t="shared" si="45"/>
        <v>63.95252164792857</v>
      </c>
      <c r="S65" s="90">
        <f t="shared" si="45"/>
        <v>42.154706263615438</v>
      </c>
      <c r="T65" s="90">
        <f t="shared" si="45"/>
        <v>0</v>
      </c>
      <c r="U65" s="90">
        <f t="shared" si="45"/>
        <v>22.943248010493903</v>
      </c>
      <c r="V65" s="90">
        <f t="shared" si="45"/>
        <v>372.22416049956047</v>
      </c>
      <c r="W65" s="90">
        <f t="shared" si="45"/>
        <v>504.88832879943601</v>
      </c>
      <c r="X65" s="90">
        <f t="shared" si="45"/>
        <v>32.29779181697036</v>
      </c>
      <c r="Y65" s="90">
        <f t="shared" si="45"/>
        <v>3341.8458752250158</v>
      </c>
      <c r="Z65" s="1163">
        <f t="shared" si="42"/>
        <v>3327.3216677407722</v>
      </c>
    </row>
    <row r="66" spans="1:32">
      <c r="A66" s="314" t="str">
        <f t="shared" si="40"/>
        <v>LIB-LFP</v>
      </c>
      <c r="B66" s="722">
        <f t="shared" si="34"/>
        <v>0.32102858214455715</v>
      </c>
      <c r="C66" s="13">
        <f t="shared" ref="C66:Y66" si="46">C47/$B66</f>
        <v>0</v>
      </c>
      <c r="D66" s="13">
        <f t="shared" si="46"/>
        <v>91.538845080473848</v>
      </c>
      <c r="E66" s="13">
        <f t="shared" si="46"/>
        <v>0</v>
      </c>
      <c r="F66" s="13">
        <f t="shared" si="46"/>
        <v>0</v>
      </c>
      <c r="G66" s="13">
        <f t="shared" si="46"/>
        <v>813.63158355081032</v>
      </c>
      <c r="H66" s="13">
        <f t="shared" si="46"/>
        <v>452.01754641711688</v>
      </c>
      <c r="I66" s="13">
        <f t="shared" si="46"/>
        <v>101.19360555273519</v>
      </c>
      <c r="J66" s="13">
        <f t="shared" si="46"/>
        <v>3.5496318890015033</v>
      </c>
      <c r="K66" s="13">
        <f t="shared" si="46"/>
        <v>15.855704403320834</v>
      </c>
      <c r="L66" s="13">
        <f t="shared" si="46"/>
        <v>58.308074257373399</v>
      </c>
      <c r="M66" s="13">
        <f t="shared" si="46"/>
        <v>208.03544210611582</v>
      </c>
      <c r="N66" s="13">
        <f t="shared" si="46"/>
        <v>0</v>
      </c>
      <c r="O66" s="13">
        <f t="shared" si="46"/>
        <v>0</v>
      </c>
      <c r="P66" s="13">
        <f t="shared" si="46"/>
        <v>1119.0158389977912</v>
      </c>
      <c r="Q66" s="13">
        <f t="shared" si="46"/>
        <v>0</v>
      </c>
      <c r="R66" s="13">
        <f t="shared" si="46"/>
        <v>95.835010446016142</v>
      </c>
      <c r="S66" s="13">
        <f t="shared" si="46"/>
        <v>46.625659958241314</v>
      </c>
      <c r="T66" s="13">
        <f t="shared" si="46"/>
        <v>0</v>
      </c>
      <c r="U66" s="13">
        <f t="shared" si="46"/>
        <v>33.085993861742743</v>
      </c>
      <c r="V66" s="13">
        <f t="shared" si="46"/>
        <v>536.05579215949797</v>
      </c>
      <c r="W66" s="13">
        <f t="shared" si="46"/>
        <v>933.19751518372539</v>
      </c>
      <c r="X66" s="13">
        <f t="shared" si="46"/>
        <v>45.67506077510987</v>
      </c>
      <c r="Y66" s="13">
        <f t="shared" si="46"/>
        <v>4553.6213046390722</v>
      </c>
      <c r="Z66" s="777">
        <f t="shared" si="42"/>
        <v>4533.0739860965423</v>
      </c>
    </row>
    <row r="67" spans="1:32" ht="17" thickBot="1">
      <c r="A67" s="987" t="str">
        <f t="shared" si="40"/>
        <v>Li-DIB</v>
      </c>
      <c r="B67" s="993">
        <f t="shared" si="34"/>
        <v>9.0485163064293619E-2</v>
      </c>
      <c r="C67" s="94">
        <f t="shared" ref="C67:Y67" si="47">C48/$B67</f>
        <v>0</v>
      </c>
      <c r="D67" s="94">
        <f t="shared" si="47"/>
        <v>152.71420586724668</v>
      </c>
      <c r="E67" s="94">
        <f t="shared" si="47"/>
        <v>0</v>
      </c>
      <c r="F67" s="94">
        <f t="shared" si="47"/>
        <v>0</v>
      </c>
      <c r="G67" s="94">
        <f t="shared" si="47"/>
        <v>0</v>
      </c>
      <c r="H67" s="94">
        <f t="shared" si="47"/>
        <v>0</v>
      </c>
      <c r="I67" s="94">
        <f t="shared" si="47"/>
        <v>0</v>
      </c>
      <c r="J67" s="94">
        <f t="shared" si="47"/>
        <v>83.452085284939571</v>
      </c>
      <c r="K67" s="94">
        <f t="shared" si="47"/>
        <v>108.72419852804927</v>
      </c>
      <c r="L67" s="94">
        <f t="shared" si="47"/>
        <v>399.82447200637478</v>
      </c>
      <c r="M67" s="94">
        <f t="shared" si="47"/>
        <v>347.06541584119134</v>
      </c>
      <c r="N67" s="94">
        <f t="shared" si="47"/>
        <v>0</v>
      </c>
      <c r="O67" s="94">
        <f t="shared" si="47"/>
        <v>0</v>
      </c>
      <c r="P67" s="94">
        <f t="shared" si="47"/>
        <v>746.01055933186103</v>
      </c>
      <c r="Q67" s="94">
        <f t="shared" si="47"/>
        <v>1867.4136321195144</v>
      </c>
      <c r="R67" s="94">
        <f t="shared" si="47"/>
        <v>77.808901338313106</v>
      </c>
      <c r="S67" s="94">
        <f t="shared" si="47"/>
        <v>31.083773305494212</v>
      </c>
      <c r="T67" s="94">
        <f t="shared" si="47"/>
        <v>0</v>
      </c>
      <c r="U67" s="94">
        <f t="shared" si="47"/>
        <v>415.96031609660815</v>
      </c>
      <c r="V67" s="94">
        <f t="shared" si="47"/>
        <v>3616.6778968793187</v>
      </c>
      <c r="W67" s="94">
        <f t="shared" si="47"/>
        <v>0</v>
      </c>
      <c r="X67" s="94">
        <f t="shared" si="47"/>
        <v>162.04866636070827</v>
      </c>
      <c r="Y67" s="94">
        <f t="shared" si="47"/>
        <v>8008.7841229596197</v>
      </c>
      <c r="Z67" s="1165">
        <f t="shared" si="42"/>
        <v>7891.2427517806482</v>
      </c>
    </row>
    <row r="68" spans="1:32">
      <c r="A68" s="98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4"/>
    </row>
    <row r="69" spans="1:32">
      <c r="A69" s="98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4"/>
    </row>
    <row r="70" spans="1:32">
      <c r="A70" s="98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4"/>
    </row>
    <row r="71" spans="1:32" ht="17" thickBot="1">
      <c r="A71" s="98"/>
      <c r="B71" s="13"/>
      <c r="C71" s="13"/>
      <c r="D71" s="13"/>
      <c r="E71" s="13"/>
      <c r="F71" s="13"/>
      <c r="G71" s="13"/>
      <c r="H71" s="13"/>
      <c r="I71" s="13"/>
      <c r="J71" s="13"/>
      <c r="K71" s="79"/>
      <c r="L71" s="79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2" spans="1:32" ht="15.75" customHeight="1">
      <c r="A72" s="724" t="s">
        <v>1049</v>
      </c>
      <c r="B72" s="547" t="s">
        <v>524</v>
      </c>
      <c r="C72" s="547" t="s">
        <v>525</v>
      </c>
      <c r="D72" s="547" t="s">
        <v>526</v>
      </c>
      <c r="E72" s="547" t="s">
        <v>984</v>
      </c>
      <c r="F72" s="547" t="s">
        <v>811</v>
      </c>
      <c r="G72" s="547" t="s">
        <v>651</v>
      </c>
      <c r="H72" s="547" t="s">
        <v>537</v>
      </c>
      <c r="I72" s="547" t="s">
        <v>538</v>
      </c>
      <c r="J72" s="547" t="s">
        <v>648</v>
      </c>
      <c r="K72" s="547" t="s">
        <v>649</v>
      </c>
      <c r="L72" s="547" t="s">
        <v>802</v>
      </c>
      <c r="M72" s="547" t="s">
        <v>803</v>
      </c>
      <c r="N72" s="547" t="s">
        <v>654</v>
      </c>
      <c r="O72" s="547" t="s">
        <v>806</v>
      </c>
      <c r="P72" s="547" t="s">
        <v>807</v>
      </c>
      <c r="Q72" s="547" t="s">
        <v>800</v>
      </c>
      <c r="R72" s="547" t="s">
        <v>799</v>
      </c>
      <c r="S72" s="547" t="s">
        <v>801</v>
      </c>
      <c r="T72" s="547" t="s">
        <v>196</v>
      </c>
      <c r="U72" s="547" t="s">
        <v>253</v>
      </c>
      <c r="V72" s="547" t="s">
        <v>682</v>
      </c>
      <c r="W72" s="701" t="s">
        <v>867</v>
      </c>
      <c r="Y72" s="548"/>
      <c r="Z72" s="566"/>
      <c r="AA72" s="566"/>
      <c r="AB72" s="566"/>
      <c r="AC72" s="566"/>
      <c r="AD72" s="566"/>
      <c r="AE72" s="487"/>
      <c r="AF72" s="487"/>
    </row>
    <row r="73" spans="1:32" ht="16.5" customHeight="1">
      <c r="A73" s="725"/>
      <c r="B73" s="548"/>
      <c r="C73" s="548"/>
      <c r="D73" s="548"/>
      <c r="E73" s="548"/>
      <c r="F73" s="548"/>
      <c r="G73" s="548"/>
      <c r="H73" s="548"/>
      <c r="I73" s="548"/>
      <c r="J73" s="548"/>
      <c r="K73" s="548"/>
      <c r="L73" s="548"/>
      <c r="M73" s="548"/>
      <c r="N73" s="548"/>
      <c r="O73" s="548"/>
      <c r="P73" s="548"/>
      <c r="Q73" s="548"/>
      <c r="R73" s="548"/>
      <c r="S73" s="548"/>
      <c r="T73" s="548"/>
      <c r="U73" s="548"/>
      <c r="V73" s="548"/>
      <c r="W73" s="702"/>
      <c r="Y73" s="548"/>
      <c r="Z73" s="566"/>
      <c r="AA73" s="566"/>
      <c r="AB73" s="566"/>
      <c r="AC73" s="566"/>
      <c r="AD73" s="566"/>
      <c r="AE73" s="487"/>
      <c r="AF73" s="487"/>
    </row>
    <row r="74" spans="1:32" ht="16.5" customHeight="1">
      <c r="A74" s="725"/>
      <c r="B74" s="548"/>
      <c r="C74" s="548"/>
      <c r="D74" s="548"/>
      <c r="E74" s="548"/>
      <c r="F74" s="548"/>
      <c r="G74" s="548"/>
      <c r="H74" s="548"/>
      <c r="I74" s="548"/>
      <c r="J74" s="548"/>
      <c r="K74" s="548"/>
      <c r="L74" s="548"/>
      <c r="M74" s="548"/>
      <c r="N74" s="548"/>
      <c r="O74" s="548"/>
      <c r="P74" s="548"/>
      <c r="Q74" s="548"/>
      <c r="R74" s="548"/>
      <c r="S74" s="548"/>
      <c r="T74" s="548"/>
      <c r="U74" s="548"/>
      <c r="V74" s="548"/>
      <c r="W74" s="702"/>
      <c r="Y74" s="548"/>
      <c r="Z74" s="566"/>
      <c r="AA74" s="566"/>
      <c r="AB74" s="566"/>
      <c r="AC74" s="566"/>
      <c r="AD74" s="566"/>
      <c r="AE74" s="487"/>
      <c r="AF74" s="487"/>
    </row>
    <row r="75" spans="1:32" ht="16.5" customHeight="1">
      <c r="A75" s="725"/>
      <c r="B75" s="548"/>
      <c r="C75" s="548"/>
      <c r="D75" s="548"/>
      <c r="E75" s="548"/>
      <c r="F75" s="548"/>
      <c r="G75" s="548"/>
      <c r="H75" s="548"/>
      <c r="I75" s="548"/>
      <c r="J75" s="548"/>
      <c r="K75" s="548"/>
      <c r="L75" s="548"/>
      <c r="M75" s="548"/>
      <c r="N75" s="548"/>
      <c r="O75" s="548"/>
      <c r="P75" s="548"/>
      <c r="Q75" s="548"/>
      <c r="R75" s="548"/>
      <c r="S75" s="548"/>
      <c r="T75" s="548"/>
      <c r="U75" s="548"/>
      <c r="V75" s="548"/>
      <c r="W75" s="702"/>
      <c r="Y75" s="548"/>
      <c r="Z75" s="566"/>
      <c r="AA75" s="566"/>
      <c r="AB75" s="566"/>
      <c r="AC75" s="566"/>
      <c r="AD75" s="566"/>
      <c r="AE75" s="487"/>
      <c r="AF75" s="487"/>
    </row>
    <row r="76" spans="1:32" ht="16.5" customHeight="1">
      <c r="A76" s="725"/>
      <c r="B76" s="548"/>
      <c r="C76" s="548"/>
      <c r="D76" s="548"/>
      <c r="E76" s="548"/>
      <c r="F76" s="548"/>
      <c r="G76" s="548"/>
      <c r="H76" s="548"/>
      <c r="I76" s="548"/>
      <c r="J76" s="548"/>
      <c r="K76" s="548"/>
      <c r="L76" s="548"/>
      <c r="M76" s="548"/>
      <c r="N76" s="548"/>
      <c r="O76" s="548"/>
      <c r="P76" s="548"/>
      <c r="Q76" s="548"/>
      <c r="R76" s="548"/>
      <c r="S76" s="548"/>
      <c r="T76" s="548"/>
      <c r="U76" s="548"/>
      <c r="V76" s="548"/>
      <c r="W76" s="702"/>
      <c r="Y76" s="548"/>
      <c r="Z76" s="566"/>
      <c r="AA76" s="566"/>
      <c r="AB76" s="566"/>
      <c r="AC76" s="566"/>
      <c r="AD76" s="566"/>
      <c r="AE76" s="487"/>
      <c r="AF76" s="487"/>
    </row>
    <row r="77" spans="1:32" ht="16.5" customHeight="1">
      <c r="A77" s="726"/>
      <c r="B77" s="466" t="s">
        <v>683</v>
      </c>
      <c r="C77" s="466" t="s">
        <v>683</v>
      </c>
      <c r="D77" s="466" t="s">
        <v>683</v>
      </c>
      <c r="E77" s="466" t="s">
        <v>683</v>
      </c>
      <c r="F77" s="466" t="s">
        <v>683</v>
      </c>
      <c r="G77" s="466" t="s">
        <v>683</v>
      </c>
      <c r="H77" s="466" t="s">
        <v>683</v>
      </c>
      <c r="I77" s="466" t="s">
        <v>683</v>
      </c>
      <c r="J77" s="466" t="s">
        <v>683</v>
      </c>
      <c r="K77" s="466" t="s">
        <v>683</v>
      </c>
      <c r="L77" s="466" t="s">
        <v>683</v>
      </c>
      <c r="M77" s="466" t="s">
        <v>683</v>
      </c>
      <c r="N77" s="466" t="s">
        <v>683</v>
      </c>
      <c r="O77" s="466" t="s">
        <v>683</v>
      </c>
      <c r="P77" s="466" t="s">
        <v>683</v>
      </c>
      <c r="Q77" s="466" t="s">
        <v>683</v>
      </c>
      <c r="R77" s="466" t="s">
        <v>683</v>
      </c>
      <c r="S77" s="466" t="s">
        <v>683</v>
      </c>
      <c r="T77" s="466" t="s">
        <v>683</v>
      </c>
      <c r="U77" s="466" t="s">
        <v>683</v>
      </c>
      <c r="V77" s="466" t="s">
        <v>683</v>
      </c>
      <c r="W77" s="357" t="s">
        <v>676</v>
      </c>
      <c r="Y77" s="466"/>
      <c r="Z77" s="466"/>
      <c r="AA77" s="466"/>
      <c r="AB77" s="466"/>
      <c r="AC77" s="466"/>
      <c r="AD77" s="466"/>
      <c r="AE77" s="466"/>
      <c r="AF77" s="466"/>
    </row>
    <row r="78" spans="1:32" ht="16.5" customHeight="1">
      <c r="A78" s="145" t="str">
        <f>A40</f>
        <v>Al-gra</v>
      </c>
      <c r="B78" s="990">
        <f>C40*$N$5/1000</f>
        <v>4.3833230741125925E-2</v>
      </c>
      <c r="C78" s="991">
        <f>D40*$N$5/1000</f>
        <v>0</v>
      </c>
      <c r="D78" s="991">
        <f>E40*$N$5/1000</f>
        <v>0.23327117695555413</v>
      </c>
      <c r="E78" s="991">
        <f>F40*$N$5/1000</f>
        <v>0</v>
      </c>
      <c r="F78" s="991">
        <v>0</v>
      </c>
      <c r="G78" s="991">
        <v>0</v>
      </c>
      <c r="H78" s="991">
        <v>0</v>
      </c>
      <c r="I78" s="991">
        <v>0</v>
      </c>
      <c r="J78" s="991">
        <v>0</v>
      </c>
      <c r="K78" s="991">
        <f>L40*$R$12/1000</f>
        <v>199.43999538002947</v>
      </c>
      <c r="L78" s="991">
        <f>M40*$R$14/1000</f>
        <v>0</v>
      </c>
      <c r="M78" s="991">
        <f>N40*$N$5/1000</f>
        <v>3.9825509750875079E-2</v>
      </c>
      <c r="N78" s="991">
        <f>O40*$R$6/1000</f>
        <v>3.8599023464097262</v>
      </c>
      <c r="O78" s="991">
        <f>P40*$N$12/1000</f>
        <v>0</v>
      </c>
      <c r="P78" s="991">
        <f>Q40*$N$12/1000</f>
        <v>21.484971010511966</v>
      </c>
      <c r="Q78" s="991">
        <f>R40*$N$12/1000</f>
        <v>0.89520712543799852</v>
      </c>
      <c r="R78" s="991">
        <f>S40*$N$12/1000</f>
        <v>0</v>
      </c>
      <c r="S78" s="991">
        <f>T40*$N$12/1000</f>
        <v>0</v>
      </c>
      <c r="T78" s="991">
        <f>U40*$N$12/1000</f>
        <v>10.380411499423934</v>
      </c>
      <c r="U78" s="1166">
        <f>X40*N$5/1000</f>
        <v>4.9854199999999994E-2</v>
      </c>
      <c r="V78" s="1076">
        <f t="shared" ref="V78:V81" si="48">SUM(B78:T78)</f>
        <v>236.37741727926064</v>
      </c>
      <c r="W78" s="1161">
        <f>V78/(Y40/1000)</f>
        <v>295.4380561724027</v>
      </c>
      <c r="Y78" s="13"/>
      <c r="Z78" s="13"/>
      <c r="AA78" s="13"/>
      <c r="AB78" s="13"/>
      <c r="AC78" s="13"/>
      <c r="AD78" s="13"/>
      <c r="AE78" s="14"/>
      <c r="AF78" s="13"/>
    </row>
    <row r="79" spans="1:32" ht="15.75" customHeight="1">
      <c r="A79" s="314" t="str">
        <f>A41</f>
        <v>Al-PPQ</v>
      </c>
      <c r="B79" s="722">
        <f>C41*$N$5/1000</f>
        <v>0.15369353242049488</v>
      </c>
      <c r="C79" s="13">
        <f>D41*$N$5/1000</f>
        <v>0</v>
      </c>
      <c r="D79" s="13">
        <f>E41*$N$5/1000</f>
        <v>0.11459875998089369</v>
      </c>
      <c r="E79" s="13">
        <f>F41*$N$5/1000</f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f>L41*$R$12/1000</f>
        <v>97.978569231899939</v>
      </c>
      <c r="L79" s="13">
        <f>M41*$R$14/1000</f>
        <v>0</v>
      </c>
      <c r="M79" s="13">
        <f>N41*$N$5/1000</f>
        <v>0.13964116198069748</v>
      </c>
      <c r="N79" s="13">
        <f>O41*$R$6/1000</f>
        <v>13.534070302083995</v>
      </c>
      <c r="O79" s="13">
        <f>P41*$N$12/1000</f>
        <v>0</v>
      </c>
      <c r="P79" s="13">
        <f>Q41*$N$12/1000</f>
        <v>0</v>
      </c>
      <c r="Q79" s="13">
        <f>R41*$N$12/1000</f>
        <v>7.4505088425075394</v>
      </c>
      <c r="R79" s="13">
        <f>S41*$N$12/1000</f>
        <v>0</v>
      </c>
      <c r="S79" s="13">
        <f>T41*$N$12/1000</f>
        <v>67.05457958256784</v>
      </c>
      <c r="T79" s="13">
        <f>U41*$N$12/1000</f>
        <v>2.2411315010559933</v>
      </c>
      <c r="U79" s="276">
        <f>X41*N$5/1000</f>
        <v>4.9854199999999994E-2</v>
      </c>
      <c r="V79" s="14">
        <f t="shared" si="48"/>
        <v>188.66679291449739</v>
      </c>
      <c r="W79" s="777">
        <f>V79/(Y41/1000)</f>
        <v>206.36860669468692</v>
      </c>
      <c r="Y79" s="13"/>
      <c r="Z79" s="13"/>
      <c r="AA79" s="206"/>
      <c r="AB79" s="206"/>
      <c r="AC79" s="206"/>
      <c r="AD79" s="13"/>
      <c r="AE79" s="14"/>
      <c r="AF79" s="13"/>
    </row>
    <row r="80" spans="1:32">
      <c r="A80" s="145" t="str">
        <f>A42</f>
        <v>Al-PBQS</v>
      </c>
      <c r="B80" s="992">
        <f>C42*$N$5/1000</f>
        <v>0.19337518763065464</v>
      </c>
      <c r="C80" s="90">
        <f>D42*$N$5/1000</f>
        <v>0</v>
      </c>
      <c r="D80" s="90">
        <f>E42*$N$5/1000</f>
        <v>0.15486177109638691</v>
      </c>
      <c r="E80" s="90">
        <f>F42*$N$5/1000</f>
        <v>0</v>
      </c>
      <c r="F80" s="90">
        <v>0</v>
      </c>
      <c r="G80" s="90">
        <v>0</v>
      </c>
      <c r="H80" s="90">
        <v>0</v>
      </c>
      <c r="I80" s="90">
        <v>0</v>
      </c>
      <c r="J80" s="90">
        <v>0</v>
      </c>
      <c r="K80" s="90">
        <f>L42*$R$12/1000</f>
        <v>132.40225952943734</v>
      </c>
      <c r="L80" s="90">
        <f>M42*$R$14/1000</f>
        <v>0</v>
      </c>
      <c r="M80" s="90">
        <f>N42*$N$5/1000</f>
        <v>0.13592979936471777</v>
      </c>
      <c r="N80" s="90">
        <f>O42*$R$6/1000</f>
        <v>13.174363738140201</v>
      </c>
      <c r="O80" s="90">
        <f>P42*$N$12/1000</f>
        <v>0</v>
      </c>
      <c r="P80" s="90">
        <f>Q42*$N$12/1000</f>
        <v>0</v>
      </c>
      <c r="Q80" s="90">
        <f>R42*$N$12/1000</f>
        <v>5.7052923658482788</v>
      </c>
      <c r="R80" s="90">
        <f>S42*$N$12/1000</f>
        <v>0</v>
      </c>
      <c r="S80" s="90">
        <f>T42*$N$12/1000</f>
        <v>51.347631292634503</v>
      </c>
      <c r="T80" s="90">
        <f>U42*$N$12/1000</f>
        <v>2.1190143864601771</v>
      </c>
      <c r="U80" s="1065">
        <f>X42*N$5/1000</f>
        <v>4.9854199999999994E-2</v>
      </c>
      <c r="V80" s="686">
        <f t="shared" si="48"/>
        <v>205.23272807061224</v>
      </c>
      <c r="W80" s="1163">
        <f>V80/(Y42/1000)</f>
        <v>230.69013076894885</v>
      </c>
      <c r="Y80" s="13"/>
      <c r="Z80" s="13"/>
      <c r="AA80" s="206"/>
      <c r="AB80" s="206"/>
      <c r="AC80" s="206"/>
      <c r="AD80" s="13"/>
      <c r="AE80" s="14"/>
      <c r="AF80" s="13"/>
    </row>
    <row r="81" spans="1:32" ht="18" customHeight="1">
      <c r="A81" s="314" t="str">
        <f>A43</f>
        <v>Al-TiO2</v>
      </c>
      <c r="B81" s="722">
        <f>C43*$N$5/1000</f>
        <v>0.26906294047498114</v>
      </c>
      <c r="C81" s="13">
        <f>D43*$N$5/1000</f>
        <v>0</v>
      </c>
      <c r="D81" s="13">
        <f>E43*$N$5/1000</f>
        <v>8.6490760779281653E-2</v>
      </c>
      <c r="E81" s="13">
        <f>F43*N11/1000</f>
        <v>55.950005945570361</v>
      </c>
      <c r="F81" s="13">
        <f>G43*N11/1000</f>
        <v>0</v>
      </c>
      <c r="G81" s="13">
        <v>0</v>
      </c>
      <c r="H81" s="13">
        <v>0</v>
      </c>
      <c r="I81" s="13">
        <v>0</v>
      </c>
      <c r="J81" s="13">
        <v>0</v>
      </c>
      <c r="K81" s="13">
        <f>L43*$R$12/1000</f>
        <v>73.947056620380565</v>
      </c>
      <c r="L81" s="13">
        <f>M43*$R$14/1000</f>
        <v>0</v>
      </c>
      <c r="M81" s="13">
        <f>N43*$N$5/1000</f>
        <v>0.15337761037627448</v>
      </c>
      <c r="N81" s="13">
        <f>O43*$R$6/1000</f>
        <v>14.865411689177197</v>
      </c>
      <c r="O81" s="13">
        <f>P43*$N$12/1000</f>
        <v>0</v>
      </c>
      <c r="P81" s="13">
        <f>Q43*$N$12/1000</f>
        <v>0</v>
      </c>
      <c r="Q81" s="13">
        <f>R43*$N$12/1000</f>
        <v>8.1187819572759672</v>
      </c>
      <c r="R81" s="13">
        <f>S43*$N$12/1000</f>
        <v>0</v>
      </c>
      <c r="S81" s="13">
        <f>T43*$N$12/1000</f>
        <v>0</v>
      </c>
      <c r="T81" s="13">
        <f>U43*$N$12/1000</f>
        <v>2.4457556488612351</v>
      </c>
      <c r="U81" s="276">
        <f>X43*N$5/1000</f>
        <v>4.9854199999999994E-2</v>
      </c>
      <c r="V81" s="14">
        <f t="shared" si="48"/>
        <v>155.83594317289584</v>
      </c>
      <c r="W81" s="777">
        <f>V81/(Y43/1000)</f>
        <v>86.156650530435073</v>
      </c>
      <c r="Y81" s="13"/>
      <c r="Z81" s="13"/>
      <c r="AA81" s="206"/>
      <c r="AB81" s="206"/>
      <c r="AC81" s="206"/>
      <c r="AD81" s="13"/>
      <c r="AE81" s="14"/>
      <c r="AF81" s="13"/>
    </row>
    <row r="82" spans="1:32" ht="18" customHeight="1">
      <c r="A82" s="145" t="str">
        <f>A44</f>
        <v>Al-V2C</v>
      </c>
      <c r="B82" s="992">
        <f>C44*$N$5/1000</f>
        <v>0.2834417244642809</v>
      </c>
      <c r="C82" s="90">
        <f>D44*$N$5/1000</f>
        <v>0</v>
      </c>
      <c r="D82" s="90">
        <f>E44*$N$5/1000</f>
        <v>8.6414252825928087E-2</v>
      </c>
      <c r="E82" s="90">
        <f>F44*P6/1000</f>
        <v>2308.8300681600699</v>
      </c>
      <c r="F82" s="90">
        <f>G44*N12/1000</f>
        <v>0</v>
      </c>
      <c r="G82" s="90">
        <v>0</v>
      </c>
      <c r="H82" s="90">
        <v>0</v>
      </c>
      <c r="I82" s="90">
        <v>0</v>
      </c>
      <c r="J82" s="90">
        <v>0</v>
      </c>
      <c r="K82" s="90">
        <f>L44*$R$12/1000</f>
        <v>73.881644570497173</v>
      </c>
      <c r="L82" s="90">
        <f>M44*$R$14/1000</f>
        <v>0</v>
      </c>
      <c r="M82" s="90">
        <f>N44*$N$5/1000</f>
        <v>0.15324193568738953</v>
      </c>
      <c r="N82" s="90">
        <f>O44*$R$6/1000</f>
        <v>14.852262050836059</v>
      </c>
      <c r="O82" s="90">
        <f>P44*$N$12/1000</f>
        <v>0</v>
      </c>
      <c r="P82" s="90">
        <f>Q44*$N$12/1000</f>
        <v>0</v>
      </c>
      <c r="Q82" s="90">
        <f>R44*$N$12/1000</f>
        <v>7.526333310423758</v>
      </c>
      <c r="R82" s="90">
        <f>S44*$N$12/1000</f>
        <v>0</v>
      </c>
      <c r="S82" s="90">
        <f>T44*$N$12/1000</f>
        <v>19.01389467896529</v>
      </c>
      <c r="T82" s="90">
        <f>U44*$N$12/1000</f>
        <v>2.4435921835683945</v>
      </c>
      <c r="U82" s="1065">
        <f>X44*N$5/1000</f>
        <v>4.9854199999999994E-2</v>
      </c>
      <c r="V82" s="686">
        <f t="shared" ref="V82:V86" si="49">SUM(B82:T82)</f>
        <v>2427.070892867338</v>
      </c>
      <c r="W82" s="1163">
        <f>V82/(Y44/1000)</f>
        <v>1421.8747416627623</v>
      </c>
      <c r="Y82" s="13"/>
      <c r="Z82" s="13"/>
      <c r="AA82" s="206"/>
      <c r="AB82" s="206"/>
      <c r="AC82" s="206"/>
      <c r="AD82" s="13"/>
      <c r="AE82" s="14"/>
      <c r="AF82" s="13"/>
    </row>
    <row r="83" spans="1:32" ht="18" customHeight="1">
      <c r="A83" s="314" t="str">
        <f>A45</f>
        <v>Al-MnO2</v>
      </c>
      <c r="B83" s="722">
        <f>C45*$N$5/1000</f>
        <v>0.74717826356834527</v>
      </c>
      <c r="C83" s="13">
        <f>D45*$N$5/1000</f>
        <v>0</v>
      </c>
      <c r="D83" s="13">
        <f>E45*$N$5/1000</f>
        <v>7.91519959951342E-2</v>
      </c>
      <c r="E83" s="13">
        <f>F45*$N$13/1000</f>
        <v>348.6956633871722</v>
      </c>
      <c r="F83" s="13">
        <f>G45*N13/1000</f>
        <v>0</v>
      </c>
      <c r="G83" s="13">
        <v>0</v>
      </c>
      <c r="H83" s="13">
        <v>0</v>
      </c>
      <c r="I83" s="13">
        <v>0</v>
      </c>
      <c r="J83" s="13">
        <v>0</v>
      </c>
      <c r="K83" s="13">
        <f>L45*$R$12/1000</f>
        <v>67.672628575957546</v>
      </c>
      <c r="L83" s="13">
        <f>M45*$R$14/1000</f>
        <v>0</v>
      </c>
      <c r="M83" s="13">
        <f>N45*$N$5/1000</f>
        <v>0.14036347805087446</v>
      </c>
      <c r="N83" s="13">
        <f>O45*$R$6/1000</f>
        <v>13.60407742846018</v>
      </c>
      <c r="O83" s="13">
        <f>P45*$N$12/1000</f>
        <v>0</v>
      </c>
      <c r="P83" s="13">
        <f>Q45*$N$12/1000</f>
        <v>0</v>
      </c>
      <c r="Q83" s="13">
        <f>R45*$N$12/1000</f>
        <v>8.7017990137029191</v>
      </c>
      <c r="R83" s="13">
        <f>S45*$N$12/1000</f>
        <v>0</v>
      </c>
      <c r="S83" s="13">
        <f>T45*$N$12/1000</f>
        <v>0</v>
      </c>
      <c r="T83" s="13">
        <f>U45*$N$12/1000</f>
        <v>2.2382326109693995</v>
      </c>
      <c r="U83" s="276">
        <f>X45*N$5/1000</f>
        <v>4.9854199999999994E-2</v>
      </c>
      <c r="V83" s="14">
        <f t="shared" si="49"/>
        <v>441.87909475387659</v>
      </c>
      <c r="W83" s="777">
        <f>V83/(Y45/1000)</f>
        <v>217.56898886185419</v>
      </c>
      <c r="Y83" s="13"/>
      <c r="Z83" s="13"/>
      <c r="AA83" s="206"/>
      <c r="AB83" s="206"/>
      <c r="AC83" s="206"/>
      <c r="AD83" s="13"/>
      <c r="AE83" s="14"/>
      <c r="AF83" s="13"/>
    </row>
    <row r="84" spans="1:32" ht="18" customHeight="1">
      <c r="A84" s="145" t="str">
        <f>A46</f>
        <v>LIB-NMC</v>
      </c>
      <c r="B84" s="992">
        <f>C46*$N$5/1000</f>
        <v>0</v>
      </c>
      <c r="C84" s="90">
        <f>D46*$N$5/1000</f>
        <v>9.7981721242357794E-2</v>
      </c>
      <c r="D84" s="90">
        <f>E46*$N$5/1000</f>
        <v>0</v>
      </c>
      <c r="E84" s="90">
        <f>F46*$N$13/1000</f>
        <v>14.550215492848604</v>
      </c>
      <c r="F84" s="90">
        <f>G46*P9/1000</f>
        <v>1614.5990123625354</v>
      </c>
      <c r="G84" s="90">
        <f>H46*P12/1000</f>
        <v>464.09120355519167</v>
      </c>
      <c r="H84" s="90">
        <f>I46*$P$13/1000</f>
        <v>894.80279592706506</v>
      </c>
      <c r="I84" s="90">
        <f>J46*$P$13/1000</f>
        <v>20.141897995589854</v>
      </c>
      <c r="J84" s="90">
        <f>K46*$N$15/1000</f>
        <v>3.2489532869927595</v>
      </c>
      <c r="K84" s="90">
        <f>L46*$N$14/1000</f>
        <v>9.3743992112039205</v>
      </c>
      <c r="L84" s="90">
        <f>M46*$R$14/1000</f>
        <v>458.45434044763925</v>
      </c>
      <c r="M84" s="90">
        <f>N46*$N$5/1000</f>
        <v>0</v>
      </c>
      <c r="N84" s="90">
        <f>O46*$R$6/1000</f>
        <v>0</v>
      </c>
      <c r="O84" s="90">
        <f>P46*$N$12/1000</f>
        <v>64.30360906588497</v>
      </c>
      <c r="P84" s="90">
        <f>Q46*$N$12/1000</f>
        <v>0</v>
      </c>
      <c r="Q84" s="90">
        <f>R46*$N$12/1000</f>
        <v>4.0647675306495774</v>
      </c>
      <c r="R84" s="90">
        <f>S46*$N$12/1000</f>
        <v>2.6793170444118748</v>
      </c>
      <c r="S84" s="90">
        <f>T46*$N$12/1000</f>
        <v>0</v>
      </c>
      <c r="T84" s="90">
        <f>U46*$N$12/1000</f>
        <v>1.4582532034327811</v>
      </c>
      <c r="U84" s="1065">
        <f>X46*N$5/1000</f>
        <v>4.9854199999999994E-2</v>
      </c>
      <c r="V84" s="686">
        <f t="shared" si="49"/>
        <v>3551.8667468446879</v>
      </c>
      <c r="W84" s="1163">
        <f>V84/(Y46/1000)</f>
        <v>2341.1015043711332</v>
      </c>
      <c r="Y84" s="13"/>
      <c r="Z84" s="13"/>
      <c r="AA84" s="206"/>
      <c r="AB84" s="206"/>
      <c r="AC84" s="206"/>
      <c r="AD84" s="13"/>
      <c r="AE84" s="14"/>
      <c r="AF84" s="13"/>
    </row>
    <row r="85" spans="1:32" ht="17" customHeight="1">
      <c r="A85" s="314" t="str">
        <f>A47</f>
        <v>LIB-LFP</v>
      </c>
      <c r="B85" s="722">
        <f>C47*$N$5/1000</f>
        <v>0</v>
      </c>
      <c r="C85" s="13">
        <f>D47*$N$5/1000</f>
        <v>9.9914391200938285E-2</v>
      </c>
      <c r="D85" s="13">
        <f>E47*$N$5/1000</f>
        <v>0</v>
      </c>
      <c r="E85" s="13">
        <f>F47*$N$5/1000</f>
        <v>0</v>
      </c>
      <c r="F85" s="13">
        <f>G66*N6/1000</f>
        <v>4.3936105511743762</v>
      </c>
      <c r="G85" s="13">
        <f>H47*N15/1000</f>
        <v>94.321858819986574</v>
      </c>
      <c r="H85" s="13">
        <f>I47*$P$13/1000</f>
        <v>584.74871482842298</v>
      </c>
      <c r="I85" s="13">
        <f>J47*$P$13/1000</f>
        <v>20.511599264302653</v>
      </c>
      <c r="J85" s="13">
        <f>K47*$N$15/1000</f>
        <v>3.3085872972758441</v>
      </c>
      <c r="K85" s="13">
        <f>L47*$N$14/1000</f>
        <v>9.5464647872763067</v>
      </c>
      <c r="L85" s="13">
        <f>M47*$R$14/1000</f>
        <v>467.49726110599727</v>
      </c>
      <c r="M85" s="13">
        <f>N47*$N$5/1000</f>
        <v>0</v>
      </c>
      <c r="N85" s="13">
        <f>O47*$R$6/1000</f>
        <v>0</v>
      </c>
      <c r="O85" s="13">
        <f>P47*$N$12/1000</f>
        <v>50.293049546706818</v>
      </c>
      <c r="P85" s="13">
        <f>Q47*$N$12/1000</f>
        <v>0</v>
      </c>
      <c r="Q85" s="13">
        <f>R47*$N$12/1000</f>
        <v>4.3072088532610744</v>
      </c>
      <c r="R85" s="13">
        <f>S47*$N$12/1000</f>
        <v>2.0955437311127847</v>
      </c>
      <c r="S85" s="13">
        <f>T47*$N$12/1000</f>
        <v>0</v>
      </c>
      <c r="T85" s="13">
        <f>U47*$N$12/1000</f>
        <v>1.4870169577590309</v>
      </c>
      <c r="U85" s="276">
        <f>X47*N$5/1000</f>
        <v>4.9854199999999994E-2</v>
      </c>
      <c r="V85" s="14">
        <f t="shared" si="49"/>
        <v>1242.6108301344766</v>
      </c>
      <c r="W85" s="777">
        <f>V85/(Y47/1000)</f>
        <v>850.03052841732017</v>
      </c>
      <c r="Y85" s="13"/>
      <c r="Z85" s="13"/>
      <c r="AA85" s="206"/>
      <c r="AB85" s="206"/>
      <c r="AC85" s="206"/>
      <c r="AD85" s="13"/>
      <c r="AE85" s="14"/>
      <c r="AF85" s="13"/>
    </row>
    <row r="86" spans="1:32" ht="17" customHeight="1" thickBot="1">
      <c r="A86" s="987" t="str">
        <f>A48</f>
        <v>Li-DIB</v>
      </c>
      <c r="B86" s="993">
        <f>C48*$N$5/1000</f>
        <v>0</v>
      </c>
      <c r="C86" s="94">
        <f>D48*$N$5/1000</f>
        <v>4.6982457388448529E-2</v>
      </c>
      <c r="D86" s="94">
        <f>E48*$N$5/1000</f>
        <v>0</v>
      </c>
      <c r="E86" s="94">
        <f>F48*$N$5/1000</f>
        <v>0</v>
      </c>
      <c r="F86" s="94">
        <v>0</v>
      </c>
      <c r="G86" s="94">
        <v>0</v>
      </c>
      <c r="H86" s="94">
        <v>0</v>
      </c>
      <c r="I86" s="94">
        <f>J48*$P$13/1000</f>
        <v>135.92115981113574</v>
      </c>
      <c r="J86" s="94">
        <f>K48*$N$15/1000</f>
        <v>6.3946524413493604</v>
      </c>
      <c r="K86" s="94">
        <f>L48*$N$14/1000</f>
        <v>18.450873098761882</v>
      </c>
      <c r="L86" s="94">
        <f>M48*$R$14/1000</f>
        <v>219.8298952245695</v>
      </c>
      <c r="M86" s="94">
        <f>N48*$N$5/1000</f>
        <v>0</v>
      </c>
      <c r="N86" s="94">
        <f>O48*$R$6/1000</f>
        <v>0</v>
      </c>
      <c r="O86" s="94">
        <f>P48*$N$12/1000</f>
        <v>9.450404195235965</v>
      </c>
      <c r="P86" s="94">
        <f>Q48*$N$12/1000</f>
        <v>23.656251781514673</v>
      </c>
      <c r="Q86" s="94">
        <f>R48*$N$12/1000</f>
        <v>0.98567715756311136</v>
      </c>
      <c r="R86" s="94">
        <f>S48*$N$12/1000</f>
        <v>0.39376684146816532</v>
      </c>
      <c r="S86" s="94">
        <f>T48*$N$12/1000</f>
        <v>0</v>
      </c>
      <c r="T86" s="94">
        <f>U48*$N$12/1000</f>
        <v>5.2693531842387396</v>
      </c>
      <c r="U86" s="1068">
        <f>X48*N$5/1000</f>
        <v>4.9854199999999994E-2</v>
      </c>
      <c r="V86" s="1094">
        <f t="shared" si="49"/>
        <v>420.39901619322563</v>
      </c>
      <c r="W86" s="1165">
        <f>V86/(Y48/1000)</f>
        <v>580.1198556808647</v>
      </c>
      <c r="Y86" s="13"/>
      <c r="Z86" s="13"/>
      <c r="AA86" s="206"/>
      <c r="AB86" s="206"/>
      <c r="AC86" s="206"/>
      <c r="AD86" s="13"/>
      <c r="AE86" s="14"/>
      <c r="AF86" s="13"/>
    </row>
    <row r="87" spans="1:32">
      <c r="A87" s="98"/>
      <c r="B87" s="206"/>
      <c r="C87" s="206"/>
      <c r="D87" s="13"/>
      <c r="E87" s="206"/>
      <c r="F87" s="206"/>
      <c r="G87" s="206"/>
      <c r="H87" s="206"/>
      <c r="I87" s="13"/>
      <c r="J87" s="13"/>
      <c r="K87" s="206"/>
      <c r="L87" s="206"/>
      <c r="M87" s="206"/>
      <c r="N87" s="206"/>
      <c r="O87" s="206"/>
      <c r="P87" s="206"/>
      <c r="Q87" s="206"/>
      <c r="R87" s="206"/>
      <c r="S87" s="13"/>
      <c r="T87" s="13"/>
      <c r="U87" s="13"/>
      <c r="V87" s="13"/>
      <c r="W87" s="13"/>
      <c r="X87" s="13"/>
      <c r="Y87" s="13"/>
      <c r="Z87" s="13"/>
      <c r="AA87" s="13"/>
      <c r="AB87" s="14"/>
    </row>
    <row r="88" spans="1:32" ht="18" customHeight="1">
      <c r="Y88" s="487"/>
      <c r="Z88" s="13"/>
      <c r="AA88" s="13"/>
      <c r="AB88" s="14"/>
    </row>
    <row r="89" spans="1:32" ht="18" customHeight="1">
      <c r="Y89" s="487"/>
      <c r="Z89" s="13"/>
      <c r="AA89" s="13"/>
      <c r="AB89" s="14"/>
    </row>
    <row r="90" spans="1:32" ht="18" customHeight="1" thickBot="1">
      <c r="Y90" s="487"/>
      <c r="Z90" s="13"/>
      <c r="AA90" s="13"/>
      <c r="AB90" s="14"/>
    </row>
    <row r="91" spans="1:32" ht="18" customHeight="1">
      <c r="A91" s="724" t="s">
        <v>1050</v>
      </c>
      <c r="B91" s="547" t="s">
        <v>250</v>
      </c>
      <c r="C91" s="547" t="s">
        <v>22</v>
      </c>
      <c r="D91" s="547" t="s">
        <v>270</v>
      </c>
      <c r="E91" s="547" t="s">
        <v>20</v>
      </c>
      <c r="F91" s="547" t="s">
        <v>21</v>
      </c>
      <c r="G91" s="547" t="s">
        <v>271</v>
      </c>
      <c r="H91" s="547" t="s">
        <v>272</v>
      </c>
      <c r="I91" s="547" t="s">
        <v>253</v>
      </c>
      <c r="J91" s="547" t="s">
        <v>682</v>
      </c>
      <c r="K91" s="547" t="s">
        <v>1415</v>
      </c>
      <c r="L91" s="701" t="s">
        <v>1051</v>
      </c>
      <c r="M91" s="548"/>
      <c r="N91" s="548"/>
      <c r="O91" s="548"/>
      <c r="Y91" s="487"/>
    </row>
    <row r="92" spans="1:32" ht="15" customHeight="1">
      <c r="A92" s="725"/>
      <c r="B92" s="548"/>
      <c r="C92" s="548"/>
      <c r="D92" s="548"/>
      <c r="E92" s="548"/>
      <c r="F92" s="548"/>
      <c r="G92" s="548"/>
      <c r="H92" s="548"/>
      <c r="I92" s="548"/>
      <c r="J92" s="548"/>
      <c r="K92" s="548"/>
      <c r="L92" s="702"/>
      <c r="M92" s="548"/>
      <c r="N92" s="548"/>
      <c r="O92" s="548"/>
      <c r="Y92" s="487"/>
    </row>
    <row r="93" spans="1:32" ht="18" customHeight="1">
      <c r="A93" s="725"/>
      <c r="B93" s="548"/>
      <c r="C93" s="548"/>
      <c r="D93" s="548"/>
      <c r="E93" s="548"/>
      <c r="F93" s="548"/>
      <c r="G93" s="548"/>
      <c r="H93" s="548"/>
      <c r="I93" s="548"/>
      <c r="J93" s="548"/>
      <c r="K93" s="548"/>
      <c r="L93" s="702"/>
      <c r="M93" s="548"/>
      <c r="N93" s="548"/>
      <c r="O93" s="548"/>
      <c r="Y93" s="466"/>
    </row>
    <row r="94" spans="1:32" ht="18" customHeight="1">
      <c r="A94" s="725"/>
      <c r="B94" s="548"/>
      <c r="C94" s="548"/>
      <c r="D94" s="548"/>
      <c r="E94" s="548"/>
      <c r="F94" s="548"/>
      <c r="G94" s="548"/>
      <c r="H94" s="548"/>
      <c r="I94" s="548"/>
      <c r="J94" s="548"/>
      <c r="K94" s="548"/>
      <c r="L94" s="702"/>
      <c r="M94" s="548"/>
      <c r="N94" s="548"/>
      <c r="O94" s="548"/>
      <c r="Y94" s="14"/>
    </row>
    <row r="95" spans="1:32" ht="16.5" customHeight="1">
      <c r="A95" s="725"/>
      <c r="B95" s="548"/>
      <c r="C95" s="548"/>
      <c r="D95" s="548"/>
      <c r="E95" s="548"/>
      <c r="F95" s="548"/>
      <c r="G95" s="548"/>
      <c r="H95" s="548"/>
      <c r="I95" s="548"/>
      <c r="J95" s="548"/>
      <c r="K95" s="548"/>
      <c r="L95" s="702"/>
      <c r="M95" s="548"/>
      <c r="N95" s="548"/>
      <c r="O95" s="548"/>
      <c r="Y95" s="14"/>
    </row>
    <row r="96" spans="1:32" ht="16.5" customHeight="1">
      <c r="A96" s="726"/>
      <c r="B96" s="471" t="s">
        <v>546</v>
      </c>
      <c r="C96" s="466" t="s">
        <v>684</v>
      </c>
      <c r="D96" s="466" t="s">
        <v>684</v>
      </c>
      <c r="E96" s="466" t="s">
        <v>684</v>
      </c>
      <c r="F96" s="466" t="s">
        <v>684</v>
      </c>
      <c r="G96" s="466" t="s">
        <v>684</v>
      </c>
      <c r="H96" s="466" t="s">
        <v>684</v>
      </c>
      <c r="I96" s="466" t="s">
        <v>684</v>
      </c>
      <c r="J96" s="466" t="s">
        <v>684</v>
      </c>
      <c r="K96" s="466" t="s">
        <v>684</v>
      </c>
      <c r="L96" s="357" t="s">
        <v>684</v>
      </c>
      <c r="M96" s="466"/>
      <c r="N96" s="466"/>
      <c r="O96" s="466"/>
      <c r="Y96" s="14"/>
    </row>
    <row r="97" spans="1:25" ht="15.75" customHeight="1">
      <c r="A97" s="145" t="str">
        <f>A78</f>
        <v>Al-gra</v>
      </c>
      <c r="B97" s="990">
        <f>B59</f>
        <v>3.5220006049374961E-2</v>
      </c>
      <c r="C97" s="991">
        <f>(P78+Q78)/$B97</f>
        <v>635.43936092955721</v>
      </c>
      <c r="D97" s="991">
        <f>(B78+R78)/$B97</f>
        <v>1.2445548896180221</v>
      </c>
      <c r="E97" s="991">
        <f>T78/$B97</f>
        <v>294.7305427736618</v>
      </c>
      <c r="F97" s="991">
        <f>(D78+K78)/$B97</f>
        <v>5669.3138063935276</v>
      </c>
      <c r="G97" s="991">
        <f>(M78+N78)/$B97</f>
        <v>110.72479234369152</v>
      </c>
      <c r="H97" s="991">
        <f>G78/$B97</f>
        <v>0</v>
      </c>
      <c r="I97" s="991">
        <f>U78/$B97</f>
        <v>1.4155079908308177</v>
      </c>
      <c r="J97" s="991">
        <f>SUM(C97:I97)</f>
        <v>6712.8685653208868</v>
      </c>
      <c r="K97" s="991">
        <f>H97/J97</f>
        <v>0</v>
      </c>
      <c r="L97" s="984"/>
      <c r="M97" s="13"/>
      <c r="N97" s="13"/>
      <c r="O97" s="13"/>
      <c r="Y97" s="14"/>
    </row>
    <row r="98" spans="1:25" ht="15.75" customHeight="1">
      <c r="A98" s="314" t="str">
        <f>A79</f>
        <v>Al-PPQ</v>
      </c>
      <c r="B98" s="722">
        <f>B60</f>
        <v>9.6893867496810504E-2</v>
      </c>
      <c r="C98" s="13">
        <f>(S79+Q79)/$B98</f>
        <v>768.93502499038857</v>
      </c>
      <c r="D98" s="13">
        <f>(B79+R79)/$B98</f>
        <v>1.586204951779369</v>
      </c>
      <c r="E98" s="13">
        <f>T79/$B98</f>
        <v>23.129755875724186</v>
      </c>
      <c r="F98" s="13">
        <f>(D79+K79)/$B98</f>
        <v>1012.3774654274152</v>
      </c>
      <c r="G98" s="13">
        <f>(M79+N79)/$B98</f>
        <v>141.12050449957317</v>
      </c>
      <c r="H98" s="13">
        <f>G79/$B98</f>
        <v>0</v>
      </c>
      <c r="I98" s="13">
        <f>U79/$B98</f>
        <v>0.51452379069956178</v>
      </c>
      <c r="J98" s="13">
        <f t="shared" ref="J98:J99" si="50">SUM(C98:I98)</f>
        <v>1947.6634795355799</v>
      </c>
      <c r="K98" s="13">
        <f t="shared" ref="K98:K105" si="51">H98/J98</f>
        <v>0</v>
      </c>
      <c r="L98" s="15"/>
      <c r="M98" s="13"/>
      <c r="N98" s="13"/>
      <c r="O98" s="13"/>
      <c r="Y98" s="14"/>
    </row>
    <row r="99" spans="1:25" ht="15.75" customHeight="1">
      <c r="A99" s="145" t="str">
        <f>A80</f>
        <v>Al-PBQS</v>
      </c>
      <c r="B99" s="992">
        <f>B61</f>
        <v>0.14964166833853479</v>
      </c>
      <c r="C99" s="90">
        <f>(S80+Q80)/$B99</f>
        <v>381.26361655773434</v>
      </c>
      <c r="D99" s="90">
        <f>(B80+R80)/$B99</f>
        <v>1.2922549566420323</v>
      </c>
      <c r="E99" s="90">
        <f>T80/$B99</f>
        <v>14.160590495865929</v>
      </c>
      <c r="F99" s="90">
        <f>(D80+K80)/$B99</f>
        <v>885.83028224898806</v>
      </c>
      <c r="G99" s="90">
        <f>(M80+N80)/$B99</f>
        <v>88.947775611489462</v>
      </c>
      <c r="H99" s="90">
        <f>G80/$B99</f>
        <v>0</v>
      </c>
      <c r="I99" s="90">
        <f>U80/$B99</f>
        <v>0.33315720516570752</v>
      </c>
      <c r="J99" s="90">
        <f t="shared" si="50"/>
        <v>1371.8276770758855</v>
      </c>
      <c r="K99" s="90">
        <f t="shared" si="51"/>
        <v>0</v>
      </c>
      <c r="L99" s="307"/>
      <c r="M99" s="13"/>
      <c r="N99" s="13"/>
      <c r="O99" s="13"/>
      <c r="Y99" s="14"/>
    </row>
    <row r="100" spans="1:25">
      <c r="A100" s="314" t="str">
        <f>A81</f>
        <v>Al-TiO2</v>
      </c>
      <c r="B100" s="722">
        <f>B62</f>
        <v>8.3284784969724662E-2</v>
      </c>
      <c r="C100" s="13">
        <f>(E81+Q81)/$B100</f>
        <v>769.27361853832417</v>
      </c>
      <c r="D100" s="13">
        <f>(B81+R81)/$B100</f>
        <v>3.2306373916050788</v>
      </c>
      <c r="E100" s="13">
        <f>T81/$B100</f>
        <v>29.366175943785002</v>
      </c>
      <c r="F100" s="13">
        <f>(D81+K81)/$B100</f>
        <v>888.92043616456738</v>
      </c>
      <c r="G100" s="13">
        <f>(M81+N81)/$B100</f>
        <v>180.33052861951964</v>
      </c>
      <c r="H100" s="13">
        <f>G81/$B100</f>
        <v>0</v>
      </c>
      <c r="I100" s="13">
        <f>U81/$B100</f>
        <v>0.59859913209985216</v>
      </c>
      <c r="J100" s="13">
        <f t="shared" ref="J100" si="52">SUM(C100:I100)</f>
        <v>1871.7199957899011</v>
      </c>
      <c r="K100" s="13">
        <f t="shared" si="51"/>
        <v>0</v>
      </c>
      <c r="L100" s="15"/>
      <c r="M100" s="13"/>
      <c r="N100" s="13"/>
      <c r="O100" s="13"/>
      <c r="Y100" s="14"/>
    </row>
    <row r="101" spans="1:25">
      <c r="A101" s="145" t="str">
        <f>A82</f>
        <v>Al-V2C</v>
      </c>
      <c r="B101" s="992">
        <f>B63</f>
        <v>0.13023244603215395</v>
      </c>
      <c r="C101" s="90">
        <f>(E82+Q82)/$B101</f>
        <v>17786.323393623377</v>
      </c>
      <c r="D101" s="90">
        <f>(B82+R82)/$B101</f>
        <v>2.1764294006602634</v>
      </c>
      <c r="E101" s="90">
        <f>T82/$B101</f>
        <v>18.763313275749116</v>
      </c>
      <c r="F101" s="90">
        <f>(D82+K82)/$B101</f>
        <v>567.96951202974901</v>
      </c>
      <c r="G101" s="90">
        <f>(M82+N82)/$B101</f>
        <v>115.2209333672397</v>
      </c>
      <c r="H101" s="90">
        <f>G82/$B101</f>
        <v>0</v>
      </c>
      <c r="I101" s="90">
        <f>U82/$B101</f>
        <v>0.38280936524597842</v>
      </c>
      <c r="J101" s="90">
        <f t="shared" ref="J101:J105" si="53">SUM(C101:I101)</f>
        <v>18490.836391062017</v>
      </c>
      <c r="K101" s="90">
        <f t="shared" si="51"/>
        <v>0</v>
      </c>
      <c r="L101" s="307"/>
      <c r="M101" s="13"/>
      <c r="N101" s="13"/>
      <c r="O101" s="13"/>
      <c r="Y101" s="14"/>
    </row>
    <row r="102" spans="1:25">
      <c r="A102" s="314" t="str">
        <f>A83</f>
        <v>Al-MnO2</v>
      </c>
      <c r="B102" s="722">
        <f>B64</f>
        <v>0.4697852664669242</v>
      </c>
      <c r="C102" s="13">
        <f>(E83+Q83)/$B102</f>
        <v>760.76771221184754</v>
      </c>
      <c r="D102" s="13">
        <f>(B83+R83)/$B102</f>
        <v>1.5904676389440393</v>
      </c>
      <c r="E102" s="13">
        <f>T83/$B102</f>
        <v>4.7643737910349833</v>
      </c>
      <c r="F102" s="13">
        <f>(D83+K83)/$B102</f>
        <v>144.21861520155363</v>
      </c>
      <c r="G102" s="13">
        <f>(M83+N83)/$B102</f>
        <v>29.256858159639087</v>
      </c>
      <c r="H102" s="13">
        <f>G83/$B102</f>
        <v>0</v>
      </c>
      <c r="I102" s="13">
        <f>U83/$B102</f>
        <v>0.10612125061931894</v>
      </c>
      <c r="J102" s="13">
        <f t="shared" si="53"/>
        <v>940.70414825363855</v>
      </c>
      <c r="K102" s="13">
        <f t="shared" si="51"/>
        <v>0</v>
      </c>
      <c r="L102" s="15"/>
      <c r="M102" s="13"/>
      <c r="N102" s="13"/>
      <c r="O102" s="13"/>
      <c r="Y102" s="14"/>
    </row>
    <row r="103" spans="1:25">
      <c r="A103" s="145" t="str">
        <f>A84</f>
        <v>LIB-NMC</v>
      </c>
      <c r="B103" s="992">
        <f>B65</f>
        <v>0.45399388549825132</v>
      </c>
      <c r="C103" s="90">
        <f>(E84+F84+G84+H84+Q84)/$B103</f>
        <v>6590.6350073074173</v>
      </c>
      <c r="D103" s="90">
        <f>(O84+R84)/$B103</f>
        <v>147.54147192265401</v>
      </c>
      <c r="E103" s="90">
        <f>T84/$B103</f>
        <v>3.2120547214691464</v>
      </c>
      <c r="F103" s="90">
        <f>(I84+J84+K84)/$B103</f>
        <v>72.171127278128807</v>
      </c>
      <c r="G103" s="90">
        <f>C84</f>
        <v>9.7981721242357794E-2</v>
      </c>
      <c r="H103" s="90">
        <f>L84/$B103</f>
        <v>1009.8249229601246</v>
      </c>
      <c r="I103" s="90">
        <f>U84/$B103</f>
        <v>0.10981249217769921</v>
      </c>
      <c r="J103" s="90">
        <f t="shared" si="53"/>
        <v>7823.592378403212</v>
      </c>
      <c r="K103" s="90">
        <f t="shared" si="51"/>
        <v>0.12907432725504916</v>
      </c>
      <c r="L103" s="307">
        <f>(H84+I84)/$B103</f>
        <v>2015.3238251623525</v>
      </c>
      <c r="M103" s="13"/>
      <c r="N103" s="13"/>
      <c r="O103" s="13"/>
      <c r="P103" s="13"/>
      <c r="Q103" s="13"/>
      <c r="R103" s="13"/>
      <c r="S103" s="13"/>
      <c r="T103" s="13"/>
      <c r="U103" s="13"/>
      <c r="V103" s="276"/>
      <c r="W103" s="14"/>
      <c r="X103" s="14"/>
      <c r="Y103" s="14"/>
    </row>
    <row r="104" spans="1:25">
      <c r="A104" s="314" t="str">
        <f>A85</f>
        <v>LIB-LFP</v>
      </c>
      <c r="B104" s="722">
        <f>B66</f>
        <v>0.32102858214455715</v>
      </c>
      <c r="C104" s="13">
        <f>(F85+G85+H85+Q85)/$B104</f>
        <v>2142.3992482486988</v>
      </c>
      <c r="D104" s="13">
        <f>(O85+R85)/$B104</f>
        <v>163.18980985384457</v>
      </c>
      <c r="E104" s="13">
        <f>T85/$B104</f>
        <v>4.6320391406439834</v>
      </c>
      <c r="F104" s="13">
        <f>(I85+J85+K85)/$B104</f>
        <v>103.93669973544601</v>
      </c>
      <c r="G104" s="13">
        <f>C85</f>
        <v>9.9914391200938285E-2</v>
      </c>
      <c r="H104" s="13">
        <f>L85/$B104</f>
        <v>1456.2480947428107</v>
      </c>
      <c r="I104" s="13">
        <f>U85/$B104</f>
        <v>0.15529520663537355</v>
      </c>
      <c r="J104" s="13">
        <f t="shared" si="53"/>
        <v>3870.6611013192801</v>
      </c>
      <c r="K104" s="13">
        <f t="shared" si="51"/>
        <v>0.3762272275003517</v>
      </c>
      <c r="L104" s="15">
        <f>(H85+I85)/$B104</f>
        <v>1885.3782739512606</v>
      </c>
      <c r="M104" s="13"/>
      <c r="N104" s="13"/>
      <c r="O104" s="13"/>
      <c r="P104" s="13"/>
      <c r="Q104" s="13"/>
      <c r="R104" s="13"/>
      <c r="S104" s="13"/>
      <c r="T104" s="13"/>
      <c r="U104" s="13"/>
      <c r="V104" s="276"/>
      <c r="W104" s="14"/>
      <c r="X104" s="14"/>
      <c r="Y104" s="14"/>
    </row>
    <row r="105" spans="1:25" ht="17" thickBot="1">
      <c r="A105" s="987" t="str">
        <f>A86</f>
        <v>Li-DIB</v>
      </c>
      <c r="B105" s="993">
        <f>B67</f>
        <v>9.0485163064293619E-2</v>
      </c>
      <c r="C105" s="94">
        <f>(P86+Q86)/$B105</f>
        <v>272.33115468409585</v>
      </c>
      <c r="D105" s="94">
        <f>(O86+R86)/$B105</f>
        <v>108.79320656922971</v>
      </c>
      <c r="E105" s="94">
        <f>T86/$B105</f>
        <v>58.234444253525147</v>
      </c>
      <c r="F105" s="94">
        <f>(I86+J86+K86)/$B105</f>
        <v>1776.718744895396</v>
      </c>
      <c r="G105" s="94">
        <f>C86</f>
        <v>4.6982457388448529E-2</v>
      </c>
      <c r="H105" s="94">
        <f>L86/$B105</f>
        <v>2429.4579108883395</v>
      </c>
      <c r="I105" s="94">
        <f>U86/$B105</f>
        <v>0.55096546562640802</v>
      </c>
      <c r="J105" s="94">
        <f t="shared" si="53"/>
        <v>4646.1334092136012</v>
      </c>
      <c r="K105" s="94">
        <f t="shared" si="51"/>
        <v>0.52289887028869164</v>
      </c>
      <c r="L105" s="122">
        <f>(H86+I86)/$B105</f>
        <v>1502.1375351289125</v>
      </c>
      <c r="M105" s="13"/>
      <c r="N105" s="13"/>
      <c r="O105" s="13"/>
      <c r="P105" s="13"/>
      <c r="Q105" s="13"/>
      <c r="R105" s="13"/>
      <c r="S105" s="13"/>
      <c r="T105" s="13"/>
      <c r="U105" s="13"/>
      <c r="V105" s="276"/>
      <c r="W105" s="14"/>
      <c r="X105" s="14"/>
      <c r="Y105" s="14"/>
    </row>
    <row r="106" spans="1:25">
      <c r="M106" s="754"/>
      <c r="N106" s="754"/>
      <c r="O106" s="118"/>
      <c r="P106" s="118"/>
      <c r="Q106" s="118"/>
      <c r="R106" s="118"/>
      <c r="S106" s="118"/>
      <c r="T106" s="118"/>
    </row>
    <row r="107" spans="1:25">
      <c r="P107" s="466"/>
      <c r="Q107" s="466"/>
      <c r="R107" s="466"/>
      <c r="S107" s="487"/>
      <c r="T107" s="487"/>
      <c r="U107" s="487"/>
      <c r="V107" s="466"/>
      <c r="W107" s="487"/>
      <c r="X107" s="487"/>
      <c r="Y107" s="487"/>
    </row>
    <row r="108" spans="1:25">
      <c r="P108" s="466"/>
      <c r="Q108" s="466"/>
      <c r="R108" s="466"/>
      <c r="S108" s="487"/>
      <c r="T108" s="487"/>
      <c r="U108" s="487"/>
      <c r="V108" s="466"/>
      <c r="W108" s="487"/>
      <c r="X108" s="487"/>
      <c r="Y108" s="487"/>
    </row>
    <row r="109" spans="1:25" ht="17" thickBot="1">
      <c r="P109" s="466"/>
      <c r="Q109" s="466"/>
      <c r="R109" s="466"/>
      <c r="S109" s="487"/>
      <c r="T109" s="487"/>
      <c r="U109" s="487"/>
      <c r="V109" s="466"/>
      <c r="W109" s="487"/>
      <c r="X109" s="487"/>
      <c r="Y109" s="487"/>
    </row>
    <row r="110" spans="1:25" ht="16" customHeight="1">
      <c r="A110" s="724" t="s">
        <v>1453</v>
      </c>
      <c r="B110" s="547" t="s">
        <v>524</v>
      </c>
      <c r="C110" s="547" t="s">
        <v>525</v>
      </c>
      <c r="D110" s="547" t="s">
        <v>526</v>
      </c>
      <c r="E110" s="547" t="s">
        <v>965</v>
      </c>
      <c r="F110" s="547" t="s">
        <v>813</v>
      </c>
      <c r="G110" s="547" t="s">
        <v>814</v>
      </c>
      <c r="H110" s="547" t="s">
        <v>815</v>
      </c>
      <c r="I110" s="547" t="s">
        <v>816</v>
      </c>
      <c r="J110" s="547" t="s">
        <v>272</v>
      </c>
      <c r="K110" s="547" t="s">
        <v>271</v>
      </c>
      <c r="L110" s="547" t="s">
        <v>806</v>
      </c>
      <c r="M110" s="547" t="s">
        <v>807</v>
      </c>
      <c r="N110" s="547" t="s">
        <v>20</v>
      </c>
      <c r="O110" s="547" t="s">
        <v>817</v>
      </c>
      <c r="P110" s="547" t="s">
        <v>253</v>
      </c>
      <c r="Q110" s="547" t="s">
        <v>825</v>
      </c>
      <c r="R110" s="547" t="s">
        <v>818</v>
      </c>
      <c r="S110" s="547" t="s">
        <v>819</v>
      </c>
      <c r="T110" s="701" t="s">
        <v>821</v>
      </c>
      <c r="V110" s="466"/>
      <c r="W110" s="487"/>
      <c r="X110" s="487"/>
      <c r="Y110" s="487"/>
    </row>
    <row r="111" spans="1:25" ht="16" customHeight="1">
      <c r="A111" s="725"/>
      <c r="B111" s="548"/>
      <c r="C111" s="548"/>
      <c r="D111" s="548"/>
      <c r="E111" s="548"/>
      <c r="F111" s="548"/>
      <c r="G111" s="548"/>
      <c r="H111" s="548"/>
      <c r="I111" s="548"/>
      <c r="J111" s="548"/>
      <c r="K111" s="548"/>
      <c r="L111" s="548"/>
      <c r="M111" s="548"/>
      <c r="N111" s="548"/>
      <c r="O111" s="548"/>
      <c r="P111" s="548"/>
      <c r="Q111" s="548"/>
      <c r="R111" s="548"/>
      <c r="S111" s="548"/>
      <c r="T111" s="702"/>
      <c r="V111" s="466"/>
      <c r="W111" s="487"/>
      <c r="X111" s="487"/>
      <c r="Y111" s="487"/>
    </row>
    <row r="112" spans="1:25" ht="16" customHeight="1">
      <c r="A112" s="725"/>
      <c r="B112" s="548"/>
      <c r="C112" s="548"/>
      <c r="D112" s="548"/>
      <c r="E112" s="548"/>
      <c r="F112" s="548"/>
      <c r="G112" s="548"/>
      <c r="H112" s="548"/>
      <c r="I112" s="548"/>
      <c r="J112" s="548"/>
      <c r="K112" s="548"/>
      <c r="L112" s="548"/>
      <c r="M112" s="548"/>
      <c r="N112" s="548"/>
      <c r="O112" s="548"/>
      <c r="P112" s="548"/>
      <c r="Q112" s="548"/>
      <c r="R112" s="548"/>
      <c r="S112" s="548"/>
      <c r="T112" s="702"/>
      <c r="V112" s="471"/>
      <c r="W112" s="471"/>
      <c r="X112" s="471"/>
      <c r="Y112" s="471"/>
    </row>
    <row r="113" spans="1:25" ht="16" customHeight="1">
      <c r="A113" s="725"/>
      <c r="B113" s="548"/>
      <c r="C113" s="548"/>
      <c r="D113" s="548"/>
      <c r="E113" s="548"/>
      <c r="F113" s="548"/>
      <c r="G113" s="548"/>
      <c r="H113" s="548"/>
      <c r="I113" s="548"/>
      <c r="J113" s="548"/>
      <c r="K113" s="548"/>
      <c r="L113" s="548"/>
      <c r="M113" s="548"/>
      <c r="N113" s="548"/>
      <c r="O113" s="548"/>
      <c r="P113" s="548"/>
      <c r="Q113" s="548"/>
      <c r="R113" s="548"/>
      <c r="S113" s="548"/>
      <c r="T113" s="702"/>
      <c r="V113" s="13"/>
      <c r="W113" s="13"/>
      <c r="X113" s="13"/>
      <c r="Y113" s="14"/>
    </row>
    <row r="114" spans="1:25" ht="16" customHeight="1">
      <c r="A114" s="725"/>
      <c r="B114" s="548"/>
      <c r="C114" s="548"/>
      <c r="D114" s="548"/>
      <c r="E114" s="548"/>
      <c r="F114" s="548"/>
      <c r="G114" s="548"/>
      <c r="H114" s="548"/>
      <c r="I114" s="548"/>
      <c r="J114" s="548"/>
      <c r="K114" s="548"/>
      <c r="L114" s="548"/>
      <c r="M114" s="548"/>
      <c r="N114" s="548"/>
      <c r="O114" s="548"/>
      <c r="P114" s="548"/>
      <c r="Q114" s="548"/>
      <c r="R114" s="548"/>
      <c r="S114" s="548"/>
      <c r="T114" s="702"/>
      <c r="V114" s="13"/>
      <c r="W114" s="13"/>
      <c r="X114" s="13"/>
      <c r="Y114" s="14"/>
    </row>
    <row r="115" spans="1:25" ht="17" customHeight="1">
      <c r="A115" s="726"/>
      <c r="B115" s="466" t="s">
        <v>812</v>
      </c>
      <c r="C115" s="466" t="s">
        <v>812</v>
      </c>
      <c r="D115" s="466" t="s">
        <v>812</v>
      </c>
      <c r="E115" s="466" t="s">
        <v>812</v>
      </c>
      <c r="F115" s="466" t="s">
        <v>812</v>
      </c>
      <c r="G115" s="466" t="s">
        <v>812</v>
      </c>
      <c r="H115" s="466" t="s">
        <v>812</v>
      </c>
      <c r="I115" s="466" t="s">
        <v>812</v>
      </c>
      <c r="J115" s="466" t="s">
        <v>812</v>
      </c>
      <c r="K115" s="466" t="s">
        <v>812</v>
      </c>
      <c r="L115" s="466" t="s">
        <v>812</v>
      </c>
      <c r="M115" s="466" t="s">
        <v>812</v>
      </c>
      <c r="N115" s="466" t="s">
        <v>812</v>
      </c>
      <c r="O115" s="466" t="s">
        <v>812</v>
      </c>
      <c r="P115" s="466" t="s">
        <v>812</v>
      </c>
      <c r="Q115" s="466" t="s">
        <v>812</v>
      </c>
      <c r="R115" s="466" t="s">
        <v>812</v>
      </c>
      <c r="S115" s="466" t="s">
        <v>284</v>
      </c>
      <c r="T115" s="357" t="s">
        <v>820</v>
      </c>
      <c r="V115" s="13"/>
      <c r="W115" s="13"/>
      <c r="X115" s="13"/>
      <c r="Y115" s="14"/>
    </row>
    <row r="116" spans="1:25">
      <c r="A116" s="145" t="str">
        <f t="shared" ref="A116:A118" si="54">A97</f>
        <v>Al-gra</v>
      </c>
      <c r="B116" s="990">
        <f>C40*$G$17/1000</f>
        <v>9.5530658762277385E-2</v>
      </c>
      <c r="C116" s="991">
        <f>D40*$G$17/1000</f>
        <v>0</v>
      </c>
      <c r="D116" s="991">
        <f>E40*$G$17/1000</f>
        <v>0.50839394742372246</v>
      </c>
      <c r="E116" s="991">
        <v>0</v>
      </c>
      <c r="F116" s="991">
        <v>0</v>
      </c>
      <c r="G116" s="991">
        <v>0</v>
      </c>
      <c r="H116" s="991">
        <f>G$13*H21*Z$24*AA$24*B40/1000000</f>
        <v>1.5508620003791496</v>
      </c>
      <c r="I116" s="991">
        <v>0</v>
      </c>
      <c r="J116" s="991">
        <v>0</v>
      </c>
      <c r="K116" s="991">
        <f>G$17*I21*Z$25*AA$25*B40/1000000+O40*J$5/1000</f>
        <v>0.14008253032868331</v>
      </c>
      <c r="L116" s="991">
        <v>0</v>
      </c>
      <c r="M116" s="991">
        <f>G$8*B21*Z$25*AA$25*B40/1000000</f>
        <v>0.37830679852396487</v>
      </c>
      <c r="N116" s="991">
        <f>J$4*U40/1000</f>
        <v>0.17530184726067968</v>
      </c>
      <c r="O116" s="991">
        <v>0</v>
      </c>
      <c r="P116" s="1166">
        <f>G$17*X40/1000</f>
        <v>0.10865282999999999</v>
      </c>
      <c r="Q116" s="1076">
        <f>J$6*S116</f>
        <v>1.1521314663792155</v>
      </c>
      <c r="R116" s="1076">
        <f>SUM(B116:Q116)</f>
        <v>4.109262079057693</v>
      </c>
      <c r="S116" s="991">
        <f>Y40/1000</f>
        <v>0.80009129609667728</v>
      </c>
      <c r="T116" s="1219">
        <f>R116/S116</f>
        <v>5.1359914788538825</v>
      </c>
      <c r="V116" s="13"/>
      <c r="W116" s="13"/>
      <c r="X116" s="13"/>
      <c r="Y116" s="14"/>
    </row>
    <row r="117" spans="1:25">
      <c r="A117" s="314" t="str">
        <f t="shared" si="54"/>
        <v>Al-PPQ</v>
      </c>
      <c r="B117" s="722">
        <f>C41*G$17/1000</f>
        <v>0.3349614927164315</v>
      </c>
      <c r="C117" s="13">
        <f>D41*$G$17/1000</f>
        <v>0</v>
      </c>
      <c r="D117" s="13">
        <f>E41*$G$17/1000</f>
        <v>0.2497578857230654</v>
      </c>
      <c r="E117" s="13">
        <v>0</v>
      </c>
      <c r="F117" s="13">
        <v>0</v>
      </c>
      <c r="G117" s="13">
        <v>0</v>
      </c>
      <c r="H117" s="13">
        <f>G$13*H22*Z$24*AA$24*B41/1000000</f>
        <v>0.76188950758713625</v>
      </c>
      <c r="I117" s="13">
        <v>0</v>
      </c>
      <c r="J117" s="13">
        <v>0</v>
      </c>
      <c r="K117" s="13">
        <f>G$17*I22*Z$25*AA$25*B41/1000000+O41*J$5/1000</f>
        <v>0.49117481309486111</v>
      </c>
      <c r="L117" s="13">
        <v>0</v>
      </c>
      <c r="M117" s="13">
        <v>0</v>
      </c>
      <c r="N117" s="13">
        <f>J$4*U41/1000</f>
        <v>3.7847679941302753E-2</v>
      </c>
      <c r="O117" s="13">
        <f>G9*T41/1000</f>
        <v>2.4570713804183781</v>
      </c>
      <c r="P117" s="276">
        <f>G$17*X41/1000</f>
        <v>0.10865282999999999</v>
      </c>
      <c r="Q117" s="14">
        <f>J$6*S117</f>
        <v>1.3164801863435309</v>
      </c>
      <c r="R117" s="14">
        <f t="shared" ref="R117:R118" si="55">SUM(B117:Q117)</f>
        <v>5.7578357758247058</v>
      </c>
      <c r="S117" s="13">
        <f>Y41/1000</f>
        <v>0.91422235162745191</v>
      </c>
      <c r="T117" s="863">
        <f t="shared" ref="T117:T118" si="56">R117/S117</f>
        <v>6.2980693543260022</v>
      </c>
      <c r="V117" s="13"/>
      <c r="W117" s="13"/>
      <c r="X117" s="13"/>
      <c r="Y117" s="14"/>
    </row>
    <row r="118" spans="1:25">
      <c r="A118" s="145" t="str">
        <f t="shared" si="54"/>
        <v>Al-PBQS</v>
      </c>
      <c r="B118" s="992">
        <f>C42*G$17/1000</f>
        <v>0.42144415892445614</v>
      </c>
      <c r="C118" s="90">
        <f>D42*$G$17/1000</f>
        <v>0</v>
      </c>
      <c r="D118" s="90">
        <f>E42*$G$17/1000</f>
        <v>0.33750756583065505</v>
      </c>
      <c r="E118" s="90">
        <v>0</v>
      </c>
      <c r="F118" s="90">
        <v>0</v>
      </c>
      <c r="G118" s="90">
        <v>0</v>
      </c>
      <c r="H118" s="90">
        <f>G$13*H23*Z$24*AA$24*B42/1000000</f>
        <v>1.0295709878917481</v>
      </c>
      <c r="I118" s="90">
        <v>0</v>
      </c>
      <c r="J118" s="90">
        <v>0</v>
      </c>
      <c r="K118" s="90">
        <f>G$17*I23*Z$25*AA$25*B42/1000000+O42*J$5/1000</f>
        <v>0.4781204399188268</v>
      </c>
      <c r="L118" s="90">
        <v>0</v>
      </c>
      <c r="M118" s="90">
        <v>0</v>
      </c>
      <c r="N118" s="90">
        <f>J$4*U42/1000</f>
        <v>3.5785396016240756E-2</v>
      </c>
      <c r="O118" s="90">
        <f>G10*T42/1000</f>
        <v>1.8815239180801073</v>
      </c>
      <c r="P118" s="1065">
        <f>G$17*X42/1000</f>
        <v>0.10865282999999999</v>
      </c>
      <c r="Q118" s="686">
        <f>J$6*S118</f>
        <v>1.2810913385700027</v>
      </c>
      <c r="R118" s="686">
        <f t="shared" si="55"/>
        <v>5.5736966352320358</v>
      </c>
      <c r="S118" s="90">
        <f>Y42/1000</f>
        <v>0.88964676289583511</v>
      </c>
      <c r="T118" s="1066">
        <f t="shared" si="56"/>
        <v>6.2650670667191939</v>
      </c>
      <c r="V118" s="13"/>
      <c r="W118" s="13"/>
      <c r="X118" s="13"/>
      <c r="Y118" s="14"/>
    </row>
    <row r="119" spans="1:25">
      <c r="A119" s="314" t="str">
        <f>A100</f>
        <v>Al-TiO2</v>
      </c>
      <c r="B119" s="722">
        <f>C43*G$17/1000</f>
        <v>0.58639893791753239</v>
      </c>
      <c r="C119" s="13">
        <f>D43*$G$17/1000</f>
        <v>0</v>
      </c>
      <c r="D119" s="13">
        <f>E43*$G$17/1000</f>
        <v>0.18849898158072856</v>
      </c>
      <c r="E119" s="13">
        <f>G15*B24*Z$25*AA$25*B43/1000000</f>
        <v>14.033427467125863</v>
      </c>
      <c r="F119" s="13">
        <v>0</v>
      </c>
      <c r="G119" s="13">
        <v>0</v>
      </c>
      <c r="H119" s="13">
        <f>G$13*H24*Z$24*AA$24*B43/1000000</f>
        <v>0.57501846574910753</v>
      </c>
      <c r="I119" s="13">
        <v>0</v>
      </c>
      <c r="J119" s="13">
        <v>0</v>
      </c>
      <c r="K119" s="13">
        <f>G$17*I24*Z$25*AA$25*B43/1000000+O43*J$5/1000</f>
        <v>0.53949149406187691</v>
      </c>
      <c r="L119" s="13">
        <v>0</v>
      </c>
      <c r="M119" s="13">
        <v>0</v>
      </c>
      <c r="N119" s="13">
        <f>J$4*U43/1000</f>
        <v>4.1303322437401473E-2</v>
      </c>
      <c r="O119" s="13">
        <v>0</v>
      </c>
      <c r="P119" s="276">
        <f>G$17*X43/1000</f>
        <v>0.10865282999999999</v>
      </c>
      <c r="Q119" s="14">
        <f>J$6*S119</f>
        <v>2.6046016968788588</v>
      </c>
      <c r="R119" s="14">
        <f>SUM(B119:Q119)</f>
        <v>18.677393195751371</v>
      </c>
      <c r="S119" s="13">
        <f>Y43/1000</f>
        <v>1.8087511783880963</v>
      </c>
      <c r="T119" s="863">
        <f>R119/S119</f>
        <v>10.326126345579546</v>
      </c>
      <c r="V119" s="13"/>
      <c r="W119" s="13"/>
      <c r="X119" s="13"/>
      <c r="Y119" s="14"/>
    </row>
    <row r="120" spans="1:25">
      <c r="A120" s="145" t="str">
        <f>A101</f>
        <v>Al-V2C</v>
      </c>
      <c r="B120" s="992">
        <f>C44*G$17/1000</f>
        <v>0.61773622890597701</v>
      </c>
      <c r="C120" s="90">
        <f>D44*$G$17/1000</f>
        <v>0</v>
      </c>
      <c r="D120" s="90">
        <f>E44*$G$17/1000</f>
        <v>0.18833223924709622</v>
      </c>
      <c r="E120" s="90">
        <f>G16*B25*Z$25*AA$25*B44/1000000</f>
        <v>17.019488732946574</v>
      </c>
      <c r="F120" s="90">
        <v>0</v>
      </c>
      <c r="G120" s="90">
        <v>0</v>
      </c>
      <c r="H120" s="90">
        <f>G$13*H25*Z$24*AA$24*B44/1000000</f>
        <v>0.57450981620598174</v>
      </c>
      <c r="I120" s="90">
        <v>0</v>
      </c>
      <c r="J120" s="90">
        <v>0</v>
      </c>
      <c r="K120" s="90">
        <f>G$17*I25*Z$25*AA$25*B44/1000000+O44*J$5/1000</f>
        <v>0.53901427094936816</v>
      </c>
      <c r="L120" s="90">
        <v>0</v>
      </c>
      <c r="M120" s="90">
        <v>0</v>
      </c>
      <c r="N120" s="90">
        <f>J$4*U44/1000</f>
        <v>4.1266786365364211E-2</v>
      </c>
      <c r="O120" s="90">
        <v>0</v>
      </c>
      <c r="P120" s="1065">
        <f>G$17*X44/1000</f>
        <v>0.10865282999999999</v>
      </c>
      <c r="Q120" s="686">
        <f>J$6*S120</f>
        <v>2.4580098255644383</v>
      </c>
      <c r="R120" s="686">
        <f>SUM(B120:Q120)</f>
        <v>21.547010730184802</v>
      </c>
      <c r="S120" s="90">
        <f>Y44/1000</f>
        <v>1.706951267753082</v>
      </c>
      <c r="T120" s="1066">
        <f>R120/S120</f>
        <v>12.623096591707544</v>
      </c>
      <c r="V120" s="13"/>
      <c r="W120" s="13"/>
      <c r="X120" s="13"/>
      <c r="Y120" s="14"/>
    </row>
    <row r="121" spans="1:25">
      <c r="A121" s="314" t="str">
        <f t="shared" ref="A121:A124" si="57">A102</f>
        <v>Al-MnO2</v>
      </c>
      <c r="B121" s="722">
        <f>C45*G$17/1000</f>
        <v>1.6284090979533643</v>
      </c>
      <c r="C121" s="13">
        <f>D45*$G$17/1000</f>
        <v>0</v>
      </c>
      <c r="D121" s="13">
        <f>E45*$G$17/1000</f>
        <v>0.17250479127174839</v>
      </c>
      <c r="E121" s="13">
        <f>G6*B26*Z$25*AA$25*B45/1000000</f>
        <v>9.6709274477060418</v>
      </c>
      <c r="F121" s="13">
        <v>0</v>
      </c>
      <c r="G121" s="13">
        <v>0</v>
      </c>
      <c r="H121" s="13">
        <f>G$13*H26*Z$24*AA$24*B45/1000000</f>
        <v>0.52622799115213859</v>
      </c>
      <c r="I121" s="13">
        <v>0</v>
      </c>
      <c r="J121" s="13">
        <v>0</v>
      </c>
      <c r="K121" s="13">
        <f>G$17*I26*Z$25*AA$25*B45/1000000+O45*J$5/1000</f>
        <v>0.49371549276074372</v>
      </c>
      <c r="L121" s="13">
        <v>0</v>
      </c>
      <c r="M121" s="13">
        <v>0</v>
      </c>
      <c r="N121" s="13">
        <f>J$4*U45/1000</f>
        <v>3.7798724195452611E-2</v>
      </c>
      <c r="O121" s="13">
        <v>0</v>
      </c>
      <c r="P121" s="276">
        <f>G$17*X45/1000</f>
        <v>0.10865282999999999</v>
      </c>
      <c r="Q121" s="14">
        <f>J$6*S121</f>
        <v>2.9246166918099066</v>
      </c>
      <c r="R121" s="14">
        <f>SUM(B121:Q121)</f>
        <v>15.562853066849396</v>
      </c>
      <c r="S121" s="13">
        <f>Y45/1000</f>
        <v>2.0309838137568792</v>
      </c>
      <c r="T121" s="863">
        <f>R121/S121</f>
        <v>7.6627164438408277</v>
      </c>
      <c r="V121" s="13"/>
      <c r="W121" s="13"/>
      <c r="X121" s="13"/>
      <c r="Y121" s="14"/>
    </row>
    <row r="122" spans="1:25">
      <c r="A122" s="145" t="str">
        <f t="shared" si="57"/>
        <v>LIB-NMC</v>
      </c>
      <c r="B122" s="992">
        <f>C46*G$17/1000</f>
        <v>0</v>
      </c>
      <c r="C122" s="90">
        <f>D46*$G$17/1000</f>
        <v>0.21354251600172686</v>
      </c>
      <c r="D122" s="90">
        <f>E46*$G$17/1000</f>
        <v>0</v>
      </c>
      <c r="E122" s="90">
        <v>0</v>
      </c>
      <c r="F122" s="90">
        <f>G4*B27*Z25*AA25*B46/1000000</f>
        <v>10.312895906333786</v>
      </c>
      <c r="G122" s="90">
        <v>0</v>
      </c>
      <c r="H122" s="90">
        <v>0</v>
      </c>
      <c r="I122" s="90">
        <f>G$12*H27*Z$24*AA$24*B46/1000000</f>
        <v>0.87508464350763693</v>
      </c>
      <c r="J122" s="90">
        <f>J$9*M46/1000</f>
        <v>0.20302977934109739</v>
      </c>
      <c r="K122" s="90">
        <f>G$17*I27*Z$25*AA$25*B46/1000000</f>
        <v>0.21354251600172688</v>
      </c>
      <c r="L122" s="90">
        <f>G$14*E27*Z$24*AA$24*B46/1000000</f>
        <v>2.158764018640424</v>
      </c>
      <c r="M122" s="90">
        <v>0</v>
      </c>
      <c r="N122" s="90">
        <f>J$4*U46/1000</f>
        <v>2.4626622976339312E-2</v>
      </c>
      <c r="O122" s="90">
        <v>0</v>
      </c>
      <c r="P122" s="1065">
        <f>G$17*X46/1000</f>
        <v>0.10865282999999999</v>
      </c>
      <c r="Q122" s="686">
        <f>J$7*S122</f>
        <v>3.443363893376183</v>
      </c>
      <c r="R122" s="686">
        <f>SUM(B122:Q122)</f>
        <v>17.55350272617892</v>
      </c>
      <c r="S122" s="90">
        <f>Y46/1000</f>
        <v>1.5171775936297092</v>
      </c>
      <c r="T122" s="1066">
        <f>R122/S122</f>
        <v>11.569840472125458</v>
      </c>
      <c r="V122" s="13"/>
      <c r="W122" s="13"/>
      <c r="X122" s="13"/>
      <c r="Y122" s="14"/>
    </row>
    <row r="123" spans="1:25">
      <c r="A123" s="314" t="str">
        <f t="shared" si="57"/>
        <v>LIB-LFP</v>
      </c>
      <c r="B123" s="722">
        <f>C47*G$17/1000</f>
        <v>0</v>
      </c>
      <c r="C123" s="13">
        <f>D47*$G$17/1000</f>
        <v>0.21775459964675078</v>
      </c>
      <c r="D123" s="13">
        <f>E47*$G$17/1000</f>
        <v>0</v>
      </c>
      <c r="E123" s="13">
        <v>0</v>
      </c>
      <c r="F123" s="13">
        <v>0</v>
      </c>
      <c r="G123" s="13">
        <f>G5*B28*Z25*AA25*B47/1000000</f>
        <v>8.2335094867898793</v>
      </c>
      <c r="H123" s="13">
        <v>0</v>
      </c>
      <c r="I123" s="13">
        <f>G$12*H28*Z$24*AA$24*B47/1000000</f>
        <v>0.89114668011445031</v>
      </c>
      <c r="J123" s="13">
        <f>J$9*M47/1000</f>
        <v>0.20703450134694165</v>
      </c>
      <c r="K123" s="13">
        <f>G$17*I28*Z$25*AA$25*B47/1000000</f>
        <v>0.21775459964675081</v>
      </c>
      <c r="L123" s="13">
        <f>G$14*E28*Z$24*AA$24*B47/1000000</f>
        <v>1.6884095204965861</v>
      </c>
      <c r="M123" s="13">
        <v>0</v>
      </c>
      <c r="N123" s="13">
        <f>J$4*U47/1000</f>
        <v>2.511237821521629E-2</v>
      </c>
      <c r="O123" s="13">
        <v>0</v>
      </c>
      <c r="P123" s="276">
        <f>G$17*X47/1000</f>
        <v>0.10865282999999999</v>
      </c>
      <c r="Q123" s="14">
        <f>J$7*S123</f>
        <v>3.3177763875247859</v>
      </c>
      <c r="R123" s="14">
        <f>SUM(B123:Q123)</f>
        <v>14.907150983781362</v>
      </c>
      <c r="S123" s="13">
        <f>Y47/1000</f>
        <v>1.46184259105153</v>
      </c>
      <c r="T123" s="863">
        <f>R123/S123</f>
        <v>10.197507635249822</v>
      </c>
      <c r="V123" s="13"/>
      <c r="W123" s="13"/>
      <c r="X123" s="13"/>
      <c r="Y123" s="14"/>
    </row>
    <row r="124" spans="1:25" ht="17" thickBot="1">
      <c r="A124" s="145" t="str">
        <f t="shared" si="57"/>
        <v>Li-DIB</v>
      </c>
      <c r="B124" s="993">
        <f>C48*G$17/1000</f>
        <v>0</v>
      </c>
      <c r="C124" s="94">
        <f>D48*$G$17/1000</f>
        <v>0.10239412036717754</v>
      </c>
      <c r="D124" s="94">
        <f>E48*$G$17/1000</f>
        <v>0</v>
      </c>
      <c r="E124" s="94">
        <v>0</v>
      </c>
      <c r="F124" s="94">
        <v>0</v>
      </c>
      <c r="G124" s="94">
        <v>0</v>
      </c>
      <c r="H124" s="94">
        <v>0</v>
      </c>
      <c r="I124" s="94">
        <f>G$12*H29*Z$24*AA$24*B48/1000000</f>
        <v>1.7223584513808112</v>
      </c>
      <c r="J124" s="94">
        <f>J$9*M48/1000</f>
        <v>9.7353239313737933E-2</v>
      </c>
      <c r="K124" s="94">
        <f>G$17*I29*Z$25*AA$25*B48/1000000</f>
        <v>0.10239412036717756</v>
      </c>
      <c r="L124" s="94">
        <f>G$14*E29*Z$24*AA$24*B48/1000000</f>
        <v>0.31726356941149314</v>
      </c>
      <c r="M124" s="94">
        <f>G$8*B29*Z$25*AA$25*B48/1000000</f>
        <v>0.4165386526313215</v>
      </c>
      <c r="N124" s="94">
        <f>J$4*U48/1000</f>
        <v>8.8987546121582786E-2</v>
      </c>
      <c r="O124" s="94">
        <v>0</v>
      </c>
      <c r="P124" s="1068">
        <f>G$17*X48/1000</f>
        <v>0.10865282999999999</v>
      </c>
      <c r="Q124" s="1094">
        <f>J$7*S124</f>
        <v>1.6447142747765806</v>
      </c>
      <c r="R124" s="1094">
        <f>SUM(B124:Q124)</f>
        <v>4.6006568043698826</v>
      </c>
      <c r="S124" s="94">
        <f>Y48/1000</f>
        <v>0.72467613731272695</v>
      </c>
      <c r="T124" s="1069">
        <f>R124/S124</f>
        <v>6.3485694746762631</v>
      </c>
      <c r="V124" s="13"/>
      <c r="W124" s="13"/>
      <c r="X124" s="13"/>
      <c r="Y124" s="14"/>
    </row>
    <row r="126" spans="1:25" ht="16" customHeight="1"/>
    <row r="127" spans="1:25" ht="16" customHeight="1"/>
    <row r="128" spans="1:25" ht="16" customHeight="1" thickBot="1"/>
    <row r="129" spans="1:23" ht="16" customHeight="1">
      <c r="A129" s="724" t="s">
        <v>1454</v>
      </c>
      <c r="B129" s="547" t="s">
        <v>250</v>
      </c>
      <c r="C129" s="547" t="s">
        <v>22</v>
      </c>
      <c r="D129" s="547" t="s">
        <v>270</v>
      </c>
      <c r="E129" s="547" t="s">
        <v>20</v>
      </c>
      <c r="F129" s="547" t="s">
        <v>21</v>
      </c>
      <c r="G129" s="547" t="s">
        <v>271</v>
      </c>
      <c r="H129" s="547" t="s">
        <v>272</v>
      </c>
      <c r="I129" s="547" t="s">
        <v>253</v>
      </c>
      <c r="J129" s="547" t="s">
        <v>748</v>
      </c>
      <c r="K129" s="701" t="s">
        <v>682</v>
      </c>
      <c r="L129" s="547" t="s">
        <v>1505</v>
      </c>
      <c r="M129" s="701" t="s">
        <v>1506</v>
      </c>
    </row>
    <row r="130" spans="1:23" ht="16" customHeight="1">
      <c r="A130" s="725"/>
      <c r="B130" s="548"/>
      <c r="C130" s="548"/>
      <c r="D130" s="548"/>
      <c r="E130" s="548"/>
      <c r="F130" s="548"/>
      <c r="G130" s="548"/>
      <c r="H130" s="548"/>
      <c r="I130" s="548"/>
      <c r="J130" s="548"/>
      <c r="K130" s="702"/>
      <c r="L130" s="548"/>
      <c r="M130" s="702"/>
    </row>
    <row r="131" spans="1:23" ht="18" customHeight="1">
      <c r="A131" s="725"/>
      <c r="B131" s="548"/>
      <c r="C131" s="548"/>
      <c r="D131" s="548"/>
      <c r="E131" s="548"/>
      <c r="F131" s="548"/>
      <c r="G131" s="548"/>
      <c r="H131" s="548"/>
      <c r="I131" s="548"/>
      <c r="J131" s="548"/>
      <c r="K131" s="702"/>
      <c r="L131" s="548"/>
      <c r="M131" s="702"/>
    </row>
    <row r="132" spans="1:23" ht="16" customHeight="1">
      <c r="A132" s="725"/>
      <c r="B132" s="548"/>
      <c r="C132" s="548"/>
      <c r="D132" s="548"/>
      <c r="E132" s="548"/>
      <c r="F132" s="548"/>
      <c r="G132" s="548"/>
      <c r="H132" s="548"/>
      <c r="I132" s="548"/>
      <c r="J132" s="548"/>
      <c r="K132" s="702"/>
      <c r="L132" s="548"/>
      <c r="M132" s="702"/>
    </row>
    <row r="133" spans="1:23" ht="16" customHeight="1">
      <c r="A133" s="725"/>
      <c r="B133" s="548"/>
      <c r="C133" s="548"/>
      <c r="D133" s="548"/>
      <c r="E133" s="548"/>
      <c r="F133" s="548"/>
      <c r="G133" s="548"/>
      <c r="H133" s="548"/>
      <c r="I133" s="548"/>
      <c r="J133" s="548"/>
      <c r="K133" s="702"/>
      <c r="L133" s="548"/>
      <c r="M133" s="702"/>
    </row>
    <row r="134" spans="1:23" ht="17">
      <c r="A134" s="726"/>
      <c r="B134" s="471" t="s">
        <v>546</v>
      </c>
      <c r="C134" s="466" t="s">
        <v>826</v>
      </c>
      <c r="D134" s="466" t="s">
        <v>826</v>
      </c>
      <c r="E134" s="466" t="s">
        <v>826</v>
      </c>
      <c r="F134" s="466" t="s">
        <v>826</v>
      </c>
      <c r="G134" s="466" t="s">
        <v>826</v>
      </c>
      <c r="H134" s="466" t="s">
        <v>826</v>
      </c>
      <c r="I134" s="466" t="s">
        <v>826</v>
      </c>
      <c r="J134" s="466" t="s">
        <v>826</v>
      </c>
      <c r="K134" s="357" t="s">
        <v>826</v>
      </c>
      <c r="L134" s="466" t="s">
        <v>826</v>
      </c>
      <c r="M134" s="357" t="s">
        <v>826</v>
      </c>
    </row>
    <row r="135" spans="1:23" ht="16" customHeight="1">
      <c r="A135" s="145" t="str">
        <f>A116</f>
        <v>Al-gra</v>
      </c>
      <c r="B135" s="990">
        <f>B97</f>
        <v>3.5220006049374961E-2</v>
      </c>
      <c r="C135" s="991">
        <f>(E116+F116+G116+M116+O116)/$B135</f>
        <v>10.741247403354111</v>
      </c>
      <c r="D135" s="991">
        <f>(B116+L116)/$B135</f>
        <v>2.7123975682557484</v>
      </c>
      <c r="E135" s="991">
        <f>N116/$B135</f>
        <v>4.9773372274531651</v>
      </c>
      <c r="F135" s="991">
        <f>(H116+I116)/$B135</f>
        <v>44.033552924579134</v>
      </c>
      <c r="G135" s="991">
        <f>(K116)/$B135</f>
        <v>3.9773567935309688</v>
      </c>
      <c r="H135" s="991">
        <f>J116/$B135</f>
        <v>0</v>
      </c>
      <c r="I135" s="991">
        <f>P116/B135</f>
        <v>3.0849747682518704</v>
      </c>
      <c r="J135" s="991">
        <f>Q116/B135</f>
        <v>32.712415346097366</v>
      </c>
      <c r="K135" s="984">
        <f>SUM(C135:J135)</f>
        <v>102.23928203152235</v>
      </c>
      <c r="L135" s="1221">
        <f>C135/K135</f>
        <v>0.10505988686464343</v>
      </c>
      <c r="M135" s="1220">
        <f>(F135+J135)/K135</f>
        <v>0.75065050092012808</v>
      </c>
    </row>
    <row r="136" spans="1:23">
      <c r="A136" s="314" t="str">
        <f>A117</f>
        <v>Al-PPQ</v>
      </c>
      <c r="B136" s="722">
        <f>B98</f>
        <v>9.6893867496810504E-2</v>
      </c>
      <c r="C136" s="13">
        <f>(E117+F117+G117+M117+O117)/$B136</f>
        <v>25.358378645575879</v>
      </c>
      <c r="D136" s="13">
        <f>(B117+L117)/$B136</f>
        <v>3.4569937331426837</v>
      </c>
      <c r="E136" s="13">
        <f>N117/$B136</f>
        <v>0.39060965279921972</v>
      </c>
      <c r="F136" s="13">
        <f>(H117+I117)/$B136</f>
        <v>7.8631344508177019</v>
      </c>
      <c r="G136" s="13">
        <f>(K117)/$B136</f>
        <v>5.0692043344335422</v>
      </c>
      <c r="H136" s="13">
        <f>J117/$B136</f>
        <v>0</v>
      </c>
      <c r="I136" s="13">
        <f>P117/B136</f>
        <v>1.1213592026716919</v>
      </c>
      <c r="J136" s="13">
        <f>Q117/B136</f>
        <v>13.586826703835163</v>
      </c>
      <c r="K136" s="15">
        <f t="shared" ref="K136:M137" si="58">SUM(C136:J136)</f>
        <v>56.846506723275887</v>
      </c>
      <c r="L136" s="1222">
        <f t="shared" ref="L136:L143" si="59">C136/K136</f>
        <v>0.44608508257188745</v>
      </c>
      <c r="M136" s="1223">
        <f t="shared" ref="M136:M143" si="60">(F136+J136)/K136</f>
        <v>0.37733120979745527</v>
      </c>
    </row>
    <row r="137" spans="1:23">
      <c r="A137" s="145" t="str">
        <f>A118</f>
        <v>Al-PBQS</v>
      </c>
      <c r="B137" s="992">
        <f>B99</f>
        <v>0.14964166833853479</v>
      </c>
      <c r="C137" s="90">
        <f>(E118+F118+G118+M118+O118)/$B137</f>
        <v>12.573529411764712</v>
      </c>
      <c r="D137" s="90">
        <f>(B118+L118)/$B137</f>
        <v>2.8163556555051348</v>
      </c>
      <c r="E137" s="90">
        <f>N118/$B137</f>
        <v>0.23914058439447058</v>
      </c>
      <c r="F137" s="90">
        <f>(H118+I118)/$B137</f>
        <v>6.8802426444654881</v>
      </c>
      <c r="G137" s="90">
        <f>(K118)/$B137</f>
        <v>3.1951023082499557</v>
      </c>
      <c r="H137" s="90">
        <f>J118/$B137</f>
        <v>0</v>
      </c>
      <c r="I137" s="90">
        <f>P118/B137</f>
        <v>0.72608673243467436</v>
      </c>
      <c r="J137" s="90">
        <f>Q118/B137</f>
        <v>8.561060250088806</v>
      </c>
      <c r="K137" s="307">
        <f t="shared" si="58"/>
        <v>34.991517586903242</v>
      </c>
      <c r="L137" s="1224">
        <f t="shared" si="59"/>
        <v>0.35933078296869236</v>
      </c>
      <c r="M137" s="1225">
        <f t="shared" si="60"/>
        <v>0.44128703066979075</v>
      </c>
    </row>
    <row r="138" spans="1:23">
      <c r="A138" s="314" t="str">
        <f>A119</f>
        <v>Al-TiO2</v>
      </c>
      <c r="B138" s="722">
        <f>B100</f>
        <v>8.3284784969724662E-2</v>
      </c>
      <c r="C138" s="13">
        <f>(E119+F119+G119+M119+O119)/$B138</f>
        <v>168.49929398541687</v>
      </c>
      <c r="D138" s="13">
        <f>(B119+L119)/$B138</f>
        <v>7.0408891387628323</v>
      </c>
      <c r="E138" s="13">
        <f>N119/$B138</f>
        <v>0.49592878762208348</v>
      </c>
      <c r="F138" s="13">
        <f>(H119+I119)/$B138</f>
        <v>6.9042438658890202</v>
      </c>
      <c r="G138" s="13">
        <f>(K119)/$B138</f>
        <v>6.4776716930708362</v>
      </c>
      <c r="H138" s="13">
        <f>J119/$B138</f>
        <v>0</v>
      </c>
      <c r="I138" s="13">
        <f>P119/B138</f>
        <v>1.3045939908411484</v>
      </c>
      <c r="J138" s="13">
        <f>Q119/B138</f>
        <v>31.273439654381921</v>
      </c>
      <c r="K138" s="15">
        <f>SUM(C138:J138)</f>
        <v>221.9960611159847</v>
      </c>
      <c r="L138" s="1222">
        <f t="shared" si="59"/>
        <v>0.75901929583057892</v>
      </c>
      <c r="M138" s="1223">
        <f t="shared" si="60"/>
        <v>0.17197459868589524</v>
      </c>
    </row>
    <row r="139" spans="1:23">
      <c r="A139" s="145" t="str">
        <f>A120</f>
        <v>Al-V2C</v>
      </c>
      <c r="B139" s="992">
        <f>B101</f>
        <v>0.13023244603215395</v>
      </c>
      <c r="C139" s="90">
        <f>(E120+F120+G120+M120+O120)/$B139</f>
        <v>130.68547241095754</v>
      </c>
      <c r="D139" s="90">
        <f>(B120+L120)/$B139</f>
        <v>4.7433358408507509</v>
      </c>
      <c r="E139" s="90">
        <f>N120/$B139</f>
        <v>0.31687023950372228</v>
      </c>
      <c r="F139" s="90">
        <f>(H120+I120)/$B139</f>
        <v>4.4114184576103037</v>
      </c>
      <c r="G139" s="90">
        <f>(K120)/$B139</f>
        <v>4.1388631433390062</v>
      </c>
      <c r="H139" s="90">
        <f>J120/$B139</f>
        <v>0</v>
      </c>
      <c r="I139" s="90">
        <f>P120/B139</f>
        <v>0.83429923425667651</v>
      </c>
      <c r="J139" s="90">
        <f>Q120/B139</f>
        <v>18.874020264946601</v>
      </c>
      <c r="K139" s="307">
        <f>SUM(C139:J139)</f>
        <v>164.00427959146461</v>
      </c>
      <c r="L139" s="1224">
        <f t="shared" si="59"/>
        <v>0.79684184300858274</v>
      </c>
      <c r="M139" s="1225">
        <f t="shared" si="60"/>
        <v>0.14198067745891166</v>
      </c>
      <c r="V139" s="13"/>
      <c r="W139" s="14"/>
    </row>
    <row r="140" spans="1:23">
      <c r="A140" s="314" t="str">
        <f>A121</f>
        <v>Al-MnO2</v>
      </c>
      <c r="B140" s="722">
        <f>B102</f>
        <v>0.4697852664669242</v>
      </c>
      <c r="C140" s="13">
        <f>(E121+F121+G121+M121+O121)/$B140</f>
        <v>20.585846636778115</v>
      </c>
      <c r="D140" s="13">
        <f>(B121+L121)/$B140</f>
        <v>3.4662838836986269</v>
      </c>
      <c r="E140" s="13">
        <f>N121/$B140</f>
        <v>8.0459577797580575E-2</v>
      </c>
      <c r="F140" s="13">
        <f>(H121+I121)/$B140</f>
        <v>1.1201457957796306</v>
      </c>
      <c r="G140" s="13">
        <f>(K121)/$B140</f>
        <v>1.0509386479354486</v>
      </c>
      <c r="H140" s="13">
        <f>J121/$B140</f>
        <v>0</v>
      </c>
      <c r="I140" s="13">
        <f>P121/B140</f>
        <v>0.23128190208504512</v>
      </c>
      <c r="J140" s="13">
        <f>Q121/B140</f>
        <v>6.2254329809123927</v>
      </c>
      <c r="K140" s="15">
        <f>SUM(C140:J140)</f>
        <v>32.76038942498684</v>
      </c>
      <c r="L140" s="1222">
        <f t="shared" si="59"/>
        <v>0.62837612733250903</v>
      </c>
      <c r="M140" s="1223">
        <f t="shared" si="60"/>
        <v>0.22422135101634172</v>
      </c>
      <c r="V140" s="13"/>
      <c r="W140" s="14"/>
    </row>
    <row r="141" spans="1:23">
      <c r="A141" s="145" t="str">
        <f>A122</f>
        <v>LIB-NMC</v>
      </c>
      <c r="B141" s="992">
        <f>B103</f>
        <v>0.45399388549825132</v>
      </c>
      <c r="C141" s="90">
        <f>(E122+F122+G122+M122+O122)/$B141</f>
        <v>22.715935689344231</v>
      </c>
      <c r="D141" s="90">
        <f>(B122+L122)/$B141</f>
        <v>4.7550508665358207</v>
      </c>
      <c r="E141" s="90">
        <f>N122/$B141</f>
        <v>5.4244393510524867E-2</v>
      </c>
      <c r="F141" s="90">
        <f>(H122+I122)/$B141</f>
        <v>1.9275251748098876</v>
      </c>
      <c r="G141" s="90">
        <f>(K122)/$B141</f>
        <v>0.47036429965872173</v>
      </c>
      <c r="H141" s="90">
        <f>J122/$B141</f>
        <v>0.44720818016805519</v>
      </c>
      <c r="I141" s="90">
        <f>P122/B141</f>
        <v>0.23932663736375034</v>
      </c>
      <c r="J141" s="90">
        <f>Q122/B141</f>
        <v>7.5846041177341936</v>
      </c>
      <c r="K141" s="307">
        <f>SUM(C141:J141)</f>
        <v>38.194259359125184</v>
      </c>
      <c r="L141" s="1224">
        <f t="shared" si="59"/>
        <v>0.59474738011687744</v>
      </c>
      <c r="M141" s="1225">
        <f t="shared" si="60"/>
        <v>0.24904604650414541</v>
      </c>
      <c r="N141" s="13"/>
      <c r="O141" s="13"/>
      <c r="P141" s="13"/>
      <c r="Q141" s="276"/>
      <c r="S141" s="14"/>
      <c r="T141" s="13"/>
      <c r="U141" s="14"/>
      <c r="V141" s="13"/>
      <c r="W141" s="14"/>
    </row>
    <row r="142" spans="1:23">
      <c r="A142" s="314" t="str">
        <f>A123</f>
        <v>LIB-LFP</v>
      </c>
      <c r="B142" s="722">
        <f>B104</f>
        <v>0.32102858214455715</v>
      </c>
      <c r="C142" s="13">
        <f>(E123+F123+G123+M123+O123)/$B142</f>
        <v>25.64727860612231</v>
      </c>
      <c r="D142" s="13">
        <f>(B123+L123)/$B142</f>
        <v>5.2593744432896194</v>
      </c>
      <c r="E142" s="13">
        <f>N123/$B142</f>
        <v>7.8224742630263203E-2</v>
      </c>
      <c r="F142" s="13">
        <f>(H123+I123)/$B142</f>
        <v>2.7759107122529438</v>
      </c>
      <c r="G142" s="13">
        <f>(K123)/$B142</f>
        <v>0.67830284204631131</v>
      </c>
      <c r="H142" s="13">
        <f>J123/$B142</f>
        <v>0.64490987052895909</v>
      </c>
      <c r="I142" s="13">
        <f>P123/B142</f>
        <v>0.33845220034356416</v>
      </c>
      <c r="J142" s="13">
        <f>Q123/B142</f>
        <v>10.334831762832918</v>
      </c>
      <c r="K142" s="15">
        <f>SUM(C142:J142)</f>
        <v>45.757285180046892</v>
      </c>
      <c r="L142" s="1222">
        <f t="shared" si="59"/>
        <v>0.56050699916318825</v>
      </c>
      <c r="M142" s="1223">
        <f t="shared" si="60"/>
        <v>0.28652797961018428</v>
      </c>
      <c r="N142" s="13"/>
      <c r="O142" s="13"/>
      <c r="P142" s="13"/>
      <c r="Q142" s="13"/>
      <c r="R142" s="13"/>
      <c r="S142" s="13"/>
      <c r="T142" s="276"/>
      <c r="U142" s="14"/>
      <c r="V142" s="13"/>
      <c r="W142" s="14"/>
    </row>
    <row r="143" spans="1:23" ht="17" customHeight="1" thickBot="1">
      <c r="A143" s="987" t="str">
        <f>A124</f>
        <v>Li-DIB</v>
      </c>
      <c r="B143" s="993">
        <f>B105</f>
        <v>9.0485163064293619E-2</v>
      </c>
      <c r="C143" s="94">
        <f>(E124+F124+G124+M124+O124)/$B143</f>
        <v>4.6033917442946173</v>
      </c>
      <c r="D143" s="94">
        <f>(B124+L124)/$B143</f>
        <v>3.5062496288597464</v>
      </c>
      <c r="E143" s="94">
        <f>N124/$B143</f>
        <v>0.98344903305698073</v>
      </c>
      <c r="F143" s="94">
        <f>(H124+I124)/$B143</f>
        <v>19.034705724705397</v>
      </c>
      <c r="G143" s="94">
        <f>(K124)/$B143</f>
        <v>1.1316122654762981</v>
      </c>
      <c r="H143" s="94">
        <f>J124/$B143</f>
        <v>1.0759027891076933</v>
      </c>
      <c r="I143" s="94">
        <f>P124/B143</f>
        <v>1.2007806177328482</v>
      </c>
      <c r="J143" s="94">
        <f>Q124/B143</f>
        <v>18.176618343583467</v>
      </c>
      <c r="K143" s="122">
        <f>SUM(C143:J143)</f>
        <v>49.712710146817052</v>
      </c>
      <c r="L143" s="1226">
        <f t="shared" si="59"/>
        <v>9.2599895091202505E-2</v>
      </c>
      <c r="M143" s="1227">
        <f t="shared" si="60"/>
        <v>0.74852736771727546</v>
      </c>
      <c r="N143" s="13"/>
      <c r="O143" s="13"/>
      <c r="P143" s="13"/>
      <c r="Q143" s="13"/>
      <c r="R143" s="13"/>
      <c r="S143" s="13"/>
      <c r="T143" s="276"/>
      <c r="U143" s="14"/>
      <c r="V143" s="13"/>
      <c r="W143" s="14"/>
    </row>
    <row r="144" spans="1:23" ht="16" customHeight="1">
      <c r="L144" s="13"/>
      <c r="M144" s="13"/>
      <c r="N144" s="13"/>
      <c r="O144" s="13"/>
      <c r="P144" s="13"/>
      <c r="Q144" s="13"/>
      <c r="R144" s="13"/>
      <c r="S144" s="13"/>
      <c r="T144" s="276"/>
      <c r="U144" s="14"/>
      <c r="V144" s="13"/>
      <c r="W144" s="14"/>
    </row>
    <row r="145" spans="1:23" ht="16" customHeight="1">
      <c r="L145" s="13"/>
      <c r="M145" s="13"/>
      <c r="N145" s="13"/>
      <c r="O145" s="13"/>
      <c r="P145" s="13"/>
      <c r="Q145" s="13"/>
      <c r="R145" s="13"/>
      <c r="S145" s="13"/>
      <c r="T145" s="276"/>
      <c r="U145" s="14"/>
      <c r="V145" s="13"/>
      <c r="W145" s="14"/>
    </row>
    <row r="146" spans="1:23" ht="16" customHeight="1"/>
    <row r="147" spans="1:23" ht="16" customHeight="1"/>
    <row r="158" spans="1:23">
      <c r="A158" s="98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</sheetData>
  <mergeCells count="151">
    <mergeCell ref="H129:H133"/>
    <mergeCell ref="I129:I133"/>
    <mergeCell ref="J129:J133"/>
    <mergeCell ref="K129:K133"/>
    <mergeCell ref="S110:S114"/>
    <mergeCell ref="L129:L133"/>
    <mergeCell ref="M129:M133"/>
    <mergeCell ref="A129:A134"/>
    <mergeCell ref="B129:B133"/>
    <mergeCell ref="C129:C133"/>
    <mergeCell ref="D129:D133"/>
    <mergeCell ref="E129:E133"/>
    <mergeCell ref="F129:F133"/>
    <mergeCell ref="G129:G133"/>
    <mergeCell ref="P72:P76"/>
    <mergeCell ref="Q72:Q76"/>
    <mergeCell ref="R72:R76"/>
    <mergeCell ref="M72:M76"/>
    <mergeCell ref="N72:N76"/>
    <mergeCell ref="J91:J95"/>
    <mergeCell ref="L91:L95"/>
    <mergeCell ref="M110:M114"/>
    <mergeCell ref="N110:N114"/>
    <mergeCell ref="O110:O114"/>
    <mergeCell ref="P110:P114"/>
    <mergeCell ref="Q110:Q114"/>
    <mergeCell ref="R110:R114"/>
    <mergeCell ref="W34:W38"/>
    <mergeCell ref="X34:X38"/>
    <mergeCell ref="Y34:Y38"/>
    <mergeCell ref="Z34:Z38"/>
    <mergeCell ref="P53:P57"/>
    <mergeCell ref="Q53:Q57"/>
    <mergeCell ref="R53:R57"/>
    <mergeCell ref="S53:S57"/>
    <mergeCell ref="T53:T57"/>
    <mergeCell ref="U53:U57"/>
    <mergeCell ref="V53:V57"/>
    <mergeCell ref="W53:W57"/>
    <mergeCell ref="X53:X57"/>
    <mergeCell ref="Y53:Y57"/>
    <mergeCell ref="Z53:Z57"/>
    <mergeCell ref="M34:M38"/>
    <mergeCell ref="N34:N38"/>
    <mergeCell ref="P34:P38"/>
    <mergeCell ref="Q34:Q38"/>
    <mergeCell ref="R34:R38"/>
    <mergeCell ref="S34:S38"/>
    <mergeCell ref="T34:T38"/>
    <mergeCell ref="U34:U38"/>
    <mergeCell ref="V34:V38"/>
    <mergeCell ref="W72:W76"/>
    <mergeCell ref="T72:T76"/>
    <mergeCell ref="U72:U76"/>
    <mergeCell ref="V72:V76"/>
    <mergeCell ref="T110:T114"/>
    <mergeCell ref="I110:I114"/>
    <mergeCell ref="J110:J114"/>
    <mergeCell ref="K110:K114"/>
    <mergeCell ref="L110:L114"/>
    <mergeCell ref="M91:M95"/>
    <mergeCell ref="N91:N95"/>
    <mergeCell ref="O91:O95"/>
    <mergeCell ref="I91:I95"/>
    <mergeCell ref="K91:K95"/>
    <mergeCell ref="A110:A115"/>
    <mergeCell ref="B110:B114"/>
    <mergeCell ref="C110:C114"/>
    <mergeCell ref="D110:D114"/>
    <mergeCell ref="E110:E114"/>
    <mergeCell ref="F110:F114"/>
    <mergeCell ref="G110:G114"/>
    <mergeCell ref="G91:G95"/>
    <mergeCell ref="H91:H95"/>
    <mergeCell ref="H110:H114"/>
    <mergeCell ref="O34:O38"/>
    <mergeCell ref="O53:O57"/>
    <mergeCell ref="M1:M3"/>
    <mergeCell ref="A91:A96"/>
    <mergeCell ref="B91:B95"/>
    <mergeCell ref="C91:C95"/>
    <mergeCell ref="D91:D95"/>
    <mergeCell ref="E91:E95"/>
    <mergeCell ref="F91:F95"/>
    <mergeCell ref="J72:J76"/>
    <mergeCell ref="K72:K76"/>
    <mergeCell ref="L72:L76"/>
    <mergeCell ref="O72:O76"/>
    <mergeCell ref="M53:M57"/>
    <mergeCell ref="N53:N57"/>
    <mergeCell ref="B72:B76"/>
    <mergeCell ref="C72:C76"/>
    <mergeCell ref="D72:D76"/>
    <mergeCell ref="E72:E76"/>
    <mergeCell ref="AD72:AD76"/>
    <mergeCell ref="A72:A77"/>
    <mergeCell ref="F72:F76"/>
    <mergeCell ref="G72:G76"/>
    <mergeCell ref="H72:H76"/>
    <mergeCell ref="I72:I76"/>
    <mergeCell ref="Y72:Y76"/>
    <mergeCell ref="Z72:Z76"/>
    <mergeCell ref="AA72:AA76"/>
    <mergeCell ref="AB72:AB76"/>
    <mergeCell ref="AC72:AC76"/>
    <mergeCell ref="S72:S76"/>
    <mergeCell ref="G53:G57"/>
    <mergeCell ref="H53:H57"/>
    <mergeCell ref="I53:I57"/>
    <mergeCell ref="J53:J57"/>
    <mergeCell ref="K53:K57"/>
    <mergeCell ref="L53:L57"/>
    <mergeCell ref="A53:A58"/>
    <mergeCell ref="B53:B57"/>
    <mergeCell ref="C53:C57"/>
    <mergeCell ref="D53:D57"/>
    <mergeCell ref="E53:E57"/>
    <mergeCell ref="F53:F57"/>
    <mergeCell ref="G34:G38"/>
    <mergeCell ref="H34:H38"/>
    <mergeCell ref="I34:I38"/>
    <mergeCell ref="J34:J38"/>
    <mergeCell ref="K34:K38"/>
    <mergeCell ref="L34:L38"/>
    <mergeCell ref="A34:A39"/>
    <mergeCell ref="B34:B38"/>
    <mergeCell ref="C34:C38"/>
    <mergeCell ref="D34:D38"/>
    <mergeCell ref="E34:E38"/>
    <mergeCell ref="F34:F38"/>
    <mergeCell ref="X25:Y25"/>
    <mergeCell ref="X26:Y26"/>
    <mergeCell ref="X27:Y27"/>
    <mergeCell ref="X28:Y28"/>
    <mergeCell ref="X29:Y29"/>
    <mergeCell ref="X30:Y30"/>
    <mergeCell ref="S6:U6"/>
    <mergeCell ref="S7:U7"/>
    <mergeCell ref="A19:A20"/>
    <mergeCell ref="X21:Y23"/>
    <mergeCell ref="X24:Y24"/>
    <mergeCell ref="S5:U5"/>
    <mergeCell ref="A1:A3"/>
    <mergeCell ref="B1:B2"/>
    <mergeCell ref="C1:C2"/>
    <mergeCell ref="D1:D2"/>
    <mergeCell ref="E1:E2"/>
    <mergeCell ref="F1:F2"/>
    <mergeCell ref="S1:U3"/>
    <mergeCell ref="S4:U4"/>
    <mergeCell ref="G1:G3"/>
  </mergeCells>
  <pageMargins left="0.7" right="0.7" top="0.75" bottom="0.75" header="0.3" footer="0.3"/>
  <ignoredErrors>
    <ignoredError sqref="G11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4016E-9517-6145-9793-0A741B4502F8}">
  <dimension ref="A1:AN127"/>
  <sheetViews>
    <sheetView topLeftCell="D86" zoomScale="59" zoomScaleNormal="59" workbookViewId="0">
      <selection activeCell="D10" sqref="D10"/>
    </sheetView>
  </sheetViews>
  <sheetFormatPr baseColWidth="10" defaultColWidth="11.5" defaultRowHeight="16"/>
  <cols>
    <col min="1" max="1" width="30.6640625" style="131" customWidth="1"/>
    <col min="2" max="2" width="18.5" style="131" customWidth="1"/>
    <col min="3" max="3" width="17.6640625" style="131" customWidth="1"/>
    <col min="4" max="4" width="16.1640625" style="131" customWidth="1"/>
    <col min="5" max="5" width="19.1640625" style="131" customWidth="1"/>
    <col min="6" max="6" width="18.6640625" style="131" customWidth="1"/>
    <col min="7" max="7" width="17.33203125" style="131" customWidth="1"/>
    <col min="8" max="11" width="18.1640625" style="131" customWidth="1"/>
    <col min="12" max="12" width="17.5" style="131" customWidth="1"/>
    <col min="13" max="13" width="17.83203125" style="131" customWidth="1"/>
    <col min="14" max="14" width="18.83203125" style="131" customWidth="1"/>
    <col min="15" max="15" width="16.5" style="131" customWidth="1"/>
    <col min="16" max="16" width="19.1640625" style="131" customWidth="1"/>
    <col min="17" max="17" width="18.83203125" style="131" customWidth="1"/>
    <col min="18" max="18" width="17" style="131" customWidth="1"/>
    <col min="19" max="19" width="16" style="131" customWidth="1"/>
    <col min="20" max="20" width="16.83203125" style="131" customWidth="1"/>
    <col min="21" max="21" width="17.1640625" style="131" customWidth="1"/>
    <col min="22" max="22" width="18.83203125" style="131" customWidth="1"/>
    <col min="23" max="23" width="18" style="131" customWidth="1"/>
    <col min="24" max="24" width="16.1640625" style="131" customWidth="1"/>
    <col min="25" max="25" width="22.5" style="131" customWidth="1"/>
    <col min="26" max="26" width="22.83203125" style="131" customWidth="1"/>
    <col min="27" max="27" width="16.1640625" style="131" customWidth="1"/>
    <col min="28" max="28" width="19" style="131" customWidth="1"/>
    <col min="29" max="29" width="14.83203125" style="131" customWidth="1"/>
    <col min="30" max="30" width="13.6640625" style="131" bestFit="1" customWidth="1"/>
    <col min="31" max="31" width="15.33203125" style="131" bestFit="1" customWidth="1"/>
    <col min="32" max="32" width="16.1640625" style="131" customWidth="1"/>
    <col min="33" max="36" width="11.5" style="131"/>
    <col min="37" max="37" width="18.1640625" style="131" customWidth="1"/>
    <col min="38" max="39" width="11.5" style="131"/>
    <col min="40" max="40" width="12.5" style="131" customWidth="1"/>
    <col min="41" max="41" width="13.5" style="131" customWidth="1"/>
    <col min="42" max="42" width="19.6640625" style="131" customWidth="1"/>
    <col min="43" max="43" width="22.1640625" style="131" customWidth="1"/>
    <col min="44" max="44" width="19" style="131" customWidth="1"/>
    <col min="45" max="16384" width="11.5" style="131"/>
  </cols>
  <sheetData>
    <row r="1" spans="1:27" ht="18" customHeight="1">
      <c r="A1" s="724" t="s">
        <v>1439</v>
      </c>
      <c r="B1" s="703" t="s">
        <v>0</v>
      </c>
      <c r="C1" s="547" t="s">
        <v>529</v>
      </c>
      <c r="D1" s="704" t="s">
        <v>859</v>
      </c>
      <c r="E1" s="547"/>
      <c r="F1" s="547"/>
      <c r="G1" s="1175" t="s">
        <v>638</v>
      </c>
      <c r="H1" s="547" t="s">
        <v>859</v>
      </c>
      <c r="I1" s="701" t="s">
        <v>282</v>
      </c>
      <c r="M1" s="724" t="s">
        <v>1438</v>
      </c>
      <c r="N1" s="743" t="s">
        <v>1440</v>
      </c>
      <c r="O1" s="700"/>
      <c r="P1" s="700"/>
      <c r="Q1" s="700"/>
      <c r="R1" s="709"/>
      <c r="S1" s="558"/>
      <c r="T1" s="558"/>
      <c r="U1" s="558"/>
      <c r="V1" s="213"/>
      <c r="W1" s="471"/>
      <c r="X1" s="471"/>
      <c r="Y1" s="466"/>
      <c r="Z1" s="213"/>
      <c r="AA1" s="213"/>
    </row>
    <row r="2" spans="1:27" ht="36" customHeight="1">
      <c r="A2" s="725"/>
      <c r="B2" s="688"/>
      <c r="C2" s="548"/>
      <c r="D2" s="557"/>
      <c r="E2" s="548"/>
      <c r="F2" s="548"/>
      <c r="G2" s="1176"/>
      <c r="H2" s="548"/>
      <c r="I2" s="702"/>
      <c r="M2" s="725"/>
      <c r="N2" s="466" t="s">
        <v>675</v>
      </c>
      <c r="O2" s="466" t="s">
        <v>674</v>
      </c>
      <c r="P2" s="466" t="s">
        <v>675</v>
      </c>
      <c r="Q2" s="466" t="s">
        <v>678</v>
      </c>
      <c r="R2" s="357" t="s">
        <v>675</v>
      </c>
      <c r="S2" s="558"/>
      <c r="T2" s="558"/>
      <c r="U2" s="558"/>
      <c r="V2" s="213"/>
      <c r="W2" s="471"/>
      <c r="X2" s="471"/>
      <c r="Y2" s="466"/>
      <c r="Z2" s="213"/>
      <c r="AA2" s="213"/>
    </row>
    <row r="3" spans="1:27" ht="18.75" customHeight="1">
      <c r="A3" s="726"/>
      <c r="B3" s="689"/>
      <c r="C3" s="466"/>
      <c r="D3" s="466" t="s">
        <v>676</v>
      </c>
      <c r="E3" s="466"/>
      <c r="F3" s="466"/>
      <c r="G3" s="847"/>
      <c r="I3" s="172"/>
      <c r="M3" s="726"/>
      <c r="N3" s="466" t="s">
        <v>676</v>
      </c>
      <c r="O3" s="466"/>
      <c r="P3" s="466" t="s">
        <v>676</v>
      </c>
      <c r="Q3" s="466"/>
      <c r="R3" s="357" t="s">
        <v>676</v>
      </c>
      <c r="S3" s="558"/>
      <c r="T3" s="558"/>
      <c r="U3" s="558"/>
      <c r="V3" s="213"/>
      <c r="W3" s="471"/>
      <c r="X3" s="471"/>
      <c r="Y3" s="471"/>
      <c r="Z3" s="213"/>
      <c r="AA3" s="213"/>
    </row>
    <row r="4" spans="1:27">
      <c r="A4" s="145" t="s">
        <v>66</v>
      </c>
      <c r="B4" s="1002" t="s">
        <v>685</v>
      </c>
      <c r="C4" s="1144">
        <f>6.94/(6.94+0.8*58.7+0.1*54.9+0.1*58.9+2*16)</f>
        <v>7.1340460526315791E-2</v>
      </c>
      <c r="D4" s="1025">
        <v>14.8</v>
      </c>
      <c r="E4" s="1144"/>
      <c r="F4" s="1144"/>
      <c r="G4" s="1016" t="s">
        <v>822</v>
      </c>
      <c r="H4" s="1018">
        <f>'Material Costs and GWP'!W22</f>
        <v>2.3642857142857143</v>
      </c>
      <c r="I4" s="1183"/>
      <c r="M4" s="1185" t="s">
        <v>655</v>
      </c>
      <c r="N4" s="1186">
        <v>1</v>
      </c>
      <c r="O4" s="1187" t="s">
        <v>225</v>
      </c>
      <c r="P4" s="1188">
        <v>700</v>
      </c>
      <c r="Q4" s="1189" t="s">
        <v>680</v>
      </c>
      <c r="R4" s="1190">
        <f>0.69*N6+0.02*N13+0.19*P7+0.1*P9</f>
        <v>890.12599999999998</v>
      </c>
      <c r="S4" s="556"/>
      <c r="T4" s="556"/>
      <c r="U4" s="556"/>
      <c r="V4" s="83"/>
      <c r="W4" s="84"/>
      <c r="X4" s="84"/>
      <c r="Y4" s="85"/>
      <c r="Z4" s="83"/>
      <c r="AA4" s="86"/>
    </row>
    <row r="5" spans="1:27">
      <c r="A5" s="705" t="s">
        <v>199</v>
      </c>
      <c r="B5" s="727" t="s">
        <v>144</v>
      </c>
      <c r="C5" s="728">
        <f>6.94/(6.94+55.8+31+4*16)</f>
        <v>4.3996449854190441E-2</v>
      </c>
      <c r="D5" s="729">
        <f>'Material Costs and GWP'!W68</f>
        <v>11.150795555976828</v>
      </c>
      <c r="E5" s="728"/>
      <c r="F5" s="728"/>
      <c r="G5" s="732" t="s">
        <v>37</v>
      </c>
      <c r="H5" s="731">
        <v>3.1</v>
      </c>
      <c r="I5" s="758" t="s">
        <v>1006</v>
      </c>
      <c r="M5" s="294" t="s">
        <v>38</v>
      </c>
      <c r="N5" s="295">
        <v>3.4</v>
      </c>
      <c r="O5" s="1177" t="s">
        <v>665</v>
      </c>
      <c r="P5" s="1178">
        <v>1200</v>
      </c>
      <c r="Q5" s="690" t="s">
        <v>681</v>
      </c>
      <c r="R5" s="710"/>
      <c r="S5" s="556"/>
      <c r="T5" s="556"/>
      <c r="U5" s="556"/>
      <c r="V5" s="83"/>
      <c r="W5" s="84"/>
      <c r="X5" s="84"/>
      <c r="Y5" s="85"/>
      <c r="Z5" s="83"/>
      <c r="AA5" s="86"/>
    </row>
    <row r="6" spans="1:27">
      <c r="A6" s="1145" t="s">
        <v>244</v>
      </c>
      <c r="B6" s="1008" t="s">
        <v>149</v>
      </c>
      <c r="C6" s="1013">
        <v>0</v>
      </c>
      <c r="D6" s="1149">
        <f>'Material Costs and GWP'!X68</f>
        <v>17.921702292975944</v>
      </c>
      <c r="E6" s="1146"/>
      <c r="F6" s="1147"/>
      <c r="G6" s="1008" t="s">
        <v>572</v>
      </c>
      <c r="H6" s="1013">
        <v>2.68</v>
      </c>
      <c r="I6" s="1010" t="s">
        <v>1006</v>
      </c>
      <c r="M6" s="1191" t="s">
        <v>656</v>
      </c>
      <c r="N6" s="1192">
        <v>5.4</v>
      </c>
      <c r="O6" s="1193" t="s">
        <v>666</v>
      </c>
      <c r="P6" s="1194">
        <v>2000</v>
      </c>
      <c r="Q6" s="971" t="s">
        <v>795</v>
      </c>
      <c r="R6" s="1195">
        <f>2*52/(2*52+14)*P7</f>
        <v>1850.8474576271185</v>
      </c>
      <c r="S6" s="556"/>
      <c r="T6" s="556"/>
      <c r="U6" s="556"/>
      <c r="V6" s="83"/>
      <c r="W6" s="84"/>
      <c r="X6" s="84"/>
      <c r="Y6" s="85"/>
      <c r="Z6" s="83"/>
      <c r="AA6" s="86"/>
    </row>
    <row r="7" spans="1:27">
      <c r="A7" s="313" t="s">
        <v>148</v>
      </c>
      <c r="B7" s="734" t="s">
        <v>35</v>
      </c>
      <c r="C7" s="735"/>
      <c r="D7" s="731">
        <f>'Material Costs and GWP'!W8</f>
        <v>2.4651162790697674</v>
      </c>
      <c r="E7" s="728"/>
      <c r="F7" s="729"/>
      <c r="G7" s="732"/>
      <c r="H7" s="730"/>
      <c r="I7" s="172"/>
      <c r="M7" s="711" t="s">
        <v>657</v>
      </c>
      <c r="N7" s="295">
        <v>6.2</v>
      </c>
      <c r="O7" s="1180" t="s">
        <v>667</v>
      </c>
      <c r="P7" s="1178">
        <v>2100</v>
      </c>
      <c r="Q7" s="317" t="s">
        <v>732</v>
      </c>
      <c r="R7" s="172">
        <f>0.975*N5+0.01*N12+0.004*P10+0.006*P6+0.004*P8+0.001*P5</f>
        <v>53.915000000000006</v>
      </c>
      <c r="S7" s="556"/>
      <c r="T7" s="556"/>
      <c r="U7" s="556"/>
      <c r="V7" s="83"/>
      <c r="W7" s="84"/>
      <c r="X7" s="84"/>
      <c r="Y7" s="85"/>
      <c r="Z7" s="83"/>
      <c r="AA7" s="86"/>
    </row>
    <row r="8" spans="1:27" ht="17">
      <c r="A8" s="1148" t="s">
        <v>413</v>
      </c>
      <c r="B8" s="721" t="s">
        <v>652</v>
      </c>
      <c r="C8" s="466" t="s">
        <v>70</v>
      </c>
      <c r="D8" s="1019">
        <f>D7</f>
        <v>2.4651162790697674</v>
      </c>
      <c r="E8" s="1184"/>
      <c r="F8" s="1184"/>
      <c r="G8" s="1008"/>
      <c r="H8" s="1013"/>
      <c r="I8" s="170"/>
      <c r="M8" s="1196" t="s">
        <v>658</v>
      </c>
      <c r="N8" s="1192">
        <v>10</v>
      </c>
      <c r="O8" s="1197" t="s">
        <v>668</v>
      </c>
      <c r="P8" s="1194">
        <v>3900</v>
      </c>
      <c r="Q8" s="1198" t="s">
        <v>733</v>
      </c>
      <c r="R8" s="1199"/>
      <c r="S8" s="482"/>
      <c r="T8" s="482"/>
      <c r="U8" s="482"/>
      <c r="V8" s="83"/>
      <c r="W8" s="84"/>
      <c r="X8" s="84"/>
      <c r="Y8" s="85"/>
      <c r="Z8" s="83"/>
      <c r="AA8" s="86"/>
    </row>
    <row r="9" spans="1:27" ht="20">
      <c r="A9" s="313" t="s">
        <v>150</v>
      </c>
      <c r="B9" s="721" t="s">
        <v>653</v>
      </c>
      <c r="C9" s="466" t="s">
        <v>72</v>
      </c>
      <c r="D9" s="736">
        <f>D8</f>
        <v>2.4651162790697674</v>
      </c>
      <c r="E9" s="466"/>
      <c r="F9" s="466"/>
      <c r="G9" s="732" t="s">
        <v>931</v>
      </c>
      <c r="H9" s="736">
        <f>'Material Costs and GWP'!AW36</f>
        <v>2.7806700000000006</v>
      </c>
      <c r="I9" s="172"/>
      <c r="M9" s="294" t="s">
        <v>659</v>
      </c>
      <c r="N9" s="295">
        <v>12</v>
      </c>
      <c r="O9" s="1179" t="s">
        <v>669</v>
      </c>
      <c r="P9" s="1178">
        <v>4800</v>
      </c>
      <c r="Q9" s="349" t="s">
        <v>573</v>
      </c>
      <c r="R9" s="172">
        <f>'Material Costs and GWP'!AP17</f>
        <v>6750.2042697247707</v>
      </c>
      <c r="S9" s="482"/>
      <c r="T9" s="482"/>
      <c r="U9" s="482"/>
      <c r="V9" s="83"/>
      <c r="W9" s="84"/>
      <c r="X9" s="84"/>
      <c r="Y9" s="85"/>
      <c r="Z9" s="83"/>
      <c r="AA9" s="86"/>
    </row>
    <row r="10" spans="1:27">
      <c r="A10" s="1150" t="s">
        <v>16</v>
      </c>
      <c r="B10" s="1008">
        <v>1E-3</v>
      </c>
      <c r="C10" s="1013">
        <v>1.2</v>
      </c>
      <c r="D10" s="1019">
        <f>'Material Costs and GWP'!W23</f>
        <v>4.5227272727272725</v>
      </c>
      <c r="E10" s="1013"/>
      <c r="F10" s="1013"/>
      <c r="G10" s="1008" t="s">
        <v>573</v>
      </c>
      <c r="H10" s="1013">
        <v>26.48</v>
      </c>
      <c r="I10" s="1010" t="s">
        <v>1006</v>
      </c>
      <c r="M10" s="1196" t="s">
        <v>660</v>
      </c>
      <c r="N10" s="1192">
        <v>19</v>
      </c>
      <c r="O10" s="1193" t="s">
        <v>670</v>
      </c>
      <c r="P10" s="1194">
        <v>5100</v>
      </c>
      <c r="Q10" s="971" t="s">
        <v>931</v>
      </c>
      <c r="R10" s="1200">
        <f>'Material Costs and GWP'!AW17</f>
        <v>361.84872000000001</v>
      </c>
      <c r="S10" s="482"/>
      <c r="T10" s="482"/>
      <c r="U10" s="482"/>
      <c r="V10" s="83"/>
      <c r="W10" s="84"/>
      <c r="X10" s="84"/>
      <c r="Y10" s="85"/>
      <c r="Z10" s="83"/>
      <c r="AA10" s="86"/>
    </row>
    <row r="11" spans="1:27">
      <c r="A11" s="113" t="s">
        <v>18</v>
      </c>
      <c r="B11" s="732">
        <f>'Energy Contents Cell'!Z81</f>
        <v>4.0000000000000001E-3</v>
      </c>
      <c r="C11" s="730">
        <v>1.4</v>
      </c>
      <c r="D11" s="736">
        <f>D10</f>
        <v>4.5227272727272725</v>
      </c>
      <c r="E11" s="730"/>
      <c r="F11" s="730"/>
      <c r="G11" s="732" t="s">
        <v>564</v>
      </c>
      <c r="H11" s="730">
        <v>1.75</v>
      </c>
      <c r="I11" s="758" t="s">
        <v>1006</v>
      </c>
      <c r="M11" s="711" t="s">
        <v>661</v>
      </c>
      <c r="N11" s="295">
        <v>67</v>
      </c>
      <c r="O11" s="1180" t="s">
        <v>37</v>
      </c>
      <c r="P11" s="1178">
        <v>10000</v>
      </c>
      <c r="Q11" s="349" t="s">
        <v>808</v>
      </c>
      <c r="R11" s="769">
        <v>0.41</v>
      </c>
      <c r="S11" s="482"/>
      <c r="T11" s="482"/>
      <c r="U11" s="482"/>
      <c r="V11" s="83"/>
      <c r="W11" s="84"/>
      <c r="X11" s="84"/>
      <c r="Y11" s="85"/>
      <c r="Z11" s="83"/>
      <c r="AA11" s="86"/>
    </row>
    <row r="12" spans="1:27">
      <c r="A12" s="1150" t="s">
        <v>152</v>
      </c>
      <c r="B12" s="1008"/>
      <c r="C12" s="1013">
        <v>1.2</v>
      </c>
      <c r="D12" s="1019">
        <v>2.7</v>
      </c>
      <c r="E12" s="1013"/>
      <c r="F12" s="1013"/>
      <c r="G12" s="1008" t="s">
        <v>833</v>
      </c>
      <c r="H12" s="1013">
        <v>1.9</v>
      </c>
      <c r="I12" s="1010" t="s">
        <v>1006</v>
      </c>
      <c r="M12" s="1196" t="s">
        <v>662</v>
      </c>
      <c r="N12" s="1192">
        <v>140</v>
      </c>
      <c r="O12" s="1193" t="s">
        <v>671</v>
      </c>
      <c r="P12" s="1194">
        <v>11000</v>
      </c>
      <c r="Q12" s="971" t="s">
        <v>798</v>
      </c>
      <c r="R12" s="1055">
        <f>P5*R11</f>
        <v>491.99999999999994</v>
      </c>
      <c r="S12" s="482"/>
      <c r="T12" s="482"/>
      <c r="U12" s="482"/>
      <c r="V12" s="83"/>
      <c r="W12" s="84"/>
      <c r="X12" s="84"/>
      <c r="Y12" s="85"/>
      <c r="Z12" s="83"/>
      <c r="AA12" s="86"/>
    </row>
    <row r="13" spans="1:27">
      <c r="A13" s="314" t="s">
        <v>3</v>
      </c>
      <c r="B13" s="734" t="s">
        <v>4</v>
      </c>
      <c r="C13" s="735"/>
      <c r="D13" s="731">
        <v>4.7</v>
      </c>
      <c r="E13" s="731"/>
      <c r="F13" s="729"/>
      <c r="G13" s="732"/>
      <c r="H13" s="730"/>
      <c r="I13" s="172"/>
      <c r="M13" s="294" t="s">
        <v>663</v>
      </c>
      <c r="N13" s="295">
        <v>370</v>
      </c>
      <c r="O13" s="1181" t="s">
        <v>672</v>
      </c>
      <c r="P13" s="1178">
        <v>18000</v>
      </c>
      <c r="Q13" s="349" t="s">
        <v>866</v>
      </c>
      <c r="R13" s="293">
        <v>0.3</v>
      </c>
      <c r="S13" s="482"/>
      <c r="T13" s="482"/>
      <c r="U13" s="482"/>
      <c r="V13" s="83"/>
      <c r="W13" s="84"/>
      <c r="X13" s="84"/>
      <c r="Y13" s="85"/>
      <c r="Z13" s="83"/>
      <c r="AA13" s="86"/>
    </row>
    <row r="14" spans="1:27">
      <c r="A14" s="1011" t="s">
        <v>222</v>
      </c>
      <c r="B14" s="1012" t="s">
        <v>223</v>
      </c>
      <c r="C14" s="1013"/>
      <c r="D14" s="1013"/>
      <c r="E14" s="1013"/>
      <c r="F14" s="1149"/>
      <c r="G14" s="1008" t="s">
        <v>823</v>
      </c>
      <c r="H14" s="1019">
        <f>'Material Costs and GWP'!W11</f>
        <v>1.4400000000000002</v>
      </c>
      <c r="I14" s="170"/>
      <c r="M14" s="1191" t="s">
        <v>677</v>
      </c>
      <c r="N14" s="1192">
        <v>510</v>
      </c>
      <c r="O14" s="1201" t="s">
        <v>673</v>
      </c>
      <c r="P14" s="1194">
        <v>26000</v>
      </c>
      <c r="Q14" s="971" t="s">
        <v>851</v>
      </c>
      <c r="R14" s="1202">
        <f>(1-R13)*'Env. Impacts System'!P11</f>
        <v>7000</v>
      </c>
      <c r="S14" s="482"/>
      <c r="T14" s="482"/>
      <c r="U14" s="482"/>
      <c r="V14" s="83"/>
      <c r="W14" s="84"/>
      <c r="X14" s="84"/>
      <c r="Y14" s="85"/>
      <c r="Z14" s="83"/>
      <c r="AA14" s="86"/>
    </row>
    <row r="15" spans="1:27" ht="17" thickBot="1">
      <c r="A15" s="697" t="s">
        <v>145</v>
      </c>
      <c r="B15" s="737" t="s">
        <v>38</v>
      </c>
      <c r="C15" s="738">
        <f>R6</f>
        <v>1850.8474576271185</v>
      </c>
      <c r="D15" s="739">
        <v>7.41</v>
      </c>
      <c r="E15" s="739"/>
      <c r="F15" s="740"/>
      <c r="G15" s="861" t="s">
        <v>824</v>
      </c>
      <c r="H15" s="742">
        <f>'Material Costs and GWP'!W25</f>
        <v>2.2695852534562211</v>
      </c>
      <c r="I15" s="708"/>
      <c r="M15" s="712" t="s">
        <v>664</v>
      </c>
      <c r="N15" s="713">
        <v>650</v>
      </c>
      <c r="O15" s="782" t="s">
        <v>679</v>
      </c>
      <c r="P15" s="1182">
        <v>350000</v>
      </c>
      <c r="Q15" s="716"/>
      <c r="R15" s="717"/>
      <c r="S15" s="482"/>
      <c r="T15" s="482"/>
      <c r="U15" s="482"/>
      <c r="V15" s="83"/>
      <c r="W15" s="84"/>
      <c r="X15" s="84"/>
      <c r="Y15" s="85"/>
      <c r="Z15" s="83"/>
      <c r="AA15" s="86"/>
    </row>
    <row r="16" spans="1:27" ht="16.5" customHeight="1" thickBot="1"/>
    <row r="17" spans="1:40" ht="23" customHeight="1">
      <c r="A17" s="724" t="s">
        <v>1481</v>
      </c>
      <c r="B17" s="547" t="s">
        <v>1482</v>
      </c>
      <c r="C17" s="547" t="s">
        <v>731</v>
      </c>
      <c r="D17" s="547" t="s">
        <v>549</v>
      </c>
      <c r="E17" s="547" t="s">
        <v>550</v>
      </c>
      <c r="F17" s="547" t="s">
        <v>1402</v>
      </c>
      <c r="G17" s="547" t="s">
        <v>558</v>
      </c>
      <c r="H17" s="547" t="s">
        <v>1407</v>
      </c>
      <c r="I17" s="547" t="s">
        <v>1403</v>
      </c>
      <c r="J17" s="547" t="s">
        <v>1405</v>
      </c>
      <c r="K17" s="547" t="s">
        <v>1406</v>
      </c>
      <c r="L17" s="547" t="s">
        <v>1410</v>
      </c>
      <c r="M17" s="547" t="s">
        <v>1483</v>
      </c>
      <c r="N17" s="547" t="s">
        <v>1484</v>
      </c>
      <c r="O17" s="701" t="s">
        <v>1502</v>
      </c>
      <c r="T17" s="466"/>
      <c r="U17" s="548"/>
      <c r="V17" s="548"/>
      <c r="W17" s="487"/>
      <c r="X17" s="487"/>
    </row>
    <row r="18" spans="1:40" ht="18" customHeight="1">
      <c r="A18" s="725"/>
      <c r="B18" s="548"/>
      <c r="C18" s="548"/>
      <c r="D18" s="548"/>
      <c r="E18" s="548"/>
      <c r="F18" s="548"/>
      <c r="G18" s="548"/>
      <c r="H18" s="548"/>
      <c r="I18" s="548"/>
      <c r="J18" s="548"/>
      <c r="K18" s="548"/>
      <c r="L18" s="548"/>
      <c r="M18" s="548"/>
      <c r="N18" s="548"/>
      <c r="O18" s="702"/>
      <c r="T18" s="466"/>
      <c r="U18" s="548"/>
      <c r="V18" s="548"/>
      <c r="W18" s="487"/>
      <c r="X18" s="487"/>
    </row>
    <row r="19" spans="1:40" ht="18" customHeight="1">
      <c r="A19" s="725"/>
      <c r="B19" s="548"/>
      <c r="C19" s="548"/>
      <c r="D19" s="548"/>
      <c r="E19" s="548"/>
      <c r="F19" s="548"/>
      <c r="G19" s="548"/>
      <c r="H19" s="548"/>
      <c r="I19" s="548"/>
      <c r="J19" s="548"/>
      <c r="K19" s="548"/>
      <c r="L19" s="548"/>
      <c r="M19" s="548"/>
      <c r="N19" s="548"/>
      <c r="O19" s="702"/>
      <c r="T19" s="466"/>
      <c r="U19" s="548"/>
      <c r="V19" s="548"/>
      <c r="W19" s="487"/>
      <c r="X19" s="487"/>
    </row>
    <row r="20" spans="1:40" ht="18" customHeight="1">
      <c r="A20" s="725"/>
      <c r="B20" s="548"/>
      <c r="C20" s="548"/>
      <c r="D20" s="548"/>
      <c r="E20" s="548"/>
      <c r="F20" s="548"/>
      <c r="G20" s="548"/>
      <c r="H20" s="548"/>
      <c r="I20" s="548"/>
      <c r="J20" s="548"/>
      <c r="K20" s="548"/>
      <c r="L20" s="548"/>
      <c r="M20" s="548"/>
      <c r="N20" s="548"/>
      <c r="O20" s="702"/>
      <c r="T20" s="466"/>
      <c r="U20" s="548"/>
      <c r="V20" s="548"/>
      <c r="W20" s="487"/>
      <c r="X20" s="487"/>
    </row>
    <row r="21" spans="1:40" ht="18" customHeight="1">
      <c r="A21" s="725"/>
      <c r="B21" s="548"/>
      <c r="C21" s="548"/>
      <c r="D21" s="548"/>
      <c r="E21" s="548"/>
      <c r="F21" s="548"/>
      <c r="G21" s="548"/>
      <c r="H21" s="548"/>
      <c r="I21" s="548"/>
      <c r="J21" s="548"/>
      <c r="K21" s="548"/>
      <c r="L21" s="548"/>
      <c r="M21" s="548"/>
      <c r="N21" s="548"/>
      <c r="O21" s="702"/>
      <c r="T21" s="466"/>
      <c r="U21" s="548"/>
      <c r="V21" s="548"/>
      <c r="W21" s="487"/>
      <c r="X21" s="487"/>
    </row>
    <row r="22" spans="1:40" ht="17">
      <c r="A22" s="726"/>
      <c r="B22" s="466"/>
      <c r="C22" s="466" t="s">
        <v>284</v>
      </c>
      <c r="D22" s="466" t="s">
        <v>284</v>
      </c>
      <c r="E22" s="466" t="s">
        <v>284</v>
      </c>
      <c r="F22" s="466" t="s">
        <v>284</v>
      </c>
      <c r="G22" s="466" t="s">
        <v>284</v>
      </c>
      <c r="H22" s="466" t="s">
        <v>284</v>
      </c>
      <c r="I22" s="466" t="s">
        <v>284</v>
      </c>
      <c r="J22" s="466" t="s">
        <v>284</v>
      </c>
      <c r="K22" s="466" t="s">
        <v>284</v>
      </c>
      <c r="L22" s="466" t="s">
        <v>284</v>
      </c>
      <c r="M22" s="466" t="s">
        <v>284</v>
      </c>
      <c r="N22" s="466" t="s">
        <v>284</v>
      </c>
      <c r="O22" s="357" t="s">
        <v>284</v>
      </c>
      <c r="T22" s="466"/>
      <c r="U22" s="466"/>
      <c r="V22" s="466"/>
      <c r="W22" s="466"/>
      <c r="X22" s="466"/>
    </row>
    <row r="23" spans="1:40">
      <c r="A23" s="145" t="str">
        <f>'Mass Contents'!A19</f>
        <v>Al-gra</v>
      </c>
      <c r="B23" s="1156">
        <f>'BatPac Summary'!F$32</f>
        <v>9840</v>
      </c>
      <c r="C23" s="1101">
        <f>'Mass and Cost System'!J19</f>
        <v>7950.6474967697268</v>
      </c>
      <c r="D23" s="1101">
        <f>'Mass Contents'!D76</f>
        <v>166.7718523944574</v>
      </c>
      <c r="E23" s="1101">
        <f>'Mass Contents'!E76</f>
        <v>482.87833001585955</v>
      </c>
      <c r="F23" s="1101">
        <f>'Mass Contents'!F76</f>
        <v>1008.6189321126629</v>
      </c>
      <c r="G23" s="1076">
        <f>'Mass Contents'!H76</f>
        <v>0</v>
      </c>
      <c r="H23" s="1076">
        <f>'Mass Contents'!I76</f>
        <v>278.3434752</v>
      </c>
      <c r="I23" s="1076">
        <f>'Mass Contents'!J76</f>
        <v>0.83991780972663355</v>
      </c>
      <c r="J23" s="1101">
        <f>'Mass Contents'!K76</f>
        <v>2469.8428279463988</v>
      </c>
      <c r="K23" s="1101">
        <f>'Mass Contents'!L76</f>
        <v>450.1382418441404</v>
      </c>
      <c r="L23" s="991">
        <f>'BatPac Recycling'!F$97</f>
        <v>2.7240000000000002</v>
      </c>
      <c r="M23" s="991">
        <f>SUM(C23:L23)</f>
        <v>12810.805074092972</v>
      </c>
      <c r="N23" s="1076">
        <f>'Mass and Cost System'!K19</f>
        <v>13602.085267408002</v>
      </c>
      <c r="O23" s="984">
        <f t="shared" ref="O23:O25" si="0">N23-M23</f>
        <v>791.28019331502946</v>
      </c>
      <c r="T23" s="206"/>
      <c r="U23" s="206"/>
      <c r="V23" s="206"/>
      <c r="W23" s="13"/>
      <c r="X23" s="13"/>
    </row>
    <row r="24" spans="1:40">
      <c r="A24" s="314" t="str">
        <f>'Mass Contents'!A20</f>
        <v>Al-PPQ</v>
      </c>
      <c r="B24" s="718">
        <f>'BatPac Summary'!G$32</f>
        <v>3600</v>
      </c>
      <c r="C24" s="206">
        <f>'Mass and Cost System'!J20</f>
        <v>3330.6215216049809</v>
      </c>
      <c r="D24" s="206">
        <f>'Mass Contents'!D77</f>
        <v>60.451888630915967</v>
      </c>
      <c r="E24" s="206">
        <f>'Mass Contents'!E77</f>
        <v>173.72865103918991</v>
      </c>
      <c r="F24" s="206">
        <f>'Mass Contents'!F77</f>
        <v>369.05546664310339</v>
      </c>
      <c r="G24" s="14">
        <f>'Mass Contents'!H77</f>
        <v>0</v>
      </c>
      <c r="H24" s="14">
        <f>'Mass Contents'!I77</f>
        <v>93.826252800000006</v>
      </c>
      <c r="I24" s="14">
        <f>'Mass Contents'!J77</f>
        <v>0.9617128764229731</v>
      </c>
      <c r="J24" s="206">
        <f>'Mass Contents'!K77</f>
        <v>1024.6645433930262</v>
      </c>
      <c r="K24" s="206">
        <f>'Mass Contents'!L77</f>
        <v>218.1230062763895</v>
      </c>
      <c r="L24" s="13">
        <f>'BatPac Recycling'!F$97</f>
        <v>2.7240000000000002</v>
      </c>
      <c r="M24" s="13">
        <f>SUM(C24:L24)</f>
        <v>5274.1570432640292</v>
      </c>
      <c r="N24" s="14">
        <f>'Mass and Cost System'!K20</f>
        <v>5519.9572974050534</v>
      </c>
      <c r="O24" s="15">
        <f t="shared" si="0"/>
        <v>245.8002541410242</v>
      </c>
      <c r="T24" s="206"/>
      <c r="U24" s="206"/>
      <c r="V24" s="206"/>
      <c r="W24" s="206"/>
      <c r="X24" s="206"/>
    </row>
    <row r="25" spans="1:40">
      <c r="A25" s="145" t="str">
        <f>'Mass Contents'!A21</f>
        <v>Al-PBQS</v>
      </c>
      <c r="B25" s="1157">
        <f>'BatPac Summary'!H$32</f>
        <v>2400</v>
      </c>
      <c r="C25" s="165">
        <f>'Mass and Cost System'!J21</f>
        <v>2095.3298214022957</v>
      </c>
      <c r="D25" s="165">
        <f>'Mass Contents'!D78</f>
        <v>39.815481836645333</v>
      </c>
      <c r="E25" s="165">
        <f>'Mass Contents'!E78</f>
        <v>113.26271856806572</v>
      </c>
      <c r="F25" s="165">
        <f>'Mass Contents'!F78</f>
        <v>244.91071774120007</v>
      </c>
      <c r="G25" s="686">
        <f>'Mass Contents'!H78</f>
        <v>0</v>
      </c>
      <c r="H25" s="686">
        <f>'Mass Contents'!I78</f>
        <v>60.673536000000006</v>
      </c>
      <c r="I25" s="686">
        <f>'Mass Contents'!J78</f>
        <v>1.1578005449410114</v>
      </c>
      <c r="J25" s="165">
        <f>'Mass Contents'!K78</f>
        <v>760.71610834377543</v>
      </c>
      <c r="K25" s="165">
        <f>'Mass Contents'!L78</f>
        <v>179.54835752921136</v>
      </c>
      <c r="L25" s="90">
        <f>'BatPac Recycling'!F$97</f>
        <v>2.7240000000000002</v>
      </c>
      <c r="M25" s="90">
        <f>SUM(C25:L25)</f>
        <v>3498.1385419661347</v>
      </c>
      <c r="N25" s="686">
        <f>'Mass and Cost System'!K21</f>
        <v>3694.8024495973104</v>
      </c>
      <c r="O25" s="307">
        <f t="shared" si="0"/>
        <v>196.66390763117579</v>
      </c>
      <c r="T25" s="206"/>
      <c r="U25" s="206"/>
      <c r="V25" s="206"/>
      <c r="W25" s="206"/>
      <c r="X25" s="206"/>
      <c r="AL25" s="687"/>
      <c r="AM25" s="687"/>
    </row>
    <row r="26" spans="1:40">
      <c r="A26" s="314" t="str">
        <f>'Mass Contents'!A22</f>
        <v>Al-TiO2</v>
      </c>
      <c r="B26" s="718">
        <f>'BatPac Summary'!I$32</f>
        <v>4212</v>
      </c>
      <c r="C26" s="206">
        <f>'Mass and Cost System'!J22</f>
        <v>7626.9578536379749</v>
      </c>
      <c r="D26" s="206">
        <f>'Mass Contents'!D78</f>
        <v>39.815481836645333</v>
      </c>
      <c r="E26" s="206">
        <f>'Mass Contents'!E79</f>
        <v>202.54856794044946</v>
      </c>
      <c r="F26" s="206">
        <f>'Mass Contents'!F79</f>
        <v>415.5221038612853</v>
      </c>
      <c r="G26" s="14">
        <f>'Mass Contents'!H79</f>
        <v>0</v>
      </c>
      <c r="H26" s="14">
        <f>'Mass Contents'!I79</f>
        <v>101.37415679999999</v>
      </c>
      <c r="I26" s="14">
        <f>'Mass Contents'!J79</f>
        <v>2.2438697100769005</v>
      </c>
      <c r="J26" s="206">
        <f>'Mass Contents'!K79</f>
        <v>1169.8741507971158</v>
      </c>
      <c r="K26" s="206">
        <f>'Mass Contents'!L79</f>
        <v>254.76660559203111</v>
      </c>
      <c r="L26" s="13">
        <f>'BatPac Recycling'!F$97</f>
        <v>2.7240000000000002</v>
      </c>
      <c r="M26" s="13">
        <f>SUM(C26:L26)</f>
        <v>9815.8267901755789</v>
      </c>
      <c r="N26" s="14">
        <f>'Mass and Cost System'!K22</f>
        <v>10192.174127817416</v>
      </c>
      <c r="O26" s="15">
        <f t="shared" ref="O26:O31" si="1">N26-M26</f>
        <v>376.34733764183693</v>
      </c>
      <c r="T26" s="206"/>
      <c r="U26" s="206"/>
      <c r="V26" s="206"/>
      <c r="W26" s="206"/>
      <c r="X26" s="206"/>
    </row>
    <row r="27" spans="1:40">
      <c r="A27" s="145" t="str">
        <f>'Mass Contents'!A23</f>
        <v>Al-V2C</v>
      </c>
      <c r="B27" s="1157">
        <f>'BatPac Summary'!J$32</f>
        <v>2850</v>
      </c>
      <c r="C27" s="165">
        <f>'Mass and Cost System'!J23</f>
        <v>4631.2694713262308</v>
      </c>
      <c r="D27" s="165">
        <f>'Mass Contents'!D80</f>
        <v>46.638320811177969</v>
      </c>
      <c r="E27" s="165">
        <f>'Mass Contents'!E80</f>
        <v>130.6351456029694</v>
      </c>
      <c r="F27" s="165">
        <f>'Mass Contents'!F80</f>
        <v>281.99527614444997</v>
      </c>
      <c r="G27" s="686">
        <f>'Mass Contents'!H80</f>
        <v>0</v>
      </c>
      <c r="H27" s="686">
        <f>'Mass Contents'!I80</f>
        <v>68.584319999999991</v>
      </c>
      <c r="I27" s="686">
        <f>'Mass Contents'!J80</f>
        <v>6.8825580250741707</v>
      </c>
      <c r="J27" s="165">
        <f>'Mass Contents'!K80</f>
        <v>790.68059959852826</v>
      </c>
      <c r="K27" s="165">
        <f>'Mass Contents'!L80</f>
        <v>168.10778990556148</v>
      </c>
      <c r="L27" s="90">
        <f>'BatPac Recycling'!F$97</f>
        <v>2.7240000000000002</v>
      </c>
      <c r="M27" s="90">
        <f>SUM(C27:L27)</f>
        <v>6127.5174814139937</v>
      </c>
      <c r="N27" s="686">
        <f>'Mass and Cost System'!K23</f>
        <v>6354.8546407187305</v>
      </c>
      <c r="O27" s="307">
        <f t="shared" si="1"/>
        <v>227.33715930473682</v>
      </c>
      <c r="T27" s="206"/>
      <c r="U27" s="206"/>
      <c r="V27" s="206"/>
      <c r="W27" s="206"/>
      <c r="X27" s="206"/>
    </row>
    <row r="28" spans="1:40" ht="18" customHeight="1">
      <c r="A28" s="314" t="str">
        <f>'Mass Contents'!A24</f>
        <v>Al-MnO2</v>
      </c>
      <c r="B28" s="718">
        <f>'BatPac Summary'!K$32</f>
        <v>775</v>
      </c>
      <c r="C28" s="206">
        <f>'Mass and Cost System'!J24</f>
        <v>1519.7165241021971</v>
      </c>
      <c r="D28" s="206">
        <f>'Mass Contents'!D81</f>
        <v>12.779293858441449</v>
      </c>
      <c r="E28" s="206">
        <f>'Mass Contents'!E81</f>
        <v>36.954328130149584</v>
      </c>
      <c r="F28" s="206">
        <f>'Mass Contents'!F81</f>
        <v>81.850357496660678</v>
      </c>
      <c r="G28" s="14">
        <f>'Mass Contents'!H81</f>
        <v>0</v>
      </c>
      <c r="H28" s="14">
        <f>'Mass Contents'!I81</f>
        <v>10.886400000000002</v>
      </c>
      <c r="I28" s="14">
        <f>'Mass Contents'!J81</f>
        <v>2.8509173802957672</v>
      </c>
      <c r="J28" s="206">
        <f>'Mass Contents'!K81</f>
        <v>235.18356416551774</v>
      </c>
      <c r="K28" s="206">
        <f>'Mass Contents'!L81</f>
        <v>47.82750027915742</v>
      </c>
      <c r="L28" s="13">
        <f>'BatPac Recycling'!F$97</f>
        <v>2.7240000000000002</v>
      </c>
      <c r="M28" s="13">
        <f>SUM(C28:L28)</f>
        <v>1950.77288541242</v>
      </c>
      <c r="N28" s="14">
        <f>'Mass and Cost System'!K24</f>
        <v>2021.6422077643933</v>
      </c>
      <c r="O28" s="15">
        <f t="shared" si="1"/>
        <v>70.869322351973324</v>
      </c>
      <c r="T28" s="206"/>
      <c r="U28" s="206"/>
      <c r="V28" s="206"/>
      <c r="W28" s="206"/>
      <c r="X28" s="206"/>
    </row>
    <row r="29" spans="1:40" ht="18" customHeight="1">
      <c r="A29" s="145" t="str">
        <f>'Mass Contents'!A25</f>
        <v>LIB-NMC</v>
      </c>
      <c r="B29" s="1157">
        <f>'BatPac Summary'!L$32</f>
        <v>792</v>
      </c>
      <c r="C29" s="165">
        <f>'Mass and Cost System'!J25</f>
        <v>1159.3003587174314</v>
      </c>
      <c r="D29" s="165">
        <f>'Mass Contents'!D82</f>
        <v>6.573317039484901</v>
      </c>
      <c r="E29" s="165">
        <f>'Mass Contents'!E82</f>
        <v>37.676009268984437</v>
      </c>
      <c r="F29" s="165">
        <f>'Mass Contents'!F82</f>
        <v>87.042168183870572</v>
      </c>
      <c r="G29" s="686">
        <f>'Mass Contents'!H82</f>
        <v>14.542449549082647</v>
      </c>
      <c r="H29" s="686">
        <f>'Mass Contents'!I82</f>
        <v>18.985881599999999</v>
      </c>
      <c r="I29" s="686">
        <f>'Mass Contents'!J82</f>
        <v>3.0759368536583094</v>
      </c>
      <c r="J29" s="165">
        <f>'Mass Contents'!K82</f>
        <v>277.37890133720958</v>
      </c>
      <c r="K29" s="165">
        <f>'Mass Contents'!L82</f>
        <v>64.068702377305485</v>
      </c>
      <c r="L29" s="90">
        <f>'BatPac Recycling'!F$97</f>
        <v>2.7240000000000002</v>
      </c>
      <c r="M29" s="90">
        <f>SUM(C29:L29)</f>
        <v>1671.3677249270274</v>
      </c>
      <c r="N29" s="686">
        <f>'Mass and Cost System'!K25</f>
        <v>1731.1894744639949</v>
      </c>
      <c r="O29" s="307">
        <f t="shared" si="1"/>
        <v>59.821749536967445</v>
      </c>
      <c r="T29" s="206"/>
      <c r="U29" s="206"/>
      <c r="V29" s="206"/>
      <c r="W29" s="206"/>
      <c r="X29" s="206"/>
    </row>
    <row r="30" spans="1:40" ht="18" customHeight="1">
      <c r="A30" s="314" t="str">
        <f>'Mass Contents'!A26</f>
        <v>LIB-LFP</v>
      </c>
      <c r="B30" s="718">
        <f>'BatPac Summary'!M$32</f>
        <v>1104</v>
      </c>
      <c r="C30" s="206">
        <f>'Mass and Cost System'!J26</f>
        <v>1578.6838427307503</v>
      </c>
      <c r="D30" s="206">
        <f>'Mass Contents'!D83</f>
        <v>9.2133217626375981</v>
      </c>
      <c r="E30" s="206">
        <f>'Mass Contents'!E83</f>
        <v>52.921252055041165</v>
      </c>
      <c r="F30" s="206">
        <f>'Mass Contents'!F83</f>
        <v>120.42532198675178</v>
      </c>
      <c r="G30" s="14">
        <f>'Mass Contents'!H83</f>
        <v>20.383052590921704</v>
      </c>
      <c r="H30" s="14">
        <f>'Mass Contents'!I83</f>
        <v>27.869184000000001</v>
      </c>
      <c r="I30" s="14">
        <f>'Mass Contents'!J83</f>
        <v>4.1761160089647884</v>
      </c>
      <c r="J30" s="206">
        <f>'Mass Contents'!K83</f>
        <v>381.3131836635053</v>
      </c>
      <c r="K30" s="206">
        <f>'Mass Contents'!L83</f>
        <v>89.308236750044856</v>
      </c>
      <c r="L30" s="13">
        <f>'BatPac Recycling'!F$97</f>
        <v>2.7240000000000002</v>
      </c>
      <c r="M30" s="13">
        <f>SUM(C30:L30)</f>
        <v>2287.0175115486177</v>
      </c>
      <c r="N30" s="14">
        <f>'Mass and Cost System'!K26</f>
        <v>2368.0097097960988</v>
      </c>
      <c r="O30" s="15">
        <f t="shared" si="1"/>
        <v>80.992198247481156</v>
      </c>
      <c r="T30" s="207"/>
      <c r="U30" s="206"/>
      <c r="V30" s="206"/>
      <c r="W30" s="206"/>
      <c r="X30" s="206"/>
    </row>
    <row r="31" spans="1:40" ht="18" customHeight="1" thickBot="1">
      <c r="A31" s="987" t="str">
        <f>'Mass Contents'!A27</f>
        <v>Li-DIB</v>
      </c>
      <c r="B31" s="1158">
        <f>'BatPac Summary'!N$32</f>
        <v>4032</v>
      </c>
      <c r="C31" s="1112">
        <f>'Mass and Cost System'!J27</f>
        <v>2749.8468864359429</v>
      </c>
      <c r="D31" s="1112">
        <f>'Mass Contents'!D84</f>
        <v>33.18837602318105</v>
      </c>
      <c r="E31" s="1112">
        <f>'Mass Contents'!E84</f>
        <v>186.3293780283696</v>
      </c>
      <c r="F31" s="1112">
        <f>'Mass Contents'!F84</f>
        <v>404.92912806289252</v>
      </c>
      <c r="G31" s="1094">
        <f>'Mass Contents'!H84</f>
        <v>73.424160288321531</v>
      </c>
      <c r="H31" s="1094">
        <f>'Mass Contents'!I84</f>
        <v>113.56692480000001</v>
      </c>
      <c r="I31" s="1094">
        <f>'Mass Contents'!J84</f>
        <v>0.95573194534668626</v>
      </c>
      <c r="J31" s="1112">
        <f>'Mass Contents'!K84</f>
        <v>1124.9392614532103</v>
      </c>
      <c r="K31" s="1112">
        <f>'Mass Contents'!L84</f>
        <v>238.16203359610256</v>
      </c>
      <c r="L31" s="94">
        <f>'BatPac Recycling'!F$97</f>
        <v>2.7240000000000002</v>
      </c>
      <c r="M31" s="94">
        <f>SUM(C31:L31)</f>
        <v>4928.0658806333677</v>
      </c>
      <c r="N31" s="1094">
        <f>'Mass and Cost System'!K27</f>
        <v>5207.7407954289874</v>
      </c>
      <c r="O31" s="122">
        <f t="shared" si="1"/>
        <v>279.67491479561977</v>
      </c>
      <c r="T31" s="207"/>
      <c r="U31" s="206"/>
      <c r="V31" s="206"/>
      <c r="W31" s="206"/>
      <c r="X31" s="206"/>
    </row>
    <row r="32" spans="1:40" ht="15.75" customHeight="1" thickBot="1">
      <c r="AM32" s="13"/>
      <c r="AN32" s="13"/>
    </row>
    <row r="33" spans="1:29" ht="15.75" customHeight="1">
      <c r="A33" s="724" t="s">
        <v>1485</v>
      </c>
      <c r="B33" s="547" t="s">
        <v>1486</v>
      </c>
      <c r="C33" s="547" t="s">
        <v>731</v>
      </c>
      <c r="D33" s="547" t="s">
        <v>1487</v>
      </c>
      <c r="E33" s="547" t="s">
        <v>1404</v>
      </c>
      <c r="F33" s="547" t="s">
        <v>1405</v>
      </c>
      <c r="G33" s="547" t="str">
        <f>K17</f>
        <v>Stainless steel in Pack</v>
      </c>
      <c r="H33" s="547" t="s">
        <v>829</v>
      </c>
      <c r="I33" s="701" t="s">
        <v>1488</v>
      </c>
      <c r="M33" s="548"/>
      <c r="P33" s="566"/>
      <c r="Q33" s="566"/>
      <c r="R33" s="566"/>
      <c r="S33" s="548"/>
      <c r="T33" s="566"/>
      <c r="U33" s="548"/>
      <c r="V33" s="466"/>
      <c r="X33" s="548"/>
      <c r="Y33" s="548"/>
      <c r="Z33" s="466"/>
      <c r="AA33" s="466"/>
      <c r="AB33" s="466"/>
    </row>
    <row r="34" spans="1:29" ht="15.75" customHeight="1">
      <c r="A34" s="725"/>
      <c r="B34" s="548"/>
      <c r="C34" s="548"/>
      <c r="D34" s="548"/>
      <c r="E34" s="548"/>
      <c r="F34" s="548"/>
      <c r="G34" s="548"/>
      <c r="H34" s="548"/>
      <c r="I34" s="702"/>
      <c r="M34" s="548"/>
      <c r="P34" s="566"/>
      <c r="Q34" s="566"/>
      <c r="R34" s="566"/>
      <c r="S34" s="548"/>
      <c r="T34" s="566"/>
      <c r="U34" s="548"/>
      <c r="V34" s="466"/>
      <c r="X34" s="548"/>
      <c r="Y34" s="548"/>
      <c r="Z34" s="466"/>
      <c r="AA34" s="466"/>
      <c r="AB34" s="466"/>
    </row>
    <row r="35" spans="1:29" ht="15.75" customHeight="1">
      <c r="A35" s="725"/>
      <c r="B35" s="548"/>
      <c r="C35" s="548"/>
      <c r="D35" s="548"/>
      <c r="E35" s="548"/>
      <c r="F35" s="548"/>
      <c r="G35" s="548"/>
      <c r="H35" s="548"/>
      <c r="I35" s="702"/>
      <c r="M35" s="548"/>
      <c r="P35" s="566"/>
      <c r="Q35" s="566"/>
      <c r="R35" s="566"/>
      <c r="S35" s="548"/>
      <c r="T35" s="566"/>
      <c r="U35" s="548"/>
      <c r="V35" s="466"/>
      <c r="X35" s="548"/>
      <c r="Y35" s="548"/>
      <c r="Z35" s="132"/>
      <c r="AA35" s="132"/>
      <c r="AB35" s="132"/>
      <c r="AC35" s="119"/>
    </row>
    <row r="36" spans="1:29" ht="15.75" customHeight="1">
      <c r="A36" s="725"/>
      <c r="B36" s="548"/>
      <c r="C36" s="548"/>
      <c r="D36" s="548"/>
      <c r="E36" s="548"/>
      <c r="F36" s="548"/>
      <c r="G36" s="548"/>
      <c r="H36" s="548"/>
      <c r="I36" s="702"/>
      <c r="M36" s="548"/>
      <c r="P36" s="566"/>
      <c r="Q36" s="566"/>
      <c r="R36" s="566"/>
      <c r="S36" s="548"/>
      <c r="T36" s="566"/>
      <c r="U36" s="548"/>
      <c r="V36" s="466"/>
      <c r="X36" s="552"/>
      <c r="Y36" s="553"/>
      <c r="Z36" s="133"/>
      <c r="AA36" s="133"/>
      <c r="AB36" s="133"/>
      <c r="AC36" s="117"/>
    </row>
    <row r="37" spans="1:29" ht="16.5" customHeight="1">
      <c r="A37" s="725"/>
      <c r="B37" s="548"/>
      <c r="C37" s="548"/>
      <c r="D37" s="548"/>
      <c r="E37" s="548"/>
      <c r="F37" s="548"/>
      <c r="G37" s="548"/>
      <c r="H37" s="548"/>
      <c r="I37" s="702"/>
      <c r="M37" s="548"/>
      <c r="P37" s="566"/>
      <c r="Q37" s="566"/>
      <c r="R37" s="566"/>
      <c r="S37" s="548"/>
      <c r="T37" s="566"/>
      <c r="U37" s="548"/>
      <c r="V37" s="466"/>
      <c r="X37" s="552"/>
      <c r="Y37" s="553"/>
      <c r="Z37" s="133"/>
      <c r="AA37" s="133"/>
      <c r="AB37" s="133"/>
      <c r="AC37" s="117"/>
    </row>
    <row r="38" spans="1:29" ht="17.25" customHeight="1">
      <c r="A38" s="726"/>
      <c r="B38" s="471" t="s">
        <v>546</v>
      </c>
      <c r="C38" s="471" t="s">
        <v>546</v>
      </c>
      <c r="D38" s="471" t="s">
        <v>546</v>
      </c>
      <c r="E38" s="471" t="s">
        <v>546</v>
      </c>
      <c r="F38" s="471" t="s">
        <v>546</v>
      </c>
      <c r="G38" s="471" t="s">
        <v>546</v>
      </c>
      <c r="H38" s="471" t="s">
        <v>546</v>
      </c>
      <c r="I38" s="698" t="s">
        <v>546</v>
      </c>
      <c r="M38" s="471"/>
      <c r="P38" s="466"/>
      <c r="Q38" s="466"/>
      <c r="R38" s="466"/>
      <c r="S38" s="466"/>
      <c r="T38" s="466"/>
      <c r="U38" s="471"/>
      <c r="V38" s="471"/>
      <c r="X38" s="552"/>
      <c r="Y38" s="553"/>
      <c r="Z38" s="133"/>
      <c r="AA38" s="133"/>
      <c r="AB38" s="134"/>
    </row>
    <row r="39" spans="1:29" ht="16.5" customHeight="1">
      <c r="A39" s="145" t="str">
        <f t="shared" ref="A39:A47" si="2">A23</f>
        <v>Al-gra</v>
      </c>
      <c r="B39" s="1156">
        <f>'Mass and Cost System'!L19</f>
        <v>417.84782157181979</v>
      </c>
      <c r="C39" s="1101">
        <f>C23/$B39</f>
        <v>19.027615046218848</v>
      </c>
      <c r="D39" s="1101">
        <f>(D23+E23+F23)/$B39</f>
        <v>3.9685958114728526</v>
      </c>
      <c r="E39" s="1101">
        <f>(G23+H23+I23)/$B39</f>
        <v>0.66814610151495191</v>
      </c>
      <c r="F39" s="1101">
        <f>(J23)/$B39</f>
        <v>5.9108668286353181</v>
      </c>
      <c r="G39" s="1101">
        <f>K23/$B39</f>
        <v>1.0772779433212158</v>
      </c>
      <c r="H39" s="1101">
        <f>L23/B39</f>
        <v>6.5191197832577385E-3</v>
      </c>
      <c r="I39" s="1203">
        <f>M23/$B39</f>
        <v>30.659020850946444</v>
      </c>
      <c r="M39" s="206"/>
      <c r="P39" s="13"/>
      <c r="Q39" s="13"/>
      <c r="R39" s="13"/>
      <c r="S39" s="13"/>
      <c r="T39" s="13"/>
      <c r="U39" s="206"/>
      <c r="V39" s="206"/>
      <c r="X39" s="552"/>
      <c r="Y39" s="553"/>
      <c r="Z39" s="133"/>
      <c r="AA39" s="133"/>
      <c r="AB39" s="133"/>
      <c r="AC39" s="201"/>
    </row>
    <row r="40" spans="1:29" ht="16.5" customHeight="1">
      <c r="A40" s="314" t="str">
        <f t="shared" si="2"/>
        <v>Al-PPQ</v>
      </c>
      <c r="B40" s="718">
        <f>'Mass and Cost System'!L20</f>
        <v>411.8487411224117</v>
      </c>
      <c r="C40" s="206">
        <f t="shared" ref="C40:C47" si="3">C24/$B40</f>
        <v>8.0870018262725178</v>
      </c>
      <c r="D40" s="206">
        <f>(D24+E24+F24)/$B40</f>
        <v>1.4647028048919362</v>
      </c>
      <c r="E40" s="206">
        <f>(G24+H24+I24)/$B40</f>
        <v>0.23015237443265521</v>
      </c>
      <c r="F40" s="206">
        <f>(J24)/$B40</f>
        <v>2.4879632765187218</v>
      </c>
      <c r="G40" s="206">
        <f>K24/$B40</f>
        <v>0.52961921331102946</v>
      </c>
      <c r="H40" s="206">
        <f>L24/B40</f>
        <v>6.6140787333142763E-3</v>
      </c>
      <c r="I40" s="696">
        <f>M24/$B40</f>
        <v>12.806053574160176</v>
      </c>
      <c r="M40" s="206"/>
      <c r="P40" s="13"/>
      <c r="Q40" s="13"/>
      <c r="R40" s="13"/>
      <c r="S40" s="13"/>
      <c r="T40" s="13"/>
      <c r="U40" s="206"/>
      <c r="V40" s="206"/>
      <c r="X40" s="552"/>
      <c r="Y40" s="553"/>
      <c r="Z40" s="133"/>
      <c r="AA40" s="133"/>
      <c r="AB40" s="133"/>
      <c r="AC40" s="117"/>
    </row>
    <row r="41" spans="1:29" ht="16.5" customHeight="1">
      <c r="A41" s="145" t="str">
        <f t="shared" si="2"/>
        <v>Al-PBQS</v>
      </c>
      <c r="B41" s="1157">
        <f>'Mass and Cost System'!L21</f>
        <v>412.5442858401866</v>
      </c>
      <c r="C41" s="165">
        <f t="shared" si="3"/>
        <v>5.0790421618250088</v>
      </c>
      <c r="D41" s="165">
        <f>(D25+E25+F25)/$B41</f>
        <v>0.96471804799178829</v>
      </c>
      <c r="E41" s="165">
        <f>(G25+H25+I25)/$B41</f>
        <v>0.14987805834957932</v>
      </c>
      <c r="F41" s="165">
        <f>(J25)/$B41</f>
        <v>1.8439622955739237</v>
      </c>
      <c r="G41" s="165">
        <f>K25/$B41</f>
        <v>0.43522202025788248</v>
      </c>
      <c r="H41" s="165">
        <f t="shared" ref="H40:H47" si="4">(L25)/B41</f>
        <v>6.6029274759006997E-3</v>
      </c>
      <c r="I41" s="168">
        <f>M25/$B41</f>
        <v>8.4794255114740835</v>
      </c>
      <c r="M41" s="206"/>
      <c r="P41" s="13"/>
      <c r="Q41" s="13"/>
      <c r="R41" s="13"/>
      <c r="S41" s="13"/>
      <c r="T41" s="13"/>
      <c r="U41" s="206"/>
      <c r="V41" s="206"/>
      <c r="X41" s="552"/>
      <c r="Y41" s="553"/>
      <c r="Z41" s="133"/>
      <c r="AA41" s="133"/>
      <c r="AB41" s="133"/>
      <c r="AC41" s="117"/>
    </row>
    <row r="42" spans="1:29">
      <c r="A42" s="314" t="str">
        <f t="shared" si="2"/>
        <v>Al-TiO2</v>
      </c>
      <c r="B42" s="718">
        <f>'Mass and Cost System'!L22</f>
        <v>410.89651930476776</v>
      </c>
      <c r="C42" s="206">
        <f t="shared" si="3"/>
        <v>18.561748506759564</v>
      </c>
      <c r="D42" s="206">
        <f>(D26+E26+F26)/$B42</f>
        <v>1.6010993589128379</v>
      </c>
      <c r="E42" s="206">
        <f>(G26+H26+I26)/$B42</f>
        <v>0.25217547884172253</v>
      </c>
      <c r="F42" s="206">
        <f>(J26)/$B42</f>
        <v>2.8471259692745257</v>
      </c>
      <c r="G42" s="206">
        <f>K26/$B42</f>
        <v>0.6200261954593661</v>
      </c>
      <c r="H42" s="206">
        <f t="shared" si="4"/>
        <v>6.6294063639404325E-3</v>
      </c>
      <c r="I42" s="696">
        <f>M26/$B42</f>
        <v>23.888804915611956</v>
      </c>
      <c r="M42" s="206"/>
      <c r="P42" s="13"/>
      <c r="Q42" s="13"/>
      <c r="R42" s="13"/>
      <c r="S42" s="13"/>
      <c r="T42" s="13"/>
      <c r="U42" s="206"/>
      <c r="V42" s="206"/>
      <c r="X42" s="553"/>
      <c r="Y42" s="553"/>
      <c r="Z42" s="133"/>
      <c r="AA42" s="133"/>
      <c r="AB42" s="133"/>
      <c r="AC42" s="117"/>
    </row>
    <row r="43" spans="1:29">
      <c r="A43" s="145" t="str">
        <f t="shared" si="2"/>
        <v>Al-V2C</v>
      </c>
      <c r="B43" s="1157">
        <f>'Mass and Cost System'!L23</f>
        <v>413.31590349441359</v>
      </c>
      <c r="C43" s="165">
        <f t="shared" si="3"/>
        <v>11.205156714684286</v>
      </c>
      <c r="D43" s="165">
        <f>(D27+E27+F27)/$B43</f>
        <v>1.111180911926378</v>
      </c>
      <c r="E43" s="165">
        <f>(G27+H27+I27)/$B43</f>
        <v>0.18258885609538172</v>
      </c>
      <c r="F43" s="165">
        <f>(J27)/$B43</f>
        <v>1.9130176044852218</v>
      </c>
      <c r="G43" s="165">
        <f>K27/$B43</f>
        <v>0.40672954629686453</v>
      </c>
      <c r="H43" s="165">
        <f t="shared" si="4"/>
        <v>6.5906004994477985E-3</v>
      </c>
      <c r="I43" s="168">
        <f>M27/$B43</f>
        <v>14.825264233987584</v>
      </c>
      <c r="M43" s="206"/>
      <c r="P43" s="13"/>
      <c r="Q43" s="13"/>
      <c r="R43" s="13"/>
      <c r="S43" s="13"/>
      <c r="T43" s="13"/>
      <c r="U43" s="206"/>
      <c r="V43" s="206"/>
      <c r="X43" s="117"/>
      <c r="Y43" s="117"/>
      <c r="Z43" s="117"/>
      <c r="AA43" s="117"/>
      <c r="AB43" s="117"/>
      <c r="AC43" s="117"/>
    </row>
    <row r="44" spans="1:29">
      <c r="A44" s="314" t="str">
        <f t="shared" si="2"/>
        <v>Al-MnO2</v>
      </c>
      <c r="B44" s="718">
        <f>'Mass and Cost System'!L24</f>
        <v>412.50472512225321</v>
      </c>
      <c r="C44" s="206">
        <f t="shared" si="3"/>
        <v>3.6841190695495714</v>
      </c>
      <c r="D44" s="206">
        <f>(D28+E28+F28)/$B44</f>
        <v>0.31898781146386734</v>
      </c>
      <c r="E44" s="206">
        <f>(G28+H28+I28)/$B44</f>
        <v>3.3302206117092274E-2</v>
      </c>
      <c r="F44" s="206">
        <f>(J28)/$B44</f>
        <v>0.57013544292327045</v>
      </c>
      <c r="G44" s="206">
        <f>K28/$B44</f>
        <v>0.11594412710056322</v>
      </c>
      <c r="H44" s="206">
        <f t="shared" si="4"/>
        <v>6.6035607208928182E-3</v>
      </c>
      <c r="I44" s="696">
        <f>M28/$B44</f>
        <v>4.7290922178752579</v>
      </c>
      <c r="M44" s="206"/>
      <c r="P44" s="13"/>
      <c r="Q44" s="13"/>
      <c r="R44" s="13"/>
      <c r="S44" s="13"/>
      <c r="T44" s="13"/>
      <c r="U44" s="206"/>
      <c r="V44" s="206"/>
      <c r="X44" s="117"/>
      <c r="Y44" s="117"/>
      <c r="Z44" s="117"/>
      <c r="AA44" s="117"/>
      <c r="AB44" s="117"/>
      <c r="AC44" s="117"/>
    </row>
    <row r="45" spans="1:29">
      <c r="A45" s="145" t="str">
        <f t="shared" si="2"/>
        <v>LIB-NMC</v>
      </c>
      <c r="B45" s="1157">
        <f>'Mass and Cost System'!L25</f>
        <v>413.56693292688902</v>
      </c>
      <c r="C45" s="165">
        <f t="shared" si="3"/>
        <v>2.8031746893129248</v>
      </c>
      <c r="D45" s="165">
        <f>(D29+E29+F29)/$B45</f>
        <v>0.31746129595798656</v>
      </c>
      <c r="E45" s="165">
        <f>(G29+H29+I29)/$B45</f>
        <v>8.8508691310704754E-2</v>
      </c>
      <c r="F45" s="165">
        <f>(J29)/$B45</f>
        <v>0.67069893469032504</v>
      </c>
      <c r="G45" s="165">
        <f>K29/$B45</f>
        <v>0.15491737195689106</v>
      </c>
      <c r="H45" s="165">
        <f t="shared" si="4"/>
        <v>6.5866000957130509E-3</v>
      </c>
      <c r="I45" s="168">
        <f>M29/$B45</f>
        <v>4.041347583324546</v>
      </c>
      <c r="M45" s="206"/>
      <c r="P45" s="13"/>
      <c r="Q45" s="13"/>
      <c r="R45" s="13"/>
      <c r="S45" s="13"/>
      <c r="T45" s="13"/>
      <c r="U45" s="206"/>
      <c r="V45" s="206"/>
    </row>
    <row r="46" spans="1:29">
      <c r="A46" s="314" t="str">
        <f t="shared" si="2"/>
        <v>LIB-LFP</v>
      </c>
      <c r="B46" s="718">
        <f>'Mass and Cost System'!L26</f>
        <v>412.75776749123605</v>
      </c>
      <c r="C46" s="206">
        <f t="shared" si="3"/>
        <v>3.824722311892701</v>
      </c>
      <c r="D46" s="206">
        <f>(D30+E30+F30)/$B46</f>
        <v>0.44229305947175607</v>
      </c>
      <c r="E46" s="206">
        <f>(G30+H30+I30)/$B46</f>
        <v>0.12701966317568983</v>
      </c>
      <c r="F46" s="206">
        <f>(J30)/$B46</f>
        <v>0.92381831111537249</v>
      </c>
      <c r="G46" s="206">
        <f>K30/$B46</f>
        <v>0.21636960896669524</v>
      </c>
      <c r="H46" s="206">
        <f t="shared" si="4"/>
        <v>6.5995123884805829E-3</v>
      </c>
      <c r="I46" s="696">
        <f>M30/$B46</f>
        <v>5.5408224670106954</v>
      </c>
      <c r="L46" s="13"/>
      <c r="M46" s="13"/>
      <c r="N46" s="13"/>
      <c r="O46" s="13"/>
      <c r="P46" s="13"/>
      <c r="Q46" s="13"/>
      <c r="R46" s="13"/>
      <c r="S46" s="13"/>
      <c r="T46" s="13"/>
      <c r="U46" s="206"/>
      <c r="V46" s="206"/>
    </row>
    <row r="47" spans="1:29" ht="17" thickBot="1">
      <c r="A47" s="987" t="str">
        <f t="shared" si="2"/>
        <v>Li-DIB</v>
      </c>
      <c r="B47" s="1158">
        <f>'Mass and Cost System'!L27</f>
        <v>411.82706798229566</v>
      </c>
      <c r="C47" s="1112">
        <f t="shared" si="3"/>
        <v>6.677188315737804</v>
      </c>
      <c r="D47" s="1112">
        <f>(D31+E31+F31)/$B47</f>
        <v>1.5162842140849468</v>
      </c>
      <c r="E47" s="1112">
        <f>(G31+H31+I31)/$B47</f>
        <v>0.45637315185350569</v>
      </c>
      <c r="F47" s="1112">
        <f>(J31)/$B47</f>
        <v>2.7315816489788651</v>
      </c>
      <c r="G47" s="1112">
        <f>K31/$B47</f>
        <v>0.57830592525875713</v>
      </c>
      <c r="H47" s="1112">
        <f t="shared" si="4"/>
        <v>6.6144268111029171E-3</v>
      </c>
      <c r="I47" s="1204">
        <f>M31/$B47</f>
        <v>11.966347682724983</v>
      </c>
      <c r="L47" s="13"/>
      <c r="M47" s="13"/>
      <c r="N47" s="13"/>
      <c r="O47" s="13"/>
      <c r="P47" s="13"/>
      <c r="Q47" s="13"/>
      <c r="R47" s="13"/>
      <c r="S47" s="13"/>
      <c r="T47" s="13"/>
      <c r="U47" s="206"/>
      <c r="V47" s="206"/>
    </row>
    <row r="48" spans="1:29" ht="17" thickBot="1">
      <c r="A48" s="98"/>
      <c r="B48" s="466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4"/>
      <c r="V48" s="14"/>
    </row>
    <row r="49" spans="1:27" ht="16" customHeight="1">
      <c r="A49" s="724" t="s">
        <v>568</v>
      </c>
      <c r="B49" s="547" t="s">
        <v>1489</v>
      </c>
      <c r="C49" s="547" t="s">
        <v>731</v>
      </c>
      <c r="D49" s="547" t="s">
        <v>1487</v>
      </c>
      <c r="E49" s="547" t="s">
        <v>1404</v>
      </c>
      <c r="F49" s="547" t="s">
        <v>830</v>
      </c>
      <c r="G49" s="547" t="s">
        <v>572</v>
      </c>
      <c r="H49" s="547" t="s">
        <v>1409</v>
      </c>
      <c r="I49" s="547" t="s">
        <v>829</v>
      </c>
      <c r="J49" s="547" t="s">
        <v>831</v>
      </c>
      <c r="K49" s="547" t="s">
        <v>931</v>
      </c>
      <c r="L49" s="547" t="s">
        <v>569</v>
      </c>
      <c r="M49" s="547" t="s">
        <v>570</v>
      </c>
      <c r="N49" s="547" t="s">
        <v>1490</v>
      </c>
      <c r="O49" s="701" t="s">
        <v>571</v>
      </c>
      <c r="U49" s="548"/>
      <c r="V49" s="548"/>
    </row>
    <row r="50" spans="1:27">
      <c r="A50" s="725"/>
      <c r="B50" s="548"/>
      <c r="C50" s="548"/>
      <c r="D50" s="548"/>
      <c r="E50" s="548"/>
      <c r="F50" s="548"/>
      <c r="G50" s="548"/>
      <c r="H50" s="548"/>
      <c r="I50" s="548"/>
      <c r="J50" s="548"/>
      <c r="K50" s="548"/>
      <c r="L50" s="548"/>
      <c r="M50" s="548"/>
      <c r="N50" s="548"/>
      <c r="O50" s="702"/>
      <c r="U50" s="548"/>
      <c r="V50" s="548"/>
    </row>
    <row r="51" spans="1:27">
      <c r="A51" s="725"/>
      <c r="B51" s="548"/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702"/>
      <c r="U51" s="548"/>
      <c r="V51" s="548"/>
    </row>
    <row r="52" spans="1:27">
      <c r="A52" s="725"/>
      <c r="B52" s="548"/>
      <c r="C52" s="548"/>
      <c r="D52" s="548"/>
      <c r="E52" s="548"/>
      <c r="F52" s="548"/>
      <c r="G52" s="548"/>
      <c r="H52" s="548"/>
      <c r="I52" s="548"/>
      <c r="J52" s="548"/>
      <c r="K52" s="548"/>
      <c r="L52" s="548"/>
      <c r="M52" s="548"/>
      <c r="N52" s="548"/>
      <c r="O52" s="702"/>
      <c r="U52" s="548"/>
      <c r="V52" s="548"/>
    </row>
    <row r="53" spans="1:27" ht="15.75" customHeight="1">
      <c r="A53" s="725"/>
      <c r="B53" s="548"/>
      <c r="C53" s="548"/>
      <c r="D53" s="548"/>
      <c r="E53" s="548"/>
      <c r="F53" s="548"/>
      <c r="G53" s="548"/>
      <c r="H53" s="548"/>
      <c r="I53" s="548"/>
      <c r="J53" s="548"/>
      <c r="K53" s="548"/>
      <c r="L53" s="548"/>
      <c r="M53" s="548"/>
      <c r="N53" s="548"/>
      <c r="O53" s="702"/>
      <c r="U53" s="548"/>
      <c r="V53" s="548"/>
    </row>
    <row r="54" spans="1:27" ht="16.5" customHeight="1">
      <c r="A54" s="726"/>
      <c r="B54" s="471"/>
      <c r="C54" s="471" t="s">
        <v>284</v>
      </c>
      <c r="D54" s="471" t="s">
        <v>284</v>
      </c>
      <c r="E54" s="471" t="s">
        <v>284</v>
      </c>
      <c r="F54" s="471" t="s">
        <v>284</v>
      </c>
      <c r="G54" s="471" t="s">
        <v>284</v>
      </c>
      <c r="H54" s="471" t="s">
        <v>284</v>
      </c>
      <c r="I54" s="471" t="s">
        <v>284</v>
      </c>
      <c r="J54" s="471" t="s">
        <v>284</v>
      </c>
      <c r="K54" s="471" t="s">
        <v>284</v>
      </c>
      <c r="L54" s="471" t="s">
        <v>284</v>
      </c>
      <c r="M54" s="471" t="s">
        <v>284</v>
      </c>
      <c r="N54" s="471" t="s">
        <v>284</v>
      </c>
      <c r="O54" s="698" t="s">
        <v>284</v>
      </c>
      <c r="U54" s="471"/>
      <c r="V54" s="471"/>
      <c r="X54" s="548"/>
      <c r="Y54" s="548"/>
      <c r="Z54" s="466"/>
      <c r="AA54" s="14"/>
    </row>
    <row r="55" spans="1:27" ht="16.5" customHeight="1">
      <c r="A55" s="145" t="str">
        <f t="shared" ref="A55:A63" si="5">A39</f>
        <v>Al-gra</v>
      </c>
      <c r="B55" s="1156">
        <f>'Mass and Cost System'!D34</f>
        <v>2.130093425332384</v>
      </c>
      <c r="C55" s="1101">
        <f>B55*C23</f>
        <v>16935.621960004573</v>
      </c>
      <c r="D55" s="1101">
        <f>B55*(D23+E23+F23)</f>
        <v>3532.2681382771534</v>
      </c>
      <c r="E55" s="1101">
        <f>B55*(G23+H23+I23)</f>
        <v>594.68670991200577</v>
      </c>
      <c r="F55" s="1101">
        <f>B55*'Mass and Cost System'!D$8+'Mass and Cost System'!D$9</f>
        <v>158.34168165598291</v>
      </c>
      <c r="G55" s="1101">
        <f>B55*(J23)+'Mass and Cost System'!D$7</f>
        <v>11460.995969412967</v>
      </c>
      <c r="H55" s="1101">
        <f>B55*(K23)</f>
        <v>958.83650944288206</v>
      </c>
      <c r="I55" s="1101">
        <f>B55*(L23)</f>
        <v>5.8023744906054144</v>
      </c>
      <c r="J55" s="1101">
        <f>'Mass and Cost System'!O34+'Mass and Cost System'!K34</f>
        <v>115.22851142238778</v>
      </c>
      <c r="K55" s="1101">
        <f>'Mass and Cost System'!L34</f>
        <v>140.72668580573912</v>
      </c>
      <c r="L55" s="1101">
        <f>SUM(C55:K55)</f>
        <v>33902.508540424293</v>
      </c>
      <c r="M55" s="1101">
        <f>'Mass and Cost System'!P34</f>
        <v>35588.009277800375</v>
      </c>
      <c r="N55" s="991">
        <f>M55-L55</f>
        <v>1685.5007373760818</v>
      </c>
      <c r="O55" s="1203">
        <f>B55*O23</f>
        <v>1685.500737376082</v>
      </c>
      <c r="U55" s="206"/>
      <c r="V55" s="206"/>
      <c r="X55" s="548"/>
      <c r="Y55" s="548"/>
      <c r="Z55" s="466"/>
      <c r="AA55" s="14"/>
    </row>
    <row r="56" spans="1:27" ht="16.5" customHeight="1">
      <c r="A56" s="314" t="str">
        <f t="shared" si="5"/>
        <v>Al-PPQ</v>
      </c>
      <c r="B56" s="718">
        <f>'Mass and Cost System'!D35</f>
        <v>5.8939661215450876</v>
      </c>
      <c r="C56" s="206">
        <f t="shared" ref="C56:C63" si="6">B56*C24</f>
        <v>19630.570412028708</v>
      </c>
      <c r="D56" s="206">
        <f>B56*(D24+E24+F24)</f>
        <v>3555.452584506214</v>
      </c>
      <c r="E56" s="206">
        <f>B56*(G24+H24+I24)</f>
        <v>558.67705842701571</v>
      </c>
      <c r="F56" s="206">
        <f>B56*'Mass and Cost System'!D$8+'Mass and Cost System'!D$9</f>
        <v>226.09139018781158</v>
      </c>
      <c r="G56" s="206">
        <f>B56*(J24)+'Mass and Cost System'!D$7</f>
        <v>12239.338104706963</v>
      </c>
      <c r="H56" s="206">
        <f>B56*(K24)</f>
        <v>1285.6096093226063</v>
      </c>
      <c r="I56" s="206">
        <f>B56*(L24)</f>
        <v>16.05516371508882</v>
      </c>
      <c r="J56" s="206">
        <f>'Mass and Cost System'!O35+'Mass and Cost System'!K35</f>
        <v>314.25958691116131</v>
      </c>
      <c r="K56" s="206">
        <f>'Mass and Cost System'!L35</f>
        <v>383.80006478236879</v>
      </c>
      <c r="L56" s="206">
        <f t="shared" ref="L56:L63" si="7">SUM(C56:K56)</f>
        <v>38209.853974587939</v>
      </c>
      <c r="M56" s="206">
        <f>'Mass and Cost System'!P35</f>
        <v>39659.003834098963</v>
      </c>
      <c r="N56" s="13">
        <f t="shared" ref="N56:N57" si="8">M56-L56</f>
        <v>1449.1498595110243</v>
      </c>
      <c r="O56" s="696">
        <f>B56*O24</f>
        <v>1448.7383705743694</v>
      </c>
      <c r="U56" s="206"/>
      <c r="V56" s="206"/>
      <c r="X56" s="548"/>
      <c r="Y56" s="548"/>
      <c r="Z56" s="132"/>
    </row>
    <row r="57" spans="1:27" ht="16.5" customHeight="1">
      <c r="A57" s="145" t="str">
        <f t="shared" si="5"/>
        <v>Al-PBQS</v>
      </c>
      <c r="B57" s="1157">
        <f>'Mass and Cost System'!D36</f>
        <v>9.0096883586355663</v>
      </c>
      <c r="C57" s="165">
        <f t="shared" si="6"/>
        <v>18878.268699390203</v>
      </c>
      <c r="D57" s="165">
        <f>B57*(D25+E25+F25)</f>
        <v>3585.756122685179</v>
      </c>
      <c r="E57" s="165">
        <f>B57*(G25+H25+I25)</f>
        <v>557.0810730678329</v>
      </c>
      <c r="F57" s="165">
        <f>B57*'Mass and Cost System'!D$8+'Mass and Cost System'!D$9</f>
        <v>282.17439045544018</v>
      </c>
      <c r="G57" s="165">
        <f>B57*(J25)+'Mass and Cost System'!D$7</f>
        <v>13053.815065571465</v>
      </c>
      <c r="H57" s="165">
        <f>B57*(K25)</f>
        <v>1617.674746643072</v>
      </c>
      <c r="I57" s="165">
        <f>B57*(L25)</f>
        <v>24.542391088923285</v>
      </c>
      <c r="J57" s="165">
        <f>'Mass and Cost System'!O36+'Mass and Cost System'!K36</f>
        <v>481.19765528906777</v>
      </c>
      <c r="K57" s="165">
        <f>'Mass and Cost System'!L36</f>
        <v>587.67878201684528</v>
      </c>
      <c r="L57" s="165">
        <f t="shared" si="7"/>
        <v>39068.188926208029</v>
      </c>
      <c r="M57" s="165">
        <f>'Mass and Cost System'!P36</f>
        <v>40840.699521636481</v>
      </c>
      <c r="N57" s="90">
        <f t="shared" si="8"/>
        <v>1772.5105954284518</v>
      </c>
      <c r="O57" s="168">
        <f>B57*O25</f>
        <v>1771.8805191483848</v>
      </c>
      <c r="U57" s="206"/>
      <c r="V57" s="206"/>
      <c r="X57" s="553"/>
      <c r="Y57" s="553"/>
      <c r="Z57" s="133"/>
    </row>
    <row r="58" spans="1:27" ht="16.5" customHeight="1">
      <c r="A58" s="314" t="str">
        <f t="shared" si="5"/>
        <v>Al-TiO2</v>
      </c>
      <c r="B58" s="718">
        <f>'Mass and Cost System'!D37</f>
        <v>5.0699250963832165</v>
      </c>
      <c r="C58" s="206">
        <f t="shared" si="6"/>
        <v>38668.105031216241</v>
      </c>
      <c r="D58" s="206">
        <f>B58*(D26+E26+F26)</f>
        <v>3335.433520894248</v>
      </c>
      <c r="E58" s="206">
        <f>B58*(G26+H26+I26)</f>
        <v>525.33563304114034</v>
      </c>
      <c r="F58" s="206">
        <f>B58*'Mass and Cost System'!D$8+'Mass and Cost System'!D$9</f>
        <v>211.25865173489791</v>
      </c>
      <c r="G58" s="206">
        <f>B58*(J26)+'Mass and Cost System'!D$7</f>
        <v>12131.174316736302</v>
      </c>
      <c r="H58" s="206">
        <f>B58*(K26)</f>
        <v>1291.6476074114032</v>
      </c>
      <c r="I58" s="206">
        <f>B58*(L26)</f>
        <v>13.810475962547883</v>
      </c>
      <c r="J58" s="206">
        <f>'Mass and Cost System'!O37+'Mass and Cost System'!K37</f>
        <v>269.6976502766949</v>
      </c>
      <c r="K58" s="206">
        <f>'Mass and Cost System'!L37</f>
        <v>329.37730449289239</v>
      </c>
      <c r="L58" s="206">
        <f t="shared" si="7"/>
        <v>56775.840191766365</v>
      </c>
      <c r="M58" s="206">
        <f>'Mass and Cost System'!P37</f>
        <v>58684.246143734468</v>
      </c>
      <c r="N58" s="13">
        <f t="shared" ref="N58:N63" si="9">M58-L58</f>
        <v>1908.4059519681032</v>
      </c>
      <c r="O58" s="696">
        <f>B58*O26</f>
        <v>1908.0528120673571</v>
      </c>
      <c r="U58" s="206"/>
      <c r="V58" s="206"/>
      <c r="X58" s="553"/>
      <c r="Y58" s="553"/>
      <c r="Z58" s="133"/>
    </row>
    <row r="59" spans="1:27" ht="16.5" customHeight="1">
      <c r="A59" s="145" t="str">
        <f t="shared" si="5"/>
        <v>Al-V2C</v>
      </c>
      <c r="B59" s="1157">
        <f>'Mass and Cost System'!D38</f>
        <v>7.7438860380277603</v>
      </c>
      <c r="C59" s="165">
        <f t="shared" si="6"/>
        <v>35864.022997347405</v>
      </c>
      <c r="D59" s="165">
        <f>B59*(D27+E27+F27)</f>
        <v>3556.5248032020877</v>
      </c>
      <c r="E59" s="165">
        <f>B59*(G27+H27+I27)</f>
        <v>584.40690307191585</v>
      </c>
      <c r="F59" s="165">
        <f>B59*'Mass and Cost System'!D$8+'Mass and Cost System'!D$9</f>
        <v>259.3899486844997</v>
      </c>
      <c r="G59" s="165">
        <f>B59*(J27)+'Mass and Cost System'!D$7</f>
        <v>12322.940455770462</v>
      </c>
      <c r="H59" s="165">
        <f>B59*(K27)</f>
        <v>1301.8075671333816</v>
      </c>
      <c r="I59" s="165">
        <f>B59*(L27)</f>
        <v>21.09434556758762</v>
      </c>
      <c r="J59" s="165">
        <f>'Mass and Cost System'!O38+'Mass and Cost System'!K38</f>
        <v>414.3661084509817</v>
      </c>
      <c r="K59" s="165">
        <f>'Mass and Cost System'!L38</f>
        <v>506.05851305997697</v>
      </c>
      <c r="L59" s="165">
        <f t="shared" si="7"/>
        <v>54830.611642288299</v>
      </c>
      <c r="M59" s="165">
        <f>'Mass and Cost System'!P38</f>
        <v>56591.627263751579</v>
      </c>
      <c r="N59" s="90">
        <f t="shared" si="9"/>
        <v>1761.0156214632807</v>
      </c>
      <c r="O59" s="168">
        <f>B59*O27</f>
        <v>1760.4730538648441</v>
      </c>
      <c r="U59" s="206"/>
      <c r="V59" s="206"/>
      <c r="X59" s="553"/>
      <c r="Y59" s="553"/>
      <c r="Z59" s="134"/>
    </row>
    <row r="60" spans="1:27" ht="15.75" customHeight="1">
      <c r="A60" s="314" t="str">
        <f t="shared" si="5"/>
        <v>Al-MnO2</v>
      </c>
      <c r="B60" s="718">
        <f>'Mass and Cost System'!D39</f>
        <v>27.328736681291375</v>
      </c>
      <c r="C60" s="206">
        <f t="shared" si="6"/>
        <v>41531.932717396339</v>
      </c>
      <c r="D60" s="206">
        <f>B60*(D28+E28+F28)</f>
        <v>3596.0239268288901</v>
      </c>
      <c r="E60" s="206">
        <f>B60*(G28+H28+I28)</f>
        <v>375.4235293934305</v>
      </c>
      <c r="F60" s="206">
        <f>B60*'Mass and Cost System'!D$8+'Mass and Cost System'!D$9</f>
        <v>611.91726026324477</v>
      </c>
      <c r="G60" s="206">
        <f>B60*(J28)+'Mass and Cost System'!D$7</f>
        <v>12627.269696847028</v>
      </c>
      <c r="H60" s="206">
        <f>B60*(K28)</f>
        <v>1307.0651612534828</v>
      </c>
      <c r="I60" s="206">
        <f>B60*(L28)</f>
        <v>74.443478719837714</v>
      </c>
      <c r="J60" s="206">
        <f>'Mass and Cost System'!O39+'Mass and Cost System'!K39</f>
        <v>1459.4581329600605</v>
      </c>
      <c r="K60" s="206">
        <f>'Mass and Cost System'!L39</f>
        <v>1782.4122136823578</v>
      </c>
      <c r="L60" s="206">
        <f t="shared" si="7"/>
        <v>63365.946117344683</v>
      </c>
      <c r="M60" s="206">
        <f>'Mass and Cost System'!P39</f>
        <v>65304.626169243747</v>
      </c>
      <c r="N60" s="13">
        <f t="shared" si="9"/>
        <v>1938.680051899064</v>
      </c>
      <c r="O60" s="696">
        <f>B60*O28</f>
        <v>1936.769049338636</v>
      </c>
      <c r="U60" s="206"/>
      <c r="V60" s="206"/>
      <c r="X60" s="553"/>
      <c r="Y60" s="553"/>
      <c r="Z60" s="133"/>
    </row>
    <row r="61" spans="1:27">
      <c r="A61" s="145" t="str">
        <f t="shared" si="5"/>
        <v>LIB-NMC</v>
      </c>
      <c r="B61" s="1157">
        <f>'Mass and Cost System'!D40</f>
        <v>26.576268165760755</v>
      </c>
      <c r="C61" s="165">
        <f t="shared" si="6"/>
        <v>30809.877217937097</v>
      </c>
      <c r="D61" s="165">
        <f>B61*(D29+E29+F29)</f>
        <v>3489.2379655119262</v>
      </c>
      <c r="E61" s="165">
        <f>B61*(G29+H29+I29)</f>
        <v>972.80484245221953</v>
      </c>
      <c r="F61" s="165">
        <f>B61*'Mass and Cost System'!D$8+'Mass and Cost System'!D$9</f>
        <v>598.37282698369359</v>
      </c>
      <c r="G61" s="165">
        <f>B61*(J29)+'Mass and Cost System'!D$7</f>
        <v>13571.696065461776</v>
      </c>
      <c r="H61" s="165">
        <f>B61*(K29)</f>
        <v>1702.7070154115841</v>
      </c>
      <c r="I61" s="165">
        <f>B61*(L29)</f>
        <v>72.393754483532305</v>
      </c>
      <c r="J61" s="165">
        <f>'Mass and Cost System'!O40+'Mass and Cost System'!K40</f>
        <v>1422.9281190342949</v>
      </c>
      <c r="K61" s="165">
        <f>'Mass and Cost System'!L40</f>
        <v>1737.7987084938175</v>
      </c>
      <c r="L61" s="165">
        <f t="shared" si="7"/>
        <v>54377.816515769948</v>
      </c>
      <c r="M61" s="165">
        <f>'Mass and Cost System'!P40</f>
        <v>55969.518544067883</v>
      </c>
      <c r="N61" s="90">
        <f t="shared" si="9"/>
        <v>1591.7020282979356</v>
      </c>
      <c r="O61" s="168">
        <f>B61*O29</f>
        <v>1589.8388578394211</v>
      </c>
      <c r="U61" s="206"/>
      <c r="V61" s="206"/>
      <c r="X61" s="553"/>
      <c r="Y61" s="553"/>
      <c r="Z61" s="133"/>
    </row>
    <row r="62" spans="1:27">
      <c r="A62" s="314" t="str">
        <f t="shared" si="5"/>
        <v>LIB-LFP</v>
      </c>
      <c r="B62" s="718">
        <f>'Mass and Cost System'!D41</f>
        <v>18.988259863682547</v>
      </c>
      <c r="C62" s="206">
        <f t="shared" si="6"/>
        <v>29976.459048368437</v>
      </c>
      <c r="D62" s="206">
        <f>B62*(D30+E30+F30)</f>
        <v>3466.4947422213363</v>
      </c>
      <c r="E62" s="206">
        <f>B62*(G30+H30+I30)</f>
        <v>995.52318339142118</v>
      </c>
      <c r="F62" s="206">
        <f>B62*'Mass and Cost System'!D$8+'Mass and Cost System'!D$9</f>
        <v>461.78867754628584</v>
      </c>
      <c r="G62" s="206">
        <f>B62*(J30)+'Mass and Cost System'!D$7</f>
        <v>13440.473820850748</v>
      </c>
      <c r="H62" s="206">
        <f>B62*(K30)</f>
        <v>1695.8080073771353</v>
      </c>
      <c r="I62" s="206">
        <f>B62*(L30)</f>
        <v>51.724019868671263</v>
      </c>
      <c r="J62" s="206">
        <f>'Mass and Cost System'!O41+'Mass and Cost System'!K41</f>
        <v>1014.6670995812181</v>
      </c>
      <c r="K62" s="206">
        <f>'Mass and Cost System'!L41</f>
        <v>1239.1962402149354</v>
      </c>
      <c r="L62" s="206">
        <f t="shared" si="7"/>
        <v>52342.134839420185</v>
      </c>
      <c r="M62" s="206">
        <f>'Mass and Cost System'!P41</f>
        <v>53881.364343488036</v>
      </c>
      <c r="N62" s="13">
        <f t="shared" si="9"/>
        <v>1539.2295040678509</v>
      </c>
      <c r="O62" s="696">
        <f>B62*O30</f>
        <v>1537.9009072540664</v>
      </c>
      <c r="Q62" s="13"/>
      <c r="R62" s="13"/>
      <c r="S62" s="13"/>
      <c r="T62" s="13"/>
      <c r="U62" s="206"/>
      <c r="V62" s="206"/>
      <c r="X62" s="553"/>
      <c r="Y62" s="553"/>
      <c r="Z62" s="133"/>
    </row>
    <row r="63" spans="1:27" ht="17" thickBot="1">
      <c r="A63" s="987" t="str">
        <f t="shared" si="5"/>
        <v>Li-DIB</v>
      </c>
      <c r="B63" s="1158">
        <f>'Mass and Cost System'!D42</f>
        <v>5.4660580388573541</v>
      </c>
      <c r="C63" s="1112">
        <f t="shared" si="6"/>
        <v>15030.822679230052</v>
      </c>
      <c r="D63" s="1112">
        <f>B63*(D31+E31+F31)</f>
        <v>3413.2628998210625</v>
      </c>
      <c r="E63" s="1112">
        <f>B63*(G31+H31+I31)</f>
        <v>1027.3282101245345</v>
      </c>
      <c r="F63" s="1112">
        <f>B63*'Mass and Cost System'!D$8+'Mass and Cost System'!D$9</f>
        <v>218.38904469943236</v>
      </c>
      <c r="G63" s="1112">
        <f>B63*(J31)+'Mass and Cost System'!D$7</f>
        <v>12348.983293292575</v>
      </c>
      <c r="H63" s="1112">
        <f>B63*(K31)</f>
        <v>1301.8074982885917</v>
      </c>
      <c r="I63" s="1112">
        <f>B63*(L31)</f>
        <v>14.889542097847434</v>
      </c>
      <c r="J63" s="1112">
        <f>'Mass and Cost System'!O42+'Mass and Cost System'!K42</f>
        <v>291.42867644465923</v>
      </c>
      <c r="K63" s="1112">
        <f>'Mass and Cost System'!L42</f>
        <v>355.91704933577546</v>
      </c>
      <c r="L63" s="1112">
        <f t="shared" si="7"/>
        <v>34002.828893334525</v>
      </c>
      <c r="M63" s="1112">
        <f>'Mass and Cost System'!P42</f>
        <v>35531.92980394882</v>
      </c>
      <c r="N63" s="94">
        <f t="shared" si="9"/>
        <v>1529.1009106142956</v>
      </c>
      <c r="O63" s="1204">
        <f>B63*O31</f>
        <v>1528.719316285343</v>
      </c>
      <c r="Q63" s="13"/>
      <c r="R63" s="13"/>
      <c r="S63" s="13"/>
      <c r="T63" s="13"/>
      <c r="U63" s="206"/>
      <c r="V63" s="206"/>
      <c r="X63" s="485"/>
      <c r="Y63" s="485"/>
      <c r="Z63" s="133"/>
    </row>
    <row r="64" spans="1:27" ht="17" thickBot="1">
      <c r="A64" s="98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4"/>
      <c r="X64" s="553"/>
      <c r="Y64" s="553"/>
      <c r="Z64" s="133"/>
    </row>
    <row r="65" spans="1:27" ht="16" customHeight="1">
      <c r="A65" s="724" t="s">
        <v>567</v>
      </c>
      <c r="B65" s="547" t="s">
        <v>868</v>
      </c>
      <c r="C65" s="547" t="s">
        <v>731</v>
      </c>
      <c r="D65" s="547" t="s">
        <v>1487</v>
      </c>
      <c r="E65" s="547" t="s">
        <v>1404</v>
      </c>
      <c r="F65" s="547" t="s">
        <v>830</v>
      </c>
      <c r="G65" s="547" t="s">
        <v>572</v>
      </c>
      <c r="H65" s="547" t="s">
        <v>1409</v>
      </c>
      <c r="I65" s="547" t="s">
        <v>829</v>
      </c>
      <c r="J65" s="547" t="s">
        <v>831</v>
      </c>
      <c r="K65" s="547" t="s">
        <v>931</v>
      </c>
      <c r="L65" s="547" t="s">
        <v>569</v>
      </c>
      <c r="M65" s="701" t="s">
        <v>570</v>
      </c>
      <c r="T65" s="548"/>
      <c r="U65" s="548"/>
      <c r="V65" s="548"/>
      <c r="W65" s="548"/>
      <c r="X65" s="548"/>
      <c r="Y65" s="548"/>
      <c r="Z65" s="548"/>
      <c r="AA65" s="548"/>
    </row>
    <row r="66" spans="1:27">
      <c r="A66" s="725"/>
      <c r="B66" s="548"/>
      <c r="C66" s="548"/>
      <c r="D66" s="548"/>
      <c r="E66" s="548"/>
      <c r="F66" s="548"/>
      <c r="G66" s="548"/>
      <c r="H66" s="548"/>
      <c r="I66" s="548"/>
      <c r="J66" s="548"/>
      <c r="K66" s="548"/>
      <c r="L66" s="548"/>
      <c r="M66" s="702"/>
      <c r="T66" s="548"/>
      <c r="U66" s="548"/>
      <c r="V66" s="548"/>
      <c r="W66" s="548"/>
      <c r="X66" s="548"/>
      <c r="Y66" s="548"/>
      <c r="Z66" s="548"/>
      <c r="AA66" s="548"/>
    </row>
    <row r="67" spans="1:27">
      <c r="A67" s="725"/>
      <c r="B67" s="548"/>
      <c r="C67" s="548"/>
      <c r="D67" s="548"/>
      <c r="E67" s="548"/>
      <c r="F67" s="548"/>
      <c r="G67" s="548"/>
      <c r="H67" s="548"/>
      <c r="I67" s="548"/>
      <c r="J67" s="548"/>
      <c r="K67" s="548"/>
      <c r="L67" s="548"/>
      <c r="M67" s="702"/>
      <c r="T67" s="548"/>
      <c r="U67" s="548"/>
      <c r="V67" s="548"/>
      <c r="W67" s="548"/>
      <c r="X67" s="548"/>
      <c r="Y67" s="548"/>
      <c r="Z67" s="548"/>
      <c r="AA67" s="548"/>
    </row>
    <row r="68" spans="1:27">
      <c r="A68" s="725"/>
      <c r="B68" s="548"/>
      <c r="C68" s="548"/>
      <c r="D68" s="548"/>
      <c r="E68" s="548"/>
      <c r="F68" s="548"/>
      <c r="G68" s="548"/>
      <c r="H68" s="548"/>
      <c r="I68" s="548"/>
      <c r="J68" s="548"/>
      <c r="K68" s="548"/>
      <c r="L68" s="548"/>
      <c r="M68" s="702"/>
      <c r="T68" s="548"/>
      <c r="U68" s="548"/>
      <c r="V68" s="548"/>
      <c r="W68" s="548"/>
      <c r="X68" s="548"/>
      <c r="Y68" s="548"/>
      <c r="Z68" s="548"/>
      <c r="AA68" s="548"/>
    </row>
    <row r="69" spans="1:27">
      <c r="A69" s="725"/>
      <c r="B69" s="548"/>
      <c r="C69" s="548"/>
      <c r="D69" s="548"/>
      <c r="E69" s="548"/>
      <c r="F69" s="548"/>
      <c r="G69" s="548"/>
      <c r="H69" s="548"/>
      <c r="I69" s="548"/>
      <c r="J69" s="548"/>
      <c r="K69" s="548"/>
      <c r="L69" s="548"/>
      <c r="M69" s="702"/>
      <c r="T69" s="548"/>
      <c r="U69" s="548"/>
      <c r="V69" s="548"/>
      <c r="W69" s="548"/>
      <c r="X69" s="548"/>
      <c r="Y69" s="548"/>
      <c r="Z69" s="548"/>
      <c r="AA69" s="548"/>
    </row>
    <row r="70" spans="1:27" ht="17">
      <c r="A70" s="726"/>
      <c r="B70" s="471" t="s">
        <v>546</v>
      </c>
      <c r="C70" s="471" t="s">
        <v>546</v>
      </c>
      <c r="D70" s="471" t="s">
        <v>546</v>
      </c>
      <c r="E70" s="471" t="s">
        <v>546</v>
      </c>
      <c r="F70" s="471" t="s">
        <v>546</v>
      </c>
      <c r="G70" s="471" t="s">
        <v>546</v>
      </c>
      <c r="H70" s="471" t="s">
        <v>546</v>
      </c>
      <c r="I70" s="471" t="s">
        <v>546</v>
      </c>
      <c r="J70" s="471" t="s">
        <v>546</v>
      </c>
      <c r="K70" s="471" t="s">
        <v>546</v>
      </c>
      <c r="L70" s="471" t="s">
        <v>546</v>
      </c>
      <c r="M70" s="698" t="s">
        <v>546</v>
      </c>
      <c r="T70" s="471"/>
      <c r="U70" s="471"/>
      <c r="V70" s="471"/>
      <c r="W70" s="471"/>
      <c r="X70" s="471"/>
      <c r="Y70" s="471"/>
      <c r="Z70" s="471"/>
      <c r="AA70" s="471"/>
    </row>
    <row r="71" spans="1:27">
      <c r="A71" s="145" t="str">
        <f t="shared" ref="A71:A79" si="10">A55</f>
        <v>Al-gra</v>
      </c>
      <c r="B71" s="1156">
        <f t="shared" ref="B71:B79" si="11">0.85*B39*B55</f>
        <v>756.54666289165357</v>
      </c>
      <c r="C71" s="1101">
        <f t="shared" ref="C71:C79" si="12">C55/$B71</f>
        <v>22.385429466139822</v>
      </c>
      <c r="D71" s="1101">
        <f>D55/$B71</f>
        <v>4.6689362487915913</v>
      </c>
      <c r="E71" s="1101">
        <f>E55/$B71</f>
        <v>0.78605423707641409</v>
      </c>
      <c r="F71" s="1101">
        <f>F55/$B71</f>
        <v>0.209295327601834</v>
      </c>
      <c r="G71" s="1101">
        <f>G55/$B71</f>
        <v>15.14909328342952</v>
      </c>
      <c r="H71" s="1101">
        <f>H55/$B71</f>
        <v>1.2673858156720186</v>
      </c>
      <c r="I71" s="1101">
        <f>I55/$B71</f>
        <v>7.669552686185575E-3</v>
      </c>
      <c r="J71" s="1101">
        <f>J55/$B71</f>
        <v>0.15230853174603173</v>
      </c>
      <c r="K71" s="1101">
        <f>K55/$B71</f>
        <v>0.18601190476190474</v>
      </c>
      <c r="L71" s="1101">
        <f>L55/$B71</f>
        <v>44.812184367905317</v>
      </c>
      <c r="M71" s="1203">
        <f>M55/$B71</f>
        <v>47.04007171451498</v>
      </c>
      <c r="T71" s="206"/>
      <c r="U71" s="206"/>
      <c r="V71" s="206"/>
      <c r="W71" s="206"/>
      <c r="X71" s="206"/>
      <c r="Y71" s="206"/>
      <c r="Z71" s="206"/>
      <c r="AA71" s="206"/>
    </row>
    <row r="72" spans="1:27">
      <c r="A72" s="314" t="str">
        <f t="shared" si="10"/>
        <v>Al-PPQ</v>
      </c>
      <c r="B72" s="718">
        <f t="shared" si="11"/>
        <v>2063.3091482700142</v>
      </c>
      <c r="C72" s="206">
        <f t="shared" si="12"/>
        <v>9.5141197956147288</v>
      </c>
      <c r="D72" s="206">
        <f>D56/$B72</f>
        <v>1.7231797704611014</v>
      </c>
      <c r="E72" s="206">
        <f>E56/$B72</f>
        <v>0.27076749933253563</v>
      </c>
      <c r="F72" s="206">
        <f>F56/$B72</f>
        <v>0.10957707931328584</v>
      </c>
      <c r="G72" s="206">
        <f>G56/$B72</f>
        <v>5.9318973673766049</v>
      </c>
      <c r="H72" s="206">
        <f>H56/$B72</f>
        <v>0.6230814274247406</v>
      </c>
      <c r="I72" s="206">
        <f>I56/$B72</f>
        <v>7.7812690980167973E-3</v>
      </c>
      <c r="J72" s="206">
        <f>J56/$B72</f>
        <v>0.15230853174603182</v>
      </c>
      <c r="K72" s="206">
        <f>K56/$B72</f>
        <v>0.18601190476190479</v>
      </c>
      <c r="L72" s="206">
        <f>L56/$B72</f>
        <v>18.518724645128952</v>
      </c>
      <c r="M72" s="696">
        <f>M56/$B72</f>
        <v>19.221067219786786</v>
      </c>
      <c r="T72" s="206"/>
      <c r="U72" s="206"/>
      <c r="V72" s="206"/>
      <c r="W72" s="206"/>
      <c r="X72" s="206"/>
      <c r="Y72" s="206"/>
      <c r="Z72" s="206"/>
      <c r="AA72" s="206"/>
    </row>
    <row r="73" spans="1:27" ht="15.75" customHeight="1">
      <c r="A73" s="145" t="str">
        <f t="shared" si="10"/>
        <v>Al-PBQS</v>
      </c>
      <c r="B73" s="1157">
        <f t="shared" si="11"/>
        <v>3159.3611321225594</v>
      </c>
      <c r="C73" s="165">
        <f t="shared" si="12"/>
        <v>5.9753437197941279</v>
      </c>
      <c r="D73" s="165">
        <f>D57/$B73</f>
        <v>1.134962409402104</v>
      </c>
      <c r="E73" s="165">
        <f>E57/$B73</f>
        <v>0.17632712747009333</v>
      </c>
      <c r="F73" s="165">
        <f>F57/$B73</f>
        <v>8.9313750044733395E-2</v>
      </c>
      <c r="G73" s="165">
        <f>G57/$B73</f>
        <v>4.131789472513228</v>
      </c>
      <c r="H73" s="165">
        <f>H57/$B73</f>
        <v>0.51202590618574417</v>
      </c>
      <c r="I73" s="165">
        <f>I57/$B73</f>
        <v>7.7681499716478839E-3</v>
      </c>
      <c r="J73" s="165">
        <f>J57/$B73</f>
        <v>0.15230853174603179</v>
      </c>
      <c r="K73" s="165">
        <f>K57/$B73</f>
        <v>0.18601190476190479</v>
      </c>
      <c r="L73" s="165">
        <f>L57/$B73</f>
        <v>12.365850971889616</v>
      </c>
      <c r="M73" s="168">
        <f>M57/$B73</f>
        <v>12.926885472633007</v>
      </c>
      <c r="T73" s="206"/>
      <c r="U73" s="206"/>
      <c r="V73" s="206"/>
      <c r="W73" s="206"/>
      <c r="X73" s="206"/>
      <c r="Y73" s="206"/>
      <c r="Z73" s="206"/>
      <c r="AA73" s="206"/>
    </row>
    <row r="74" spans="1:27" ht="16.5" customHeight="1">
      <c r="A74" s="314" t="str">
        <f t="shared" si="10"/>
        <v>Al-TiO2</v>
      </c>
      <c r="B74" s="718">
        <f t="shared" si="11"/>
        <v>1770.73238895379</v>
      </c>
      <c r="C74" s="206">
        <f t="shared" si="12"/>
        <v>21.837351184423014</v>
      </c>
      <c r="D74" s="206">
        <f>D58/$B74</f>
        <v>1.8836463046033385</v>
      </c>
      <c r="E74" s="206">
        <f>E58/$B74</f>
        <v>0.29667703393143829</v>
      </c>
      <c r="F74" s="206">
        <f>F58/$B74</f>
        <v>0.1193058042269825</v>
      </c>
      <c r="G74" s="206">
        <f>G58/$B74</f>
        <v>6.8509360264787498</v>
      </c>
      <c r="H74" s="206">
        <f>H58/$B74</f>
        <v>0.72944258289337183</v>
      </c>
      <c r="I74" s="206">
        <f>I58/$B74</f>
        <v>7.799301604635803E-3</v>
      </c>
      <c r="J74" s="206">
        <f>J58/$B74</f>
        <v>0.15230853174603171</v>
      </c>
      <c r="K74" s="206">
        <f>K58/$B74</f>
        <v>0.18601190476190471</v>
      </c>
      <c r="L74" s="206">
        <f>L58/$B74</f>
        <v>32.063478674669469</v>
      </c>
      <c r="M74" s="696">
        <f>M58/$B74</f>
        <v>33.141228177571854</v>
      </c>
      <c r="T74" s="206"/>
      <c r="U74" s="206"/>
      <c r="V74" s="206"/>
      <c r="W74" s="206"/>
      <c r="X74" s="206"/>
      <c r="Y74" s="206"/>
      <c r="Z74" s="206"/>
      <c r="AA74" s="206"/>
    </row>
    <row r="75" spans="1:27" ht="16.5" customHeight="1">
      <c r="A75" s="145" t="str">
        <f t="shared" si="10"/>
        <v>Al-V2C</v>
      </c>
      <c r="B75" s="1157">
        <f t="shared" si="11"/>
        <v>2720.5705662104356</v>
      </c>
      <c r="C75" s="165">
        <f t="shared" si="12"/>
        <v>13.182537311393279</v>
      </c>
      <c r="D75" s="165">
        <f>D59/$B75</f>
        <v>1.3072716610898565</v>
      </c>
      <c r="E75" s="165">
        <f>E59/$B75</f>
        <v>0.21481041893574324</v>
      </c>
      <c r="F75" s="165">
        <f>F59/$B75</f>
        <v>9.5343951708560803E-2</v>
      </c>
      <c r="G75" s="165">
        <f>G59/$B75</f>
        <v>4.5295426660942875</v>
      </c>
      <c r="H75" s="165">
        <f>H59/$B75</f>
        <v>0.47850534858454652</v>
      </c>
      <c r="I75" s="165">
        <f>I59/$B75</f>
        <v>7.7536476464091751E-3</v>
      </c>
      <c r="J75" s="165">
        <f>J59/$B75</f>
        <v>0.15230853174603176</v>
      </c>
      <c r="K75" s="165">
        <f>K59/$B75</f>
        <v>0.18601190476190479</v>
      </c>
      <c r="L75" s="165">
        <f>L59/$B75</f>
        <v>20.154085441960618</v>
      </c>
      <c r="M75" s="168">
        <f>M59/$B75</f>
        <v>20.801381874310195</v>
      </c>
      <c r="T75" s="206"/>
      <c r="U75" s="206"/>
      <c r="V75" s="206"/>
      <c r="W75" s="206"/>
      <c r="X75" s="206"/>
      <c r="Y75" s="206"/>
      <c r="Z75" s="206"/>
      <c r="AA75" s="206"/>
    </row>
    <row r="76" spans="1:27" ht="16.5" customHeight="1">
      <c r="A76" s="314" t="str">
        <f t="shared" si="10"/>
        <v>Al-MnO2</v>
      </c>
      <c r="B76" s="718">
        <f t="shared" si="11"/>
        <v>9582.2480607563557</v>
      </c>
      <c r="C76" s="206">
        <f t="shared" si="12"/>
        <v>4.3342577288818482</v>
      </c>
      <c r="D76" s="206">
        <f>D60/$B76</f>
        <v>0.37527977819278507</v>
      </c>
      <c r="E76" s="206">
        <f>E60/$B76</f>
        <v>3.9179066020108559E-2</v>
      </c>
      <c r="F76" s="206">
        <f>F60/$B76</f>
        <v>6.3859467672238934E-2</v>
      </c>
      <c r="G76" s="206">
        <f>G60/$B76</f>
        <v>1.3177773750777142</v>
      </c>
      <c r="H76" s="206">
        <f>H60/$B76</f>
        <v>0.13640485541242731</v>
      </c>
      <c r="I76" s="206">
        <f>I60/$B76</f>
        <v>7.7688949657562572E-3</v>
      </c>
      <c r="J76" s="206">
        <f>J60/$B76</f>
        <v>0.15230853174603173</v>
      </c>
      <c r="K76" s="206">
        <f>K60/$B76</f>
        <v>0.18601190476190477</v>
      </c>
      <c r="L76" s="206">
        <f>L60/$B76</f>
        <v>6.6128476027308167</v>
      </c>
      <c r="M76" s="696">
        <f>M60/$B76</f>
        <v>6.8151675635173499</v>
      </c>
      <c r="T76" s="206"/>
      <c r="U76" s="206"/>
      <c r="V76" s="206"/>
      <c r="W76" s="206"/>
      <c r="X76" s="206"/>
      <c r="Y76" s="206"/>
      <c r="Z76" s="206"/>
      <c r="AA76" s="206"/>
    </row>
    <row r="77" spans="1:27" ht="16.5" customHeight="1">
      <c r="A77" s="145" t="str">
        <f t="shared" si="10"/>
        <v>LIB-NMC</v>
      </c>
      <c r="B77" s="1157">
        <f t="shared" si="11"/>
        <v>9342.4058568627643</v>
      </c>
      <c r="C77" s="165">
        <f t="shared" si="12"/>
        <v>3.2978525756622652</v>
      </c>
      <c r="D77" s="165">
        <f>D61/$B77</f>
        <v>0.3734838775976313</v>
      </c>
      <c r="E77" s="165">
        <f>E61/$B77</f>
        <v>0.1041278721302409</v>
      </c>
      <c r="F77" s="165">
        <f t="shared" ref="D77:G77" si="13">F61/$B77</f>
        <v>6.4049114987242778E-2</v>
      </c>
      <c r="G77" s="165">
        <f>G61/$B77</f>
        <v>1.4526981886033403</v>
      </c>
      <c r="H77" s="165">
        <f>H61/$B77</f>
        <v>0.18225573171398948</v>
      </c>
      <c r="I77" s="165">
        <f>I61/$B77</f>
        <v>7.7489412890741783E-3</v>
      </c>
      <c r="J77" s="165">
        <f>J61/$B77</f>
        <v>0.15230853174603171</v>
      </c>
      <c r="K77" s="165">
        <f>K61/$B77</f>
        <v>0.18601190476190474</v>
      </c>
      <c r="L77" s="165">
        <f>L61/$B77</f>
        <v>5.8205367384917208</v>
      </c>
      <c r="M77" s="168">
        <f>M61/$B77</f>
        <v>5.9909106285458229</v>
      </c>
      <c r="T77" s="206"/>
      <c r="U77" s="206"/>
      <c r="V77" s="206"/>
      <c r="W77" s="206"/>
      <c r="X77" s="206"/>
      <c r="Y77" s="206"/>
      <c r="Z77" s="206"/>
      <c r="AA77" s="206"/>
    </row>
    <row r="78" spans="1:27" ht="16.5" customHeight="1">
      <c r="A78" s="314" t="str">
        <f t="shared" si="10"/>
        <v>LIB-LFP</v>
      </c>
      <c r="B78" s="718">
        <f t="shared" si="11"/>
        <v>6661.9189873954929</v>
      </c>
      <c r="C78" s="206">
        <f t="shared" si="12"/>
        <v>4.4996733081090596</v>
      </c>
      <c r="D78" s="206">
        <f>D62/$B78</f>
        <v>0.52034477584912486</v>
      </c>
      <c r="E78" s="206">
        <f>E62/$B78</f>
        <v>0.14943489785375272</v>
      </c>
      <c r="F78" s="206">
        <f t="shared" ref="D78:G78" si="14">F62/$B78</f>
        <v>6.9317666339083511E-2</v>
      </c>
      <c r="G78" s="206">
        <f>G62/$B78</f>
        <v>2.0175078451539923</v>
      </c>
      <c r="H78" s="206">
        <f>H62/$B78</f>
        <v>0.25455248113728851</v>
      </c>
      <c r="I78" s="206">
        <f>I62/$B78</f>
        <v>7.7641322217418618E-3</v>
      </c>
      <c r="J78" s="206">
        <f>J62/$B78</f>
        <v>0.15230853174603173</v>
      </c>
      <c r="K78" s="206">
        <f>K62/$B78</f>
        <v>0.18601190476190477</v>
      </c>
      <c r="L78" s="206">
        <f>L62/$B78</f>
        <v>7.8569155431719802</v>
      </c>
      <c r="M78" s="696">
        <f>M62/$B78</f>
        <v>8.0879645107412514</v>
      </c>
      <c r="U78" s="206"/>
      <c r="V78" s="206"/>
    </row>
    <row r="79" spans="1:27" ht="16.5" customHeight="1" thickBot="1">
      <c r="A79" s="987" t="str">
        <f t="shared" si="10"/>
        <v>Li-DIB</v>
      </c>
      <c r="B79" s="1158">
        <f t="shared" si="11"/>
        <v>1913.4100572291291</v>
      </c>
      <c r="C79" s="1112">
        <f t="shared" si="12"/>
        <v>7.8555156655738871</v>
      </c>
      <c r="D79" s="1112">
        <f>D63/$B79</f>
        <v>1.783863781276408</v>
      </c>
      <c r="E79" s="1112">
        <f>E63/$B79</f>
        <v>0.53690959041588904</v>
      </c>
      <c r="F79" s="1112">
        <f t="shared" ref="D79:G79" si="15">F63/$B79</f>
        <v>0.11413603888739281</v>
      </c>
      <c r="G79" s="1112">
        <f>G63/$B79</f>
        <v>6.453913653603105</v>
      </c>
      <c r="H79" s="1112">
        <f>H63/$B79</f>
        <v>0.68035991206912605</v>
      </c>
      <c r="I79" s="1112">
        <f>I63/$B79</f>
        <v>7.7816786012975502E-3</v>
      </c>
      <c r="J79" s="1112">
        <f>J63/$B79</f>
        <v>0.15230853174603176</v>
      </c>
      <c r="K79" s="1112">
        <f>K63/$B79</f>
        <v>0.18601190476190474</v>
      </c>
      <c r="L79" s="1112">
        <f>L63/$B79</f>
        <v>17.770800756935039</v>
      </c>
      <c r="M79" s="1204">
        <f>M63/$B79</f>
        <v>18.569950371957255</v>
      </c>
      <c r="U79" s="206"/>
      <c r="V79" s="206"/>
    </row>
    <row r="80" spans="1:27" ht="16.5" customHeight="1" thickBot="1"/>
    <row r="81" spans="1:28" ht="15.75" customHeight="1">
      <c r="A81" s="724" t="s">
        <v>1491</v>
      </c>
      <c r="B81" s="547" t="s">
        <v>1492</v>
      </c>
      <c r="C81" s="547" t="s">
        <v>869</v>
      </c>
      <c r="D81" s="547" t="s">
        <v>1487</v>
      </c>
      <c r="E81" s="547" t="s">
        <v>1404</v>
      </c>
      <c r="F81" s="547" t="s">
        <v>1405</v>
      </c>
      <c r="G81" s="547" t="s">
        <v>1493</v>
      </c>
      <c r="H81" s="547" t="s">
        <v>829</v>
      </c>
      <c r="I81" s="701" t="s">
        <v>832</v>
      </c>
      <c r="U81" s="548"/>
      <c r="V81" s="466"/>
      <c r="W81" s="466"/>
    </row>
    <row r="82" spans="1:28">
      <c r="A82" s="725"/>
      <c r="B82" s="548"/>
      <c r="C82" s="548"/>
      <c r="D82" s="548"/>
      <c r="E82" s="548"/>
      <c r="F82" s="548"/>
      <c r="G82" s="548"/>
      <c r="H82" s="548"/>
      <c r="I82" s="702"/>
      <c r="U82" s="548"/>
      <c r="V82" s="466"/>
      <c r="W82" s="466"/>
    </row>
    <row r="83" spans="1:28" ht="18" customHeight="1">
      <c r="A83" s="725"/>
      <c r="B83" s="548"/>
      <c r="C83" s="548"/>
      <c r="D83" s="548"/>
      <c r="E83" s="548"/>
      <c r="F83" s="548"/>
      <c r="G83" s="548"/>
      <c r="H83" s="548"/>
      <c r="I83" s="702"/>
      <c r="U83" s="548"/>
      <c r="V83" s="466"/>
      <c r="W83" s="466"/>
    </row>
    <row r="84" spans="1:28" ht="18" customHeight="1">
      <c r="A84" s="725"/>
      <c r="B84" s="548"/>
      <c r="C84" s="548"/>
      <c r="D84" s="548"/>
      <c r="E84" s="548"/>
      <c r="F84" s="548"/>
      <c r="G84" s="548"/>
      <c r="H84" s="548"/>
      <c r="I84" s="702"/>
      <c r="U84" s="548"/>
      <c r="V84" s="466"/>
      <c r="W84" s="466"/>
    </row>
    <row r="85" spans="1:28" ht="18" customHeight="1">
      <c r="A85" s="725"/>
      <c r="B85" s="548"/>
      <c r="C85" s="548"/>
      <c r="D85" s="548"/>
      <c r="E85" s="548"/>
      <c r="F85" s="548"/>
      <c r="G85" s="548"/>
      <c r="H85" s="548"/>
      <c r="I85" s="702"/>
      <c r="U85" s="548"/>
      <c r="V85" s="466"/>
      <c r="W85" s="466"/>
    </row>
    <row r="86" spans="1:28" ht="18" customHeight="1">
      <c r="A86" s="726"/>
      <c r="B86" s="471" t="s">
        <v>546</v>
      </c>
      <c r="C86" s="471" t="s">
        <v>546</v>
      </c>
      <c r="D86" s="471" t="s">
        <v>546</v>
      </c>
      <c r="E86" s="471" t="s">
        <v>546</v>
      </c>
      <c r="F86" s="471" t="s">
        <v>546</v>
      </c>
      <c r="G86" s="471" t="s">
        <v>546</v>
      </c>
      <c r="H86" s="471" t="s">
        <v>546</v>
      </c>
      <c r="I86" s="698" t="s">
        <v>546</v>
      </c>
      <c r="U86" s="471"/>
      <c r="V86" s="471"/>
      <c r="W86" s="471"/>
    </row>
    <row r="87" spans="1:28" ht="17" customHeight="1">
      <c r="A87" s="145" t="str">
        <f t="shared" ref="A87:A95" si="16">A71</f>
        <v>Al-gra</v>
      </c>
      <c r="B87" s="1156">
        <f>0.85*B39</f>
        <v>355.17064833604684</v>
      </c>
      <c r="C87" s="1101">
        <f>'Env. Impacts Cell'!J97</f>
        <v>6712.8685653208868</v>
      </c>
      <c r="D87" s="1101">
        <f>D39*N$5</f>
        <v>13.493225759007698</v>
      </c>
      <c r="E87" s="1101">
        <f>E39*'Env. Impacts Cell'!R$14</f>
        <v>4677.0227106046632</v>
      </c>
      <c r="F87" s="1101">
        <f>F39*R$7</f>
        <v>318.68438506587319</v>
      </c>
      <c r="G87" s="1101">
        <f>G39*R$4</f>
        <v>958.91310657674057</v>
      </c>
      <c r="H87" s="1101">
        <f>I71*R$9</f>
        <v>51.771047289168955</v>
      </c>
      <c r="I87" s="1203">
        <f>J71*R$9+K71*R$10</f>
        <v>1095.4218709504314</v>
      </c>
      <c r="L87" s="206"/>
      <c r="M87" s="206"/>
      <c r="N87" s="206"/>
      <c r="O87" s="206"/>
      <c r="P87" s="206"/>
      <c r="Q87" s="206"/>
      <c r="R87" s="206"/>
      <c r="S87" s="13"/>
      <c r="T87" s="13"/>
      <c r="U87" s="206"/>
      <c r="V87" s="206"/>
      <c r="W87" s="206"/>
      <c r="X87" s="13"/>
      <c r="Y87" s="13"/>
      <c r="Z87" s="13"/>
      <c r="AA87" s="13"/>
      <c r="AB87" s="14"/>
    </row>
    <row r="88" spans="1:28">
      <c r="A88" s="314" t="str">
        <f t="shared" si="16"/>
        <v>Al-PPQ</v>
      </c>
      <c r="B88" s="718">
        <f>0.85*B40</f>
        <v>350.0714299540499</v>
      </c>
      <c r="C88" s="206">
        <f>'Env. Impacts Cell'!J98</f>
        <v>1947.6634795355799</v>
      </c>
      <c r="D88" s="206">
        <f>D40*N$5</f>
        <v>4.9799895366325826</v>
      </c>
      <c r="E88" s="206">
        <f>E40*'Env. Impacts Cell'!R$14</f>
        <v>1611.0666210285865</v>
      </c>
      <c r="F88" s="206">
        <f>F40*R$7</f>
        <v>134.13854005350692</v>
      </c>
      <c r="G88" s="206">
        <f>G40*R$4</f>
        <v>471.42783186769338</v>
      </c>
      <c r="H88" s="206">
        <f>I72*R$9</f>
        <v>52.525155889310398</v>
      </c>
      <c r="I88" s="696">
        <f>J72*R$9+K72*R$10</f>
        <v>1095.4218709504319</v>
      </c>
      <c r="L88" s="206"/>
      <c r="M88" s="206"/>
      <c r="N88" s="206"/>
      <c r="O88" s="206"/>
      <c r="P88" s="206"/>
      <c r="Q88" s="206"/>
      <c r="R88" s="206"/>
      <c r="S88" s="13"/>
      <c r="T88" s="13"/>
      <c r="U88" s="206"/>
      <c r="V88" s="206"/>
      <c r="W88" s="206"/>
      <c r="X88" s="13"/>
      <c r="Y88" s="13"/>
      <c r="Z88" s="13"/>
      <c r="AA88" s="13"/>
      <c r="AB88" s="14"/>
    </row>
    <row r="89" spans="1:28" ht="18" customHeight="1">
      <c r="A89" s="145" t="str">
        <f t="shared" si="16"/>
        <v>Al-PBQS</v>
      </c>
      <c r="B89" s="1157">
        <f>0.85*B41</f>
        <v>350.66264296415858</v>
      </c>
      <c r="C89" s="165">
        <f>'Env. Impacts Cell'!J99</f>
        <v>1371.8276770758855</v>
      </c>
      <c r="D89" s="165">
        <f>D41*N$5</f>
        <v>3.2800413631720802</v>
      </c>
      <c r="E89" s="165">
        <f>E41*'Env. Impacts Cell'!R$14</f>
        <v>1049.1464084470551</v>
      </c>
      <c r="F89" s="165">
        <f>F41*R$7</f>
        <v>99.417227165868113</v>
      </c>
      <c r="G89" s="165">
        <f>G41*R$4</f>
        <v>387.40243600406791</v>
      </c>
      <c r="H89" s="165">
        <f>I73*R$9</f>
        <v>52.436599106479903</v>
      </c>
      <c r="I89" s="168">
        <f>J73*R$9+K73*R$10</f>
        <v>1095.4218709504316</v>
      </c>
      <c r="O89" s="548"/>
      <c r="P89" s="466"/>
      <c r="Q89" s="466"/>
      <c r="R89" s="466"/>
      <c r="S89" s="548"/>
      <c r="T89" s="548"/>
      <c r="U89" s="206"/>
      <c r="V89" s="206"/>
      <c r="W89" s="206"/>
      <c r="X89" s="566"/>
      <c r="Y89" s="13"/>
      <c r="Z89" s="13"/>
      <c r="AA89" s="13"/>
      <c r="AB89" s="14"/>
    </row>
    <row r="90" spans="1:28" ht="18" customHeight="1">
      <c r="A90" s="314" t="str">
        <f t="shared" si="16"/>
        <v>Al-TiO2</v>
      </c>
      <c r="B90" s="718">
        <f>0.85*B42</f>
        <v>349.26204140905259</v>
      </c>
      <c r="C90" s="206">
        <f>'Env. Impacts Cell'!J100</f>
        <v>1871.7199957899011</v>
      </c>
      <c r="D90" s="206">
        <f>D42*N$5</f>
        <v>5.4437378203036486</v>
      </c>
      <c r="E90" s="206">
        <f>E42*'Env. Impacts Cell'!R$14</f>
        <v>1765.2283518920578</v>
      </c>
      <c r="F90" s="206">
        <f>F42*R$7</f>
        <v>153.50279663343608</v>
      </c>
      <c r="G90" s="206">
        <f>G42*R$4</f>
        <v>551.90143725946371</v>
      </c>
      <c r="H90" s="206">
        <f>I74*R$9</f>
        <v>52.646878992483856</v>
      </c>
      <c r="I90" s="696">
        <f>J74*R$9+K74*R$10</f>
        <v>1095.4218709504312</v>
      </c>
      <c r="O90" s="548"/>
      <c r="P90" s="466"/>
      <c r="Q90" s="466"/>
      <c r="R90" s="466"/>
      <c r="S90" s="548"/>
      <c r="T90" s="548"/>
      <c r="U90" s="206"/>
      <c r="V90" s="206"/>
      <c r="W90" s="206"/>
      <c r="X90" s="566"/>
      <c r="Y90" s="13"/>
      <c r="Z90" s="13"/>
      <c r="AA90" s="13"/>
      <c r="AB90" s="14"/>
    </row>
    <row r="91" spans="1:28" ht="18" customHeight="1">
      <c r="A91" s="145" t="str">
        <f t="shared" si="16"/>
        <v>Al-V2C</v>
      </c>
      <c r="B91" s="1157">
        <f>0.85*B43</f>
        <v>351.31851797025155</v>
      </c>
      <c r="C91" s="165">
        <f>'Env. Impacts Cell'!J101</f>
        <v>18490.836391062017</v>
      </c>
      <c r="D91" s="165">
        <f>D43*N$5</f>
        <v>3.7780151005496854</v>
      </c>
      <c r="E91" s="165">
        <f>E43*'Env. Impacts Cell'!R$14</f>
        <v>1278.121992667672</v>
      </c>
      <c r="F91" s="165">
        <f>F43*R$7</f>
        <v>103.14034414582075</v>
      </c>
      <c r="G91" s="165">
        <f>G43*R$4</f>
        <v>362.04054412704284</v>
      </c>
      <c r="H91" s="165">
        <f>I75*R$9</f>
        <v>52.338705448732632</v>
      </c>
      <c r="I91" s="168">
        <f>J75*R$9+K75*R$10</f>
        <v>1095.4218709504314</v>
      </c>
      <c r="O91" s="548"/>
      <c r="P91" s="466"/>
      <c r="Q91" s="466"/>
      <c r="R91" s="466"/>
      <c r="S91" s="548"/>
      <c r="T91" s="548"/>
      <c r="U91" s="206"/>
      <c r="V91" s="206"/>
      <c r="W91" s="206"/>
      <c r="X91" s="566"/>
      <c r="Y91" s="13"/>
      <c r="Z91" s="13"/>
      <c r="AA91" s="13"/>
      <c r="AB91" s="14"/>
    </row>
    <row r="92" spans="1:28" ht="18" customHeight="1">
      <c r="A92" s="314" t="str">
        <f t="shared" si="16"/>
        <v>Al-MnO2</v>
      </c>
      <c r="B92" s="718">
        <f>0.85*B44</f>
        <v>350.62901635391523</v>
      </c>
      <c r="C92" s="206">
        <f>'Env. Impacts Cell'!J102</f>
        <v>940.70414825363855</v>
      </c>
      <c r="D92" s="206">
        <f>D44*N$5</f>
        <v>1.0845585589771489</v>
      </c>
      <c r="E92" s="206">
        <f>E44*'Env. Impacts Cell'!R$14</f>
        <v>233.11544281964592</v>
      </c>
      <c r="F92" s="206">
        <f>F44*R$7</f>
        <v>30.738852405208132</v>
      </c>
      <c r="G92" s="206">
        <f>G44*R$4</f>
        <v>103.20488207951593</v>
      </c>
      <c r="H92" s="206">
        <f>I76*R$9</f>
        <v>52.441627968891162</v>
      </c>
      <c r="I92" s="696">
        <f>J76*R$9+K76*R$10</f>
        <v>1095.4218709504314</v>
      </c>
      <c r="O92" s="548"/>
      <c r="P92" s="466"/>
      <c r="Q92" s="466"/>
      <c r="R92" s="466"/>
      <c r="S92" s="548"/>
      <c r="T92" s="548"/>
      <c r="U92" s="206"/>
      <c r="V92" s="206"/>
      <c r="W92" s="206"/>
      <c r="X92" s="566"/>
    </row>
    <row r="93" spans="1:28" ht="15" customHeight="1">
      <c r="A93" s="145" t="str">
        <f t="shared" si="16"/>
        <v>LIB-NMC</v>
      </c>
      <c r="B93" s="1157">
        <f>0.85*B45</f>
        <v>351.53189298785566</v>
      </c>
      <c r="C93" s="165">
        <f>'Env. Impacts Cell'!J103</f>
        <v>7823.592378403212</v>
      </c>
      <c r="D93" s="165">
        <f>D45*N$5</f>
        <v>1.0793684062571542</v>
      </c>
      <c r="E93" s="165">
        <f>E45*'Env. Impacts Cell'!R$14</f>
        <v>619.56083917493334</v>
      </c>
      <c r="F93" s="165">
        <f>F45*R$7</f>
        <v>36.160733063828879</v>
      </c>
      <c r="G93" s="165">
        <f>G45*R$4</f>
        <v>137.89598063049962</v>
      </c>
      <c r="H93" s="165">
        <f>I77*R$9</f>
        <v>52.306936575355088</v>
      </c>
      <c r="I93" s="168">
        <f>J77*R$9+K77*R$10</f>
        <v>1095.4218709504312</v>
      </c>
      <c r="O93" s="548"/>
      <c r="P93" s="466"/>
      <c r="Q93" s="466"/>
      <c r="R93" s="466"/>
      <c r="S93" s="548"/>
      <c r="T93" s="548"/>
      <c r="U93" s="206"/>
      <c r="V93" s="206"/>
      <c r="W93" s="206"/>
      <c r="X93" s="566"/>
    </row>
    <row r="94" spans="1:28" ht="18" customHeight="1">
      <c r="A94" s="314" t="str">
        <f t="shared" si="16"/>
        <v>LIB-LFP</v>
      </c>
      <c r="B94" s="718">
        <f>0.85*B46</f>
        <v>350.84410236755065</v>
      </c>
      <c r="C94" s="206">
        <f>'Env. Impacts Cell'!J104</f>
        <v>3870.6611013192801</v>
      </c>
      <c r="D94" s="206">
        <f>D46*N$5</f>
        <v>1.5037964022039705</v>
      </c>
      <c r="E94" s="206">
        <f>E46*'Env. Impacts Cell'!R$14</f>
        <v>889.13764222982877</v>
      </c>
      <c r="F94" s="206">
        <f>F46*R$7</f>
        <v>49.807664243785311</v>
      </c>
      <c r="G94" s="206">
        <f>G46*R$4</f>
        <v>192.59621455108856</v>
      </c>
      <c r="H94" s="206">
        <f>I78*R$9</f>
        <v>52.409478473909587</v>
      </c>
      <c r="I94" s="696">
        <f>J78*R$9+K78*R$10</f>
        <v>1095.4218709504314</v>
      </c>
      <c r="O94" s="466"/>
      <c r="P94" s="466"/>
      <c r="Q94" s="466"/>
      <c r="R94" s="466"/>
      <c r="S94" s="471"/>
      <c r="T94" s="471"/>
      <c r="U94" s="206"/>
      <c r="V94" s="206"/>
      <c r="W94" s="206"/>
      <c r="X94" s="471"/>
    </row>
    <row r="95" spans="1:28" ht="18" customHeight="1" thickBot="1">
      <c r="A95" s="987" t="str">
        <f t="shared" si="16"/>
        <v>Li-DIB</v>
      </c>
      <c r="B95" s="1158">
        <f>0.85*B47</f>
        <v>350.05300778495132</v>
      </c>
      <c r="C95" s="1112">
        <f>'Env. Impacts Cell'!J105</f>
        <v>4646.1334092136012</v>
      </c>
      <c r="D95" s="1112">
        <f>D47*N$5</f>
        <v>5.1553663278888191</v>
      </c>
      <c r="E95" s="1112">
        <f>E47*'Env. Impacts Cell'!R$14</f>
        <v>3194.6120629745396</v>
      </c>
      <c r="F95" s="1112">
        <f>F47*R$7</f>
        <v>147.27322460469554</v>
      </c>
      <c r="G95" s="1112">
        <f>G47*R$4</f>
        <v>514.76514002687645</v>
      </c>
      <c r="H95" s="1112">
        <f>I79*R$9</f>
        <v>52.527920120104604</v>
      </c>
      <c r="I95" s="1204">
        <f>J79*R$9+K79*R$10</f>
        <v>1095.4218709504314</v>
      </c>
      <c r="O95" s="466"/>
      <c r="P95" s="466"/>
      <c r="Q95" s="466"/>
      <c r="R95" s="466"/>
      <c r="S95" s="471"/>
      <c r="T95" s="471"/>
      <c r="U95" s="206"/>
      <c r="V95" s="206"/>
      <c r="W95" s="206"/>
      <c r="X95" s="471"/>
    </row>
    <row r="96" spans="1:28" ht="18" customHeight="1" thickBot="1">
      <c r="O96" s="206"/>
      <c r="P96" s="206"/>
      <c r="Q96" s="13"/>
      <c r="R96" s="13"/>
      <c r="S96" s="13"/>
      <c r="T96" s="13"/>
      <c r="U96" s="13"/>
      <c r="V96" s="13"/>
      <c r="W96" s="13"/>
      <c r="X96" s="13"/>
    </row>
    <row r="97" spans="1:24" ht="16.5" customHeight="1">
      <c r="A97" s="724" t="s">
        <v>730</v>
      </c>
      <c r="B97" s="547" t="s">
        <v>870</v>
      </c>
      <c r="C97" s="547" t="s">
        <v>1487</v>
      </c>
      <c r="D97" s="547" t="s">
        <v>1404</v>
      </c>
      <c r="E97" s="547" t="s">
        <v>573</v>
      </c>
      <c r="F97" s="547" t="s">
        <v>572</v>
      </c>
      <c r="G97" s="547" t="s">
        <v>846</v>
      </c>
      <c r="H97" s="547" t="s">
        <v>734</v>
      </c>
      <c r="I97" s="547" t="s">
        <v>1416</v>
      </c>
      <c r="J97" s="547" t="s">
        <v>1422</v>
      </c>
      <c r="K97" s="547" t="s">
        <v>1416</v>
      </c>
      <c r="L97" s="547" t="s">
        <v>1417</v>
      </c>
      <c r="M97" s="547" t="s">
        <v>1421</v>
      </c>
      <c r="N97" s="701" t="s">
        <v>1420</v>
      </c>
      <c r="O97" s="206"/>
      <c r="P97" s="206"/>
      <c r="Q97" s="13"/>
      <c r="R97" s="13"/>
      <c r="S97" s="13"/>
      <c r="T97" s="13"/>
      <c r="U97" s="548"/>
      <c r="V97" s="548"/>
      <c r="W97" s="13"/>
      <c r="X97" s="13"/>
    </row>
    <row r="98" spans="1:24" ht="16.5" customHeight="1">
      <c r="A98" s="725"/>
      <c r="B98" s="548"/>
      <c r="C98" s="548"/>
      <c r="D98" s="548"/>
      <c r="E98" s="548"/>
      <c r="F98" s="548"/>
      <c r="G98" s="548"/>
      <c r="H98" s="548"/>
      <c r="I98" s="548"/>
      <c r="J98" s="548"/>
      <c r="K98" s="548"/>
      <c r="L98" s="548"/>
      <c r="M98" s="548"/>
      <c r="N98" s="702"/>
      <c r="O98" s="206"/>
      <c r="P98" s="206"/>
      <c r="Q98" s="13"/>
      <c r="R98" s="13"/>
      <c r="S98" s="13"/>
      <c r="T98" s="13"/>
      <c r="U98" s="548"/>
      <c r="V98" s="548"/>
      <c r="W98" s="13"/>
      <c r="X98" s="13"/>
    </row>
    <row r="99" spans="1:24" ht="15.75" customHeight="1">
      <c r="A99" s="725"/>
      <c r="B99" s="548"/>
      <c r="C99" s="548"/>
      <c r="D99" s="548"/>
      <c r="E99" s="548"/>
      <c r="F99" s="548"/>
      <c r="G99" s="548"/>
      <c r="H99" s="548"/>
      <c r="I99" s="548"/>
      <c r="J99" s="548"/>
      <c r="K99" s="548"/>
      <c r="L99" s="548"/>
      <c r="M99" s="548"/>
      <c r="N99" s="702"/>
      <c r="O99" s="206"/>
      <c r="P99" s="206"/>
      <c r="Q99" s="13"/>
      <c r="R99" s="13"/>
      <c r="S99" s="13"/>
      <c r="T99" s="13"/>
      <c r="U99" s="548"/>
      <c r="V99" s="548"/>
      <c r="W99" s="13"/>
      <c r="X99" s="13"/>
    </row>
    <row r="100" spans="1:24" ht="15.75" customHeight="1">
      <c r="A100" s="725"/>
      <c r="B100" s="548"/>
      <c r="C100" s="548"/>
      <c r="D100" s="548"/>
      <c r="E100" s="548"/>
      <c r="F100" s="548"/>
      <c r="G100" s="548"/>
      <c r="H100" s="548"/>
      <c r="I100" s="548"/>
      <c r="J100" s="548"/>
      <c r="K100" s="548"/>
      <c r="L100" s="548"/>
      <c r="M100" s="548"/>
      <c r="N100" s="702"/>
      <c r="O100" s="206"/>
      <c r="P100" s="206"/>
      <c r="Q100" s="13"/>
      <c r="R100" s="13"/>
      <c r="S100" s="13"/>
      <c r="T100" s="13"/>
      <c r="U100" s="548"/>
      <c r="V100" s="548"/>
      <c r="W100" s="13"/>
      <c r="X100" s="13"/>
    </row>
    <row r="101" spans="1:24" ht="15.75" customHeight="1">
      <c r="A101" s="725"/>
      <c r="B101" s="548"/>
      <c r="C101" s="548"/>
      <c r="D101" s="548"/>
      <c r="E101" s="548"/>
      <c r="F101" s="548"/>
      <c r="G101" s="548"/>
      <c r="H101" s="548"/>
      <c r="I101" s="548"/>
      <c r="J101" s="548"/>
      <c r="K101" s="548"/>
      <c r="L101" s="548"/>
      <c r="M101" s="548"/>
      <c r="N101" s="702"/>
      <c r="O101" s="206"/>
      <c r="P101" s="206"/>
      <c r="Q101" s="13"/>
      <c r="R101" s="13"/>
      <c r="S101" s="13"/>
      <c r="T101" s="13"/>
      <c r="U101" s="548"/>
      <c r="V101" s="548"/>
      <c r="W101" s="13"/>
      <c r="X101" s="13"/>
    </row>
    <row r="102" spans="1:24" ht="17">
      <c r="A102" s="726"/>
      <c r="B102" s="471" t="s">
        <v>546</v>
      </c>
      <c r="C102" s="471" t="s">
        <v>546</v>
      </c>
      <c r="D102" s="471" t="s">
        <v>546</v>
      </c>
      <c r="E102" s="471" t="s">
        <v>546</v>
      </c>
      <c r="F102" s="471" t="s">
        <v>546</v>
      </c>
      <c r="G102" s="471" t="s">
        <v>546</v>
      </c>
      <c r="H102" s="471" t="s">
        <v>546</v>
      </c>
      <c r="I102" s="471" t="s">
        <v>546</v>
      </c>
      <c r="J102" s="471" t="s">
        <v>546</v>
      </c>
      <c r="K102" s="471" t="s">
        <v>546</v>
      </c>
      <c r="L102" s="471" t="s">
        <v>546</v>
      </c>
      <c r="M102" s="471" t="s">
        <v>546</v>
      </c>
      <c r="N102" s="698" t="s">
        <v>546</v>
      </c>
      <c r="O102" s="206"/>
      <c r="P102" s="206"/>
      <c r="Q102" s="13"/>
      <c r="R102" s="13"/>
      <c r="S102" s="13"/>
      <c r="T102" s="13"/>
      <c r="U102" s="471"/>
      <c r="V102" s="471"/>
      <c r="W102" s="13"/>
      <c r="X102" s="13"/>
    </row>
    <row r="103" spans="1:24">
      <c r="A103" s="145" t="str">
        <f t="shared" ref="A103:A111" si="17">A87</f>
        <v>Al-gra</v>
      </c>
      <c r="B103" s="1156">
        <f>'Env. Impacts Cell'!J97</f>
        <v>6712.8685653208868</v>
      </c>
      <c r="C103" s="1101">
        <f>D71*N$5</f>
        <v>15.87438324589141</v>
      </c>
      <c r="D103" s="1101">
        <f>E71*'Env. Impacts Cell'!R$14</f>
        <v>5502.3796595348986</v>
      </c>
      <c r="E103" s="1101">
        <f>(I71+J71)*R$9+K71*R$10</f>
        <v>1147.1929182396002</v>
      </c>
      <c r="F103" s="1205">
        <f>G71*R$7+H71*R$4</f>
        <v>1944.896430936974</v>
      </c>
      <c r="G103" s="1101">
        <f>F71*R$14</f>
        <v>1465.067293212838</v>
      </c>
      <c r="H103" s="1101">
        <f>SUM(B103:G103)</f>
        <v>16788.279250491087</v>
      </c>
      <c r="I103" s="1101">
        <f>B103*'Env. Impacts Cell'!K97/'Env. Impacts System'!H103</f>
        <v>0</v>
      </c>
      <c r="J103" s="1101">
        <f>D103/H103</f>
        <v>0.32775125892511853</v>
      </c>
      <c r="K103" s="1101">
        <f>G103/H103</f>
        <v>8.726726970365245E-2</v>
      </c>
      <c r="L103" s="1101">
        <f>I103+J103+K103</f>
        <v>0.41501852862877098</v>
      </c>
      <c r="M103" s="1101">
        <f>E103/H103</f>
        <v>6.8332966179725826E-2</v>
      </c>
      <c r="N103" s="1203">
        <f>L103+M103</f>
        <v>0.48335149480849682</v>
      </c>
      <c r="U103" s="206"/>
      <c r="V103" s="206"/>
    </row>
    <row r="104" spans="1:24">
      <c r="A104" s="314" t="str">
        <f t="shared" si="17"/>
        <v>Al-PPQ</v>
      </c>
      <c r="B104" s="718">
        <f>'Env. Impacts Cell'!J98</f>
        <v>1947.6634795355799</v>
      </c>
      <c r="C104" s="206">
        <f>D72*N$5</f>
        <v>5.8588112195677446</v>
      </c>
      <c r="D104" s="206">
        <f>E72*'Env. Impacts Cell'!R$14</f>
        <v>1895.3724953277494</v>
      </c>
      <c r="E104" s="206">
        <f>(I72+J72)*R$9+K72*R$10</f>
        <v>1147.9470268397422</v>
      </c>
      <c r="F104" s="131">
        <f>G72*R$7+H72*R$4</f>
        <v>874.43922522998423</v>
      </c>
      <c r="G104" s="206">
        <f>F72*R$14</f>
        <v>767.03955519300087</v>
      </c>
      <c r="H104" s="206">
        <f>SUM(B104:G104)</f>
        <v>6638.3205933456238</v>
      </c>
      <c r="I104" s="206">
        <f>B104*'Env. Impacts Cell'!K98/'Env. Impacts System'!H104</f>
        <v>0</v>
      </c>
      <c r="J104" s="206">
        <f t="shared" ref="J104:J111" si="18">D104/H104</f>
        <v>0.2855198794146378</v>
      </c>
      <c r="K104" s="206">
        <f t="shared" ref="K104:L111" si="19">G104/H104</f>
        <v>0.1155472298162122</v>
      </c>
      <c r="L104" s="206">
        <f t="shared" ref="L104:M111" si="20">I104+J104+K104</f>
        <v>0.40106710923084998</v>
      </c>
      <c r="M104" s="206">
        <f t="shared" ref="M104:N111" si="21">E104/H104</f>
        <v>0.17292732562366236</v>
      </c>
      <c r="N104" s="696">
        <f t="shared" ref="N104:N111" si="22">L104+M104</f>
        <v>0.57399443485451229</v>
      </c>
      <c r="U104" s="206"/>
      <c r="V104" s="206"/>
    </row>
    <row r="105" spans="1:24">
      <c r="A105" s="145" t="str">
        <f t="shared" si="17"/>
        <v>Al-PBQS</v>
      </c>
      <c r="B105" s="1157">
        <f>'Env. Impacts Cell'!J99</f>
        <v>1371.8276770758855</v>
      </c>
      <c r="C105" s="165">
        <f>D73*N$5</f>
        <v>3.8588721919671536</v>
      </c>
      <c r="D105" s="165">
        <f>E73*'Env. Impacts Cell'!R$14</f>
        <v>1234.2898922906534</v>
      </c>
      <c r="E105" s="165">
        <f>(I73+J73)*R$9+K73*R$10</f>
        <v>1147.8584700569115</v>
      </c>
      <c r="F105" s="685">
        <f>G73*R$7+H73*R$4</f>
        <v>678.53300118004245</v>
      </c>
      <c r="G105" s="165">
        <f>F73*R$14</f>
        <v>625.19625031313376</v>
      </c>
      <c r="H105" s="165">
        <f>SUM(B105:G105)</f>
        <v>5061.5641631085937</v>
      </c>
      <c r="I105" s="165">
        <f>B105*'Env. Impacts Cell'!K99/'Env. Impacts System'!H105</f>
        <v>0</v>
      </c>
      <c r="J105" s="165">
        <f t="shared" si="18"/>
        <v>0.24385542739669747</v>
      </c>
      <c r="K105" s="165">
        <f t="shared" si="19"/>
        <v>0.12351838881543789</v>
      </c>
      <c r="L105" s="165">
        <f t="shared" si="20"/>
        <v>0.36737381621213538</v>
      </c>
      <c r="M105" s="165">
        <f t="shared" si="21"/>
        <v>0.22677939725097676</v>
      </c>
      <c r="N105" s="168">
        <f t="shared" si="22"/>
        <v>0.59415321346311212</v>
      </c>
      <c r="U105" s="206"/>
      <c r="V105" s="206"/>
    </row>
    <row r="106" spans="1:24">
      <c r="A106" s="314" t="str">
        <f t="shared" si="17"/>
        <v>Al-TiO2</v>
      </c>
      <c r="B106" s="718">
        <f>'Env. Impacts Cell'!J100</f>
        <v>1871.7199957899011</v>
      </c>
      <c r="C106" s="206">
        <f>D74*N$5</f>
        <v>6.4043974356513509</v>
      </c>
      <c r="D106" s="206">
        <f>E74*'Env. Impacts Cell'!R$14</f>
        <v>2076.7392375200679</v>
      </c>
      <c r="E106" s="206">
        <f>(I74+J74)*R$9+K74*R$10</f>
        <v>1148.068749942915</v>
      </c>
      <c r="F106" s="131">
        <f>G74*R$7+H74*R$4</f>
        <v>1018.6640244081474</v>
      </c>
      <c r="G106" s="206">
        <f>F74*R$14</f>
        <v>835.14062958887757</v>
      </c>
      <c r="H106" s="206">
        <f>SUM(B106:G106)</f>
        <v>6956.7370346855596</v>
      </c>
      <c r="I106" s="206">
        <f>B106*'Env. Impacts Cell'!K100/'Env. Impacts System'!H106</f>
        <v>0</v>
      </c>
      <c r="J106" s="206">
        <f t="shared" si="18"/>
        <v>0.29852202651410631</v>
      </c>
      <c r="K106" s="206">
        <f t="shared" si="19"/>
        <v>0.12004775017726761</v>
      </c>
      <c r="L106" s="206">
        <f t="shared" si="20"/>
        <v>0.41856977669137391</v>
      </c>
      <c r="M106" s="206">
        <f t="shared" si="21"/>
        <v>0.16502977534133673</v>
      </c>
      <c r="N106" s="696">
        <f t="shared" si="22"/>
        <v>0.58359955203271063</v>
      </c>
      <c r="U106" s="206"/>
      <c r="V106" s="206"/>
    </row>
    <row r="107" spans="1:24">
      <c r="A107" s="145" t="str">
        <f t="shared" si="17"/>
        <v>Al-V2C</v>
      </c>
      <c r="B107" s="1157">
        <f>'Env. Impacts Cell'!J101</f>
        <v>18490.836391062017</v>
      </c>
      <c r="C107" s="165">
        <f>D75*N$5</f>
        <v>4.4447236477055121</v>
      </c>
      <c r="D107" s="165">
        <f>E75*'Env. Impacts Cell'!R$14</f>
        <v>1503.6729325502026</v>
      </c>
      <c r="E107" s="165">
        <f>(I75+J75)*R$9+K75*R$10</f>
        <v>1147.7605763991642</v>
      </c>
      <c r="F107" s="685">
        <f>G75*R$7+H75*R$4</f>
        <v>670.14034475664153</v>
      </c>
      <c r="G107" s="165">
        <f>F75*R$14</f>
        <v>667.40766195992558</v>
      </c>
      <c r="H107" s="165">
        <f>SUM(B107:G107)</f>
        <v>22484.262630375655</v>
      </c>
      <c r="I107" s="165">
        <f>B107*'Env. Impacts Cell'!K101/'Env. Impacts System'!H107</f>
        <v>0</v>
      </c>
      <c r="J107" s="165">
        <f t="shared" si="18"/>
        <v>6.6876684251089447E-2</v>
      </c>
      <c r="K107" s="165">
        <f t="shared" si="19"/>
        <v>2.9683324418132137E-2</v>
      </c>
      <c r="L107" s="165">
        <f t="shared" si="20"/>
        <v>9.6560008669221584E-2</v>
      </c>
      <c r="M107" s="165">
        <f t="shared" si="21"/>
        <v>5.10472856178334E-2</v>
      </c>
      <c r="N107" s="168">
        <f t="shared" si="22"/>
        <v>0.14760729428705499</v>
      </c>
      <c r="U107" s="206"/>
      <c r="V107" s="206"/>
    </row>
    <row r="108" spans="1:24">
      <c r="A108" s="314" t="str">
        <f t="shared" si="17"/>
        <v>Al-MnO2</v>
      </c>
      <c r="B108" s="718">
        <f>'Env. Impacts Cell'!J102</f>
        <v>940.70414825363855</v>
      </c>
      <c r="C108" s="206">
        <f>D76*N$5</f>
        <v>1.2759512458554692</v>
      </c>
      <c r="D108" s="206">
        <f>E76*'Env. Impacts Cell'!R$14</f>
        <v>274.25346214075989</v>
      </c>
      <c r="E108" s="206">
        <f>(I76+J76)*R$9+K76*R$10</f>
        <v>1147.8634989193224</v>
      </c>
      <c r="F108" s="131">
        <f>G76*R$7+H76*R$4</f>
        <v>192.46547550615725</v>
      </c>
      <c r="G108" s="206">
        <f>F76*R$14</f>
        <v>447.01627370567252</v>
      </c>
      <c r="H108" s="206">
        <f>SUM(B108:G108)</f>
        <v>3003.5788097714062</v>
      </c>
      <c r="I108" s="206">
        <f>B108*'Env. Impacts Cell'!K102/'Env. Impacts System'!H108</f>
        <v>0</v>
      </c>
      <c r="J108" s="206">
        <f t="shared" si="18"/>
        <v>9.1308894991715739E-2</v>
      </c>
      <c r="K108" s="206">
        <f t="shared" si="19"/>
        <v>0.14882788234202973</v>
      </c>
      <c r="L108" s="206">
        <f t="shared" si="20"/>
        <v>0.24013677733374547</v>
      </c>
      <c r="M108" s="206">
        <f t="shared" si="21"/>
        <v>0.38216526737538242</v>
      </c>
      <c r="N108" s="696">
        <f t="shared" si="22"/>
        <v>0.62230204470912787</v>
      </c>
      <c r="U108" s="206"/>
      <c r="V108" s="206"/>
    </row>
    <row r="109" spans="1:24">
      <c r="A109" s="145" t="str">
        <f t="shared" si="17"/>
        <v>LIB-NMC</v>
      </c>
      <c r="B109" s="1157">
        <f>'Env. Impacts Cell'!J103</f>
        <v>7823.592378403212</v>
      </c>
      <c r="C109" s="165">
        <f>D77*N$5</f>
        <v>1.2698451838319464</v>
      </c>
      <c r="D109" s="165">
        <f>E77*'Env. Impacts Cell'!R$14</f>
        <v>728.8951049116863</v>
      </c>
      <c r="E109" s="165">
        <f>(I77+J77)*R$9+K77*R$10</f>
        <v>1147.7288075257864</v>
      </c>
      <c r="F109" s="685">
        <f>G77*R$7+H77*R$4</f>
        <v>240.55278828619572</v>
      </c>
      <c r="G109" s="165">
        <f>F77*R$14</f>
        <v>448.34380491069942</v>
      </c>
      <c r="H109" s="165">
        <f>SUM(B109:G109)</f>
        <v>10390.38272922141</v>
      </c>
      <c r="I109" s="165">
        <f>B109*'Env. Impacts Cell'!K103/'Env. Impacts System'!H109</f>
        <v>9.718842407220879E-2</v>
      </c>
      <c r="J109" s="165">
        <f t="shared" si="18"/>
        <v>7.0150938989165135E-2</v>
      </c>
      <c r="K109" s="165">
        <f t="shared" si="19"/>
        <v>4.3149883560092445E-2</v>
      </c>
      <c r="L109" s="165">
        <f t="shared" si="20"/>
        <v>0.21048924662146637</v>
      </c>
      <c r="M109" s="165">
        <f t="shared" si="21"/>
        <v>0.11046068633236862</v>
      </c>
      <c r="N109" s="168">
        <f t="shared" si="22"/>
        <v>0.320949932953835</v>
      </c>
      <c r="U109" s="206"/>
      <c r="V109" s="206"/>
    </row>
    <row r="110" spans="1:24">
      <c r="A110" s="314" t="str">
        <f t="shared" si="17"/>
        <v>LIB-LFP</v>
      </c>
      <c r="B110" s="718">
        <f>'Env. Impacts Cell'!J104</f>
        <v>3870.6611013192801</v>
      </c>
      <c r="C110" s="206">
        <f>D78*N$5</f>
        <v>1.7691722378870245</v>
      </c>
      <c r="D110" s="206">
        <f>E78*'Env. Impacts Cell'!R$14</f>
        <v>1046.044284976269</v>
      </c>
      <c r="E110" s="206">
        <f>(I78+J78)*R$9+K78*R$10</f>
        <v>1147.8313494243409</v>
      </c>
      <c r="F110" s="131">
        <f>G78*R$7+H78*R$4</f>
        <v>335.35771729628755</v>
      </c>
      <c r="G110" s="206">
        <f>F78*R$14</f>
        <v>485.2236643735846</v>
      </c>
      <c r="H110" s="206">
        <f>SUM(B110:G110)</f>
        <v>6886.8872896276498</v>
      </c>
      <c r="I110" s="206">
        <f>B110*'Env. Impacts Cell'!K104/'Env. Impacts System'!H110</f>
        <v>0.21145229092627491</v>
      </c>
      <c r="J110" s="206">
        <f t="shared" si="18"/>
        <v>0.15188927028785815</v>
      </c>
      <c r="K110" s="206">
        <f t="shared" si="19"/>
        <v>7.0456164587502493E-2</v>
      </c>
      <c r="L110" s="206">
        <f t="shared" si="20"/>
        <v>0.43379772580163556</v>
      </c>
      <c r="M110" s="206">
        <f t="shared" si="21"/>
        <v>0.16666910625255785</v>
      </c>
      <c r="N110" s="696">
        <f t="shared" si="22"/>
        <v>0.60046683205419338</v>
      </c>
      <c r="U110" s="206"/>
      <c r="V110" s="206"/>
    </row>
    <row r="111" spans="1:24" ht="17" thickBot="1">
      <c r="A111" s="987" t="str">
        <f t="shared" si="17"/>
        <v>Li-DIB</v>
      </c>
      <c r="B111" s="1158">
        <f>'Env. Impacts Cell'!J105</f>
        <v>4646.1334092136012</v>
      </c>
      <c r="C111" s="1112">
        <f>D79*N$5</f>
        <v>6.0651368563397874</v>
      </c>
      <c r="D111" s="1112">
        <f>E79*'Env. Impacts Cell'!R$14</f>
        <v>3758.3671329112231</v>
      </c>
      <c r="E111" s="1112">
        <f>(I79+J79)*R$9+K79*R$10</f>
        <v>1147.9497910705361</v>
      </c>
      <c r="F111" s="1000">
        <f>G79*R$7+H79*R$4</f>
        <v>953.56880172445426</v>
      </c>
      <c r="G111" s="1112">
        <f>F79*R$14</f>
        <v>798.95227221174969</v>
      </c>
      <c r="H111" s="1112">
        <f>SUM(B111:G111)</f>
        <v>11311.036543987902</v>
      </c>
      <c r="I111" s="1112">
        <f>B111*'Env. Impacts Cell'!K105/'Env. Impacts System'!H111</f>
        <v>0.2147864964842375</v>
      </c>
      <c r="J111" s="1112">
        <f t="shared" si="18"/>
        <v>0.33227433385925081</v>
      </c>
      <c r="K111" s="1112">
        <f t="shared" si="19"/>
        <v>7.0634752978179768E-2</v>
      </c>
      <c r="L111" s="1112">
        <f t="shared" si="20"/>
        <v>0.61769558332166807</v>
      </c>
      <c r="M111" s="1112">
        <f t="shared" si="21"/>
        <v>0.10148935392492388</v>
      </c>
      <c r="N111" s="1204">
        <f t="shared" si="22"/>
        <v>0.71918493724659194</v>
      </c>
      <c r="U111" s="206"/>
      <c r="V111" s="206"/>
    </row>
    <row r="112" spans="1:24" ht="17" thickBot="1"/>
    <row r="113" spans="1:21" ht="16" customHeight="1">
      <c r="A113" s="724" t="s">
        <v>1436</v>
      </c>
      <c r="B113" s="547" t="s">
        <v>731</v>
      </c>
      <c r="C113" s="547" t="s">
        <v>1487</v>
      </c>
      <c r="D113" s="547" t="s">
        <v>1404</v>
      </c>
      <c r="E113" s="547" t="s">
        <v>573</v>
      </c>
      <c r="F113" s="547" t="s">
        <v>572</v>
      </c>
      <c r="G113" s="547" t="s">
        <v>846</v>
      </c>
      <c r="H113" s="547" t="s">
        <v>1437</v>
      </c>
      <c r="I113" s="547" t="s">
        <v>1494</v>
      </c>
      <c r="J113" s="547" t="s">
        <v>1419</v>
      </c>
      <c r="K113" s="701" t="s">
        <v>1418</v>
      </c>
      <c r="M113" s="548"/>
      <c r="N113" s="548"/>
      <c r="U113" s="548"/>
    </row>
    <row r="114" spans="1:21">
      <c r="A114" s="725"/>
      <c r="B114" s="548"/>
      <c r="C114" s="548"/>
      <c r="D114" s="548"/>
      <c r="E114" s="548"/>
      <c r="F114" s="548"/>
      <c r="G114" s="548"/>
      <c r="H114" s="548"/>
      <c r="I114" s="548"/>
      <c r="J114" s="548"/>
      <c r="K114" s="702"/>
      <c r="M114" s="548"/>
      <c r="N114" s="548"/>
      <c r="U114" s="548"/>
    </row>
    <row r="115" spans="1:21">
      <c r="A115" s="725"/>
      <c r="B115" s="548"/>
      <c r="C115" s="548"/>
      <c r="D115" s="548"/>
      <c r="E115" s="548"/>
      <c r="F115" s="548"/>
      <c r="G115" s="548"/>
      <c r="H115" s="548"/>
      <c r="I115" s="548"/>
      <c r="J115" s="548"/>
      <c r="K115" s="702"/>
      <c r="M115" s="548"/>
      <c r="N115" s="548"/>
      <c r="U115" s="548"/>
    </row>
    <row r="116" spans="1:21">
      <c r="A116" s="725"/>
      <c r="B116" s="548"/>
      <c r="C116" s="548"/>
      <c r="D116" s="548"/>
      <c r="E116" s="548"/>
      <c r="F116" s="548"/>
      <c r="G116" s="548"/>
      <c r="H116" s="548"/>
      <c r="I116" s="548"/>
      <c r="J116" s="548"/>
      <c r="K116" s="702"/>
      <c r="M116" s="548"/>
      <c r="N116" s="548"/>
      <c r="U116" s="548"/>
    </row>
    <row r="117" spans="1:21">
      <c r="A117" s="725"/>
      <c r="B117" s="548"/>
      <c r="C117" s="548"/>
      <c r="D117" s="548"/>
      <c r="E117" s="548"/>
      <c r="F117" s="548"/>
      <c r="G117" s="548"/>
      <c r="H117" s="548"/>
      <c r="I117" s="548"/>
      <c r="J117" s="548"/>
      <c r="K117" s="702"/>
      <c r="M117" s="548"/>
      <c r="N117" s="548"/>
      <c r="U117" s="548"/>
    </row>
    <row r="118" spans="1:21" ht="17">
      <c r="A118" s="726"/>
      <c r="B118" s="471" t="s">
        <v>546</v>
      </c>
      <c r="C118" s="471" t="s">
        <v>546</v>
      </c>
      <c r="D118" s="471" t="s">
        <v>546</v>
      </c>
      <c r="E118" s="471" t="s">
        <v>546</v>
      </c>
      <c r="F118" s="471" t="s">
        <v>546</v>
      </c>
      <c r="G118" s="471" t="s">
        <v>546</v>
      </c>
      <c r="H118" s="471" t="s">
        <v>546</v>
      </c>
      <c r="I118" s="471" t="s">
        <v>546</v>
      </c>
      <c r="J118" s="471" t="s">
        <v>546</v>
      </c>
      <c r="K118" s="698" t="s">
        <v>546</v>
      </c>
      <c r="M118" s="471"/>
      <c r="N118" s="471"/>
      <c r="U118" s="471"/>
    </row>
    <row r="119" spans="1:21">
      <c r="A119" s="145" t="str">
        <f t="shared" ref="A119:A127" si="23">A103</f>
        <v>Al-gra</v>
      </c>
      <c r="B119" s="1156">
        <f>'Env. Impacts Cell'!K135</f>
        <v>102.23928203152235</v>
      </c>
      <c r="C119" s="1101">
        <f>D71*D$15</f>
        <v>34.596817603545695</v>
      </c>
      <c r="D119" s="1101">
        <f>E71*H$5</f>
        <v>2.4367681349368837</v>
      </c>
      <c r="E119" s="1101">
        <f>(I71+J71)*H$10+K71*H$9</f>
        <v>4.7534573989793998</v>
      </c>
      <c r="F119" s="1205">
        <f>(G71+H71)*H$6</f>
        <v>43.996163985592133</v>
      </c>
      <c r="G119" s="1101">
        <f>F71*H$5</f>
        <v>0.6488155155656854</v>
      </c>
      <c r="H119" s="1101">
        <f>SUM(B119:G119)</f>
        <v>188.67130467014215</v>
      </c>
      <c r="I119" s="1101">
        <f>C119/H119</f>
        <v>0.18337085050655694</v>
      </c>
      <c r="J119" s="1101">
        <f>F119/H119</f>
        <v>0.23318948296091721</v>
      </c>
      <c r="K119" s="1203">
        <f>I119+J119</f>
        <v>0.41656033346747412</v>
      </c>
      <c r="M119" s="206"/>
      <c r="N119" s="206"/>
      <c r="U119" s="206"/>
    </row>
    <row r="120" spans="1:21">
      <c r="A120" s="314" t="str">
        <f t="shared" si="23"/>
        <v>Al-PPQ</v>
      </c>
      <c r="B120" s="718">
        <f>'Env. Impacts Cell'!K136</f>
        <v>56.846506723275887</v>
      </c>
      <c r="C120" s="206">
        <f>D72*D$15</f>
        <v>12.768762099116762</v>
      </c>
      <c r="D120" s="206">
        <f>E72*H$5</f>
        <v>0.83937924793086049</v>
      </c>
      <c r="E120" s="206">
        <f>(I72+J72)*H$10+K72*H$9</f>
        <v>4.7564156495646941</v>
      </c>
      <c r="F120" s="131">
        <f>(G72+H72)*H$6</f>
        <v>17.567343170067609</v>
      </c>
      <c r="G120" s="206">
        <f>F72*H$5</f>
        <v>0.33968894587118609</v>
      </c>
      <c r="H120" s="206">
        <f>SUM(B120:G120)</f>
        <v>93.118095835827006</v>
      </c>
      <c r="I120" s="206">
        <f>C120/H120</f>
        <v>0.13712439010381916</v>
      </c>
      <c r="J120" s="206">
        <f t="shared" ref="J120:K127" si="24">F120/H120</f>
        <v>0.18865659797253509</v>
      </c>
      <c r="K120" s="696">
        <f t="shared" ref="K120:K127" si="25">I120+J120</f>
        <v>0.32578098807635425</v>
      </c>
      <c r="M120" s="206"/>
      <c r="N120" s="206"/>
      <c r="U120" s="206"/>
    </row>
    <row r="121" spans="1:21">
      <c r="A121" s="145" t="str">
        <f t="shared" si="23"/>
        <v>Al-PBQS</v>
      </c>
      <c r="B121" s="1157">
        <f>'Env. Impacts Cell'!K137</f>
        <v>34.991517586903242</v>
      </c>
      <c r="C121" s="165">
        <f>D73*D$15</f>
        <v>8.4100714536695911</v>
      </c>
      <c r="D121" s="165">
        <f>E73*H$5</f>
        <v>0.54661409515728931</v>
      </c>
      <c r="E121" s="165">
        <f>(I73+J73)*H$10+K73*H$9</f>
        <v>4.7560682550984428</v>
      </c>
      <c r="F121" s="685">
        <f>(G73+H73)*H$6</f>
        <v>12.445425214913248</v>
      </c>
      <c r="G121" s="165">
        <f>F73*H$5</f>
        <v>0.27687262513867356</v>
      </c>
      <c r="H121" s="165">
        <f>SUM(B121:G121)</f>
        <v>61.426569230880482</v>
      </c>
      <c r="I121" s="165">
        <f>C121/H121</f>
        <v>0.13691260246130862</v>
      </c>
      <c r="J121" s="165">
        <f t="shared" si="24"/>
        <v>0.20260654909987486</v>
      </c>
      <c r="K121" s="168">
        <f t="shared" si="25"/>
        <v>0.33951915156118351</v>
      </c>
      <c r="M121" s="206"/>
      <c r="N121" s="206"/>
      <c r="U121" s="206"/>
    </row>
    <row r="122" spans="1:21">
      <c r="A122" s="314" t="str">
        <f t="shared" si="23"/>
        <v>Al-TiO2</v>
      </c>
      <c r="B122" s="718">
        <f>'Env. Impacts Cell'!K138</f>
        <v>221.9960611159847</v>
      </c>
      <c r="C122" s="206">
        <f>D74*D$15</f>
        <v>13.957819117110738</v>
      </c>
      <c r="D122" s="206">
        <f>E74*H$5</f>
        <v>0.91969880518745872</v>
      </c>
      <c r="E122" s="206">
        <f>(I74+J74)*H$10+K74*H$9</f>
        <v>4.7568931503399607</v>
      </c>
      <c r="F122" s="131">
        <f>(G74+H74)*H$6</f>
        <v>20.315414673117285</v>
      </c>
      <c r="G122" s="206">
        <f>F74*H$5</f>
        <v>0.36984799310364574</v>
      </c>
      <c r="H122" s="206">
        <f>SUM(B122:G122)</f>
        <v>262.31573485484375</v>
      </c>
      <c r="I122" s="206">
        <f>C122/H122</f>
        <v>5.3209995675000211E-2</v>
      </c>
      <c r="J122" s="206">
        <f t="shared" si="24"/>
        <v>7.7446420377180636E-2</v>
      </c>
      <c r="K122" s="696">
        <f t="shared" si="25"/>
        <v>0.13065641605218084</v>
      </c>
      <c r="M122" s="206"/>
      <c r="N122" s="206"/>
      <c r="U122" s="206"/>
    </row>
    <row r="123" spans="1:21">
      <c r="A123" s="145" t="str">
        <f t="shared" si="23"/>
        <v>Al-V2C</v>
      </c>
      <c r="B123" s="1157">
        <f>'Env. Impacts Cell'!K139</f>
        <v>164.00427959146461</v>
      </c>
      <c r="C123" s="165">
        <f>D75*D$15</f>
        <v>9.6868830086758368</v>
      </c>
      <c r="D123" s="165">
        <f>E75*H$5</f>
        <v>0.66591229870080404</v>
      </c>
      <c r="E123" s="165">
        <f>(I75+J75)*H$10+K75*H$9</f>
        <v>4.7556842335261216</v>
      </c>
      <c r="F123" s="685">
        <f>(G75+H75)*H$6</f>
        <v>13.421568679339275</v>
      </c>
      <c r="G123" s="165">
        <f>F75*H$5</f>
        <v>0.29556625029653849</v>
      </c>
      <c r="H123" s="165">
        <f>SUM(B123:G123)</f>
        <v>192.82989406200321</v>
      </c>
      <c r="I123" s="165">
        <f>C123/H123</f>
        <v>5.0235380026507105E-2</v>
      </c>
      <c r="J123" s="165">
        <f t="shared" si="24"/>
        <v>6.9603153310988472E-2</v>
      </c>
      <c r="K123" s="168">
        <f t="shared" si="25"/>
        <v>0.11983853333749558</v>
      </c>
      <c r="M123" s="206"/>
      <c r="N123" s="206"/>
      <c r="U123" s="206"/>
    </row>
    <row r="124" spans="1:21">
      <c r="A124" s="314" t="str">
        <f t="shared" si="23"/>
        <v>Al-MnO2</v>
      </c>
      <c r="B124" s="718">
        <f>'Env. Impacts Cell'!K140</f>
        <v>32.76038942498684</v>
      </c>
      <c r="C124" s="206">
        <f>D76*D$15</f>
        <v>2.7808231564085375</v>
      </c>
      <c r="D124" s="206">
        <f>E76*H$5</f>
        <v>0.12145510466233654</v>
      </c>
      <c r="E124" s="206">
        <f>(I76+J76)*H$10+K76*H$9</f>
        <v>4.7560879825424314</v>
      </c>
      <c r="F124" s="131">
        <f>(G76+H76)*H$6</f>
        <v>3.8972083777135795</v>
      </c>
      <c r="G124" s="206">
        <f>F76*H$5</f>
        <v>0.1979643497839407</v>
      </c>
      <c r="H124" s="206">
        <f>SUM(B124:G124)</f>
        <v>44.513928396097668</v>
      </c>
      <c r="I124" s="206">
        <f>C124/H124</f>
        <v>6.2470854777497455E-2</v>
      </c>
      <c r="J124" s="206">
        <f t="shared" si="24"/>
        <v>8.7550313309468095E-2</v>
      </c>
      <c r="K124" s="696">
        <f t="shared" si="25"/>
        <v>0.15002116808696556</v>
      </c>
      <c r="M124" s="206"/>
      <c r="N124" s="206"/>
      <c r="U124" s="206"/>
    </row>
    <row r="125" spans="1:21">
      <c r="A125" s="145" t="str">
        <f t="shared" si="23"/>
        <v>LIB-NMC</v>
      </c>
      <c r="B125" s="1157">
        <f>'Env. Impacts Cell'!K141</f>
        <v>38.194259359125184</v>
      </c>
      <c r="C125" s="165">
        <f>D77*D$15</f>
        <v>2.767515532998448</v>
      </c>
      <c r="D125" s="165">
        <f>E77*H$5</f>
        <v>0.32279640360374678</v>
      </c>
      <c r="E125" s="165">
        <f>(I77+J77)*H$10+K77*H$9</f>
        <v>4.7555596091838899</v>
      </c>
      <c r="F125" s="685">
        <f>(G77+H77)*H$6</f>
        <v>4.3816765064504439</v>
      </c>
      <c r="G125" s="165">
        <f>F77*H$5</f>
        <v>0.19855225646045263</v>
      </c>
      <c r="H125" s="165">
        <f>SUM(B125:G125)</f>
        <v>50.620359667822164</v>
      </c>
      <c r="I125" s="165">
        <f>C125/H125</f>
        <v>5.4671984773701124E-2</v>
      </c>
      <c r="J125" s="165">
        <f t="shared" si="24"/>
        <v>8.6559568821786614E-2</v>
      </c>
      <c r="K125" s="168">
        <f t="shared" si="25"/>
        <v>0.14123155359548772</v>
      </c>
      <c r="M125" s="206"/>
      <c r="N125" s="206"/>
      <c r="U125" s="206"/>
    </row>
    <row r="126" spans="1:21">
      <c r="A126" s="314" t="str">
        <f t="shared" si="23"/>
        <v>LIB-LFP</v>
      </c>
      <c r="B126" s="718">
        <f>'Env. Impacts Cell'!K142</f>
        <v>45.757285180046892</v>
      </c>
      <c r="C126" s="206">
        <f>D78*D$15</f>
        <v>3.8557547890420154</v>
      </c>
      <c r="D126" s="206">
        <f>E78*H$5</f>
        <v>0.46324818334663342</v>
      </c>
      <c r="E126" s="206">
        <f>(I78+J78)*H$10+K78*H$9</f>
        <v>4.7559618650809306</v>
      </c>
      <c r="F126" s="131">
        <f>(G78+H78)*H$6</f>
        <v>6.0891216744606327</v>
      </c>
      <c r="G126" s="206">
        <f>F78*H$5</f>
        <v>0.21488476565115888</v>
      </c>
      <c r="H126" s="206">
        <f>SUM(B126:G126)</f>
        <v>61.136256457628264</v>
      </c>
      <c r="I126" s="206">
        <f>C126/H126</f>
        <v>6.3068218639038276E-2</v>
      </c>
      <c r="J126" s="206">
        <f t="shared" si="24"/>
        <v>9.95991908448111E-2</v>
      </c>
      <c r="K126" s="696">
        <f t="shared" si="25"/>
        <v>0.16266740948384939</v>
      </c>
      <c r="M126" s="206"/>
      <c r="N126" s="206"/>
      <c r="U126" s="206"/>
    </row>
    <row r="127" spans="1:21" ht="17" thickBot="1">
      <c r="A127" s="987" t="str">
        <f t="shared" si="23"/>
        <v>Li-DIB</v>
      </c>
      <c r="B127" s="1158">
        <f>'Env. Impacts Cell'!K143</f>
        <v>49.712710146817052</v>
      </c>
      <c r="C127" s="1112">
        <f>D79*D$15</f>
        <v>13.218430619258184</v>
      </c>
      <c r="D127" s="1112">
        <f>E79*H$5</f>
        <v>1.664419730289256</v>
      </c>
      <c r="E127" s="1112">
        <f>(I79+J79)*H$10+K79*H$9</f>
        <v>4.7564264932115661</v>
      </c>
      <c r="F127" s="1000">
        <f>(G79+H79)*H$6</f>
        <v>19.119853156001582</v>
      </c>
      <c r="G127" s="1112">
        <f>F79*H$5</f>
        <v>0.35382172055091771</v>
      </c>
      <c r="H127" s="1112">
        <f>SUM(B127:G127)</f>
        <v>88.825661866128556</v>
      </c>
      <c r="I127" s="1112">
        <f>C127/H127</f>
        <v>0.1488131958890441</v>
      </c>
      <c r="J127" s="1112">
        <f t="shared" si="24"/>
        <v>0.21525145722885358</v>
      </c>
      <c r="K127" s="1204">
        <f t="shared" si="25"/>
        <v>0.36406465311789771</v>
      </c>
      <c r="M127" s="206"/>
      <c r="N127" s="206"/>
      <c r="U127" s="206"/>
    </row>
  </sheetData>
  <mergeCells count="146">
    <mergeCell ref="H49:H53"/>
    <mergeCell ref="H65:H69"/>
    <mergeCell ref="G81:G85"/>
    <mergeCell ref="G97:G101"/>
    <mergeCell ref="G17:G21"/>
    <mergeCell ref="H17:H21"/>
    <mergeCell ref="I17:I21"/>
    <mergeCell ref="J17:J21"/>
    <mergeCell ref="L17:L21"/>
    <mergeCell ref="M17:M21"/>
    <mergeCell ref="N17:N21"/>
    <mergeCell ref="I33:I37"/>
    <mergeCell ref="J49:J53"/>
    <mergeCell ref="K49:K53"/>
    <mergeCell ref="L49:L53"/>
    <mergeCell ref="M49:M53"/>
    <mergeCell ref="N49:N53"/>
    <mergeCell ref="K65:K69"/>
    <mergeCell ref="L65:L69"/>
    <mergeCell ref="I81:I85"/>
    <mergeCell ref="H97:H101"/>
    <mergeCell ref="I97:I101"/>
    <mergeCell ref="J97:J101"/>
    <mergeCell ref="U113:U117"/>
    <mergeCell ref="A113:A118"/>
    <mergeCell ref="M113:M117"/>
    <mergeCell ref="C113:C117"/>
    <mergeCell ref="D113:D117"/>
    <mergeCell ref="E113:E117"/>
    <mergeCell ref="F113:F117"/>
    <mergeCell ref="G113:G117"/>
    <mergeCell ref="N113:N117"/>
    <mergeCell ref="B113:B117"/>
    <mergeCell ref="H113:H117"/>
    <mergeCell ref="I113:I117"/>
    <mergeCell ref="J113:J117"/>
    <mergeCell ref="K113:K117"/>
    <mergeCell ref="A97:A102"/>
    <mergeCell ref="B97:B101"/>
    <mergeCell ref="C97:C101"/>
    <mergeCell ref="D97:D101"/>
    <mergeCell ref="E97:E101"/>
    <mergeCell ref="F97:F101"/>
    <mergeCell ref="V97:V101"/>
    <mergeCell ref="U97:U101"/>
    <mergeCell ref="K97:K101"/>
    <mergeCell ref="L97:L101"/>
    <mergeCell ref="M97:M101"/>
    <mergeCell ref="N97:N101"/>
    <mergeCell ref="A81:A86"/>
    <mergeCell ref="B81:B85"/>
    <mergeCell ref="C81:C85"/>
    <mergeCell ref="D81:D85"/>
    <mergeCell ref="E81:E85"/>
    <mergeCell ref="F81:F85"/>
    <mergeCell ref="H81:H85"/>
    <mergeCell ref="U81:U85"/>
    <mergeCell ref="D1:D2"/>
    <mergeCell ref="S1:U3"/>
    <mergeCell ref="S4:U4"/>
    <mergeCell ref="S5:U5"/>
    <mergeCell ref="S6:U6"/>
    <mergeCell ref="S7:U7"/>
    <mergeCell ref="A1:A3"/>
    <mergeCell ref="B1:B2"/>
    <mergeCell ref="C1:C2"/>
    <mergeCell ref="E1:E2"/>
    <mergeCell ref="F1:F2"/>
    <mergeCell ref="M1:M3"/>
    <mergeCell ref="G1:G2"/>
    <mergeCell ref="H1:H2"/>
    <mergeCell ref="I1:I2"/>
    <mergeCell ref="Q33:Q37"/>
    <mergeCell ref="R33:R37"/>
    <mergeCell ref="S33:S37"/>
    <mergeCell ref="T33:T37"/>
    <mergeCell ref="U33:U37"/>
    <mergeCell ref="M33:M37"/>
    <mergeCell ref="D17:D21"/>
    <mergeCell ref="E17:E21"/>
    <mergeCell ref="F17:F21"/>
    <mergeCell ref="P33:P37"/>
    <mergeCell ref="O17:O21"/>
    <mergeCell ref="X39:Y39"/>
    <mergeCell ref="X40:Y40"/>
    <mergeCell ref="X41:Y41"/>
    <mergeCell ref="X42:Y42"/>
    <mergeCell ref="X33:Y35"/>
    <mergeCell ref="X36:Y36"/>
    <mergeCell ref="X37:Y37"/>
    <mergeCell ref="X38:Y38"/>
    <mergeCell ref="A33:A38"/>
    <mergeCell ref="B33:B37"/>
    <mergeCell ref="C33:C37"/>
    <mergeCell ref="D33:D37"/>
    <mergeCell ref="E33:E37"/>
    <mergeCell ref="G33:G37"/>
    <mergeCell ref="K17:K21"/>
    <mergeCell ref="U17:U21"/>
    <mergeCell ref="V17:V21"/>
    <mergeCell ref="F33:F37"/>
    <mergeCell ref="H33:H37"/>
    <mergeCell ref="A17:A22"/>
    <mergeCell ref="B17:B21"/>
    <mergeCell ref="C17:C21"/>
    <mergeCell ref="X89:X93"/>
    <mergeCell ref="O89:O93"/>
    <mergeCell ref="S89:S93"/>
    <mergeCell ref="T89:T93"/>
    <mergeCell ref="V49:V53"/>
    <mergeCell ref="O49:O53"/>
    <mergeCell ref="X61:Y61"/>
    <mergeCell ref="X62:Y62"/>
    <mergeCell ref="X64:Y64"/>
    <mergeCell ref="W65:W69"/>
    <mergeCell ref="X65:X69"/>
    <mergeCell ref="Y65:Y69"/>
    <mergeCell ref="X58:Y58"/>
    <mergeCell ref="X59:Y59"/>
    <mergeCell ref="X60:Y60"/>
    <mergeCell ref="X54:Y56"/>
    <mergeCell ref="X57:Y57"/>
    <mergeCell ref="Z65:Z69"/>
    <mergeCell ref="AA65:AA69"/>
    <mergeCell ref="C49:C53"/>
    <mergeCell ref="D49:D53"/>
    <mergeCell ref="I65:I69"/>
    <mergeCell ref="U65:U69"/>
    <mergeCell ref="V65:V69"/>
    <mergeCell ref="I49:I53"/>
    <mergeCell ref="U49:U53"/>
    <mergeCell ref="J65:J69"/>
    <mergeCell ref="M65:M69"/>
    <mergeCell ref="T65:T69"/>
    <mergeCell ref="F49:F53"/>
    <mergeCell ref="G49:G53"/>
    <mergeCell ref="E49:E53"/>
    <mergeCell ref="E65:E69"/>
    <mergeCell ref="A65:A70"/>
    <mergeCell ref="B65:B69"/>
    <mergeCell ref="C65:C69"/>
    <mergeCell ref="D65:D69"/>
    <mergeCell ref="F65:F69"/>
    <mergeCell ref="G65:G69"/>
    <mergeCell ref="A49:A54"/>
    <mergeCell ref="B49:B53"/>
  </mergeCells>
  <pageMargins left="0.7" right="0.7" top="0.75" bottom="0.75" header="0.3" footer="0.3"/>
  <ignoredErrors>
    <ignoredError sqref="H39:H47 D10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2572C-6AAB-FE4F-A46B-171DD319E0AC}">
  <dimension ref="A1:BL78"/>
  <sheetViews>
    <sheetView topLeftCell="V26" zoomScale="109" zoomScaleNormal="109" workbookViewId="0">
      <selection activeCell="AI47" sqref="AI47"/>
    </sheetView>
  </sheetViews>
  <sheetFormatPr baseColWidth="10" defaultRowHeight="15"/>
  <cols>
    <col min="23" max="23" width="11.6640625" bestFit="1" customWidth="1"/>
    <col min="27" max="27" width="18.1640625" customWidth="1"/>
    <col min="28" max="29" width="12.6640625" bestFit="1" customWidth="1"/>
    <col min="35" max="35" width="12.6640625" bestFit="1" customWidth="1"/>
    <col min="36" max="36" width="10.1640625" customWidth="1"/>
    <col min="49" max="49" width="11.6640625" bestFit="1" customWidth="1"/>
    <col min="58" max="58" width="11.83203125" bestFit="1" customWidth="1"/>
    <col min="63" max="63" width="14.6640625" bestFit="1" customWidth="1"/>
  </cols>
  <sheetData>
    <row r="1" spans="1:64">
      <c r="A1" s="592" t="s">
        <v>520</v>
      </c>
      <c r="B1" s="593"/>
      <c r="C1" s="593"/>
      <c r="D1" s="593"/>
      <c r="E1" s="593"/>
      <c r="F1" s="593"/>
      <c r="G1" s="593"/>
      <c r="H1" s="611"/>
      <c r="I1" s="640" t="s">
        <v>1430</v>
      </c>
      <c r="J1" s="593"/>
      <c r="K1" s="593"/>
      <c r="L1" s="593"/>
      <c r="M1" s="593"/>
      <c r="N1" s="593"/>
      <c r="O1" s="594"/>
      <c r="P1" s="611"/>
      <c r="Q1" s="640" t="s">
        <v>1431</v>
      </c>
      <c r="R1" s="593"/>
      <c r="S1" s="593"/>
      <c r="T1" s="593"/>
      <c r="U1" s="593"/>
      <c r="V1" s="593"/>
      <c r="W1" s="593"/>
      <c r="X1" s="593"/>
      <c r="Y1" s="594"/>
      <c r="Z1" s="595"/>
      <c r="AA1" s="8"/>
      <c r="AB1" s="8"/>
      <c r="AC1" s="8"/>
      <c r="AD1" s="8"/>
      <c r="AE1" s="624"/>
      <c r="AF1" s="620"/>
      <c r="AG1" s="621"/>
      <c r="AH1" s="621"/>
      <c r="AI1" s="621"/>
      <c r="AJ1" s="621"/>
      <c r="AK1" s="622"/>
      <c r="AL1" s="644" t="s">
        <v>1432</v>
      </c>
      <c r="AM1" s="621"/>
      <c r="AN1" s="621"/>
      <c r="AO1" s="621"/>
      <c r="AP1" s="621"/>
      <c r="AQ1" s="621"/>
      <c r="AR1" s="620"/>
      <c r="AS1" s="646" t="s">
        <v>1433</v>
      </c>
      <c r="AT1" s="621"/>
      <c r="AU1" s="621"/>
      <c r="AV1" s="621"/>
      <c r="AW1" s="621"/>
      <c r="AX1" s="622"/>
      <c r="AY1" s="620"/>
      <c r="AZ1" s="646" t="s">
        <v>1434</v>
      </c>
      <c r="BA1" s="621"/>
      <c r="BB1" s="621"/>
      <c r="BC1" s="621"/>
      <c r="BD1" s="621"/>
      <c r="BE1" s="621"/>
      <c r="BF1" s="621"/>
      <c r="BG1" s="621"/>
      <c r="BH1" s="620"/>
      <c r="BI1" s="646" t="s">
        <v>913</v>
      </c>
      <c r="BJ1" s="621"/>
      <c r="BK1" s="621"/>
      <c r="BL1" s="622"/>
    </row>
    <row r="2" spans="1:64">
      <c r="A2" s="595"/>
      <c r="B2" s="8"/>
      <c r="C2" s="8"/>
      <c r="D2" s="8"/>
      <c r="E2" s="8"/>
      <c r="F2" s="8"/>
      <c r="G2" s="8"/>
      <c r="H2" s="595"/>
      <c r="I2" s="8"/>
      <c r="J2" s="8"/>
      <c r="K2" s="8"/>
      <c r="L2" s="8"/>
      <c r="M2" s="8"/>
      <c r="N2" s="8"/>
      <c r="O2" s="596"/>
      <c r="P2" s="595"/>
      <c r="Q2" s="8"/>
      <c r="R2" s="8"/>
      <c r="S2" s="8"/>
      <c r="T2" s="8"/>
      <c r="U2" s="8"/>
      <c r="V2" s="8"/>
      <c r="W2" s="8"/>
      <c r="X2" s="8"/>
      <c r="Y2" s="596"/>
      <c r="Z2" s="595"/>
      <c r="AA2" s="8"/>
      <c r="AB2" s="8"/>
      <c r="AC2" s="8"/>
      <c r="AD2" s="8"/>
      <c r="AE2" s="624"/>
      <c r="AF2" s="623"/>
      <c r="AG2" s="8"/>
      <c r="AH2" s="8"/>
      <c r="AI2" s="8"/>
      <c r="AJ2" s="8"/>
      <c r="AK2" s="624"/>
      <c r="AL2" s="623"/>
      <c r="AM2" s="8"/>
      <c r="AN2" s="8"/>
      <c r="AO2" s="8"/>
      <c r="AP2" s="8"/>
      <c r="AQ2" s="8"/>
      <c r="AR2" s="623"/>
      <c r="AS2" s="8"/>
      <c r="AT2" s="8"/>
      <c r="AU2" s="8"/>
      <c r="AV2" s="8"/>
      <c r="AW2" s="8"/>
      <c r="AX2" s="624"/>
      <c r="AY2" s="623"/>
      <c r="AZ2" s="8"/>
      <c r="BA2" s="8"/>
      <c r="BB2" s="200" t="s">
        <v>903</v>
      </c>
      <c r="BC2" s="200" t="s">
        <v>904</v>
      </c>
      <c r="BD2" s="200" t="s">
        <v>907</v>
      </c>
      <c r="BE2" s="200" t="s">
        <v>905</v>
      </c>
      <c r="BF2" s="200" t="s">
        <v>908</v>
      </c>
      <c r="BG2" s="8"/>
      <c r="BH2" s="623"/>
      <c r="BI2" s="8"/>
      <c r="BJ2" s="8"/>
      <c r="BK2" s="8"/>
      <c r="BL2" s="624"/>
    </row>
    <row r="3" spans="1:64">
      <c r="A3" s="639" t="s">
        <v>1045</v>
      </c>
      <c r="B3" s="8"/>
      <c r="C3" s="8"/>
      <c r="D3" s="8"/>
      <c r="E3" s="8"/>
      <c r="F3" s="8"/>
      <c r="G3" s="8"/>
      <c r="H3" s="595"/>
      <c r="I3" s="614" t="s">
        <v>1046</v>
      </c>
      <c r="J3" s="8"/>
      <c r="K3" s="8"/>
      <c r="L3" s="8"/>
      <c r="M3" s="200" t="s">
        <v>624</v>
      </c>
      <c r="N3" s="8"/>
      <c r="O3" s="596"/>
      <c r="P3" s="595"/>
      <c r="Q3" s="614" t="s">
        <v>1047</v>
      </c>
      <c r="R3" s="8"/>
      <c r="S3" s="8"/>
      <c r="T3" s="8"/>
      <c r="U3" s="8"/>
      <c r="V3" s="8"/>
      <c r="W3" s="8"/>
      <c r="X3" s="8"/>
      <c r="Y3" s="596"/>
      <c r="Z3" s="595"/>
      <c r="AA3" s="614" t="s">
        <v>853</v>
      </c>
      <c r="AB3" s="8"/>
      <c r="AC3" s="8"/>
      <c r="AD3" s="8"/>
      <c r="AE3" s="624"/>
      <c r="AF3" s="623"/>
      <c r="AG3" s="614" t="s">
        <v>970</v>
      </c>
      <c r="AH3" s="8"/>
      <c r="AI3" s="8"/>
      <c r="AJ3" s="8"/>
      <c r="AK3" s="624"/>
      <c r="AL3" s="645" t="s">
        <v>1012</v>
      </c>
      <c r="AM3" s="200" t="s">
        <v>843</v>
      </c>
      <c r="AN3" s="8">
        <v>10900</v>
      </c>
      <c r="AO3" s="200" t="s">
        <v>23</v>
      </c>
      <c r="AP3" s="8"/>
      <c r="AQ3" s="8"/>
      <c r="AR3" s="623"/>
      <c r="AS3" s="614" t="s">
        <v>1013</v>
      </c>
      <c r="AT3" s="200" t="s">
        <v>894</v>
      </c>
      <c r="AU3" s="8">
        <v>450</v>
      </c>
      <c r="AV3" s="200" t="s">
        <v>495</v>
      </c>
      <c r="AW3" s="8"/>
      <c r="AX3" s="624"/>
      <c r="AY3" s="623"/>
      <c r="AZ3" s="614" t="s">
        <v>1013</v>
      </c>
      <c r="BA3" s="8"/>
      <c r="BB3" s="8">
        <v>350</v>
      </c>
      <c r="BC3" s="8">
        <v>960</v>
      </c>
      <c r="BD3" s="8">
        <v>4</v>
      </c>
      <c r="BE3" s="8">
        <f>1000*BB3/(BC3*BD3)</f>
        <v>91.145833333333329</v>
      </c>
      <c r="BF3" s="8">
        <f>BC3*BE3/1000</f>
        <v>87.5</v>
      </c>
      <c r="BG3" s="8"/>
      <c r="BH3" s="623"/>
      <c r="BI3" s="200" t="s">
        <v>914</v>
      </c>
      <c r="BJ3" s="8"/>
      <c r="BK3" s="8"/>
      <c r="BL3" s="624"/>
    </row>
    <row r="4" spans="1:64" ht="16">
      <c r="A4" s="598" t="s">
        <v>490</v>
      </c>
      <c r="B4" s="8"/>
      <c r="C4" s="8"/>
      <c r="D4" s="8"/>
      <c r="E4" s="8"/>
      <c r="F4" s="8">
        <v>1.5</v>
      </c>
      <c r="G4" s="8" t="s">
        <v>491</v>
      </c>
      <c r="H4" s="595"/>
      <c r="I4" s="8"/>
      <c r="J4" s="8"/>
      <c r="K4" s="8"/>
      <c r="L4" s="8"/>
      <c r="M4" s="8"/>
      <c r="N4" s="8"/>
      <c r="O4" s="596"/>
      <c r="P4" s="595"/>
      <c r="Q4" s="8"/>
      <c r="R4" s="8"/>
      <c r="S4" s="8"/>
      <c r="T4" s="8"/>
      <c r="U4" s="8"/>
      <c r="V4" s="8"/>
      <c r="W4" s="8"/>
      <c r="X4" s="8"/>
      <c r="Y4" s="596"/>
      <c r="Z4" s="595"/>
      <c r="AA4" s="8"/>
      <c r="AB4" s="8"/>
      <c r="AC4" s="8"/>
      <c r="AD4" s="8"/>
      <c r="AE4" s="624"/>
      <c r="AF4" s="623"/>
      <c r="AG4" s="8"/>
      <c r="AH4" s="8"/>
      <c r="AI4" s="8"/>
      <c r="AJ4" s="8"/>
      <c r="AK4" s="624"/>
      <c r="AL4" s="623"/>
      <c r="AM4" s="8"/>
      <c r="AN4" s="8"/>
      <c r="AO4" s="8"/>
      <c r="AP4" s="8"/>
      <c r="AQ4" s="8"/>
      <c r="AR4" s="623"/>
      <c r="AS4" s="8"/>
      <c r="AT4" s="8"/>
      <c r="AU4" s="8"/>
      <c r="AV4" s="8"/>
      <c r="AW4" s="8"/>
      <c r="AX4" s="624"/>
      <c r="AY4" s="623"/>
      <c r="AZ4" s="8"/>
      <c r="BA4" s="8"/>
      <c r="BB4" s="8"/>
      <c r="BC4" s="8"/>
      <c r="BD4" s="8"/>
      <c r="BE4" s="8"/>
      <c r="BF4" s="8"/>
      <c r="BG4" s="8"/>
      <c r="BH4" s="623"/>
      <c r="BI4" s="200" t="s">
        <v>915</v>
      </c>
      <c r="BJ4" s="8"/>
      <c r="BK4" s="8">
        <v>2965</v>
      </c>
      <c r="BL4" s="632" t="s">
        <v>631</v>
      </c>
    </row>
    <row r="5" spans="1:64">
      <c r="A5" s="595"/>
      <c r="B5" s="8"/>
      <c r="C5" s="8"/>
      <c r="D5" s="8"/>
      <c r="E5" s="8"/>
      <c r="F5" s="8"/>
      <c r="G5" s="8"/>
      <c r="H5" s="595"/>
      <c r="I5" s="200" t="s">
        <v>601</v>
      </c>
      <c r="J5" s="8"/>
      <c r="K5" s="8"/>
      <c r="L5" s="8"/>
      <c r="M5" s="8"/>
      <c r="N5" s="8"/>
      <c r="O5" s="596"/>
      <c r="P5" s="595"/>
      <c r="Q5" s="200" t="s">
        <v>728</v>
      </c>
      <c r="R5" s="8"/>
      <c r="S5" s="200" t="s">
        <v>753</v>
      </c>
      <c r="T5" s="8"/>
      <c r="U5" s="200" t="s">
        <v>751</v>
      </c>
      <c r="V5" s="8"/>
      <c r="W5" s="200" t="s">
        <v>762</v>
      </c>
      <c r="X5" s="200"/>
      <c r="Y5" s="596"/>
      <c r="Z5" s="595"/>
      <c r="AA5" s="200" t="s">
        <v>638</v>
      </c>
      <c r="AB5" s="200" t="s">
        <v>855</v>
      </c>
      <c r="AC5" s="8"/>
      <c r="AD5" s="200" t="s">
        <v>282</v>
      </c>
      <c r="AE5" s="632" t="s">
        <v>857</v>
      </c>
      <c r="AF5" s="625"/>
      <c r="AG5" s="200" t="s">
        <v>971</v>
      </c>
      <c r="AH5" s="200"/>
      <c r="AI5" s="200" t="s">
        <v>282</v>
      </c>
      <c r="AJ5" s="200" t="s">
        <v>1003</v>
      </c>
      <c r="AK5" s="624"/>
      <c r="AL5" s="625" t="s">
        <v>638</v>
      </c>
      <c r="AM5" s="200" t="s">
        <v>834</v>
      </c>
      <c r="AN5" s="200" t="s">
        <v>842</v>
      </c>
      <c r="AO5" s="200" t="s">
        <v>844</v>
      </c>
      <c r="AP5" s="8"/>
      <c r="AQ5" s="8"/>
      <c r="AR5" s="623"/>
      <c r="AS5" s="200" t="s">
        <v>638</v>
      </c>
      <c r="AT5" s="200" t="s">
        <v>895</v>
      </c>
      <c r="AU5" s="200" t="s">
        <v>897</v>
      </c>
      <c r="AV5" s="200" t="s">
        <v>844</v>
      </c>
      <c r="AW5" s="8"/>
      <c r="AX5" s="624"/>
      <c r="AY5" s="623"/>
      <c r="AZ5" s="200" t="s">
        <v>899</v>
      </c>
      <c r="BA5" s="8"/>
      <c r="BB5" s="200" t="s">
        <v>901</v>
      </c>
      <c r="BC5" s="200" t="s">
        <v>702</v>
      </c>
      <c r="BD5" s="200" t="s">
        <v>902</v>
      </c>
      <c r="BE5" s="200" t="s">
        <v>906</v>
      </c>
      <c r="BF5" s="200" t="s">
        <v>909</v>
      </c>
      <c r="BG5" s="8"/>
      <c r="BH5" s="623"/>
      <c r="BI5" s="200" t="s">
        <v>916</v>
      </c>
      <c r="BJ5" s="8"/>
      <c r="BK5" s="8">
        <f>72*17*25</f>
        <v>30600</v>
      </c>
      <c r="BL5" s="632" t="s">
        <v>917</v>
      </c>
    </row>
    <row r="6" spans="1:64" ht="34">
      <c r="A6" s="599" t="s">
        <v>492</v>
      </c>
      <c r="B6" s="600" t="s">
        <v>493</v>
      </c>
      <c r="C6" s="8" t="s">
        <v>494</v>
      </c>
      <c r="D6" s="8" t="s">
        <v>495</v>
      </c>
      <c r="E6" s="8"/>
      <c r="F6" s="8"/>
      <c r="G6" s="8"/>
      <c r="H6" s="595"/>
      <c r="I6" s="200" t="s">
        <v>574</v>
      </c>
      <c r="J6" s="200" t="s">
        <v>625</v>
      </c>
      <c r="K6" s="8"/>
      <c r="L6" s="8"/>
      <c r="M6" s="200" t="s">
        <v>626</v>
      </c>
      <c r="N6" s="8"/>
      <c r="O6" s="596"/>
      <c r="P6" s="595"/>
      <c r="Q6" s="200" t="s">
        <v>270</v>
      </c>
      <c r="R6" s="200" t="s">
        <v>752</v>
      </c>
      <c r="S6" s="8">
        <v>3.0000000000000001E-3</v>
      </c>
      <c r="T6" s="8"/>
      <c r="U6" s="8">
        <v>2.6499999999999999E-2</v>
      </c>
      <c r="V6" s="8"/>
      <c r="W6" s="606">
        <f>U6/S6</f>
        <v>8.8333333333333321</v>
      </c>
      <c r="X6" s="200"/>
      <c r="Y6" s="596"/>
      <c r="Z6" s="595"/>
      <c r="AA6" s="200" t="s">
        <v>854</v>
      </c>
      <c r="AB6" s="8">
        <v>1.052</v>
      </c>
      <c r="AC6" s="8"/>
      <c r="AD6" s="200" t="s">
        <v>1044</v>
      </c>
      <c r="AE6" s="624">
        <v>133</v>
      </c>
      <c r="AF6" s="623"/>
      <c r="AG6" s="200" t="s">
        <v>973</v>
      </c>
      <c r="AH6" s="200" t="s">
        <v>975</v>
      </c>
      <c r="AI6" s="200" t="s">
        <v>979</v>
      </c>
      <c r="AJ6" s="200" t="s">
        <v>495</v>
      </c>
      <c r="AK6" s="624"/>
      <c r="AL6" s="625" t="s">
        <v>835</v>
      </c>
      <c r="AM6" s="8">
        <v>710</v>
      </c>
      <c r="AN6" s="8"/>
      <c r="AO6" s="8"/>
      <c r="AP6" s="8"/>
      <c r="AQ6" s="8"/>
      <c r="AR6" s="623"/>
      <c r="AS6" s="200" t="s">
        <v>835</v>
      </c>
      <c r="AT6" s="8">
        <f>AU$3*AU6/100</f>
        <v>6.0750000000000002</v>
      </c>
      <c r="AU6" s="8">
        <f>2.7/2</f>
        <v>1.35</v>
      </c>
      <c r="AV6" s="8"/>
      <c r="AW6" s="8"/>
      <c r="AX6" s="624"/>
      <c r="AY6" s="623"/>
      <c r="AZ6" s="200" t="s">
        <v>900</v>
      </c>
      <c r="BA6" s="8"/>
      <c r="BB6" s="8">
        <f>BE3</f>
        <v>91.145833333333329</v>
      </c>
      <c r="BC6" s="8">
        <v>960</v>
      </c>
      <c r="BD6" s="8">
        <v>1.2</v>
      </c>
      <c r="BE6" s="8">
        <v>2</v>
      </c>
      <c r="BF6" s="8">
        <f>1000*BD6*BE6/(BB6*BC6)</f>
        <v>2.7428571428571427E-2</v>
      </c>
      <c r="BG6" s="8"/>
      <c r="BH6" s="623"/>
      <c r="BI6" s="200" t="s">
        <v>925</v>
      </c>
      <c r="BJ6" s="8"/>
      <c r="BK6" s="612">
        <f>BK4*1000/BK5</f>
        <v>96.895424836601308</v>
      </c>
      <c r="BL6" s="632" t="s">
        <v>919</v>
      </c>
    </row>
    <row r="7" spans="1:64" ht="34">
      <c r="A7" s="601" t="s">
        <v>496</v>
      </c>
      <c r="B7" s="602">
        <v>17.41</v>
      </c>
      <c r="C7" s="8">
        <f>B$13*B7/100</f>
        <v>2.6463199999999999E-2</v>
      </c>
      <c r="D7" s="8"/>
      <c r="E7" s="8"/>
      <c r="F7" s="8"/>
      <c r="G7" s="8"/>
      <c r="H7" s="595"/>
      <c r="I7" s="200" t="s">
        <v>575</v>
      </c>
      <c r="J7" s="200">
        <v>80</v>
      </c>
      <c r="K7" s="200" t="s">
        <v>578</v>
      </c>
      <c r="L7" s="8"/>
      <c r="M7" s="200">
        <v>150</v>
      </c>
      <c r="N7" s="200" t="s">
        <v>578</v>
      </c>
      <c r="O7" s="596"/>
      <c r="P7" s="595"/>
      <c r="Q7" s="200" t="s">
        <v>20</v>
      </c>
      <c r="R7" s="200" t="s">
        <v>754</v>
      </c>
      <c r="S7" s="8">
        <v>4.1999999999999997E-3</v>
      </c>
      <c r="T7" s="8"/>
      <c r="U7" s="8">
        <v>1.6400000000000001E-2</v>
      </c>
      <c r="V7" s="8"/>
      <c r="W7" s="606">
        <f t="shared" ref="W7:W26" si="0">U7/S7</f>
        <v>3.9047619047619055</v>
      </c>
      <c r="X7" s="200"/>
      <c r="Y7" s="596"/>
      <c r="Z7" s="595"/>
      <c r="AA7" s="200" t="s">
        <v>856</v>
      </c>
      <c r="AB7" s="8">
        <v>6.4</v>
      </c>
      <c r="AC7" s="8"/>
      <c r="AD7" s="200" t="s">
        <v>1015</v>
      </c>
      <c r="AE7" s="624">
        <v>147</v>
      </c>
      <c r="AF7" s="623"/>
      <c r="AG7" s="200" t="s">
        <v>972</v>
      </c>
      <c r="AH7" s="8">
        <v>3</v>
      </c>
      <c r="AI7" s="8">
        <f>2*51+5*16</f>
        <v>182</v>
      </c>
      <c r="AJ7" s="606">
        <f t="shared" ref="AJ7:AJ11" si="1">AH7/AH$14*AI7/AI$14</f>
        <v>1.5964912280701755</v>
      </c>
      <c r="AK7" s="624"/>
      <c r="AL7" s="625" t="s">
        <v>836</v>
      </c>
      <c r="AM7" s="8">
        <f>AM6*0.6</f>
        <v>426</v>
      </c>
      <c r="AN7" s="8"/>
      <c r="AO7" s="8"/>
      <c r="AP7" s="8"/>
      <c r="AQ7" s="8"/>
      <c r="AR7" s="623"/>
      <c r="AS7" s="200" t="s">
        <v>836</v>
      </c>
      <c r="AT7" s="8">
        <f t="shared" ref="AT7:AT13" si="2">AU$3*AU7/100</f>
        <v>3.645</v>
      </c>
      <c r="AU7" s="8">
        <f>AU6*0.6</f>
        <v>0.81</v>
      </c>
      <c r="AV7" s="8"/>
      <c r="AW7" s="8"/>
      <c r="AX7" s="624"/>
      <c r="AY7" s="623"/>
      <c r="AZ7" s="200" t="s">
        <v>941</v>
      </c>
      <c r="BA7" s="8"/>
      <c r="BB7" s="8">
        <f>8*BE3</f>
        <v>729.16666666666663</v>
      </c>
      <c r="BC7" s="8">
        <v>960</v>
      </c>
      <c r="BD7" s="8">
        <v>41</v>
      </c>
      <c r="BE7" s="8">
        <f>3/8</f>
        <v>0.375</v>
      </c>
      <c r="BF7" s="8">
        <f>1000*BD7*BE7/(BB7*BC7)</f>
        <v>2.1964285714285714E-2</v>
      </c>
      <c r="BG7" s="8"/>
      <c r="BH7" s="623"/>
      <c r="BI7" s="200" t="s">
        <v>918</v>
      </c>
      <c r="BJ7" s="8"/>
      <c r="BK7" s="612">
        <v>275</v>
      </c>
      <c r="BL7" s="632" t="s">
        <v>919</v>
      </c>
    </row>
    <row r="8" spans="1:64" ht="34">
      <c r="A8" s="603" t="s">
        <v>497</v>
      </c>
      <c r="B8" s="604">
        <v>5.52</v>
      </c>
      <c r="C8" s="8">
        <f t="shared" ref="C8:C12" si="3">B$13*B8/100</f>
        <v>8.3903999999999992E-3</v>
      </c>
      <c r="D8" s="8"/>
      <c r="E8" s="8"/>
      <c r="F8" s="8"/>
      <c r="G8" s="8"/>
      <c r="H8" s="595"/>
      <c r="I8" s="200" t="s">
        <v>597</v>
      </c>
      <c r="J8" s="8">
        <v>40</v>
      </c>
      <c r="K8" s="200" t="s">
        <v>578</v>
      </c>
      <c r="L8" s="8"/>
      <c r="M8" s="8">
        <v>40</v>
      </c>
      <c r="N8" s="200" t="s">
        <v>578</v>
      </c>
      <c r="O8" s="596"/>
      <c r="P8" s="595"/>
      <c r="Q8" s="200" t="s">
        <v>22</v>
      </c>
      <c r="R8" s="200" t="s">
        <v>3</v>
      </c>
      <c r="S8" s="8">
        <v>4.3E-3</v>
      </c>
      <c r="T8" s="8"/>
      <c r="U8" s="8">
        <v>1.06E-2</v>
      </c>
      <c r="V8" s="8"/>
      <c r="W8" s="606">
        <f t="shared" si="0"/>
        <v>2.4651162790697674</v>
      </c>
      <c r="X8" s="200"/>
      <c r="Y8" s="596"/>
      <c r="Z8" s="595"/>
      <c r="AA8" s="8"/>
      <c r="AB8" s="8"/>
      <c r="AC8" s="8"/>
      <c r="AD8" s="8"/>
      <c r="AE8" s="624"/>
      <c r="AF8" s="623"/>
      <c r="AG8" s="200" t="s">
        <v>38</v>
      </c>
      <c r="AH8" s="8">
        <v>13</v>
      </c>
      <c r="AI8" s="8">
        <v>27</v>
      </c>
      <c r="AJ8" s="606">
        <f t="shared" si="1"/>
        <v>1.0263157894736841</v>
      </c>
      <c r="AK8" s="624"/>
      <c r="AL8" s="625" t="s">
        <v>837</v>
      </c>
      <c r="AM8" s="8">
        <f>AM6*0.4</f>
        <v>284</v>
      </c>
      <c r="AN8" s="8"/>
      <c r="AO8" s="8"/>
      <c r="AP8" s="8"/>
      <c r="AQ8" s="8"/>
      <c r="AR8" s="623"/>
      <c r="AS8" s="200" t="s">
        <v>837</v>
      </c>
      <c r="AT8" s="8">
        <f t="shared" si="2"/>
        <v>2.4300000000000002</v>
      </c>
      <c r="AU8" s="8">
        <f>AU6*0.4</f>
        <v>0.54</v>
      </c>
      <c r="AV8" s="8">
        <v>3900</v>
      </c>
      <c r="AW8" s="612">
        <f>AT8*AV8</f>
        <v>9477</v>
      </c>
      <c r="AX8" s="624"/>
      <c r="AY8" s="623"/>
      <c r="AZ8" s="200" t="s">
        <v>911</v>
      </c>
      <c r="BA8" s="8"/>
      <c r="BB8" s="8">
        <v>150</v>
      </c>
      <c r="BC8" s="8">
        <v>960</v>
      </c>
      <c r="BD8" s="8">
        <v>80</v>
      </c>
      <c r="BE8" s="8"/>
      <c r="BF8" s="8">
        <f>1000*BD8/(BB8*BC8)</f>
        <v>0.55555555555555558</v>
      </c>
      <c r="BG8" s="8"/>
      <c r="BH8" s="623"/>
      <c r="BI8" s="8"/>
      <c r="BJ8" s="8"/>
      <c r="BK8" s="612"/>
      <c r="BL8" s="624"/>
    </row>
    <row r="9" spans="1:64" ht="34">
      <c r="A9" s="601" t="s">
        <v>498</v>
      </c>
      <c r="B9" s="602">
        <v>38.11</v>
      </c>
      <c r="C9" s="8">
        <f t="shared" si="3"/>
        <v>5.7927199999999998E-2</v>
      </c>
      <c r="D9" s="8"/>
      <c r="E9" s="8"/>
      <c r="F9" s="8"/>
      <c r="G9" s="8"/>
      <c r="H9" s="595"/>
      <c r="I9" s="200" t="s">
        <v>598</v>
      </c>
      <c r="J9" s="8">
        <f>J7*J8*3.1415/10000</f>
        <v>1.0052800000000002</v>
      </c>
      <c r="K9" s="200" t="s">
        <v>599</v>
      </c>
      <c r="L9" s="8"/>
      <c r="M9" s="8">
        <f>M7*M8*3.1415/10000</f>
        <v>1.8849</v>
      </c>
      <c r="N9" s="200" t="s">
        <v>599</v>
      </c>
      <c r="O9" s="596"/>
      <c r="P9" s="595"/>
      <c r="Q9" s="200" t="s">
        <v>747</v>
      </c>
      <c r="R9" s="200" t="s">
        <v>755</v>
      </c>
      <c r="S9" s="8">
        <v>8.5000000000000006E-3</v>
      </c>
      <c r="T9" s="8"/>
      <c r="U9" s="8">
        <v>5.9400000000000001E-2</v>
      </c>
      <c r="V9" s="8"/>
      <c r="W9" s="606">
        <f t="shared" si="0"/>
        <v>6.9882352941176471</v>
      </c>
      <c r="X9" s="200"/>
      <c r="Y9" s="596"/>
      <c r="Z9" s="595"/>
      <c r="AA9" s="200" t="s">
        <v>708</v>
      </c>
      <c r="AB9" s="8">
        <v>2</v>
      </c>
      <c r="AC9" s="200" t="s">
        <v>859</v>
      </c>
      <c r="AD9" s="8"/>
      <c r="AE9" s="624"/>
      <c r="AF9" s="623"/>
      <c r="AG9" s="200" t="s">
        <v>662</v>
      </c>
      <c r="AH9" s="8">
        <v>3</v>
      </c>
      <c r="AI9" s="8">
        <v>12</v>
      </c>
      <c r="AJ9" s="606">
        <f t="shared" si="1"/>
        <v>0.10526315789473684</v>
      </c>
      <c r="AK9" s="624"/>
      <c r="AL9" s="625" t="s">
        <v>38</v>
      </c>
      <c r="AM9" s="8">
        <v>6350</v>
      </c>
      <c r="AN9" s="8">
        <f>AM9/AN$3</f>
        <v>0.58256880733944949</v>
      </c>
      <c r="AO9" s="8">
        <v>3.4</v>
      </c>
      <c r="AP9" s="8">
        <f>AN9*AO9</f>
        <v>1.9807339449541281</v>
      </c>
      <c r="AQ9" s="8"/>
      <c r="AR9" s="623"/>
      <c r="AS9" s="200" t="s">
        <v>38</v>
      </c>
      <c r="AT9" s="8">
        <f t="shared" si="2"/>
        <v>37.35</v>
      </c>
      <c r="AU9" s="8">
        <v>8.3000000000000007</v>
      </c>
      <c r="AV9" s="8">
        <v>3.4</v>
      </c>
      <c r="AW9" s="612">
        <f t="shared" ref="AW9:AW13" si="4">AT9*AV9</f>
        <v>126.99</v>
      </c>
      <c r="AX9" s="624"/>
      <c r="AY9" s="623"/>
      <c r="AZ9" s="200" t="s">
        <v>910</v>
      </c>
      <c r="BA9" s="8"/>
      <c r="BB9" s="8"/>
      <c r="BC9" s="8"/>
      <c r="BD9" s="8">
        <v>1</v>
      </c>
      <c r="BE9" s="8">
        <f>3/8</f>
        <v>0.375</v>
      </c>
      <c r="BF9" s="8">
        <f>BD9*BE9/BF3</f>
        <v>4.2857142857142859E-3</v>
      </c>
      <c r="BG9" s="8"/>
      <c r="BH9" s="623"/>
      <c r="BI9" s="200" t="s">
        <v>920</v>
      </c>
      <c r="BJ9" s="8"/>
      <c r="BK9" s="638">
        <f>1000*BK4/(BK5*BK7)</f>
        <v>0.35234699940582292</v>
      </c>
      <c r="BL9" s="624"/>
    </row>
    <row r="10" spans="1:64" ht="17">
      <c r="A10" s="603" t="s">
        <v>499</v>
      </c>
      <c r="B10" s="604">
        <v>0.53</v>
      </c>
      <c r="C10" s="8">
        <f t="shared" si="3"/>
        <v>8.0560000000000007E-4</v>
      </c>
      <c r="D10" s="8"/>
      <c r="E10" s="8"/>
      <c r="F10" s="8"/>
      <c r="G10" s="8"/>
      <c r="H10" s="595"/>
      <c r="I10" s="200" t="s">
        <v>576</v>
      </c>
      <c r="J10" s="8">
        <v>80</v>
      </c>
      <c r="K10" s="200" t="s">
        <v>577</v>
      </c>
      <c r="L10" s="8"/>
      <c r="M10" s="8">
        <v>80</v>
      </c>
      <c r="N10" s="200" t="s">
        <v>577</v>
      </c>
      <c r="O10" s="596"/>
      <c r="P10" s="595"/>
      <c r="Q10" s="200" t="s">
        <v>21</v>
      </c>
      <c r="R10" s="200" t="s">
        <v>756</v>
      </c>
      <c r="S10" s="8">
        <v>0.01</v>
      </c>
      <c r="T10" s="8"/>
      <c r="U10" s="8">
        <v>0.10100000000000001</v>
      </c>
      <c r="V10" s="8"/>
      <c r="W10" s="606">
        <f t="shared" si="0"/>
        <v>10.1</v>
      </c>
      <c r="X10" s="200"/>
      <c r="Y10" s="615" t="s">
        <v>852</v>
      </c>
      <c r="Z10" s="595"/>
      <c r="AA10" s="200" t="s">
        <v>858</v>
      </c>
      <c r="AB10" s="606">
        <f>AB9*AE6/(AB9*AE6+AE7)</f>
        <v>0.64406779661016944</v>
      </c>
      <c r="AC10" s="606">
        <f>AB10*AB6</f>
        <v>0.67755932203389824</v>
      </c>
      <c r="AD10" s="8"/>
      <c r="AE10" s="624"/>
      <c r="AF10" s="623"/>
      <c r="AG10" s="200" t="s">
        <v>974</v>
      </c>
      <c r="AH10" s="8"/>
      <c r="AI10" s="8"/>
      <c r="AJ10" s="606"/>
      <c r="AK10" s="624"/>
      <c r="AL10" s="625" t="s">
        <v>838</v>
      </c>
      <c r="AM10" s="8">
        <f>2310+AM7</f>
        <v>2736</v>
      </c>
      <c r="AN10" s="8">
        <f t="shared" ref="AN10:AN15" si="5">AM10/AN$3</f>
        <v>0.2510091743119266</v>
      </c>
      <c r="AO10" s="8">
        <v>10000</v>
      </c>
      <c r="AP10" s="8">
        <f t="shared" ref="AP10:AP15" si="6">AN10*AO10</f>
        <v>2510.0917431192661</v>
      </c>
      <c r="AQ10" s="8"/>
      <c r="AR10" s="623"/>
      <c r="AS10" s="200" t="s">
        <v>838</v>
      </c>
      <c r="AT10" s="8">
        <f t="shared" si="2"/>
        <v>9.7200000000000006</v>
      </c>
      <c r="AU10" s="8">
        <f>2.7/2+AU7</f>
        <v>2.16</v>
      </c>
      <c r="AV10" s="8">
        <v>10000</v>
      </c>
      <c r="AW10" s="612">
        <f t="shared" si="4"/>
        <v>97200</v>
      </c>
      <c r="AX10" s="624"/>
      <c r="AY10" s="623"/>
      <c r="AZ10" s="8"/>
      <c r="BA10" s="8"/>
      <c r="BB10" s="8"/>
      <c r="BC10" s="8"/>
      <c r="BD10" s="200" t="s">
        <v>930</v>
      </c>
      <c r="BE10" s="8"/>
      <c r="BF10" s="614">
        <f>BF6+BF7+BF9</f>
        <v>5.367857142857143E-2</v>
      </c>
      <c r="BG10" s="614" t="s">
        <v>849</v>
      </c>
      <c r="BH10" s="623"/>
      <c r="BI10" s="8"/>
      <c r="BJ10" s="8"/>
      <c r="BK10" s="612"/>
      <c r="BL10" s="624"/>
    </row>
    <row r="11" spans="1:64" ht="34">
      <c r="A11" s="601" t="s">
        <v>500</v>
      </c>
      <c r="B11" s="602">
        <v>5.58</v>
      </c>
      <c r="C11" s="8">
        <f t="shared" si="3"/>
        <v>8.4816000000000006E-3</v>
      </c>
      <c r="D11" s="8"/>
      <c r="E11" s="8"/>
      <c r="F11" s="8"/>
      <c r="G11" s="8"/>
      <c r="H11" s="595"/>
      <c r="I11" s="200" t="s">
        <v>579</v>
      </c>
      <c r="J11" s="8">
        <v>6.8</v>
      </c>
      <c r="K11" s="200" t="s">
        <v>580</v>
      </c>
      <c r="L11" s="8"/>
      <c r="M11" s="8">
        <v>0.32</v>
      </c>
      <c r="N11" s="200" t="s">
        <v>580</v>
      </c>
      <c r="O11" s="596"/>
      <c r="P11" s="595"/>
      <c r="Q11" s="8"/>
      <c r="R11" s="8"/>
      <c r="S11" s="8"/>
      <c r="T11" s="200" t="s">
        <v>749</v>
      </c>
      <c r="U11" s="8">
        <v>4.3200000000000002E-2</v>
      </c>
      <c r="V11" s="8"/>
      <c r="W11" s="613">
        <f>U11/S12</f>
        <v>1.4400000000000002</v>
      </c>
      <c r="X11" s="641" t="s">
        <v>893</v>
      </c>
      <c r="Y11" s="596"/>
      <c r="Z11" s="595"/>
      <c r="AA11" s="200" t="s">
        <v>860</v>
      </c>
      <c r="AB11" s="606">
        <f>AE7/(AB9*AE6+AE7)</f>
        <v>0.3559322033898305</v>
      </c>
      <c r="AC11" s="606">
        <f>AB7*AB11</f>
        <v>2.2779661016949153</v>
      </c>
      <c r="AD11" s="8"/>
      <c r="AE11" s="624"/>
      <c r="AF11" s="623"/>
      <c r="AG11" s="200" t="s">
        <v>976</v>
      </c>
      <c r="AH11" s="8">
        <v>3</v>
      </c>
      <c r="AI11" s="8">
        <f>2*51+27+12</f>
        <v>141</v>
      </c>
      <c r="AJ11" s="606">
        <f t="shared" si="1"/>
        <v>1.236842105263158</v>
      </c>
      <c r="AK11" s="624"/>
      <c r="AL11" s="625" t="s">
        <v>839</v>
      </c>
      <c r="AM11" s="8">
        <v>0.15</v>
      </c>
      <c r="AN11" s="8">
        <f t="shared" si="5"/>
        <v>1.3761467889908256E-5</v>
      </c>
      <c r="AO11" s="8">
        <v>220000000</v>
      </c>
      <c r="AP11" s="8">
        <f t="shared" si="6"/>
        <v>3027.5229357798162</v>
      </c>
      <c r="AQ11" s="8"/>
      <c r="AR11" s="623"/>
      <c r="AS11" s="200" t="s">
        <v>572</v>
      </c>
      <c r="AT11" s="8">
        <f t="shared" si="2"/>
        <v>315.89999999999998</v>
      </c>
      <c r="AU11" s="8">
        <v>70.2</v>
      </c>
      <c r="AV11" s="8">
        <f>'Env. Impacts System'!R7</f>
        <v>53.915000000000006</v>
      </c>
      <c r="AW11" s="612">
        <f t="shared" si="4"/>
        <v>17031.748500000002</v>
      </c>
      <c r="AX11" s="624"/>
      <c r="AY11" s="623"/>
      <c r="AZ11" s="8"/>
      <c r="BA11" s="8"/>
      <c r="BB11" s="8"/>
      <c r="BC11" s="8"/>
      <c r="BD11" s="8"/>
      <c r="BE11" s="8"/>
      <c r="BF11" s="8"/>
      <c r="BG11" s="8"/>
      <c r="BH11" s="623"/>
      <c r="BI11" s="200" t="s">
        <v>921</v>
      </c>
      <c r="BJ11" s="8"/>
      <c r="BK11" s="612"/>
      <c r="BL11" s="624"/>
    </row>
    <row r="12" spans="1:64" ht="17">
      <c r="A12" s="603" t="s">
        <v>501</v>
      </c>
      <c r="B12" s="604">
        <v>32.85</v>
      </c>
      <c r="C12" s="8">
        <f t="shared" si="3"/>
        <v>4.9931999999999997E-2</v>
      </c>
      <c r="D12" s="8"/>
      <c r="E12" s="8"/>
      <c r="F12" s="8"/>
      <c r="G12" s="8"/>
      <c r="H12" s="595"/>
      <c r="I12" s="200" t="s">
        <v>581</v>
      </c>
      <c r="J12" s="8">
        <v>17</v>
      </c>
      <c r="K12" s="200" t="s">
        <v>582</v>
      </c>
      <c r="L12" s="8"/>
      <c r="M12" s="8">
        <v>6</v>
      </c>
      <c r="N12" s="200" t="s">
        <v>582</v>
      </c>
      <c r="O12" s="596"/>
      <c r="P12" s="595"/>
      <c r="Q12" s="8"/>
      <c r="R12" s="200" t="s">
        <v>609</v>
      </c>
      <c r="S12" s="8">
        <f>SUM(S6:S10)</f>
        <v>0.03</v>
      </c>
      <c r="T12" s="200" t="s">
        <v>750</v>
      </c>
      <c r="U12" s="8">
        <v>0.49399999999999999</v>
      </c>
      <c r="V12" s="8"/>
      <c r="W12" s="606">
        <f t="shared" si="0"/>
        <v>16.466666666666669</v>
      </c>
      <c r="X12" s="8"/>
      <c r="Y12" s="596"/>
      <c r="Z12" s="595"/>
      <c r="AA12" s="8"/>
      <c r="AB12" s="606"/>
      <c r="AC12" s="606"/>
      <c r="AD12" s="8"/>
      <c r="AE12" s="624"/>
      <c r="AF12" s="623"/>
      <c r="AG12" s="200" t="s">
        <v>977</v>
      </c>
      <c r="AH12" s="8">
        <v>5</v>
      </c>
      <c r="AI12" s="8">
        <f>2*27+3*16</f>
        <v>102</v>
      </c>
      <c r="AJ12" s="606">
        <f>AH12/AH$14*AI12/AI$14</f>
        <v>1.4912280701754386</v>
      </c>
      <c r="AK12" s="624"/>
      <c r="AL12" s="625" t="s">
        <v>572</v>
      </c>
      <c r="AM12" s="8">
        <v>290</v>
      </c>
      <c r="AN12" s="8">
        <f t="shared" si="5"/>
        <v>2.6605504587155965E-2</v>
      </c>
      <c r="AO12" s="8">
        <f>'Env. Impacts Cell'!R4</f>
        <v>890.12599999999998</v>
      </c>
      <c r="AP12" s="8">
        <f t="shared" si="6"/>
        <v>23.682251376146791</v>
      </c>
      <c r="AQ12" s="8"/>
      <c r="AR12" s="623"/>
      <c r="AS12" s="200" t="s">
        <v>896</v>
      </c>
      <c r="AT12" s="8">
        <f t="shared" si="2"/>
        <v>29.25</v>
      </c>
      <c r="AU12" s="8">
        <v>6.5</v>
      </c>
      <c r="AV12" s="8">
        <f>'Env. Impacts System'!R4</f>
        <v>890.12599999999998</v>
      </c>
      <c r="AW12" s="612">
        <f t="shared" si="4"/>
        <v>26036.1855</v>
      </c>
      <c r="AX12" s="624"/>
      <c r="AY12" s="623"/>
      <c r="AZ12" s="200" t="s">
        <v>912</v>
      </c>
      <c r="BA12" s="8"/>
      <c r="BB12" s="8">
        <v>630</v>
      </c>
      <c r="BC12" s="8">
        <v>960</v>
      </c>
      <c r="BD12" s="200">
        <v>450</v>
      </c>
      <c r="BE12" s="8"/>
      <c r="BF12" s="614">
        <f>1000*BD12/(BB12*BC12)</f>
        <v>0.74404761904761907</v>
      </c>
      <c r="BG12" s="614" t="s">
        <v>849</v>
      </c>
      <c r="BH12" s="623"/>
      <c r="BI12" s="200" t="s">
        <v>915</v>
      </c>
      <c r="BJ12" s="8"/>
      <c r="BK12" s="612">
        <v>281</v>
      </c>
      <c r="BL12" s="632" t="s">
        <v>631</v>
      </c>
    </row>
    <row r="13" spans="1:64" ht="17">
      <c r="A13" s="601" t="s">
        <v>502</v>
      </c>
      <c r="B13" s="602">
        <v>0.152</v>
      </c>
      <c r="C13" s="8"/>
      <c r="D13" s="200" t="s">
        <v>1425</v>
      </c>
      <c r="E13" s="8">
        <f>B13/F4*1000</f>
        <v>101.33333333333333</v>
      </c>
      <c r="F13" s="200" t="s">
        <v>310</v>
      </c>
      <c r="G13" s="8"/>
      <c r="H13" s="595"/>
      <c r="I13" s="200" t="s">
        <v>592</v>
      </c>
      <c r="J13" s="8">
        <v>20</v>
      </c>
      <c r="K13" s="200" t="s">
        <v>583</v>
      </c>
      <c r="L13" s="8"/>
      <c r="M13" s="8">
        <v>0.5</v>
      </c>
      <c r="N13" s="200" t="s">
        <v>583</v>
      </c>
      <c r="O13" s="596"/>
      <c r="P13" s="595"/>
      <c r="Q13" s="200" t="s">
        <v>687</v>
      </c>
      <c r="R13" s="8"/>
      <c r="S13" s="8"/>
      <c r="T13" s="8"/>
      <c r="U13" s="8"/>
      <c r="V13" s="8"/>
      <c r="W13" s="606"/>
      <c r="X13" s="8"/>
      <c r="Y13" s="596"/>
      <c r="Z13" s="595"/>
      <c r="AA13" s="200" t="s">
        <v>609</v>
      </c>
      <c r="AB13" s="606"/>
      <c r="AC13" s="613">
        <f>AC10+AC11</f>
        <v>2.9555254237288135</v>
      </c>
      <c r="AD13" s="258" t="s">
        <v>893</v>
      </c>
      <c r="AE13" s="624"/>
      <c r="AF13" s="623"/>
      <c r="AG13" s="200" t="s">
        <v>978</v>
      </c>
      <c r="AH13" s="8"/>
      <c r="AI13" s="8"/>
      <c r="AJ13" s="8"/>
      <c r="AK13" s="624"/>
      <c r="AL13" s="625" t="s">
        <v>669</v>
      </c>
      <c r="AM13" s="8">
        <v>19</v>
      </c>
      <c r="AN13" s="8">
        <f t="shared" si="5"/>
        <v>1.7431192660550458E-3</v>
      </c>
      <c r="AO13" s="8">
        <v>4800</v>
      </c>
      <c r="AP13" s="8">
        <f t="shared" si="6"/>
        <v>8.3669724770642198</v>
      </c>
      <c r="AQ13" s="8"/>
      <c r="AR13" s="623"/>
      <c r="AS13" s="200" t="s">
        <v>936</v>
      </c>
      <c r="AT13" s="8">
        <f t="shared" si="2"/>
        <v>2.7</v>
      </c>
      <c r="AU13" s="8">
        <v>0.6</v>
      </c>
      <c r="AV13" s="8">
        <v>4800</v>
      </c>
      <c r="AW13" s="612">
        <f t="shared" si="4"/>
        <v>12960</v>
      </c>
      <c r="AX13" s="624"/>
      <c r="AY13" s="629"/>
      <c r="AZ13" s="630"/>
      <c r="BA13" s="630"/>
      <c r="BB13" s="630"/>
      <c r="BC13" s="630"/>
      <c r="BD13" s="630"/>
      <c r="BE13" s="630"/>
      <c r="BF13" s="630"/>
      <c r="BG13" s="630"/>
      <c r="BH13" s="623"/>
      <c r="BI13" s="200" t="s">
        <v>916</v>
      </c>
      <c r="BJ13" s="8"/>
      <c r="BK13" s="612">
        <f>16*20*12</f>
        <v>3840</v>
      </c>
      <c r="BL13" s="632" t="s">
        <v>917</v>
      </c>
    </row>
    <row r="14" spans="1:64" ht="17">
      <c r="A14" s="595"/>
      <c r="B14" s="256" t="s">
        <v>503</v>
      </c>
      <c r="C14" s="8"/>
      <c r="D14" s="8"/>
      <c r="E14" s="8"/>
      <c r="F14" s="8"/>
      <c r="G14" s="8"/>
      <c r="H14" s="595"/>
      <c r="I14" s="200" t="s">
        <v>584</v>
      </c>
      <c r="J14" s="8">
        <v>4</v>
      </c>
      <c r="K14" s="200" t="s">
        <v>585</v>
      </c>
      <c r="L14" s="8"/>
      <c r="M14" s="8">
        <f>J14*M7/J7</f>
        <v>7.5</v>
      </c>
      <c r="N14" s="200" t="s">
        <v>585</v>
      </c>
      <c r="O14" s="596"/>
      <c r="P14" s="595"/>
      <c r="Q14" s="200" t="s">
        <v>270</v>
      </c>
      <c r="R14" s="200" t="s">
        <v>757</v>
      </c>
      <c r="S14" s="8">
        <f>0.55*S16</f>
        <v>7.7000000000000011E-3</v>
      </c>
      <c r="T14" s="8"/>
      <c r="U14" s="8">
        <f>U16-U15</f>
        <v>5.0669767441860462E-2</v>
      </c>
      <c r="V14" s="8"/>
      <c r="W14" s="606">
        <f t="shared" si="0"/>
        <v>6.5804892781636957</v>
      </c>
      <c r="X14" s="200"/>
      <c r="Y14" s="596"/>
      <c r="Z14" s="608"/>
      <c r="AA14" s="609"/>
      <c r="AB14" s="609"/>
      <c r="AC14" s="609"/>
      <c r="AD14" s="609"/>
      <c r="AE14" s="633"/>
      <c r="AF14" s="623"/>
      <c r="AG14" s="200" t="s">
        <v>956</v>
      </c>
      <c r="AH14" s="8">
        <v>3</v>
      </c>
      <c r="AI14" s="8">
        <f>2*51+12</f>
        <v>114</v>
      </c>
      <c r="AJ14" s="8">
        <v>1</v>
      </c>
      <c r="AK14" s="624"/>
      <c r="AL14" s="625" t="s">
        <v>840</v>
      </c>
      <c r="AM14" s="8">
        <v>66</v>
      </c>
      <c r="AN14" s="8">
        <f t="shared" si="5"/>
        <v>6.0550458715596328E-3</v>
      </c>
      <c r="AO14" s="8">
        <v>170000</v>
      </c>
      <c r="AP14" s="8">
        <f t="shared" si="6"/>
        <v>1029.3577981651376</v>
      </c>
      <c r="AQ14" s="8"/>
      <c r="AR14" s="623"/>
      <c r="AS14" s="200"/>
      <c r="AT14" s="8"/>
      <c r="AU14" s="8"/>
      <c r="AV14" s="8"/>
      <c r="AW14" s="612"/>
      <c r="AX14" s="624"/>
      <c r="BH14" s="623"/>
      <c r="BI14" s="200" t="s">
        <v>925</v>
      </c>
      <c r="BJ14" s="8"/>
      <c r="BK14" s="612">
        <f>BK12*1000/BK13</f>
        <v>73.177083333333329</v>
      </c>
      <c r="BL14" s="632" t="s">
        <v>919</v>
      </c>
    </row>
    <row r="15" spans="1:64">
      <c r="A15" s="595"/>
      <c r="B15" s="8"/>
      <c r="C15" s="8"/>
      <c r="D15" s="8"/>
      <c r="E15" s="8"/>
      <c r="F15" s="8"/>
      <c r="G15" s="8"/>
      <c r="H15" s="595"/>
      <c r="I15" s="200" t="s">
        <v>586</v>
      </c>
      <c r="J15" s="8">
        <v>2</v>
      </c>
      <c r="K15" s="200" t="s">
        <v>585</v>
      </c>
      <c r="L15" s="8"/>
      <c r="M15" s="8">
        <v>2</v>
      </c>
      <c r="N15" s="200" t="s">
        <v>585</v>
      </c>
      <c r="O15" s="596"/>
      <c r="P15" s="595"/>
      <c r="Q15" s="8"/>
      <c r="R15" s="200" t="s">
        <v>3</v>
      </c>
      <c r="S15" s="8">
        <f>0.45*S16</f>
        <v>6.3E-3</v>
      </c>
      <c r="T15" s="8"/>
      <c r="U15" s="8">
        <f>S15*W8</f>
        <v>1.5530232558139534E-2</v>
      </c>
      <c r="V15" s="8"/>
      <c r="W15" s="606">
        <f t="shared" si="0"/>
        <v>2.4651162790697674</v>
      </c>
      <c r="X15" s="200"/>
      <c r="Y15" s="596"/>
      <c r="AA15" s="258" t="s">
        <v>873</v>
      </c>
      <c r="AF15" s="623"/>
      <c r="AG15" s="8"/>
      <c r="AH15" s="8"/>
      <c r="AI15" s="8"/>
      <c r="AJ15" s="8"/>
      <c r="AK15" s="624"/>
      <c r="AL15" s="625" t="s">
        <v>841</v>
      </c>
      <c r="AM15" s="8">
        <f>133+AM8</f>
        <v>417</v>
      </c>
      <c r="AN15" s="8">
        <f t="shared" si="5"/>
        <v>3.8256880733944953E-2</v>
      </c>
      <c r="AO15" s="8">
        <v>3900</v>
      </c>
      <c r="AP15" s="8">
        <f t="shared" si="6"/>
        <v>149.20183486238531</v>
      </c>
      <c r="AQ15" s="8"/>
      <c r="AR15" s="623"/>
      <c r="AS15" s="200"/>
      <c r="AT15" s="8"/>
      <c r="AU15" s="8"/>
      <c r="AV15" s="200" t="s">
        <v>609</v>
      </c>
      <c r="AW15" s="612">
        <f>SUM(AW8:AW13)</f>
        <v>162831.924</v>
      </c>
      <c r="AX15" s="624"/>
      <c r="BH15" s="623"/>
      <c r="BI15" s="200" t="s">
        <v>922</v>
      </c>
      <c r="BJ15" s="8"/>
      <c r="BK15" s="612">
        <v>94</v>
      </c>
      <c r="BL15" s="632" t="s">
        <v>631</v>
      </c>
    </row>
    <row r="16" spans="1:64" ht="16">
      <c r="A16" s="605" t="s">
        <v>504</v>
      </c>
      <c r="B16" s="8"/>
      <c r="C16" s="8"/>
      <c r="D16" s="8"/>
      <c r="E16" s="8">
        <v>2000</v>
      </c>
      <c r="F16" s="8"/>
      <c r="G16" s="8"/>
      <c r="H16" s="595"/>
      <c r="I16" s="8"/>
      <c r="J16" s="8"/>
      <c r="K16" s="8"/>
      <c r="L16" s="8"/>
      <c r="M16" s="8"/>
      <c r="N16" s="8"/>
      <c r="O16" s="596"/>
      <c r="P16" s="595"/>
      <c r="Q16" s="8"/>
      <c r="R16" s="200" t="s">
        <v>609</v>
      </c>
      <c r="S16" s="8">
        <v>1.4E-2</v>
      </c>
      <c r="T16" s="8"/>
      <c r="U16" s="8">
        <v>6.6199999999999995E-2</v>
      </c>
      <c r="V16" s="8"/>
      <c r="W16" s="606">
        <f t="shared" si="0"/>
        <v>4.7285714285714278</v>
      </c>
      <c r="X16" s="200"/>
      <c r="Y16" s="596"/>
      <c r="AF16" s="623"/>
      <c r="AG16" s="614" t="s">
        <v>980</v>
      </c>
      <c r="AH16" s="8"/>
      <c r="AI16" s="8"/>
      <c r="AJ16" s="8"/>
      <c r="AK16" s="624"/>
      <c r="AL16" s="623"/>
      <c r="AM16" s="8"/>
      <c r="AN16" s="8"/>
      <c r="AO16" s="8"/>
      <c r="AP16" s="8"/>
      <c r="AQ16" s="8"/>
      <c r="AR16" s="623"/>
      <c r="AS16" s="8"/>
      <c r="AT16" s="8"/>
      <c r="AU16" s="8"/>
      <c r="AV16" s="8"/>
      <c r="AW16" s="612"/>
      <c r="AX16" s="624"/>
      <c r="BH16" s="623"/>
      <c r="BI16" s="200" t="s">
        <v>924</v>
      </c>
      <c r="BJ16" s="8"/>
      <c r="BK16" s="612">
        <f>8.34*5.53*9.3</f>
        <v>428.91786000000008</v>
      </c>
      <c r="BL16" s="632" t="s">
        <v>917</v>
      </c>
    </row>
    <row r="17" spans="1:64" ht="16">
      <c r="A17" s="605" t="s">
        <v>505</v>
      </c>
      <c r="B17" s="8"/>
      <c r="C17" s="8"/>
      <c r="D17" s="8"/>
      <c r="E17" s="8">
        <v>500</v>
      </c>
      <c r="F17" s="8"/>
      <c r="G17" s="8"/>
      <c r="H17" s="595"/>
      <c r="I17" s="200" t="s">
        <v>587</v>
      </c>
      <c r="J17" s="8">
        <v>200</v>
      </c>
      <c r="K17" s="200" t="s">
        <v>588</v>
      </c>
      <c r="L17" s="200" t="s">
        <v>794</v>
      </c>
      <c r="M17" s="8">
        <v>21</v>
      </c>
      <c r="N17" s="200" t="s">
        <v>588</v>
      </c>
      <c r="O17" s="596"/>
      <c r="P17" s="595"/>
      <c r="Q17" s="200" t="s">
        <v>22</v>
      </c>
      <c r="R17" s="200" t="s">
        <v>752</v>
      </c>
      <c r="S17" s="8">
        <f>0.22*S19</f>
        <v>3.1679999999999998E-3</v>
      </c>
      <c r="T17" s="8"/>
      <c r="U17" s="8">
        <f>S17*W6</f>
        <v>2.7983999999999995E-2</v>
      </c>
      <c r="V17" s="8"/>
      <c r="W17" s="606">
        <f t="shared" si="0"/>
        <v>8.8333333333333321</v>
      </c>
      <c r="X17" s="200"/>
      <c r="Y17" s="596"/>
      <c r="AA17" s="126" t="s">
        <v>638</v>
      </c>
      <c r="AC17">
        <v>2.67</v>
      </c>
      <c r="AD17" s="126" t="s">
        <v>1009</v>
      </c>
      <c r="AF17" s="623"/>
      <c r="AG17" s="8"/>
      <c r="AH17" s="8"/>
      <c r="AI17" s="8"/>
      <c r="AJ17" s="8"/>
      <c r="AK17" s="624"/>
      <c r="AL17" s="623"/>
      <c r="AM17" s="8"/>
      <c r="AN17" s="8"/>
      <c r="AO17" s="200" t="s">
        <v>609</v>
      </c>
      <c r="AP17" s="614">
        <f>SUM(AP9:AP15)</f>
        <v>6750.2042697247707</v>
      </c>
      <c r="AQ17" s="200" t="s">
        <v>845</v>
      </c>
      <c r="AR17" s="623"/>
      <c r="AS17" s="8"/>
      <c r="AT17" s="8"/>
      <c r="AU17" s="8"/>
      <c r="AV17" s="200" t="s">
        <v>898</v>
      </c>
      <c r="AW17" s="647">
        <f>AW15/AU3</f>
        <v>361.84872000000001</v>
      </c>
      <c r="AX17" s="624"/>
      <c r="BH17" s="623"/>
      <c r="BI17" s="200" t="s">
        <v>923</v>
      </c>
      <c r="BJ17" s="8"/>
      <c r="BK17" s="612">
        <f>1000*BK15/BK16</f>
        <v>219.15618062628585</v>
      </c>
      <c r="BL17" s="632" t="s">
        <v>919</v>
      </c>
    </row>
    <row r="18" spans="1:64" ht="16">
      <c r="A18" s="605" t="s">
        <v>506</v>
      </c>
      <c r="B18" s="8"/>
      <c r="C18" s="8"/>
      <c r="D18" s="8"/>
      <c r="E18" s="8"/>
      <c r="F18" s="8"/>
      <c r="G18" s="8"/>
      <c r="H18" s="595"/>
      <c r="I18" s="8"/>
      <c r="J18" s="8"/>
      <c r="K18" s="8"/>
      <c r="L18" s="8"/>
      <c r="M18" s="8"/>
      <c r="N18" s="8"/>
      <c r="O18" s="596"/>
      <c r="P18" s="595"/>
      <c r="Q18" s="8"/>
      <c r="R18" s="200" t="s">
        <v>724</v>
      </c>
      <c r="S18" s="8">
        <f>0.78*S19</f>
        <v>1.1232000000000001E-2</v>
      </c>
      <c r="T18" s="8"/>
      <c r="U18" s="8">
        <f>U19-U17</f>
        <v>0.14701599999999998</v>
      </c>
      <c r="V18" s="200"/>
      <c r="W18" s="606">
        <f t="shared" si="0"/>
        <v>13.089031339031337</v>
      </c>
      <c r="X18" s="200"/>
      <c r="Y18" s="596"/>
      <c r="AA18" s="126" t="s">
        <v>891</v>
      </c>
      <c r="AC18">
        <v>1.2</v>
      </c>
      <c r="AD18" s="126" t="s">
        <v>1001</v>
      </c>
      <c r="AF18" s="623"/>
      <c r="AG18" s="200" t="s">
        <v>973</v>
      </c>
      <c r="AH18" s="200" t="s">
        <v>495</v>
      </c>
      <c r="AI18" s="200" t="s">
        <v>874</v>
      </c>
      <c r="AJ18" s="200" t="s">
        <v>282</v>
      </c>
      <c r="AK18" s="624"/>
      <c r="AL18" s="623"/>
      <c r="AM18" s="8"/>
      <c r="AN18" s="8"/>
      <c r="AO18" s="8"/>
      <c r="AP18" s="8"/>
      <c r="AQ18" s="8"/>
      <c r="AR18" s="623"/>
      <c r="AS18" s="8"/>
      <c r="AT18" s="8"/>
      <c r="AU18" s="8"/>
      <c r="AV18" s="8"/>
      <c r="AW18" s="8"/>
      <c r="AX18" s="624"/>
      <c r="BH18" s="623"/>
      <c r="BI18" s="8"/>
      <c r="BJ18" s="8"/>
      <c r="BK18" s="612"/>
      <c r="BL18" s="624"/>
    </row>
    <row r="19" spans="1:64" ht="16">
      <c r="A19" s="605" t="s">
        <v>507</v>
      </c>
      <c r="B19" s="8"/>
      <c r="C19" s="8"/>
      <c r="D19" s="8"/>
      <c r="E19" s="8"/>
      <c r="F19" s="8"/>
      <c r="G19" s="8"/>
      <c r="H19" s="595"/>
      <c r="I19" s="200" t="s">
        <v>589</v>
      </c>
      <c r="J19" s="8">
        <f>J13/J12</f>
        <v>1.1764705882352942</v>
      </c>
      <c r="K19" s="200" t="s">
        <v>590</v>
      </c>
      <c r="L19" s="8"/>
      <c r="M19" s="8">
        <f>M13/M12</f>
        <v>8.3333333333333329E-2</v>
      </c>
      <c r="N19" s="200" t="s">
        <v>590</v>
      </c>
      <c r="O19" s="596"/>
      <c r="P19" s="595"/>
      <c r="Q19" s="8"/>
      <c r="R19" s="200" t="s">
        <v>609</v>
      </c>
      <c r="S19" s="8">
        <f>0.0144</f>
        <v>1.44E-2</v>
      </c>
      <c r="T19" s="8"/>
      <c r="U19" s="8">
        <v>0.17499999999999999</v>
      </c>
      <c r="V19" s="8"/>
      <c r="W19" s="606">
        <f t="shared" si="0"/>
        <v>12.152777777777777</v>
      </c>
      <c r="X19" s="200"/>
      <c r="Y19" s="596"/>
      <c r="AA19" s="126" t="s">
        <v>892</v>
      </c>
      <c r="AC19" s="88">
        <f>13.85/3*23.5/41.52</f>
        <v>2.6129977520873471</v>
      </c>
      <c r="AD19" s="126" t="s">
        <v>1006</v>
      </c>
      <c r="AF19" s="623"/>
      <c r="AG19" s="200" t="s">
        <v>972</v>
      </c>
      <c r="AH19" s="606">
        <f>AJ7</f>
        <v>1.5964912280701755</v>
      </c>
      <c r="AI19" s="8">
        <v>9.6199999999999992</v>
      </c>
      <c r="AJ19" s="200" t="s">
        <v>1011</v>
      </c>
      <c r="AK19" s="624"/>
      <c r="AL19" s="625" t="s">
        <v>847</v>
      </c>
      <c r="AM19" s="8"/>
      <c r="AN19" s="8"/>
      <c r="AO19" s="8">
        <v>9</v>
      </c>
      <c r="AP19" s="200" t="s">
        <v>495</v>
      </c>
      <c r="AQ19" s="8"/>
      <c r="AR19" s="623"/>
      <c r="AS19" s="8"/>
      <c r="AT19" s="8"/>
      <c r="AU19" s="8"/>
      <c r="AV19" s="8"/>
      <c r="AW19" s="8"/>
      <c r="AX19" s="624"/>
      <c r="BH19" s="623"/>
      <c r="BI19" s="200" t="s">
        <v>920</v>
      </c>
      <c r="BJ19" s="8"/>
      <c r="BK19" s="638">
        <f>1000*BK12/(BK13*BK17)</f>
        <v>0.33390380834441491</v>
      </c>
      <c r="BL19" s="624"/>
    </row>
    <row r="20" spans="1:64" ht="16">
      <c r="A20" s="605" t="s">
        <v>508</v>
      </c>
      <c r="B20" s="8"/>
      <c r="C20" s="8"/>
      <c r="D20" s="8"/>
      <c r="E20" s="8"/>
      <c r="F20" s="8"/>
      <c r="G20" s="8"/>
      <c r="H20" s="595"/>
      <c r="I20" s="200" t="s">
        <v>591</v>
      </c>
      <c r="J20" s="8">
        <v>25.12</v>
      </c>
      <c r="K20" s="200" t="s">
        <v>23</v>
      </c>
      <c r="L20" s="8"/>
      <c r="M20" s="8">
        <f>J20*M17/J17</f>
        <v>2.6375999999999999</v>
      </c>
      <c r="N20" s="200" t="s">
        <v>23</v>
      </c>
      <c r="O20" s="596"/>
      <c r="P20" s="595"/>
      <c r="Q20" s="200" t="s">
        <v>20</v>
      </c>
      <c r="R20" s="200" t="s">
        <v>758</v>
      </c>
      <c r="S20" s="8">
        <v>9.3300000000000002E-4</v>
      </c>
      <c r="T20" s="8"/>
      <c r="U20" s="8"/>
      <c r="V20" s="8"/>
      <c r="W20" s="606"/>
      <c r="X20" s="8"/>
      <c r="Y20" s="596"/>
      <c r="AA20" s="126" t="s">
        <v>609</v>
      </c>
      <c r="AC20" s="642">
        <f>AC17+AC18+AC19</f>
        <v>6.4829977520873472</v>
      </c>
      <c r="AD20" s="258" t="s">
        <v>893</v>
      </c>
      <c r="AF20" s="623"/>
      <c r="AG20" s="200" t="s">
        <v>38</v>
      </c>
      <c r="AH20" s="606">
        <f t="shared" ref="AH20:AH21" si="7">AJ8</f>
        <v>1.0263157894736841</v>
      </c>
      <c r="AI20" s="8">
        <v>0</v>
      </c>
      <c r="AJ20" s="200" t="s">
        <v>987</v>
      </c>
      <c r="AK20" s="624"/>
      <c r="AL20" s="623"/>
      <c r="AM20" s="8"/>
      <c r="AN20" s="8"/>
      <c r="AO20" s="8"/>
      <c r="AP20" s="8"/>
      <c r="AQ20" s="8"/>
      <c r="AR20" s="623"/>
      <c r="AS20" s="614" t="s">
        <v>933</v>
      </c>
      <c r="AT20" s="8"/>
      <c r="AU20" s="8"/>
      <c r="AV20" s="8"/>
      <c r="AW20" s="8"/>
      <c r="AX20" s="624"/>
      <c r="BH20" s="623"/>
      <c r="BI20" s="8"/>
      <c r="BJ20" s="8"/>
      <c r="BK20" s="8"/>
      <c r="BL20" s="624"/>
    </row>
    <row r="21" spans="1:64">
      <c r="A21" s="595"/>
      <c r="B21" s="8"/>
      <c r="C21" s="8"/>
      <c r="D21" s="8"/>
      <c r="E21" s="8"/>
      <c r="F21" s="8"/>
      <c r="G21" s="8"/>
      <c r="H21" s="595"/>
      <c r="I21" s="200"/>
      <c r="J21" s="8"/>
      <c r="K21" s="8"/>
      <c r="L21" s="8"/>
      <c r="M21" s="8"/>
      <c r="N21" s="8"/>
      <c r="O21" s="596"/>
      <c r="P21" s="595"/>
      <c r="Q21" s="8"/>
      <c r="R21" s="200" t="s">
        <v>759</v>
      </c>
      <c r="S21" s="8">
        <f>0.000467</f>
        <v>4.6700000000000002E-4</v>
      </c>
      <c r="T21" s="8"/>
      <c r="U21" s="8"/>
      <c r="V21" s="8"/>
      <c r="W21" s="606"/>
      <c r="X21" s="8"/>
      <c r="Y21" s="596"/>
      <c r="AF21" s="623"/>
      <c r="AG21" s="200" t="s">
        <v>662</v>
      </c>
      <c r="AH21" s="606">
        <f t="shared" si="7"/>
        <v>0.10526315789473684</v>
      </c>
      <c r="AI21" s="8">
        <v>0.8</v>
      </c>
      <c r="AJ21" s="200" t="s">
        <v>1003</v>
      </c>
      <c r="AK21" s="624"/>
      <c r="AL21" s="625" t="s">
        <v>848</v>
      </c>
      <c r="AM21" s="8"/>
      <c r="AN21" s="8"/>
      <c r="AO21" s="8">
        <f>AO19/50</f>
        <v>0.18</v>
      </c>
      <c r="AP21" s="200" t="s">
        <v>849</v>
      </c>
      <c r="AQ21" s="8"/>
      <c r="AR21" s="623"/>
      <c r="AS21" s="8"/>
      <c r="AT21" s="8"/>
      <c r="AU21" s="8"/>
      <c r="AV21" s="8"/>
      <c r="AW21" s="8"/>
      <c r="AX21" s="624"/>
      <c r="BH21" s="623"/>
      <c r="BI21" s="8"/>
      <c r="BJ21" s="8"/>
      <c r="BK21" s="8"/>
      <c r="BL21" s="624"/>
    </row>
    <row r="22" spans="1:64">
      <c r="A22" s="595" t="s">
        <v>509</v>
      </c>
      <c r="B22" s="8"/>
      <c r="C22" s="606">
        <f>'Energy Contents Cell'!I38</f>
        <v>3.3428730404062716</v>
      </c>
      <c r="D22" s="8" t="s">
        <v>510</v>
      </c>
      <c r="E22" s="8"/>
      <c r="F22" s="8"/>
      <c r="G22" s="8"/>
      <c r="H22" s="595"/>
      <c r="I22" s="200" t="s">
        <v>603</v>
      </c>
      <c r="J22" s="8">
        <v>7.19</v>
      </c>
      <c r="K22" s="200" t="s">
        <v>604</v>
      </c>
      <c r="L22" s="8"/>
      <c r="M22" s="8">
        <v>6.73</v>
      </c>
      <c r="N22" s="200" t="s">
        <v>790</v>
      </c>
      <c r="O22" s="596"/>
      <c r="P22" s="595"/>
      <c r="Q22" s="8"/>
      <c r="R22" s="200" t="s">
        <v>609</v>
      </c>
      <c r="S22" s="8">
        <f>S20+S21</f>
        <v>1.4E-3</v>
      </c>
      <c r="T22" s="8"/>
      <c r="U22" s="8">
        <v>3.31E-3</v>
      </c>
      <c r="V22" s="8"/>
      <c r="W22" s="606">
        <f t="shared" si="0"/>
        <v>2.3642857142857143</v>
      </c>
      <c r="X22" s="8"/>
      <c r="Y22" s="596"/>
      <c r="AA22" s="258" t="s">
        <v>1441</v>
      </c>
      <c r="AF22" s="623"/>
      <c r="AG22" s="8"/>
      <c r="AH22" s="8"/>
      <c r="AI22" s="8"/>
      <c r="AJ22" s="8"/>
      <c r="AK22" s="624"/>
      <c r="AL22" s="623"/>
      <c r="AM22" s="8"/>
      <c r="AN22" s="8"/>
      <c r="AO22" s="8"/>
      <c r="AP22" s="8"/>
      <c r="AQ22" s="8"/>
      <c r="AR22" s="623"/>
      <c r="AS22" s="614" t="s">
        <v>1013</v>
      </c>
      <c r="AT22" s="200" t="s">
        <v>894</v>
      </c>
      <c r="AU22" s="8">
        <v>450</v>
      </c>
      <c r="AV22" s="200" t="s">
        <v>495</v>
      </c>
      <c r="AW22" s="8"/>
      <c r="AX22" s="624"/>
      <c r="BH22" s="623"/>
      <c r="BI22" s="614" t="s">
        <v>926</v>
      </c>
      <c r="BJ22" s="614"/>
      <c r="BK22" s="648">
        <f>(BK9+BK19)/2</f>
        <v>0.34312540387511892</v>
      </c>
      <c r="BL22" s="624"/>
    </row>
    <row r="23" spans="1:64">
      <c r="A23" s="597" t="s">
        <v>1426</v>
      </c>
      <c r="B23" s="8"/>
      <c r="C23" s="8">
        <v>1</v>
      </c>
      <c r="D23" s="8" t="s">
        <v>511</v>
      </c>
      <c r="E23" s="8"/>
      <c r="F23" s="8"/>
      <c r="G23" s="8"/>
      <c r="H23" s="595"/>
      <c r="I23" s="200" t="s">
        <v>594</v>
      </c>
      <c r="J23" s="8">
        <f>J13*J22</f>
        <v>143.80000000000001</v>
      </c>
      <c r="K23" s="200" t="s">
        <v>639</v>
      </c>
      <c r="L23" s="8"/>
      <c r="M23" s="8">
        <f>M9*M13*M22</f>
        <v>6.3426885000000004</v>
      </c>
      <c r="N23" s="200" t="s">
        <v>23</v>
      </c>
      <c r="O23" s="596"/>
      <c r="P23" s="595"/>
      <c r="Q23" s="200" t="s">
        <v>21</v>
      </c>
      <c r="R23" s="200" t="s">
        <v>760</v>
      </c>
      <c r="S23" s="8">
        <v>4.4000000000000003E-3</v>
      </c>
      <c r="T23" s="8"/>
      <c r="U23" s="8">
        <v>1.9900000000000001E-2</v>
      </c>
      <c r="V23" s="8"/>
      <c r="W23" s="606">
        <f t="shared" si="0"/>
        <v>4.5227272727272725</v>
      </c>
      <c r="X23" s="8"/>
      <c r="Y23" s="596"/>
      <c r="AB23" s="126" t="s">
        <v>874</v>
      </c>
      <c r="AC23" s="126" t="s">
        <v>875</v>
      </c>
      <c r="AD23" s="126" t="s">
        <v>876</v>
      </c>
      <c r="AF23" s="623"/>
      <c r="AG23" s="200" t="s">
        <v>981</v>
      </c>
      <c r="AH23" s="8"/>
      <c r="AI23" s="8"/>
      <c r="AJ23" s="8"/>
      <c r="AK23" s="624"/>
      <c r="AL23" s="625" t="s">
        <v>850</v>
      </c>
      <c r="AM23" s="8"/>
      <c r="AN23" s="8"/>
      <c r="AO23" s="614">
        <f>2*AO21</f>
        <v>0.36</v>
      </c>
      <c r="AP23" s="614" t="s">
        <v>849</v>
      </c>
      <c r="AQ23" s="8"/>
      <c r="AR23" s="623"/>
      <c r="AS23" s="8"/>
      <c r="AT23" s="8"/>
      <c r="AU23" s="8"/>
      <c r="AV23" s="8"/>
      <c r="AW23" s="8"/>
      <c r="AX23" s="624"/>
      <c r="BH23" s="629"/>
      <c r="BI23" s="630"/>
      <c r="BJ23" s="630"/>
      <c r="BK23" s="630"/>
      <c r="BL23" s="631"/>
    </row>
    <row r="24" spans="1:64">
      <c r="A24" s="595" t="s">
        <v>512</v>
      </c>
      <c r="B24" s="8"/>
      <c r="C24" s="8">
        <f>C23/C22*1000</f>
        <v>299.14387651361909</v>
      </c>
      <c r="D24" s="8" t="s">
        <v>513</v>
      </c>
      <c r="E24" s="8"/>
      <c r="F24" s="8"/>
      <c r="G24" s="8"/>
      <c r="H24" s="595"/>
      <c r="I24" s="200" t="s">
        <v>593</v>
      </c>
      <c r="J24" s="8">
        <v>15</v>
      </c>
      <c r="K24" s="200" t="s">
        <v>595</v>
      </c>
      <c r="L24" s="8"/>
      <c r="M24" s="8">
        <v>15</v>
      </c>
      <c r="N24" s="200" t="s">
        <v>595</v>
      </c>
      <c r="O24" s="596"/>
      <c r="P24" s="595"/>
      <c r="Q24" s="200" t="s">
        <v>747</v>
      </c>
      <c r="R24" s="200" t="s">
        <v>761</v>
      </c>
      <c r="S24" s="8">
        <v>9.1999999999999998E-3</v>
      </c>
      <c r="T24" s="8"/>
      <c r="U24" s="8">
        <v>7.9799999999999996E-2</v>
      </c>
      <c r="V24" s="8"/>
      <c r="W24" s="606">
        <f t="shared" si="0"/>
        <v>8.6739130434782599</v>
      </c>
      <c r="X24" s="8"/>
      <c r="Y24" s="596"/>
      <c r="AA24" s="126" t="s">
        <v>871</v>
      </c>
      <c r="AB24" s="10">
        <v>12.5</v>
      </c>
      <c r="AC24" s="10">
        <v>2.7</v>
      </c>
      <c r="AD24" s="10"/>
      <c r="AF24" s="623"/>
      <c r="AG24" s="200" t="s">
        <v>956</v>
      </c>
      <c r="AH24" s="8">
        <v>1</v>
      </c>
      <c r="AI24" s="643">
        <f>AH19*AI19+AH20*AI20+AH21*AI21</f>
        <v>15.442456140350878</v>
      </c>
      <c r="AJ24" s="348" t="s">
        <v>874</v>
      </c>
      <c r="AK24" s="624"/>
      <c r="AL24" s="623"/>
      <c r="AM24" s="8"/>
      <c r="AN24" s="8"/>
      <c r="AO24" s="8"/>
      <c r="AP24" s="8"/>
      <c r="AQ24" s="8"/>
      <c r="AR24" s="623"/>
      <c r="AS24" s="200" t="s">
        <v>638</v>
      </c>
      <c r="AT24" s="200" t="s">
        <v>895</v>
      </c>
      <c r="AU24" s="200" t="s">
        <v>897</v>
      </c>
      <c r="AV24" s="200" t="s">
        <v>934</v>
      </c>
      <c r="AW24" s="8"/>
      <c r="AX24" s="624"/>
    </row>
    <row r="25" spans="1:64">
      <c r="A25" s="595" t="s">
        <v>514</v>
      </c>
      <c r="B25" s="8"/>
      <c r="C25" s="8">
        <f>C10/C24</f>
        <v>2.6930185213512921E-6</v>
      </c>
      <c r="D25" s="8" t="s">
        <v>515</v>
      </c>
      <c r="E25" s="8">
        <f>C25*10000</f>
        <v>2.6930185213512921E-2</v>
      </c>
      <c r="F25" s="8" t="s">
        <v>516</v>
      </c>
      <c r="G25" s="8"/>
      <c r="H25" s="595"/>
      <c r="I25" s="200" t="s">
        <v>596</v>
      </c>
      <c r="J25" s="8">
        <f>J23*(100+J24)/100</f>
        <v>165.37</v>
      </c>
      <c r="K25" s="200" t="s">
        <v>639</v>
      </c>
      <c r="L25" s="8"/>
      <c r="M25" s="8">
        <f>M23*(100+M24)/100</f>
        <v>7.2940917750000009</v>
      </c>
      <c r="N25" s="200" t="s">
        <v>23</v>
      </c>
      <c r="O25" s="596"/>
      <c r="P25" s="595"/>
      <c r="Q25" s="8"/>
      <c r="R25" s="8"/>
      <c r="S25" s="8"/>
      <c r="T25" s="200" t="s">
        <v>749</v>
      </c>
      <c r="U25" s="8">
        <v>9.8500000000000004E-2</v>
      </c>
      <c r="V25" s="8"/>
      <c r="W25" s="613">
        <f>U25/S26</f>
        <v>2.2695852534562211</v>
      </c>
      <c r="X25" s="641" t="s">
        <v>893</v>
      </c>
      <c r="Y25" s="616"/>
      <c r="Z25" s="10"/>
      <c r="AA25" s="126" t="s">
        <v>827</v>
      </c>
      <c r="AB25" s="8"/>
      <c r="AC25" s="8">
        <v>7</v>
      </c>
      <c r="AD25" s="8">
        <f>AC25*1.075</f>
        <v>7.5249999999999995</v>
      </c>
      <c r="AE25" s="8"/>
      <c r="AF25" s="623"/>
      <c r="AG25" s="8"/>
      <c r="AH25" s="8"/>
      <c r="AI25" s="8"/>
      <c r="AJ25" s="8"/>
      <c r="AK25" s="626"/>
      <c r="AL25" s="636"/>
      <c r="AM25" s="630"/>
      <c r="AN25" s="637"/>
      <c r="AO25" s="630"/>
      <c r="AP25" s="630"/>
      <c r="AQ25" s="630"/>
      <c r="AR25" s="623"/>
      <c r="AS25" s="200" t="s">
        <v>835</v>
      </c>
      <c r="AT25" s="8">
        <f>AU$3*AU25/100</f>
        <v>6.0750000000000002</v>
      </c>
      <c r="AU25" s="8">
        <f>2.7/2</f>
        <v>1.35</v>
      </c>
      <c r="AV25" s="606">
        <f>'Env. Impacts System'!H5</f>
        <v>3.1</v>
      </c>
      <c r="AW25" s="612">
        <f>AT25*AV25</f>
        <v>18.8325</v>
      </c>
      <c r="AX25" s="624"/>
    </row>
    <row r="26" spans="1:64">
      <c r="A26" s="595"/>
      <c r="B26" s="8"/>
      <c r="C26" s="8"/>
      <c r="D26" s="8"/>
      <c r="E26" s="8"/>
      <c r="F26" s="8"/>
      <c r="G26" s="8"/>
      <c r="H26" s="595"/>
      <c r="I26" s="200" t="s">
        <v>600</v>
      </c>
      <c r="J26" s="8">
        <f>J25-J23</f>
        <v>21.569999999999993</v>
      </c>
      <c r="K26" s="200" t="s">
        <v>639</v>
      </c>
      <c r="L26" s="8"/>
      <c r="M26" s="8">
        <f>M25-M23</f>
        <v>0.95140327500000055</v>
      </c>
      <c r="N26" s="200" t="s">
        <v>23</v>
      </c>
      <c r="O26" s="596"/>
      <c r="P26" s="595"/>
      <c r="Q26" s="8"/>
      <c r="R26" s="8"/>
      <c r="S26" s="8">
        <f>S16+S19+S22+S23+S24</f>
        <v>4.3400000000000001E-2</v>
      </c>
      <c r="T26" s="200" t="s">
        <v>750</v>
      </c>
      <c r="U26" s="8">
        <v>0.98799999999999999</v>
      </c>
      <c r="V26" s="8"/>
      <c r="W26" s="606">
        <f t="shared" si="0"/>
        <v>22.764976958525345</v>
      </c>
      <c r="X26" s="8"/>
      <c r="Y26" s="596"/>
      <c r="Z26" s="8"/>
      <c r="AA26" s="126" t="s">
        <v>872</v>
      </c>
      <c r="AB26" s="8"/>
      <c r="AC26" s="8">
        <f>AC25-AC24</f>
        <v>4.3</v>
      </c>
      <c r="AD26" s="614">
        <f>AC26*1.075</f>
        <v>4.6224999999999996</v>
      </c>
      <c r="AE26" s="200" t="s">
        <v>874</v>
      </c>
      <c r="AF26" s="623"/>
      <c r="AG26" s="8"/>
      <c r="AH26" s="8"/>
      <c r="AI26" s="8"/>
      <c r="AJ26" s="8"/>
      <c r="AK26" s="624"/>
      <c r="AL26" s="8"/>
      <c r="AM26" s="8"/>
      <c r="AN26" s="8"/>
      <c r="AR26" s="623"/>
      <c r="AS26" s="200" t="s">
        <v>836</v>
      </c>
      <c r="AT26" s="8">
        <f t="shared" ref="AT26:AT32" si="8">AU$3*AU26/100</f>
        <v>3.645</v>
      </c>
      <c r="AU26" s="8">
        <f>AU25*0.6</f>
        <v>0.81</v>
      </c>
      <c r="AV26" s="8"/>
      <c r="AW26" s="612"/>
      <c r="AX26" s="624"/>
    </row>
    <row r="27" spans="1:64">
      <c r="A27" s="595" t="s">
        <v>517</v>
      </c>
      <c r="B27" s="8"/>
      <c r="C27" s="607">
        <f>'Energy Contents Cell'!E90</f>
        <v>82.421197160571054</v>
      </c>
      <c r="D27" s="200" t="s">
        <v>1423</v>
      </c>
      <c r="E27" s="8"/>
      <c r="F27" s="8"/>
      <c r="G27" s="8"/>
      <c r="H27" s="595"/>
      <c r="I27" s="8"/>
      <c r="J27" s="8"/>
      <c r="K27" s="8"/>
      <c r="L27" s="8"/>
      <c r="M27" s="8"/>
      <c r="N27" s="8"/>
      <c r="O27" s="596"/>
      <c r="P27" s="595"/>
      <c r="Q27" s="8"/>
      <c r="R27" s="8"/>
      <c r="S27" s="8"/>
      <c r="T27" s="8"/>
      <c r="U27" s="8"/>
      <c r="V27" s="8"/>
      <c r="W27" s="8"/>
      <c r="X27" s="8"/>
      <c r="Y27" s="596"/>
      <c r="Z27" s="8"/>
      <c r="AE27" s="8"/>
      <c r="AF27" s="623"/>
      <c r="AG27" s="614" t="s">
        <v>982</v>
      </c>
      <c r="AH27" s="8"/>
      <c r="AI27" s="8"/>
      <c r="AJ27" s="8"/>
      <c r="AK27" s="624"/>
      <c r="AL27" s="8"/>
      <c r="AM27" s="8"/>
      <c r="AN27" s="8"/>
      <c r="AR27" s="623"/>
      <c r="AS27" s="200" t="s">
        <v>837</v>
      </c>
      <c r="AT27" s="8">
        <f t="shared" si="8"/>
        <v>2.4300000000000002</v>
      </c>
      <c r="AU27" s="8">
        <f>AU25*0.4</f>
        <v>0.54</v>
      </c>
      <c r="AV27" s="8"/>
      <c r="AW27" s="612"/>
      <c r="AX27" s="624"/>
    </row>
    <row r="28" spans="1:64">
      <c r="A28" s="595" t="s">
        <v>518</v>
      </c>
      <c r="B28" s="8"/>
      <c r="C28" s="607">
        <f>C24*C27/1000000</f>
        <v>2.465579642550652E-2</v>
      </c>
      <c r="D28" s="200" t="s">
        <v>495</v>
      </c>
      <c r="E28" s="607"/>
      <c r="F28" s="8"/>
      <c r="G28" s="8"/>
      <c r="H28" s="595"/>
      <c r="I28" s="200" t="s">
        <v>602</v>
      </c>
      <c r="J28" s="8"/>
      <c r="K28" s="8"/>
      <c r="L28" s="8"/>
      <c r="M28" s="8"/>
      <c r="N28" s="8"/>
      <c r="O28" s="596"/>
      <c r="P28" s="611"/>
      <c r="Q28" s="640" t="s">
        <v>1048</v>
      </c>
      <c r="R28" s="593"/>
      <c r="S28" s="593"/>
      <c r="T28" s="593"/>
      <c r="U28" s="593"/>
      <c r="V28" s="593"/>
      <c r="W28" s="593"/>
      <c r="X28" s="593"/>
      <c r="Y28" s="617"/>
      <c r="Z28" s="618"/>
      <c r="AA28" s="126" t="s">
        <v>990</v>
      </c>
      <c r="AB28" s="126" t="s">
        <v>991</v>
      </c>
      <c r="AC28" s="126" t="s">
        <v>992</v>
      </c>
      <c r="AE28" s="22"/>
      <c r="AF28" s="627"/>
      <c r="AG28" s="22"/>
      <c r="AH28" s="22"/>
      <c r="AI28" s="22"/>
      <c r="AJ28" s="22"/>
      <c r="AK28" s="628"/>
      <c r="AL28" s="325"/>
      <c r="AM28" s="22"/>
      <c r="AN28" s="22"/>
      <c r="AR28" s="623"/>
      <c r="AS28" s="200" t="s">
        <v>38</v>
      </c>
      <c r="AT28" s="8">
        <f t="shared" si="8"/>
        <v>37.35</v>
      </c>
      <c r="AU28" s="8">
        <v>8.3000000000000007</v>
      </c>
      <c r="AV28" s="606">
        <f>'Env. Impacts System'!D15</f>
        <v>7.41</v>
      </c>
      <c r="AW28" s="612">
        <f t="shared" ref="AW28:AW32" si="9">AT28*AV28</f>
        <v>276.76350000000002</v>
      </c>
      <c r="AX28" s="624"/>
    </row>
    <row r="29" spans="1:64">
      <c r="A29" s="595" t="s">
        <v>519</v>
      </c>
      <c r="B29" s="8"/>
      <c r="C29" s="613">
        <f>C9/C28</f>
        <v>2.3494353619854711</v>
      </c>
      <c r="D29" s="614" t="s">
        <v>1424</v>
      </c>
      <c r="E29" s="8"/>
      <c r="F29" s="8"/>
      <c r="G29" s="8"/>
      <c r="H29" s="595"/>
      <c r="I29" s="200" t="s">
        <v>605</v>
      </c>
      <c r="J29" s="8">
        <v>30000</v>
      </c>
      <c r="K29" s="200" t="s">
        <v>503</v>
      </c>
      <c r="L29" s="8"/>
      <c r="M29" s="612">
        <f>J29*M$7/J$7*M11/J11*J$34</f>
        <v>2964.7058823529414</v>
      </c>
      <c r="N29" s="200" t="s">
        <v>618</v>
      </c>
      <c r="O29" s="596"/>
      <c r="P29" s="595"/>
      <c r="Q29" s="8"/>
      <c r="R29" s="8"/>
      <c r="S29" s="8"/>
      <c r="T29" s="200" t="s">
        <v>788</v>
      </c>
      <c r="U29" s="8"/>
      <c r="V29" s="8"/>
      <c r="W29" s="200" t="s">
        <v>787</v>
      </c>
      <c r="X29" s="10"/>
      <c r="Y29" s="22"/>
      <c r="Z29" s="596"/>
      <c r="AA29" s="126" t="s">
        <v>871</v>
      </c>
      <c r="AB29">
        <f>AC24/AB24</f>
        <v>0.21600000000000003</v>
      </c>
      <c r="AC29">
        <f>1.46/0.38</f>
        <v>3.8421052631578947</v>
      </c>
      <c r="AE29" s="22"/>
      <c r="AF29" s="627"/>
      <c r="AG29" s="200" t="s">
        <v>973</v>
      </c>
      <c r="AH29" s="200" t="s">
        <v>495</v>
      </c>
      <c r="AI29" s="200" t="s">
        <v>862</v>
      </c>
      <c r="AJ29" s="200" t="s">
        <v>282</v>
      </c>
      <c r="AK29" s="628"/>
      <c r="AM29" s="126"/>
      <c r="AN29" s="126"/>
      <c r="AO29" s="126"/>
      <c r="AP29" s="126"/>
      <c r="AR29" s="623"/>
      <c r="AS29" s="200" t="s">
        <v>838</v>
      </c>
      <c r="AT29" s="8">
        <f t="shared" si="8"/>
        <v>6.0750000000000002</v>
      </c>
      <c r="AU29" s="8">
        <f>2.7/2</f>
        <v>1.35</v>
      </c>
      <c r="AV29" s="606">
        <f>AV25</f>
        <v>3.1</v>
      </c>
      <c r="AW29" s="612">
        <f t="shared" si="9"/>
        <v>18.8325</v>
      </c>
      <c r="AX29" s="624"/>
    </row>
    <row r="30" spans="1:64">
      <c r="A30" s="608"/>
      <c r="B30" s="609"/>
      <c r="C30" s="609"/>
      <c r="D30" s="609"/>
      <c r="E30" s="609"/>
      <c r="F30" s="609"/>
      <c r="G30" s="609"/>
      <c r="H30" s="595"/>
      <c r="I30" s="200" t="s">
        <v>607</v>
      </c>
      <c r="J30" s="8">
        <v>20000</v>
      </c>
      <c r="K30" s="200" t="s">
        <v>503</v>
      </c>
      <c r="L30" s="8"/>
      <c r="M30" s="8">
        <f t="shared" ref="M30:M31" si="10">J30*M$7/J$7*J$34</f>
        <v>42000.000000000007</v>
      </c>
      <c r="N30" s="200" t="s">
        <v>618</v>
      </c>
      <c r="O30" s="596"/>
      <c r="P30" s="595"/>
      <c r="Q30" s="342" t="s">
        <v>778</v>
      </c>
      <c r="R30" s="8"/>
      <c r="S30" s="8"/>
      <c r="T30" s="343" t="s">
        <v>779</v>
      </c>
      <c r="U30" s="343" t="s">
        <v>780</v>
      </c>
      <c r="V30" s="343" t="s">
        <v>781</v>
      </c>
      <c r="W30" s="343" t="s">
        <v>779</v>
      </c>
      <c r="X30" s="343" t="s">
        <v>780</v>
      </c>
      <c r="Y30" s="343" t="s">
        <v>781</v>
      </c>
      <c r="Z30" s="596"/>
      <c r="AF30" s="623"/>
      <c r="AG30" s="200" t="s">
        <v>972</v>
      </c>
      <c r="AH30" s="606">
        <f>AH19</f>
        <v>1.5964912280701755</v>
      </c>
      <c r="AI30" s="8">
        <v>8.1</v>
      </c>
      <c r="AJ30" s="200" t="s">
        <v>1011</v>
      </c>
      <c r="AK30" s="624"/>
      <c r="AL30" s="126"/>
      <c r="AP30" s="126"/>
      <c r="AR30" s="623"/>
      <c r="AS30" s="200" t="s">
        <v>572</v>
      </c>
      <c r="AT30" s="8">
        <f t="shared" si="8"/>
        <v>315.89999999999998</v>
      </c>
      <c r="AU30" s="8">
        <v>70.2</v>
      </c>
      <c r="AV30" s="8">
        <f>'Env. Impacts System'!H6</f>
        <v>2.68</v>
      </c>
      <c r="AW30" s="612">
        <f t="shared" si="9"/>
        <v>846.61199999999997</v>
      </c>
      <c r="AX30" s="624"/>
    </row>
    <row r="31" spans="1:64">
      <c r="C31" s="257"/>
      <c r="D31" s="126"/>
      <c r="H31" s="595"/>
      <c r="I31" s="200" t="s">
        <v>606</v>
      </c>
      <c r="J31" s="8">
        <v>30000</v>
      </c>
      <c r="K31" s="200" t="s">
        <v>503</v>
      </c>
      <c r="L31" s="8"/>
      <c r="M31" s="8">
        <f t="shared" si="10"/>
        <v>63000.000000000007</v>
      </c>
      <c r="N31" s="200" t="s">
        <v>618</v>
      </c>
      <c r="O31" s="596"/>
      <c r="P31" s="595"/>
      <c r="Q31" s="342" t="s">
        <v>763</v>
      </c>
      <c r="R31" s="8"/>
      <c r="S31" s="8"/>
      <c r="T31" s="344">
        <v>31.837723671697333</v>
      </c>
      <c r="U31" s="344">
        <v>16.099710227421475</v>
      </c>
      <c r="V31" s="344">
        <v>21.940225899279419</v>
      </c>
      <c r="W31" s="619">
        <f>W35-W34</f>
        <v>251.00404</v>
      </c>
      <c r="X31" s="619">
        <f t="shared" ref="X31:Y31" si="11">X35-X34</f>
        <v>204</v>
      </c>
      <c r="Y31" s="619">
        <f t="shared" si="11"/>
        <v>229.58085</v>
      </c>
      <c r="Z31" s="596"/>
      <c r="AA31" s="126" t="s">
        <v>993</v>
      </c>
      <c r="AC31" s="126">
        <f>AC20+AB29*AC29</f>
        <v>7.3128924889294522</v>
      </c>
      <c r="AD31" s="126" t="s">
        <v>893</v>
      </c>
      <c r="AF31" s="623"/>
      <c r="AG31" s="200" t="s">
        <v>38</v>
      </c>
      <c r="AH31" s="606">
        <f t="shared" ref="AH31:AH32" si="12">AH20</f>
        <v>1.0263157894736841</v>
      </c>
      <c r="AI31" s="606">
        <v>0</v>
      </c>
      <c r="AJ31" s="200" t="s">
        <v>987</v>
      </c>
      <c r="AK31" s="624"/>
      <c r="AL31" s="126"/>
      <c r="AP31" s="126"/>
      <c r="AR31" s="623"/>
      <c r="AS31" s="200" t="s">
        <v>896</v>
      </c>
      <c r="AT31" s="8">
        <f t="shared" si="8"/>
        <v>29.25</v>
      </c>
      <c r="AU31" s="8">
        <v>6.5</v>
      </c>
      <c r="AV31" s="8">
        <f>AV30</f>
        <v>2.68</v>
      </c>
      <c r="AW31" s="612">
        <f t="shared" si="9"/>
        <v>78.39</v>
      </c>
      <c r="AX31" s="624"/>
    </row>
    <row r="32" spans="1:64">
      <c r="C32" s="257"/>
      <c r="H32" s="595"/>
      <c r="I32" s="200" t="s">
        <v>608</v>
      </c>
      <c r="J32" s="8">
        <v>6000</v>
      </c>
      <c r="K32" s="200" t="s">
        <v>503</v>
      </c>
      <c r="L32" s="8"/>
      <c r="M32" s="8">
        <f>J32*J$34</f>
        <v>6720.0000000000009</v>
      </c>
      <c r="N32" s="200" t="s">
        <v>618</v>
      </c>
      <c r="O32" s="596"/>
      <c r="P32" s="595"/>
      <c r="Q32" s="342" t="s">
        <v>764</v>
      </c>
      <c r="R32" s="8"/>
      <c r="S32" s="8"/>
      <c r="T32" s="344">
        <v>2.4513256462046296</v>
      </c>
      <c r="U32" s="344">
        <v>0.25557966958137779</v>
      </c>
      <c r="V32" s="344">
        <v>1.4525261386327948</v>
      </c>
      <c r="W32" s="8"/>
      <c r="X32" s="8"/>
      <c r="Y32" s="8"/>
      <c r="Z32" s="596"/>
      <c r="AF32" s="623"/>
      <c r="AG32" s="200" t="s">
        <v>662</v>
      </c>
      <c r="AH32" s="606">
        <f t="shared" si="12"/>
        <v>0.10526315789473684</v>
      </c>
      <c r="AI32" s="606">
        <f>'Env. Impacts Cell'!$G$8</f>
        <v>2.4651162790697674</v>
      </c>
      <c r="AJ32" s="200" t="s">
        <v>1007</v>
      </c>
      <c r="AK32" s="624"/>
      <c r="AR32" s="623"/>
      <c r="AS32" s="200" t="s">
        <v>935</v>
      </c>
      <c r="AT32" s="8">
        <f t="shared" si="8"/>
        <v>2.7</v>
      </c>
      <c r="AU32" s="8">
        <v>0.6</v>
      </c>
      <c r="AV32" s="606">
        <f>AVERAGE(AV28:AV30)</f>
        <v>4.3966666666666665</v>
      </c>
      <c r="AW32" s="612">
        <f t="shared" si="9"/>
        <v>11.871</v>
      </c>
      <c r="AX32" s="624"/>
    </row>
    <row r="33" spans="8:50">
      <c r="H33" s="595"/>
      <c r="I33" s="200" t="s">
        <v>609</v>
      </c>
      <c r="J33" s="8">
        <f>SUM(J29:J32)</f>
        <v>86000</v>
      </c>
      <c r="K33" s="200" t="s">
        <v>503</v>
      </c>
      <c r="L33" s="8"/>
      <c r="M33" s="8">
        <f>SUM(M29:M32)</f>
        <v>114684.70588235295</v>
      </c>
      <c r="N33" s="200" t="s">
        <v>618</v>
      </c>
      <c r="O33" s="596"/>
      <c r="P33" s="595"/>
      <c r="Q33" s="342" t="s">
        <v>765</v>
      </c>
      <c r="R33" s="8"/>
      <c r="S33" s="8"/>
      <c r="T33" s="344">
        <v>1.9632022875118456</v>
      </c>
      <c r="U33" s="344">
        <v>0.68223491172379913</v>
      </c>
      <c r="V33" s="344">
        <v>0.84589761658717744</v>
      </c>
      <c r="W33" s="8"/>
      <c r="X33" s="8"/>
      <c r="Y33" s="8"/>
      <c r="Z33" s="596"/>
      <c r="AF33" s="623"/>
      <c r="AG33" s="8"/>
      <c r="AH33" s="8"/>
      <c r="AI33" s="8"/>
      <c r="AJ33" s="8"/>
      <c r="AK33" s="624"/>
      <c r="AL33" s="126"/>
      <c r="AP33" s="126"/>
      <c r="AR33" s="623"/>
      <c r="AS33" s="200"/>
      <c r="AT33" s="8"/>
      <c r="AU33" s="8"/>
      <c r="AV33" s="8"/>
      <c r="AW33" s="612"/>
      <c r="AX33" s="624"/>
    </row>
    <row r="34" spans="8:50">
      <c r="H34" s="595"/>
      <c r="I34" s="200" t="s">
        <v>622</v>
      </c>
      <c r="J34" s="8">
        <v>1.1200000000000001</v>
      </c>
      <c r="K34" s="200" t="s">
        <v>623</v>
      </c>
      <c r="L34" s="8"/>
      <c r="M34" s="8"/>
      <c r="N34" s="200"/>
      <c r="O34" s="596"/>
      <c r="P34" s="595"/>
      <c r="Q34" s="342" t="s">
        <v>766</v>
      </c>
      <c r="R34" s="8"/>
      <c r="S34" s="8"/>
      <c r="T34" s="344">
        <v>2.7996189759404779</v>
      </c>
      <c r="U34" s="344">
        <v>10.155996981342923</v>
      </c>
      <c r="V34" s="344">
        <v>3.4742102241573511</v>
      </c>
      <c r="W34" s="8">
        <f>T34*T72</f>
        <v>0</v>
      </c>
      <c r="X34" s="8">
        <f>U34*U72</f>
        <v>0</v>
      </c>
      <c r="Y34" s="8">
        <f>V34*V72</f>
        <v>0</v>
      </c>
      <c r="Z34" s="596"/>
      <c r="AA34" s="634"/>
      <c r="AB34" s="635"/>
      <c r="AC34" s="635"/>
      <c r="AD34" s="635"/>
      <c r="AE34" s="593"/>
      <c r="AF34" s="623"/>
      <c r="AG34" s="200" t="s">
        <v>981</v>
      </c>
      <c r="AH34" s="8"/>
      <c r="AI34" s="8"/>
      <c r="AJ34" s="8"/>
      <c r="AK34" s="624"/>
      <c r="AL34" s="126"/>
      <c r="AP34" s="126"/>
      <c r="AR34" s="623"/>
      <c r="AS34" s="200"/>
      <c r="AT34" s="8"/>
      <c r="AU34" s="8"/>
      <c r="AV34" s="200" t="s">
        <v>609</v>
      </c>
      <c r="AW34" s="612">
        <f>SUM(AW25:AW32)</f>
        <v>1251.3015000000003</v>
      </c>
      <c r="AX34" s="624"/>
    </row>
    <row r="35" spans="8:50">
      <c r="H35" s="595"/>
      <c r="I35" s="8"/>
      <c r="J35" s="8"/>
      <c r="K35" s="8"/>
      <c r="L35" s="8"/>
      <c r="M35" s="8"/>
      <c r="N35" s="8"/>
      <c r="O35" s="596"/>
      <c r="P35" s="595"/>
      <c r="Q35" s="347" t="s">
        <v>784</v>
      </c>
      <c r="R35" s="8"/>
      <c r="S35" s="8"/>
      <c r="T35" s="8"/>
      <c r="U35" s="8"/>
      <c r="V35" s="8"/>
      <c r="W35" s="346">
        <v>251.00404</v>
      </c>
      <c r="X35" s="346">
        <v>204</v>
      </c>
      <c r="Y35" s="346">
        <v>229.58085</v>
      </c>
      <c r="Z35" s="596"/>
      <c r="AA35" s="639" t="s">
        <v>961</v>
      </c>
      <c r="AB35" s="8"/>
      <c r="AC35" s="8"/>
      <c r="AD35" s="8"/>
      <c r="AE35" s="8"/>
      <c r="AF35" s="623"/>
      <c r="AG35" s="200" t="s">
        <v>956</v>
      </c>
      <c r="AH35" s="8">
        <v>1</v>
      </c>
      <c r="AI35" s="643">
        <f>AH30*AI30+AH31*AI31+AH32*AI32</f>
        <v>13.191064871481029</v>
      </c>
      <c r="AJ35" s="614" t="s">
        <v>893</v>
      </c>
      <c r="AK35" s="624"/>
      <c r="AR35" s="623"/>
      <c r="AS35" s="8"/>
      <c r="AT35" s="8"/>
      <c r="AU35" s="8"/>
      <c r="AV35" s="8"/>
      <c r="AW35" s="612"/>
      <c r="AX35" s="624"/>
    </row>
    <row r="36" spans="8:50">
      <c r="H36" s="595"/>
      <c r="I36" s="200" t="s">
        <v>611</v>
      </c>
      <c r="J36" s="8">
        <v>2</v>
      </c>
      <c r="K36" s="200" t="s">
        <v>595</v>
      </c>
      <c r="L36" s="8"/>
      <c r="M36" s="8">
        <v>2</v>
      </c>
      <c r="N36" s="200" t="s">
        <v>595</v>
      </c>
      <c r="O36" s="596"/>
      <c r="P36" s="595"/>
      <c r="Q36" s="8"/>
      <c r="R36" s="8"/>
      <c r="S36" s="8"/>
      <c r="T36" s="8"/>
      <c r="U36" s="8"/>
      <c r="V36" s="8"/>
      <c r="W36" s="8"/>
      <c r="X36" s="8"/>
      <c r="Y36" s="8"/>
      <c r="Z36" s="596"/>
      <c r="AA36" s="597"/>
      <c r="AB36" s="8"/>
      <c r="AC36" s="8"/>
      <c r="AD36" s="200"/>
      <c r="AE36" s="8"/>
      <c r="AF36" s="629"/>
      <c r="AG36" s="630"/>
      <c r="AH36" s="630"/>
      <c r="AI36" s="630"/>
      <c r="AJ36" s="630"/>
      <c r="AK36" s="631"/>
      <c r="AR36" s="623"/>
      <c r="AS36" s="8"/>
      <c r="AT36" s="8"/>
      <c r="AU36" s="8"/>
      <c r="AV36" s="200" t="s">
        <v>898</v>
      </c>
      <c r="AW36" s="613">
        <f>AW34/AU22</f>
        <v>2.7806700000000006</v>
      </c>
      <c r="AX36" s="624"/>
    </row>
    <row r="37" spans="8:50">
      <c r="H37" s="595"/>
      <c r="I37" s="200" t="s">
        <v>612</v>
      </c>
      <c r="J37" s="8">
        <v>15</v>
      </c>
      <c r="K37" s="200" t="s">
        <v>613</v>
      </c>
      <c r="L37" s="8"/>
      <c r="M37" s="8">
        <v>15</v>
      </c>
      <c r="N37" s="200" t="s">
        <v>613</v>
      </c>
      <c r="O37" s="596"/>
      <c r="P37" s="595"/>
      <c r="Q37" s="342" t="s">
        <v>767</v>
      </c>
      <c r="R37" s="8"/>
      <c r="S37" s="8"/>
      <c r="T37" s="344">
        <v>12.171384160667891</v>
      </c>
      <c r="U37" s="344">
        <v>15.655018372140475</v>
      </c>
      <c r="V37" s="344">
        <v>9.7702836849934371</v>
      </c>
      <c r="W37" s="619">
        <f>W41-W40</f>
        <v>115.78861999999999</v>
      </c>
      <c r="X37" s="619">
        <f t="shared" ref="X37:Y37" si="13">X41-X40</f>
        <v>181.86452</v>
      </c>
      <c r="Y37" s="619">
        <f t="shared" si="13"/>
        <v>117.30757</v>
      </c>
      <c r="Z37" s="8"/>
      <c r="AA37" s="597" t="s">
        <v>891</v>
      </c>
      <c r="AB37" s="8"/>
      <c r="AC37" s="8">
        <v>7.47</v>
      </c>
      <c r="AD37" s="200" t="s">
        <v>1010</v>
      </c>
      <c r="AE37" s="596"/>
      <c r="AR37" s="629"/>
      <c r="AS37" s="630"/>
      <c r="AT37" s="630"/>
      <c r="AU37" s="630"/>
      <c r="AV37" s="630"/>
      <c r="AW37" s="630"/>
      <c r="AX37" s="631"/>
    </row>
    <row r="38" spans="8:50">
      <c r="H38" s="595"/>
      <c r="I38" s="8"/>
      <c r="J38" s="8"/>
      <c r="K38" s="8"/>
      <c r="L38" s="8"/>
      <c r="M38" s="8"/>
      <c r="N38" s="8"/>
      <c r="O38" s="596"/>
      <c r="P38" s="595"/>
      <c r="Q38" s="342" t="s">
        <v>768</v>
      </c>
      <c r="R38" s="8"/>
      <c r="S38" s="8"/>
      <c r="T38" s="344">
        <v>1.2286404679717515</v>
      </c>
      <c r="U38" s="344">
        <v>0.58627093094048333</v>
      </c>
      <c r="V38" s="344">
        <v>0.45802652783239561</v>
      </c>
      <c r="W38" s="8"/>
      <c r="X38" s="8"/>
      <c r="Y38" s="8"/>
      <c r="Z38" s="8"/>
      <c r="AA38" s="597" t="s">
        <v>892</v>
      </c>
      <c r="AB38" s="8"/>
      <c r="AC38" s="606">
        <f>13.85/3*23.5/41.52</f>
        <v>2.6129977520873471</v>
      </c>
      <c r="AD38" s="200" t="s">
        <v>1006</v>
      </c>
      <c r="AE38" s="596"/>
      <c r="AG38" s="126" t="s">
        <v>1442</v>
      </c>
    </row>
    <row r="39" spans="8:50">
      <c r="H39" s="595"/>
      <c r="I39" s="200" t="s">
        <v>615</v>
      </c>
      <c r="J39" s="8">
        <v>16</v>
      </c>
      <c r="K39" s="8"/>
      <c r="L39" s="8"/>
      <c r="M39" s="8">
        <v>24</v>
      </c>
      <c r="N39" s="8"/>
      <c r="O39" s="596"/>
      <c r="P39" s="595"/>
      <c r="Q39" s="342" t="s">
        <v>769</v>
      </c>
      <c r="R39" s="8"/>
      <c r="S39" s="8"/>
      <c r="T39" s="344">
        <v>0</v>
      </c>
      <c r="U39" s="344">
        <v>0.50387609740290196</v>
      </c>
      <c r="V39" s="344">
        <v>0</v>
      </c>
      <c r="W39" s="8"/>
      <c r="X39" s="8"/>
      <c r="Y39" s="8"/>
      <c r="Z39" s="8"/>
      <c r="AA39" s="597" t="s">
        <v>609</v>
      </c>
      <c r="AB39" s="8"/>
      <c r="AC39" s="613">
        <f>AC36+AC37+AC38</f>
        <v>10.082997752087348</v>
      </c>
      <c r="AD39" s="614" t="s">
        <v>893</v>
      </c>
      <c r="AE39" s="596"/>
    </row>
    <row r="40" spans="8:50">
      <c r="H40" s="595"/>
      <c r="I40" s="200" t="s">
        <v>616</v>
      </c>
      <c r="J40" s="8">
        <v>300</v>
      </c>
      <c r="K40" s="8"/>
      <c r="L40" s="8"/>
      <c r="M40" s="8">
        <v>300</v>
      </c>
      <c r="N40" s="8"/>
      <c r="O40" s="596"/>
      <c r="P40" s="595"/>
      <c r="Q40" s="342" t="s">
        <v>770</v>
      </c>
      <c r="R40" s="8"/>
      <c r="S40" s="8"/>
      <c r="T40" s="344">
        <v>6.5612773242073148</v>
      </c>
      <c r="U40" s="344">
        <v>16.605727989881803</v>
      </c>
      <c r="V40" s="344">
        <v>11.578148367868453</v>
      </c>
      <c r="W40" s="8">
        <f>T40*T78</f>
        <v>0</v>
      </c>
      <c r="X40" s="8">
        <f>U40*U78</f>
        <v>0</v>
      </c>
      <c r="Y40" s="8">
        <f>V40*V78</f>
        <v>0</v>
      </c>
      <c r="Z40" s="8"/>
      <c r="AA40" s="608"/>
      <c r="AB40" s="609"/>
      <c r="AC40" s="609"/>
      <c r="AD40" s="609"/>
      <c r="AE40" s="610"/>
      <c r="AG40" s="126" t="s">
        <v>1014</v>
      </c>
    </row>
    <row r="41" spans="8:50">
      <c r="H41" s="595"/>
      <c r="I41" s="200" t="s">
        <v>617</v>
      </c>
      <c r="J41" s="200">
        <v>0.2</v>
      </c>
      <c r="K41" s="200" t="s">
        <v>627</v>
      </c>
      <c r="L41" s="8"/>
      <c r="M41" s="200">
        <v>0.1</v>
      </c>
      <c r="N41" s="8"/>
      <c r="O41" s="596"/>
      <c r="P41" s="595"/>
      <c r="Q41" s="348" t="s">
        <v>785</v>
      </c>
      <c r="R41" s="8"/>
      <c r="S41" s="8"/>
      <c r="T41" s="8"/>
      <c r="U41" s="8"/>
      <c r="V41" s="8"/>
      <c r="W41" s="346">
        <v>115.78861999999999</v>
      </c>
      <c r="X41" s="346">
        <v>181.86452</v>
      </c>
      <c r="Y41" s="346">
        <v>117.30757</v>
      </c>
      <c r="Z41" s="596"/>
    </row>
    <row r="42" spans="8:50">
      <c r="H42" s="595"/>
      <c r="I42" s="200" t="s">
        <v>628</v>
      </c>
      <c r="J42" s="200">
        <v>39.6</v>
      </c>
      <c r="K42" s="200" t="s">
        <v>629</v>
      </c>
      <c r="L42" s="8"/>
      <c r="M42" s="200">
        <v>25</v>
      </c>
      <c r="N42" s="200" t="s">
        <v>646</v>
      </c>
      <c r="O42" s="596"/>
      <c r="P42" s="595"/>
      <c r="Q42" s="8"/>
      <c r="R42" s="8"/>
      <c r="S42" s="8"/>
      <c r="T42" s="8"/>
      <c r="U42" s="8"/>
      <c r="V42" s="8"/>
      <c r="W42" s="8"/>
      <c r="X42" s="8"/>
      <c r="Y42" s="8"/>
      <c r="Z42" s="596"/>
      <c r="AG42" s="126" t="s">
        <v>1450</v>
      </c>
      <c r="AI42" s="126">
        <v>200</v>
      </c>
      <c r="AJ42" s="126" t="s">
        <v>1443</v>
      </c>
    </row>
    <row r="43" spans="8:50">
      <c r="H43" s="595"/>
      <c r="I43" s="8"/>
      <c r="J43" s="8"/>
      <c r="K43" s="8"/>
      <c r="L43" s="8"/>
      <c r="M43" s="8"/>
      <c r="N43" s="8"/>
      <c r="O43" s="596"/>
      <c r="P43" s="595"/>
      <c r="Q43" s="342" t="s">
        <v>771</v>
      </c>
      <c r="R43" s="8"/>
      <c r="S43" s="8"/>
      <c r="T43" s="344">
        <v>13.131479432636471</v>
      </c>
      <c r="U43" s="344">
        <v>12.644516944190514</v>
      </c>
      <c r="V43" s="344">
        <v>10.020171912539764</v>
      </c>
      <c r="W43" s="8"/>
      <c r="X43" s="8"/>
      <c r="Y43" s="8"/>
      <c r="Z43" s="596"/>
      <c r="AG43" s="126"/>
      <c r="AJ43" s="126"/>
    </row>
    <row r="44" spans="8:50">
      <c r="H44" s="595"/>
      <c r="I44" s="200" t="s">
        <v>619</v>
      </c>
      <c r="J44" s="8">
        <v>0.25</v>
      </c>
      <c r="K44" s="200" t="s">
        <v>590</v>
      </c>
      <c r="L44" s="8"/>
      <c r="M44" s="8">
        <v>0.25</v>
      </c>
      <c r="N44" s="200" t="s">
        <v>590</v>
      </c>
      <c r="O44" s="596"/>
      <c r="P44" s="595"/>
      <c r="Q44" s="342" t="s">
        <v>772</v>
      </c>
      <c r="R44" s="8"/>
      <c r="S44" s="8"/>
      <c r="T44" s="344">
        <v>2.1108250186728243</v>
      </c>
      <c r="U44" s="344">
        <v>1.5015363871226237</v>
      </c>
      <c r="V44" s="344">
        <v>1.3469729034158238</v>
      </c>
      <c r="W44" s="8"/>
      <c r="X44" s="8"/>
      <c r="Y44" s="8"/>
      <c r="Z44" s="596"/>
      <c r="AG44" s="126"/>
    </row>
    <row r="45" spans="8:50">
      <c r="H45" s="595"/>
      <c r="I45" s="200" t="s">
        <v>589</v>
      </c>
      <c r="J45" s="8">
        <f>J13/J12</f>
        <v>1.1764705882352942</v>
      </c>
      <c r="K45" s="200" t="s">
        <v>590</v>
      </c>
      <c r="L45" s="8"/>
      <c r="M45" s="8">
        <f>M13/M12</f>
        <v>8.3333333333333329E-2</v>
      </c>
      <c r="N45" s="200" t="s">
        <v>590</v>
      </c>
      <c r="O45" s="596"/>
      <c r="P45" s="595"/>
      <c r="Q45" s="348" t="s">
        <v>786</v>
      </c>
      <c r="R45" s="8"/>
      <c r="S45" s="8"/>
      <c r="T45" s="8"/>
      <c r="U45" s="8"/>
      <c r="V45" s="8"/>
      <c r="W45" s="346">
        <v>73.264774000000003</v>
      </c>
      <c r="X45" s="346">
        <v>59.021639999999998</v>
      </c>
      <c r="Y45" s="346">
        <v>49.528579999999998</v>
      </c>
      <c r="Z45" s="596"/>
      <c r="AG45" s="126" t="s">
        <v>1437</v>
      </c>
      <c r="AI45">
        <v>95</v>
      </c>
      <c r="AJ45" s="126" t="s">
        <v>1449</v>
      </c>
    </row>
    <row r="46" spans="8:50">
      <c r="H46" s="595"/>
      <c r="I46" s="200" t="s">
        <v>581</v>
      </c>
      <c r="J46" s="8">
        <f>J9/J45</f>
        <v>0.85448800000000014</v>
      </c>
      <c r="K46" s="200" t="s">
        <v>643</v>
      </c>
      <c r="L46" s="8"/>
      <c r="M46" s="8">
        <f>M9/M45</f>
        <v>22.6188</v>
      </c>
      <c r="N46" s="200" t="s">
        <v>643</v>
      </c>
      <c r="O46" s="596"/>
      <c r="P46" s="595"/>
      <c r="Q46" s="8"/>
      <c r="R46" s="8"/>
      <c r="S46" s="8"/>
      <c r="T46" s="8"/>
      <c r="U46" s="8"/>
      <c r="V46" s="8"/>
      <c r="W46" s="8"/>
      <c r="X46" s="8"/>
      <c r="Y46" s="8"/>
      <c r="Z46" s="596"/>
      <c r="AG46" s="126" t="s">
        <v>1444</v>
      </c>
      <c r="AI46">
        <v>27</v>
      </c>
      <c r="AJ46" s="126" t="s">
        <v>595</v>
      </c>
    </row>
    <row r="47" spans="8:50">
      <c r="H47" s="595"/>
      <c r="I47" s="8"/>
      <c r="J47" s="8"/>
      <c r="K47" s="8"/>
      <c r="L47" s="8"/>
      <c r="M47" s="8"/>
      <c r="N47" s="8"/>
      <c r="O47" s="596"/>
      <c r="P47" s="595"/>
      <c r="Q47" s="342" t="s">
        <v>773</v>
      </c>
      <c r="R47" s="8"/>
      <c r="S47" s="8"/>
      <c r="T47" s="344">
        <v>2.5946541674800638</v>
      </c>
      <c r="U47" s="344">
        <v>4.2438159993939415</v>
      </c>
      <c r="V47" s="344">
        <v>2.4212302513103574</v>
      </c>
      <c r="W47" s="346">
        <v>16.117916000000001</v>
      </c>
      <c r="X47" s="346">
        <v>25.894328999999999</v>
      </c>
      <c r="Y47" s="346">
        <v>14.989069000000001</v>
      </c>
      <c r="Z47" s="596"/>
    </row>
    <row r="48" spans="8:50">
      <c r="H48" s="595"/>
      <c r="I48" s="200" t="s">
        <v>620</v>
      </c>
      <c r="J48" s="8">
        <f>J9*J39*J40/(J45)</f>
        <v>4101.5424000000003</v>
      </c>
      <c r="K48" s="200" t="s">
        <v>621</v>
      </c>
      <c r="L48" s="8"/>
      <c r="M48" s="8">
        <f>M9*M39*M40/(M45)</f>
        <v>162855.36000000002</v>
      </c>
      <c r="N48" s="200" t="s">
        <v>621</v>
      </c>
      <c r="O48" s="596"/>
      <c r="P48" s="595"/>
      <c r="Q48" s="342" t="s">
        <v>774</v>
      </c>
      <c r="R48" s="8"/>
      <c r="S48" s="8"/>
      <c r="T48" s="344">
        <v>6.4411453697185159</v>
      </c>
      <c r="U48" s="344">
        <v>6.6158273715737561</v>
      </c>
      <c r="V48" s="344">
        <v>5.3064524653919385</v>
      </c>
      <c r="W48" s="346">
        <v>41.946167000000003</v>
      </c>
      <c r="X48" s="346">
        <v>43.053989000000001</v>
      </c>
      <c r="Y48" s="346">
        <v>34.507424999999998</v>
      </c>
      <c r="Z48" s="596"/>
      <c r="AG48" s="126" t="s">
        <v>1445</v>
      </c>
      <c r="AI48">
        <f>1000/AI42</f>
        <v>5</v>
      </c>
      <c r="AJ48" s="126" t="s">
        <v>1446</v>
      </c>
    </row>
    <row r="49" spans="8:36">
      <c r="H49" s="595"/>
      <c r="I49" s="200"/>
      <c r="J49" s="8"/>
      <c r="K49" s="200"/>
      <c r="L49" s="8"/>
      <c r="M49" s="8"/>
      <c r="N49" s="200"/>
      <c r="O49" s="596"/>
      <c r="P49" s="595"/>
      <c r="Q49" s="342" t="s">
        <v>775</v>
      </c>
      <c r="R49" s="8"/>
      <c r="S49" s="8"/>
      <c r="T49" s="344">
        <v>6.6176698253676483</v>
      </c>
      <c r="U49" s="344">
        <v>6.7971391194697235</v>
      </c>
      <c r="V49" s="344">
        <v>5.4518798046482546</v>
      </c>
      <c r="W49" s="346">
        <v>175.74466000000001</v>
      </c>
      <c r="X49" s="346">
        <v>181.07024999999999</v>
      </c>
      <c r="Y49" s="346">
        <v>146.29922999999999</v>
      </c>
      <c r="Z49" s="596"/>
      <c r="AG49" s="126" t="s">
        <v>1447</v>
      </c>
      <c r="AI49">
        <f>AI45*AI46/100</f>
        <v>25.65</v>
      </c>
      <c r="AJ49" s="126" t="s">
        <v>1449</v>
      </c>
    </row>
    <row r="50" spans="8:36">
      <c r="H50" s="595"/>
      <c r="I50" s="8"/>
      <c r="J50" s="8"/>
      <c r="K50" s="8"/>
      <c r="L50" s="8"/>
      <c r="M50" s="8"/>
      <c r="N50" s="8"/>
      <c r="O50" s="596"/>
      <c r="P50" s="595"/>
      <c r="Q50" s="342" t="s">
        <v>776</v>
      </c>
      <c r="R50" s="8"/>
      <c r="S50" s="8"/>
      <c r="T50" s="344">
        <v>24.975572993590983</v>
      </c>
      <c r="U50" s="344">
        <v>25.652903318801886</v>
      </c>
      <c r="V50" s="344">
        <v>20.575795651109321</v>
      </c>
      <c r="W50" s="346">
        <v>167.28783999999999</v>
      </c>
      <c r="X50" s="346">
        <v>171.97190000000001</v>
      </c>
      <c r="Y50" s="346">
        <v>137.69962000000001</v>
      </c>
      <c r="Z50" s="596"/>
    </row>
    <row r="51" spans="8:36">
      <c r="H51" s="595"/>
      <c r="I51" s="200" t="s">
        <v>630</v>
      </c>
      <c r="J51" s="8">
        <f>(J9*J10/100*10*J11+J14+J15)*J39*J40</f>
        <v>291298.71359999996</v>
      </c>
      <c r="K51" s="200" t="s">
        <v>631</v>
      </c>
      <c r="L51" s="8"/>
      <c r="M51" s="8">
        <f>(M9*M10/100*10*M11+M14+M15)*M39*M40</f>
        <v>103142.4768</v>
      </c>
      <c r="N51" s="200" t="s">
        <v>631</v>
      </c>
      <c r="O51" s="596"/>
      <c r="P51" s="595"/>
      <c r="Q51" s="342" t="s">
        <v>777</v>
      </c>
      <c r="R51" s="8"/>
      <c r="S51" s="8"/>
      <c r="T51" s="344">
        <v>23.8</v>
      </c>
      <c r="U51" s="344">
        <v>23.8</v>
      </c>
      <c r="V51" s="344">
        <v>23.8</v>
      </c>
      <c r="W51" s="346">
        <v>808.68915000000004</v>
      </c>
      <c r="X51" s="346">
        <v>808.68915000000004</v>
      </c>
      <c r="Y51" s="346">
        <v>808.68915000000004</v>
      </c>
      <c r="Z51" s="596"/>
      <c r="AG51" s="126" t="s">
        <v>1448</v>
      </c>
      <c r="AI51">
        <f>AI49/AI48</f>
        <v>5.13</v>
      </c>
      <c r="AJ51" s="126" t="s">
        <v>1451</v>
      </c>
    </row>
    <row r="52" spans="8:36">
      <c r="H52" s="595"/>
      <c r="I52" s="200" t="s">
        <v>632</v>
      </c>
      <c r="J52" s="8">
        <f>5.8/72</f>
        <v>8.0555555555555547E-2</v>
      </c>
      <c r="K52" s="200" t="s">
        <v>634</v>
      </c>
      <c r="L52" s="8"/>
      <c r="M52" s="8">
        <v>0.05</v>
      </c>
      <c r="N52" s="200" t="s">
        <v>633</v>
      </c>
      <c r="O52" s="596"/>
      <c r="P52" s="595"/>
      <c r="Q52" s="8"/>
      <c r="R52" s="8"/>
      <c r="S52" s="8"/>
      <c r="T52" s="8"/>
      <c r="U52" s="8"/>
      <c r="V52" s="8"/>
      <c r="W52" s="8"/>
      <c r="X52" s="8"/>
      <c r="Y52" s="8"/>
      <c r="Z52" s="596"/>
    </row>
    <row r="53" spans="8:36">
      <c r="H53" s="595"/>
      <c r="I53" s="8"/>
      <c r="J53" s="8"/>
      <c r="K53" s="8"/>
      <c r="L53" s="8"/>
      <c r="M53" s="8"/>
      <c r="N53" s="8"/>
      <c r="O53" s="596"/>
      <c r="P53" s="595"/>
      <c r="Q53" s="345" t="s">
        <v>782</v>
      </c>
      <c r="R53" s="8"/>
      <c r="S53" s="8"/>
      <c r="T53" s="8"/>
      <c r="U53" s="8"/>
      <c r="V53" s="8"/>
      <c r="W53" s="346">
        <v>92.939787999999993</v>
      </c>
      <c r="X53" s="346">
        <v>95.394379999999998</v>
      </c>
      <c r="Y53" s="346">
        <v>76.457825999999997</v>
      </c>
      <c r="Z53" s="596"/>
    </row>
    <row r="54" spans="8:36">
      <c r="H54" s="595"/>
      <c r="I54" s="200" t="s">
        <v>635</v>
      </c>
      <c r="J54" s="200">
        <f>1/J25*J9*1000</f>
        <v>6.0789744209953449</v>
      </c>
      <c r="K54" s="200" t="s">
        <v>636</v>
      </c>
      <c r="L54" s="8"/>
      <c r="M54" s="200">
        <v>10</v>
      </c>
      <c r="N54" s="200" t="s">
        <v>644</v>
      </c>
      <c r="O54" s="596"/>
      <c r="P54" s="595"/>
      <c r="Q54" s="345" t="s">
        <v>783</v>
      </c>
      <c r="R54" s="8"/>
      <c r="S54" s="8"/>
      <c r="T54" s="8"/>
      <c r="U54" s="8"/>
      <c r="V54" s="8"/>
      <c r="W54" s="346">
        <v>10.487363</v>
      </c>
      <c r="X54" s="346">
        <v>10.770312000000001</v>
      </c>
      <c r="Y54" s="346">
        <v>8.6345040999999991</v>
      </c>
      <c r="Z54" s="596"/>
    </row>
    <row r="55" spans="8:36">
      <c r="H55" s="595"/>
      <c r="I55" s="8"/>
      <c r="J55" s="8"/>
      <c r="K55" s="8"/>
      <c r="L55" s="8"/>
      <c r="M55" s="8"/>
      <c r="N55" s="8"/>
      <c r="O55" s="596"/>
      <c r="P55" s="595"/>
      <c r="Q55" s="8"/>
      <c r="R55" s="8"/>
      <c r="S55" s="8"/>
      <c r="T55" s="8"/>
      <c r="U55" s="8"/>
      <c r="V55" s="8"/>
      <c r="W55" s="8"/>
      <c r="X55" s="8"/>
      <c r="Y55" s="8"/>
      <c r="Z55" s="596"/>
    </row>
    <row r="56" spans="8:36">
      <c r="H56" s="595"/>
      <c r="I56" s="200" t="s">
        <v>637</v>
      </c>
      <c r="J56" s="8"/>
      <c r="K56" s="8"/>
      <c r="L56" s="8"/>
      <c r="M56" s="8"/>
      <c r="N56" s="8"/>
      <c r="O56" s="596"/>
      <c r="P56" s="595"/>
      <c r="Q56" s="200" t="s">
        <v>789</v>
      </c>
      <c r="R56" s="8"/>
      <c r="S56" s="8"/>
      <c r="T56" s="619">
        <f>SUM(T31:T48)</f>
        <v>83.291276522709111</v>
      </c>
      <c r="U56" s="619">
        <f t="shared" ref="U56:V56" si="14">SUM(U31:U48)</f>
        <v>85.550111882716081</v>
      </c>
      <c r="V56" s="619">
        <f t="shared" si="14"/>
        <v>68.614145992008901</v>
      </c>
      <c r="W56" s="8"/>
      <c r="X56" s="8"/>
      <c r="Y56" s="8"/>
      <c r="Z56" s="596"/>
    </row>
    <row r="57" spans="8:36">
      <c r="H57" s="595"/>
      <c r="I57" s="200" t="s">
        <v>638</v>
      </c>
      <c r="J57" s="8">
        <f>J48*J25*J54/1000</f>
        <v>4123.1985438720012</v>
      </c>
      <c r="K57" s="200" t="s">
        <v>503</v>
      </c>
      <c r="L57" s="8"/>
      <c r="M57" s="8">
        <f>M48*M25*M54/1000</f>
        <v>11878.819418906642</v>
      </c>
      <c r="N57" s="200" t="s">
        <v>618</v>
      </c>
      <c r="O57" s="596"/>
      <c r="P57" s="595"/>
      <c r="Q57" s="8"/>
      <c r="R57" s="8"/>
      <c r="S57" s="8"/>
      <c r="T57" s="8"/>
      <c r="U57" s="8"/>
      <c r="V57" s="8"/>
      <c r="W57" s="8"/>
      <c r="X57" s="8"/>
      <c r="Y57" s="8"/>
      <c r="Z57" s="596"/>
    </row>
    <row r="58" spans="8:36">
      <c r="H58" s="595"/>
      <c r="I58" s="200" t="s">
        <v>640</v>
      </c>
      <c r="J58" s="8">
        <f>J51*J52</f>
        <v>23465.729706666662</v>
      </c>
      <c r="K58" s="200" t="s">
        <v>503</v>
      </c>
      <c r="L58" s="8"/>
      <c r="M58" s="8">
        <f>M51*M52</f>
        <v>5157.1238400000002</v>
      </c>
      <c r="N58" s="200" t="s">
        <v>618</v>
      </c>
      <c r="O58" s="596"/>
      <c r="P58" s="595"/>
      <c r="Q58" s="8"/>
      <c r="R58" s="8"/>
      <c r="S58" s="8"/>
      <c r="T58" s="8"/>
      <c r="U58" s="8"/>
      <c r="V58" s="8"/>
      <c r="W58" s="8"/>
      <c r="X58" s="8"/>
      <c r="Y58" s="8"/>
      <c r="Z58" s="596"/>
    </row>
    <row r="59" spans="8:36">
      <c r="H59" s="595"/>
      <c r="I59" s="200" t="s">
        <v>628</v>
      </c>
      <c r="J59" s="8">
        <f>J39*J40*J41*J42</f>
        <v>38016</v>
      </c>
      <c r="K59" s="200" t="s">
        <v>503</v>
      </c>
      <c r="L59" s="8"/>
      <c r="M59" s="8">
        <f>M39*M40*M41*M42</f>
        <v>18000</v>
      </c>
      <c r="N59" s="200" t="s">
        <v>618</v>
      </c>
      <c r="O59" s="596"/>
      <c r="P59" s="595"/>
      <c r="Q59" s="8"/>
      <c r="R59" s="8"/>
      <c r="S59" s="8"/>
      <c r="T59" s="8"/>
      <c r="U59" s="8"/>
      <c r="V59" s="8"/>
      <c r="W59" s="8"/>
      <c r="X59" s="8"/>
      <c r="Y59" s="8"/>
      <c r="Z59" s="596"/>
    </row>
    <row r="60" spans="8:36">
      <c r="H60" s="595"/>
      <c r="I60" s="8"/>
      <c r="J60" s="8"/>
      <c r="K60" s="8"/>
      <c r="L60" s="8"/>
      <c r="M60" s="8"/>
      <c r="N60" s="8"/>
      <c r="O60" s="596"/>
      <c r="P60" s="595"/>
      <c r="Q60" s="8"/>
      <c r="R60" s="8"/>
      <c r="S60" s="8"/>
      <c r="T60" s="8"/>
      <c r="U60" s="8"/>
      <c r="V60" s="8"/>
      <c r="W60" s="8"/>
      <c r="X60" s="8"/>
      <c r="Y60" s="8"/>
      <c r="Z60" s="596"/>
    </row>
    <row r="61" spans="8:36">
      <c r="H61" s="595"/>
      <c r="I61" s="200" t="s">
        <v>641</v>
      </c>
      <c r="J61" s="8"/>
      <c r="K61" s="8"/>
      <c r="L61" s="8"/>
      <c r="M61" s="8"/>
      <c r="N61" s="8"/>
      <c r="O61" s="596"/>
      <c r="P61" s="595"/>
      <c r="Q61" s="8"/>
      <c r="R61" s="8"/>
      <c r="S61" s="8"/>
      <c r="T61" s="8"/>
      <c r="U61" s="8"/>
      <c r="V61" s="8"/>
      <c r="W61" s="343" t="s">
        <v>779</v>
      </c>
      <c r="X61" s="343" t="s">
        <v>780</v>
      </c>
      <c r="Y61" s="343" t="s">
        <v>781</v>
      </c>
      <c r="Z61" s="596"/>
    </row>
    <row r="62" spans="8:36">
      <c r="H62" s="595"/>
      <c r="I62" s="200" t="s">
        <v>610</v>
      </c>
      <c r="J62" s="8">
        <f>J33*J36/100</f>
        <v>1720</v>
      </c>
      <c r="K62" s="200" t="s">
        <v>503</v>
      </c>
      <c r="L62" s="8"/>
      <c r="M62" s="8">
        <f>M33*M36/100</f>
        <v>2293.6941176470591</v>
      </c>
      <c r="N62" s="200" t="s">
        <v>618</v>
      </c>
      <c r="O62" s="596"/>
      <c r="P62" s="595"/>
      <c r="Q62" s="8"/>
      <c r="R62" s="8"/>
      <c r="S62" s="8"/>
      <c r="T62" s="200" t="s">
        <v>1429</v>
      </c>
      <c r="U62" s="8"/>
      <c r="V62" s="8"/>
      <c r="W62" s="8">
        <f>W31/T31</f>
        <v>7.8838563519267604</v>
      </c>
      <c r="X62" s="8">
        <f>X31/U31</f>
        <v>12.671035510474065</v>
      </c>
      <c r="Y62" s="8">
        <f>Y31/V31</f>
        <v>10.463923710445483</v>
      </c>
      <c r="Z62" s="615" t="s">
        <v>893</v>
      </c>
      <c r="AA62" s="126"/>
    </row>
    <row r="63" spans="8:36">
      <c r="H63" s="595"/>
      <c r="I63" s="200" t="s">
        <v>614</v>
      </c>
      <c r="J63" s="8">
        <f>J33/J37</f>
        <v>5733.333333333333</v>
      </c>
      <c r="K63" s="200" t="s">
        <v>503</v>
      </c>
      <c r="L63" s="8"/>
      <c r="M63" s="8">
        <f>M33/M37</f>
        <v>7645.6470588235297</v>
      </c>
      <c r="N63" s="200" t="s">
        <v>618</v>
      </c>
      <c r="O63" s="596"/>
      <c r="P63" s="595"/>
      <c r="Q63" s="8"/>
      <c r="R63" s="8"/>
      <c r="S63" s="8"/>
      <c r="T63" s="8"/>
      <c r="U63" s="8"/>
      <c r="V63" s="8"/>
      <c r="W63" s="8"/>
      <c r="X63" s="8"/>
      <c r="Y63" s="8"/>
      <c r="Z63" s="596"/>
    </row>
    <row r="64" spans="8:36">
      <c r="H64" s="595"/>
      <c r="I64" s="8"/>
      <c r="J64" s="8"/>
      <c r="K64" s="8"/>
      <c r="L64" s="8"/>
      <c r="M64" s="8"/>
      <c r="N64" s="8"/>
      <c r="O64" s="596"/>
      <c r="P64" s="595"/>
      <c r="Q64" s="8"/>
      <c r="R64" s="8"/>
      <c r="S64" s="8"/>
      <c r="T64" s="200" t="s">
        <v>1427</v>
      </c>
      <c r="U64" s="8"/>
      <c r="V64" s="8"/>
      <c r="W64" s="8">
        <f>W62/$Y62</f>
        <v>0.75343213216059646</v>
      </c>
      <c r="X64" s="8">
        <f>X62/$Y62</f>
        <v>1.2109258306064827</v>
      </c>
      <c r="Y64" s="8">
        <f>Y62/$Y62</f>
        <v>1</v>
      </c>
      <c r="Z64" s="596"/>
    </row>
    <row r="65" spans="8:27">
      <c r="H65" s="595"/>
      <c r="I65" s="200" t="s">
        <v>642</v>
      </c>
      <c r="J65" s="8">
        <f>SUM(J57:J63)</f>
        <v>73058.261583871994</v>
      </c>
      <c r="K65" s="200" t="s">
        <v>503</v>
      </c>
      <c r="L65" s="8"/>
      <c r="M65" s="8">
        <f>SUM(M57:M63)</f>
        <v>44975.284435377231</v>
      </c>
      <c r="N65" s="200" t="s">
        <v>618</v>
      </c>
      <c r="O65" s="596"/>
      <c r="P65" s="595"/>
      <c r="Q65" s="8"/>
      <c r="R65" s="8"/>
      <c r="S65" s="8"/>
      <c r="T65" s="8"/>
      <c r="U65" s="8"/>
      <c r="V65" s="8"/>
      <c r="W65" s="8"/>
      <c r="X65" s="8"/>
      <c r="Y65" s="8"/>
      <c r="Z65" s="596"/>
    </row>
    <row r="66" spans="8:27">
      <c r="H66" s="595"/>
      <c r="I66" s="200"/>
      <c r="J66" s="8"/>
      <c r="K66" s="8"/>
      <c r="L66" s="8"/>
      <c r="M66" s="8"/>
      <c r="N66" s="8"/>
      <c r="O66" s="596"/>
      <c r="P66" s="595"/>
      <c r="Q66" s="8"/>
      <c r="R66" s="8"/>
      <c r="S66" s="8"/>
      <c r="T66" s="8"/>
      <c r="U66" s="8"/>
      <c r="V66" s="8"/>
      <c r="W66" s="8"/>
      <c r="X66" s="8"/>
      <c r="Y66" s="8"/>
      <c r="Z66" s="596"/>
    </row>
    <row r="67" spans="8:27">
      <c r="H67" s="595"/>
      <c r="I67" s="200" t="s">
        <v>299</v>
      </c>
      <c r="J67" s="8">
        <f>J65/J48</f>
        <v>17.812387257991528</v>
      </c>
      <c r="K67" s="200" t="s">
        <v>516</v>
      </c>
      <c r="L67" s="8"/>
      <c r="M67" s="614">
        <f>M65/M48</f>
        <v>0.2761670505372204</v>
      </c>
      <c r="N67" s="614" t="s">
        <v>645</v>
      </c>
      <c r="O67" s="596"/>
      <c r="P67" s="595"/>
      <c r="Q67" s="8"/>
      <c r="R67" s="8"/>
      <c r="S67" s="8"/>
      <c r="T67" s="8"/>
      <c r="U67" s="8"/>
      <c r="V67" s="8"/>
      <c r="W67" s="200" t="s">
        <v>725</v>
      </c>
      <c r="X67" s="200" t="s">
        <v>827</v>
      </c>
      <c r="Y67" s="200" t="s">
        <v>724</v>
      </c>
      <c r="Z67" s="596"/>
    </row>
    <row r="68" spans="8:27">
      <c r="H68" s="595"/>
      <c r="I68" s="8"/>
      <c r="J68" s="8"/>
      <c r="K68" s="8"/>
      <c r="L68" s="8"/>
      <c r="M68" s="8"/>
      <c r="N68" s="8"/>
      <c r="O68" s="596"/>
      <c r="P68" s="595"/>
      <c r="Q68" s="8"/>
      <c r="R68" s="8"/>
      <c r="S68" s="8"/>
      <c r="T68" s="200" t="s">
        <v>1428</v>
      </c>
      <c r="U68" s="8"/>
      <c r="V68" s="8"/>
      <c r="W68" s="614">
        <f>W64*$Y68</f>
        <v>11.150795555976828</v>
      </c>
      <c r="X68" s="8">
        <f>X64*$Y68</f>
        <v>17.921702292975944</v>
      </c>
      <c r="Y68" s="614">
        <v>14.8</v>
      </c>
      <c r="Z68" s="641" t="s">
        <v>893</v>
      </c>
      <c r="AA68" s="126"/>
    </row>
    <row r="69" spans="8:27">
      <c r="H69" s="595"/>
      <c r="I69" s="8"/>
      <c r="J69" s="8"/>
      <c r="K69" s="8"/>
      <c r="L69" s="8"/>
      <c r="M69" s="8"/>
      <c r="N69" s="8"/>
      <c r="O69" s="596"/>
      <c r="P69" s="608"/>
      <c r="Q69" s="609"/>
      <c r="R69" s="609"/>
      <c r="S69" s="609"/>
      <c r="T69" s="609"/>
      <c r="U69" s="609"/>
      <c r="V69" s="609"/>
      <c r="W69" s="609"/>
      <c r="X69" s="609"/>
      <c r="Y69" s="609"/>
      <c r="Z69" s="610"/>
    </row>
    <row r="70" spans="8:27">
      <c r="H70" s="595"/>
      <c r="I70" s="200" t="s">
        <v>861</v>
      </c>
      <c r="J70" s="8"/>
      <c r="K70" s="8"/>
      <c r="L70" s="8"/>
      <c r="M70" s="8"/>
      <c r="N70" s="8"/>
      <c r="O70" s="596"/>
    </row>
    <row r="71" spans="8:27">
      <c r="H71" s="595"/>
      <c r="I71" s="200" t="s">
        <v>859</v>
      </c>
      <c r="J71" s="8">
        <v>3.0000000000000001E-3</v>
      </c>
      <c r="K71" s="200" t="s">
        <v>863</v>
      </c>
      <c r="L71" s="8"/>
      <c r="M71" s="8"/>
      <c r="N71" s="8"/>
      <c r="O71" s="596"/>
    </row>
    <row r="72" spans="8:27">
      <c r="H72" s="595"/>
      <c r="I72" s="8"/>
      <c r="J72" s="614">
        <f>1000000*J71/J25</f>
        <v>18.14113805406059</v>
      </c>
      <c r="K72" s="614" t="s">
        <v>862</v>
      </c>
      <c r="L72" s="200" t="s">
        <v>864</v>
      </c>
      <c r="M72" s="8"/>
      <c r="N72" s="8"/>
      <c r="O72" s="596"/>
      <c r="T72" s="88"/>
      <c r="U72" s="88"/>
      <c r="V72" s="88"/>
    </row>
    <row r="73" spans="8:27">
      <c r="H73" s="608"/>
      <c r="I73" s="609"/>
      <c r="J73" s="609"/>
      <c r="K73" s="609"/>
      <c r="L73" s="609"/>
      <c r="M73" s="609"/>
      <c r="N73" s="609"/>
      <c r="O73" s="610"/>
    </row>
    <row r="74" spans="8:27">
      <c r="I74" s="126"/>
      <c r="K74" s="126"/>
    </row>
    <row r="75" spans="8:27">
      <c r="I75" s="126"/>
    </row>
    <row r="78" spans="8:27">
      <c r="T78" s="88"/>
      <c r="U78" s="88"/>
      <c r="V78" s="88"/>
    </row>
  </sheetData>
  <pageMargins left="0.7" right="0.7" top="0.75" bottom="0.75" header="0.3" footer="0.3"/>
  <ignoredErrors>
    <ignoredError sqref="T56:V56" formulaRange="1"/>
    <ignoredError sqref="W25 W1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F25EF-CC63-6C4A-BE4C-60D61A05C095}">
  <dimension ref="A1:P57"/>
  <sheetViews>
    <sheetView zoomScale="65" zoomScaleNormal="65" workbookViewId="0">
      <selection activeCell="J43" sqref="J43:K43"/>
    </sheetView>
  </sheetViews>
  <sheetFormatPr baseColWidth="10" defaultRowHeight="15"/>
  <cols>
    <col min="1" max="1" width="43.5" style="8" bestFit="1" customWidth="1"/>
    <col min="2" max="2" width="16.83203125" style="8" customWidth="1"/>
    <col min="3" max="3" width="15.83203125" style="8" bestFit="1" customWidth="1"/>
    <col min="4" max="5" width="11.6640625" style="8" bestFit="1" customWidth="1"/>
    <col min="6" max="6" width="13.6640625" style="8" bestFit="1" customWidth="1"/>
    <col min="7" max="7" width="11.6640625" style="8" bestFit="1" customWidth="1"/>
    <col min="8" max="8" width="11" style="8" bestFit="1" customWidth="1"/>
    <col min="9" max="9" width="11.6640625" style="8" bestFit="1" customWidth="1"/>
    <col min="10" max="10" width="13.6640625" style="8" bestFit="1" customWidth="1"/>
    <col min="11" max="16384" width="10.83203125" style="8"/>
  </cols>
  <sheetData>
    <row r="1" spans="1:16" ht="17" customHeight="1">
      <c r="A1" s="936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903"/>
    </row>
    <row r="2" spans="1:16" ht="15" customHeight="1">
      <c r="A2" s="797" t="s">
        <v>949</v>
      </c>
      <c r="B2" s="466" t="s">
        <v>718</v>
      </c>
      <c r="C2" s="466" t="s">
        <v>715</v>
      </c>
      <c r="D2" s="466" t="s">
        <v>716</v>
      </c>
      <c r="E2" s="466" t="s">
        <v>717</v>
      </c>
      <c r="F2" s="466" t="s">
        <v>719</v>
      </c>
      <c r="G2" s="466" t="s">
        <v>712</v>
      </c>
      <c r="H2" s="466" t="s">
        <v>713</v>
      </c>
      <c r="I2" s="466" t="s">
        <v>714</v>
      </c>
      <c r="J2" s="466" t="s">
        <v>703</v>
      </c>
      <c r="K2" s="466" t="s">
        <v>940</v>
      </c>
      <c r="L2" s="466" t="s">
        <v>705</v>
      </c>
      <c r="M2" s="466" t="s">
        <v>36</v>
      </c>
      <c r="N2" s="466" t="s">
        <v>704</v>
      </c>
      <c r="O2" s="357" t="s">
        <v>24</v>
      </c>
      <c r="P2" s="466"/>
    </row>
    <row r="3" spans="1:16" ht="20" customHeight="1">
      <c r="A3" s="937"/>
      <c r="B3" s="466"/>
      <c r="C3" s="466" t="s">
        <v>73</v>
      </c>
      <c r="D3" s="466" t="s">
        <v>51</v>
      </c>
      <c r="E3" s="466" t="s">
        <v>720</v>
      </c>
      <c r="F3" s="466"/>
      <c r="G3" s="466" t="s">
        <v>73</v>
      </c>
      <c r="H3" s="466" t="s">
        <v>51</v>
      </c>
      <c r="I3" s="466" t="s">
        <v>720</v>
      </c>
      <c r="J3" s="466" t="s">
        <v>79</v>
      </c>
      <c r="K3" s="466" t="s">
        <v>259</v>
      </c>
      <c r="L3" s="466" t="s">
        <v>73</v>
      </c>
      <c r="M3" s="466" t="s">
        <v>721</v>
      </c>
      <c r="N3" s="466" t="s">
        <v>720</v>
      </c>
      <c r="O3" s="357" t="s">
        <v>722</v>
      </c>
      <c r="P3" s="487"/>
    </row>
    <row r="4" spans="1:16" ht="16">
      <c r="A4" s="313" t="s">
        <v>728</v>
      </c>
      <c r="B4" s="931" t="s">
        <v>727</v>
      </c>
      <c r="C4" s="919">
        <f>3*G14/(4*(G15*I15+I16)/(G15-1))</f>
        <v>48.67009685230024</v>
      </c>
      <c r="D4" s="920">
        <v>1.2</v>
      </c>
      <c r="E4" s="921">
        <f>C4*D4</f>
        <v>58.404116222760287</v>
      </c>
      <c r="F4" s="932" t="s">
        <v>3</v>
      </c>
      <c r="G4" s="921">
        <v>135</v>
      </c>
      <c r="H4" s="933">
        <v>2.2000000000000002</v>
      </c>
      <c r="I4" s="921">
        <f t="shared" ref="I4:I6" si="0">G4*H4</f>
        <v>297</v>
      </c>
      <c r="J4" s="927">
        <v>2</v>
      </c>
      <c r="K4" s="921">
        <v>90</v>
      </c>
      <c r="L4" s="919">
        <f t="shared" ref="L4:L6" si="1">C4*G4/(C4+G4)</f>
        <v>35.7731780385798</v>
      </c>
      <c r="M4" s="919">
        <f t="shared" ref="M4:M6" si="2">J4*L4</f>
        <v>71.546356077159601</v>
      </c>
      <c r="N4" s="919">
        <f t="shared" ref="N4:N6" si="3">E4*I4/(E4+I4)</f>
        <v>48.806476139087984</v>
      </c>
      <c r="O4" s="928">
        <f t="shared" ref="O4:O6" si="4">J4*N4</f>
        <v>97.612952278175968</v>
      </c>
      <c r="P4" s="191"/>
    </row>
    <row r="5" spans="1:16" ht="16">
      <c r="A5" s="313" t="s">
        <v>1395</v>
      </c>
      <c r="B5" s="727" t="s">
        <v>726</v>
      </c>
      <c r="C5" s="328">
        <f>6*G14/((G15*I15+I16)/(G15-1)+2*I14)</f>
        <v>344.33832976445399</v>
      </c>
      <c r="D5" s="325">
        <v>1.2</v>
      </c>
      <c r="E5" s="312">
        <f>C5*D5</f>
        <v>413.20599571734476</v>
      </c>
      <c r="F5" s="317" t="s">
        <v>414</v>
      </c>
      <c r="G5" s="312">
        <v>170</v>
      </c>
      <c r="H5" s="326">
        <v>1.6</v>
      </c>
      <c r="I5" s="312">
        <f t="shared" si="0"/>
        <v>272</v>
      </c>
      <c r="J5" s="318">
        <v>1.4</v>
      </c>
      <c r="K5" s="312">
        <v>90</v>
      </c>
      <c r="L5" s="328">
        <f t="shared" si="1"/>
        <v>113.81130410165032</v>
      </c>
      <c r="M5" s="328">
        <f t="shared" si="2"/>
        <v>159.33582574231045</v>
      </c>
      <c r="N5" s="328">
        <f t="shared" si="3"/>
        <v>164.02663073234515</v>
      </c>
      <c r="O5" s="904">
        <f t="shared" si="4"/>
        <v>229.63728302528321</v>
      </c>
      <c r="P5" s="191"/>
    </row>
    <row r="6" spans="1:16" ht="16">
      <c r="A6" s="313" t="s">
        <v>688</v>
      </c>
      <c r="B6" s="929" t="str">
        <f>B5</f>
        <v>Anolyte (AlCl2+)</v>
      </c>
      <c r="C6" s="312">
        <f t="shared" ref="C6:E6" si="5">C5</f>
        <v>344.33832976445399</v>
      </c>
      <c r="D6" s="326">
        <f t="shared" si="5"/>
        <v>1.2</v>
      </c>
      <c r="E6" s="312">
        <f t="shared" si="5"/>
        <v>413.20599571734476</v>
      </c>
      <c r="F6" s="317" t="s">
        <v>151</v>
      </c>
      <c r="G6" s="312">
        <v>300</v>
      </c>
      <c r="H6" s="326">
        <v>1.6</v>
      </c>
      <c r="I6" s="312">
        <f t="shared" si="0"/>
        <v>480</v>
      </c>
      <c r="J6" s="318">
        <v>1.6</v>
      </c>
      <c r="K6" s="312">
        <v>90</v>
      </c>
      <c r="L6" s="328">
        <f t="shared" si="1"/>
        <v>160.32182807920083</v>
      </c>
      <c r="M6" s="328">
        <f t="shared" si="2"/>
        <v>256.51492492672133</v>
      </c>
      <c r="N6" s="328">
        <f t="shared" si="3"/>
        <v>222.0527838990121</v>
      </c>
      <c r="O6" s="904">
        <f t="shared" si="4"/>
        <v>355.28445423841936</v>
      </c>
      <c r="P6" s="191"/>
    </row>
    <row r="7" spans="1:16" ht="16">
      <c r="A7" s="313" t="s">
        <v>1394</v>
      </c>
      <c r="B7" s="934" t="s">
        <v>145</v>
      </c>
      <c r="C7" s="312">
        <v>2981</v>
      </c>
      <c r="D7" s="326">
        <v>2.7</v>
      </c>
      <c r="E7" s="312">
        <f>C7*D7</f>
        <v>8048.7000000000007</v>
      </c>
      <c r="F7" s="363" t="s">
        <v>985</v>
      </c>
      <c r="G7" s="317">
        <v>110</v>
      </c>
      <c r="H7" s="329">
        <v>4.2300000000000004</v>
      </c>
      <c r="I7" s="312">
        <f t="shared" ref="I7:I12" si="6">G7*H7</f>
        <v>465.30000000000007</v>
      </c>
      <c r="J7" s="318">
        <v>0.64</v>
      </c>
      <c r="K7" s="312">
        <v>40</v>
      </c>
      <c r="L7" s="328">
        <f t="shared" ref="L7:L12" si="7">C7*G7/(C7+G7)</f>
        <v>106.08540925266904</v>
      </c>
      <c r="M7" s="328">
        <f t="shared" ref="M7:M12" si="8">J7*L7</f>
        <v>67.894661921708192</v>
      </c>
      <c r="N7" s="328">
        <f t="shared" ref="N7:N12" si="9">E7*I7/(E7+I7)</f>
        <v>439.87081395348849</v>
      </c>
      <c r="O7" s="904">
        <f t="shared" ref="O7:O12" si="10">J7*N7</f>
        <v>281.51732093023264</v>
      </c>
    </row>
    <row r="8" spans="1:16" ht="16">
      <c r="A8" s="313" t="s">
        <v>1393</v>
      </c>
      <c r="B8" s="934" t="s">
        <v>145</v>
      </c>
      <c r="C8" s="312">
        <v>2981</v>
      </c>
      <c r="D8" s="326">
        <v>2.7</v>
      </c>
      <c r="E8" s="312">
        <f>C8*D8</f>
        <v>8048.7000000000007</v>
      </c>
      <c r="F8" s="359" t="s">
        <v>969</v>
      </c>
      <c r="G8" s="317">
        <v>125</v>
      </c>
      <c r="H8" s="329">
        <v>3.9</v>
      </c>
      <c r="I8" s="312">
        <f t="shared" si="6"/>
        <v>487.5</v>
      </c>
      <c r="J8" s="318">
        <v>0.95</v>
      </c>
      <c r="K8" s="312">
        <v>65</v>
      </c>
      <c r="L8" s="328">
        <f t="shared" si="7"/>
        <v>119.96941403734706</v>
      </c>
      <c r="M8" s="328">
        <f t="shared" si="8"/>
        <v>113.9709433354797</v>
      </c>
      <c r="N8" s="328">
        <f t="shared" si="9"/>
        <v>459.65901103535532</v>
      </c>
      <c r="O8" s="904">
        <f t="shared" si="10"/>
        <v>436.67606048358755</v>
      </c>
    </row>
    <row r="9" spans="1:16" ht="16">
      <c r="A9" s="766" t="s">
        <v>1392</v>
      </c>
      <c r="B9" s="934" t="s">
        <v>145</v>
      </c>
      <c r="C9" s="312">
        <v>2981</v>
      </c>
      <c r="D9" s="326">
        <v>2.7</v>
      </c>
      <c r="E9" s="312">
        <f>C9*D9</f>
        <v>8048.7000000000007</v>
      </c>
      <c r="F9" s="317" t="s">
        <v>723</v>
      </c>
      <c r="G9" s="317">
        <v>285</v>
      </c>
      <c r="H9" s="329">
        <v>5.01</v>
      </c>
      <c r="I9" s="312">
        <f t="shared" si="6"/>
        <v>1427.85</v>
      </c>
      <c r="J9" s="318">
        <v>1.3</v>
      </c>
      <c r="K9" s="312">
        <v>70</v>
      </c>
      <c r="L9" s="328">
        <f t="shared" si="7"/>
        <v>260.13012859767298</v>
      </c>
      <c r="M9" s="328">
        <f t="shared" si="8"/>
        <v>338.1691671769749</v>
      </c>
      <c r="N9" s="328">
        <f t="shared" si="9"/>
        <v>1212.7130965382971</v>
      </c>
      <c r="O9" s="904">
        <f t="shared" si="10"/>
        <v>1576.5270254997863</v>
      </c>
      <c r="P9" s="191"/>
    </row>
    <row r="10" spans="1:16" ht="16">
      <c r="A10" s="314" t="s">
        <v>687</v>
      </c>
      <c r="B10" s="934" t="s">
        <v>3</v>
      </c>
      <c r="C10" s="312">
        <v>372</v>
      </c>
      <c r="D10" s="326">
        <v>2.2000000000000002</v>
      </c>
      <c r="E10" s="312">
        <f>C10*D10</f>
        <v>818.40000000000009</v>
      </c>
      <c r="F10" s="320" t="s">
        <v>724</v>
      </c>
      <c r="G10" s="312">
        <v>210</v>
      </c>
      <c r="H10" s="326">
        <v>4.6500000000000004</v>
      </c>
      <c r="I10" s="312">
        <f t="shared" si="6"/>
        <v>976.50000000000011</v>
      </c>
      <c r="J10" s="318">
        <v>3.65</v>
      </c>
      <c r="K10" s="312">
        <v>94</v>
      </c>
      <c r="L10" s="328">
        <f t="shared" si="7"/>
        <v>134.22680412371133</v>
      </c>
      <c r="M10" s="328">
        <f t="shared" si="8"/>
        <v>489.92783505154637</v>
      </c>
      <c r="N10" s="328">
        <f t="shared" si="9"/>
        <v>445.24352331606229</v>
      </c>
      <c r="O10" s="904">
        <f t="shared" si="10"/>
        <v>1625.1388601036274</v>
      </c>
      <c r="P10" s="191"/>
    </row>
    <row r="11" spans="1:16" ht="16">
      <c r="A11" s="331" t="s">
        <v>489</v>
      </c>
      <c r="B11" s="929" t="str">
        <f>B10</f>
        <v>Graphite</v>
      </c>
      <c r="C11" s="312">
        <v>360</v>
      </c>
      <c r="D11" s="326">
        <f t="shared" ref="D11" si="11">D10</f>
        <v>2.2000000000000002</v>
      </c>
      <c r="E11" s="312">
        <f>C11*D11</f>
        <v>792.00000000000011</v>
      </c>
      <c r="F11" s="321" t="s">
        <v>725</v>
      </c>
      <c r="G11" s="312">
        <v>160</v>
      </c>
      <c r="H11" s="326">
        <v>3.65</v>
      </c>
      <c r="I11" s="312">
        <f t="shared" si="6"/>
        <v>584</v>
      </c>
      <c r="J11" s="318">
        <v>3.3</v>
      </c>
      <c r="K11" s="312">
        <v>96</v>
      </c>
      <c r="L11" s="328">
        <f t="shared" si="7"/>
        <v>110.76923076923077</v>
      </c>
      <c r="M11" s="328">
        <f t="shared" si="8"/>
        <v>365.53846153846155</v>
      </c>
      <c r="N11" s="328">
        <f t="shared" si="9"/>
        <v>336.13953488372096</v>
      </c>
      <c r="O11" s="904">
        <f t="shared" si="10"/>
        <v>1109.2604651162792</v>
      </c>
      <c r="P11" s="191"/>
    </row>
    <row r="12" spans="1:16" ht="17" thickBot="1">
      <c r="A12" s="315" t="s">
        <v>378</v>
      </c>
      <c r="B12" s="935" t="s">
        <v>994</v>
      </c>
      <c r="C12" s="322">
        <f>E12/D12</f>
        <v>76.574285714285722</v>
      </c>
      <c r="D12" s="327">
        <v>1.4</v>
      </c>
      <c r="E12" s="322">
        <f>G14*M16</f>
        <v>107.20400000000001</v>
      </c>
      <c r="F12" s="323" t="s">
        <v>3</v>
      </c>
      <c r="G12" s="322">
        <v>140</v>
      </c>
      <c r="H12" s="327">
        <v>2.2000000000000002</v>
      </c>
      <c r="I12" s="322">
        <f t="shared" si="6"/>
        <v>308</v>
      </c>
      <c r="J12" s="324">
        <v>4.5</v>
      </c>
      <c r="K12" s="322">
        <v>96</v>
      </c>
      <c r="L12" s="330">
        <f t="shared" si="7"/>
        <v>49.499874671838107</v>
      </c>
      <c r="M12" s="330">
        <f t="shared" si="8"/>
        <v>222.74943602327147</v>
      </c>
      <c r="N12" s="330">
        <f t="shared" si="9"/>
        <v>79.524359110220516</v>
      </c>
      <c r="O12" s="905">
        <f t="shared" si="10"/>
        <v>357.85961599599233</v>
      </c>
      <c r="P12" s="191"/>
    </row>
    <row r="13" spans="1:16" ht="16">
      <c r="E13" s="38"/>
      <c r="F13" s="99"/>
      <c r="G13" s="298"/>
      <c r="J13" s="10"/>
      <c r="N13" s="10"/>
    </row>
    <row r="14" spans="1:16" ht="16">
      <c r="A14" s="191" t="s">
        <v>706</v>
      </c>
      <c r="B14" s="191"/>
      <c r="C14" s="191"/>
      <c r="D14" s="191"/>
      <c r="E14" s="731"/>
      <c r="F14" s="191" t="s">
        <v>677</v>
      </c>
      <c r="G14" s="191">
        <v>26801</v>
      </c>
      <c r="H14" s="191" t="s">
        <v>709</v>
      </c>
      <c r="I14" s="191">
        <v>27</v>
      </c>
      <c r="J14" s="191"/>
      <c r="K14" s="552" t="s">
        <v>154</v>
      </c>
      <c r="L14" s="552"/>
      <c r="M14" s="328">
        <v>192</v>
      </c>
      <c r="N14" s="10"/>
    </row>
    <row r="15" spans="1:16" ht="16">
      <c r="A15" s="865" t="s">
        <v>415</v>
      </c>
      <c r="B15" s="735">
        <v>170</v>
      </c>
      <c r="C15" s="731">
        <v>1.6</v>
      </c>
      <c r="D15" s="735">
        <v>170</v>
      </c>
      <c r="E15" s="731"/>
      <c r="F15" s="191" t="s">
        <v>708</v>
      </c>
      <c r="G15" s="191">
        <v>2</v>
      </c>
      <c r="H15" s="191" t="s">
        <v>710</v>
      </c>
      <c r="I15" s="191">
        <v>133</v>
      </c>
      <c r="J15" s="191"/>
      <c r="K15" s="486" t="s">
        <v>155</v>
      </c>
      <c r="L15" s="486"/>
      <c r="M15" s="328">
        <v>152</v>
      </c>
      <c r="N15" s="10"/>
    </row>
    <row r="16" spans="1:16" ht="16">
      <c r="A16" s="191" t="s">
        <v>707</v>
      </c>
      <c r="B16" s="191">
        <f>6*G14/(4*(G15*I15+I16)/(G15-1)+2*I14)</f>
        <v>94.259085580304813</v>
      </c>
      <c r="C16" s="191">
        <v>1.2</v>
      </c>
      <c r="D16" s="735">
        <f>B16*C16</f>
        <v>113.11090269636577</v>
      </c>
      <c r="E16" s="731"/>
      <c r="F16" s="191"/>
      <c r="G16" s="191"/>
      <c r="H16" s="191" t="s">
        <v>711</v>
      </c>
      <c r="I16" s="191">
        <v>147</v>
      </c>
      <c r="J16" s="191"/>
      <c r="K16" s="486" t="s">
        <v>951</v>
      </c>
      <c r="L16" s="486"/>
      <c r="M16" s="872">
        <v>4.0000000000000001E-3</v>
      </c>
      <c r="N16" s="10"/>
    </row>
    <row r="17" spans="1:13" ht="17" thickBot="1">
      <c r="E17" s="38"/>
      <c r="F17" s="10"/>
      <c r="G17" s="10"/>
    </row>
    <row r="18" spans="1:13" ht="16" customHeight="1">
      <c r="A18" s="936"/>
      <c r="B18" s="198" t="s">
        <v>270</v>
      </c>
      <c r="C18" s="198"/>
      <c r="D18" s="198" t="s">
        <v>996</v>
      </c>
      <c r="E18" s="198"/>
      <c r="F18" s="198" t="s">
        <v>22</v>
      </c>
      <c r="G18" s="198"/>
      <c r="H18" s="906" t="s">
        <v>949</v>
      </c>
      <c r="I18" s="198"/>
      <c r="J18" s="465"/>
      <c r="K18" s="465" t="s">
        <v>997</v>
      </c>
      <c r="L18" s="356"/>
      <c r="M18" s="466"/>
    </row>
    <row r="19" spans="1:13" ht="17" customHeight="1">
      <c r="A19" s="797" t="s">
        <v>949</v>
      </c>
      <c r="B19" s="466" t="s">
        <v>715</v>
      </c>
      <c r="C19" s="466" t="s">
        <v>717</v>
      </c>
      <c r="D19" s="466" t="s">
        <v>715</v>
      </c>
      <c r="E19" s="466" t="s">
        <v>717</v>
      </c>
      <c r="F19" s="466" t="s">
        <v>712</v>
      </c>
      <c r="G19" s="466" t="s">
        <v>714</v>
      </c>
      <c r="H19" s="466" t="s">
        <v>703</v>
      </c>
      <c r="I19" s="466" t="s">
        <v>36</v>
      </c>
      <c r="J19" s="466" t="s">
        <v>24</v>
      </c>
      <c r="K19" s="466" t="s">
        <v>705</v>
      </c>
      <c r="L19" s="357" t="s">
        <v>24</v>
      </c>
      <c r="M19" s="466"/>
    </row>
    <row r="20" spans="1:13" ht="20">
      <c r="A20" s="937"/>
      <c r="B20" s="466" t="s">
        <v>73</v>
      </c>
      <c r="C20" s="466" t="s">
        <v>720</v>
      </c>
      <c r="D20" s="466" t="s">
        <v>73</v>
      </c>
      <c r="E20" s="466" t="s">
        <v>720</v>
      </c>
      <c r="F20" s="466" t="s">
        <v>73</v>
      </c>
      <c r="G20" s="466" t="s">
        <v>720</v>
      </c>
      <c r="H20" s="466" t="s">
        <v>79</v>
      </c>
      <c r="I20" s="466" t="s">
        <v>721</v>
      </c>
      <c r="J20" s="466" t="s">
        <v>722</v>
      </c>
      <c r="K20" s="466" t="s">
        <v>73</v>
      </c>
      <c r="L20" s="357" t="s">
        <v>722</v>
      </c>
      <c r="M20" s="487"/>
    </row>
    <row r="21" spans="1:13" ht="16">
      <c r="A21" s="313" t="s">
        <v>728</v>
      </c>
      <c r="B21" s="918">
        <v>2981</v>
      </c>
      <c r="C21" s="921">
        <f>E7</f>
        <v>8048.7000000000007</v>
      </c>
      <c r="D21" s="919">
        <f>C4</f>
        <v>48.67009685230024</v>
      </c>
      <c r="E21" s="921">
        <f>E4</f>
        <v>58.404116222760287</v>
      </c>
      <c r="F21" s="921">
        <v>135</v>
      </c>
      <c r="G21" s="921">
        <f>I4</f>
        <v>297</v>
      </c>
      <c r="H21" s="927">
        <v>2</v>
      </c>
      <c r="I21" s="919">
        <f>B21*F21*H21/(B21+F21)</f>
        <v>258.30231065468547</v>
      </c>
      <c r="J21" s="919">
        <f>C21*G21*H21/(C21+G21)</f>
        <v>572.86120996441286</v>
      </c>
      <c r="K21" s="919">
        <f>D21*F21*H21/(D21+F21)</f>
        <v>71.546356077159601</v>
      </c>
      <c r="L21" s="928">
        <f>E21*G21*H21/(E21+G21)</f>
        <v>97.612952278175968</v>
      </c>
      <c r="M21" s="191"/>
    </row>
    <row r="22" spans="1:13" ht="16">
      <c r="A22" s="313" t="s">
        <v>1395</v>
      </c>
      <c r="B22" s="925">
        <v>2981</v>
      </c>
      <c r="C22" s="312">
        <f>C21</f>
        <v>8048.7000000000007</v>
      </c>
      <c r="D22" s="328">
        <f t="shared" ref="D22:D29" si="12">C5</f>
        <v>344.33832976445399</v>
      </c>
      <c r="E22" s="312">
        <f t="shared" ref="E22:E29" si="13">E5</f>
        <v>413.20599571734476</v>
      </c>
      <c r="F22" s="312">
        <v>170</v>
      </c>
      <c r="G22" s="312">
        <f t="shared" ref="G22:G29" si="14">I5</f>
        <v>272</v>
      </c>
      <c r="H22" s="318">
        <v>1.4</v>
      </c>
      <c r="I22" s="328">
        <f t="shared" ref="I22:I29" si="15">B22*F22*H22/(B22+F22)</f>
        <v>225.15963186290065</v>
      </c>
      <c r="J22" s="328">
        <f t="shared" ref="J22:J29" si="16">C22*G22*H22/(C22+G22)</f>
        <v>368.35181655389573</v>
      </c>
      <c r="K22" s="328">
        <f t="shared" ref="K22:K29" si="17">D22*F22*H22/(D22+F22)</f>
        <v>159.33582574231045</v>
      </c>
      <c r="L22" s="904">
        <f t="shared" ref="L22:L29" si="18">E22*G22*H22/(E22+G22)</f>
        <v>229.63728302528318</v>
      </c>
      <c r="M22" s="191"/>
    </row>
    <row r="23" spans="1:13" ht="16">
      <c r="A23" s="313" t="s">
        <v>688</v>
      </c>
      <c r="B23" s="929">
        <v>2981</v>
      </c>
      <c r="C23" s="312">
        <f>C22</f>
        <v>8048.7000000000007</v>
      </c>
      <c r="D23" s="328">
        <f t="shared" si="12"/>
        <v>344.33832976445399</v>
      </c>
      <c r="E23" s="312">
        <f t="shared" si="13"/>
        <v>413.20599571734476</v>
      </c>
      <c r="F23" s="312">
        <v>300</v>
      </c>
      <c r="G23" s="312">
        <f t="shared" si="14"/>
        <v>480</v>
      </c>
      <c r="H23" s="318">
        <v>1.6</v>
      </c>
      <c r="I23" s="328">
        <f t="shared" si="15"/>
        <v>436.11094178604083</v>
      </c>
      <c r="J23" s="328">
        <f t="shared" si="16"/>
        <v>724.77653100707039</v>
      </c>
      <c r="K23" s="328">
        <f t="shared" si="17"/>
        <v>256.51492492672133</v>
      </c>
      <c r="L23" s="904">
        <f t="shared" si="18"/>
        <v>355.28445423841941</v>
      </c>
      <c r="M23" s="191"/>
    </row>
    <row r="24" spans="1:13" ht="16">
      <c r="A24" s="313" t="s">
        <v>1394</v>
      </c>
      <c r="B24" s="929">
        <f>C7</f>
        <v>2981</v>
      </c>
      <c r="C24" s="312">
        <f t="shared" ref="C24:C26" si="19">C23</f>
        <v>8048.7000000000007</v>
      </c>
      <c r="D24" s="328">
        <f t="shared" si="12"/>
        <v>2981</v>
      </c>
      <c r="E24" s="312">
        <f t="shared" si="13"/>
        <v>8048.7000000000007</v>
      </c>
      <c r="F24" s="317">
        <v>110</v>
      </c>
      <c r="G24" s="312">
        <f t="shared" si="14"/>
        <v>465.30000000000007</v>
      </c>
      <c r="H24" s="318">
        <v>0.64</v>
      </c>
      <c r="I24" s="328">
        <f t="shared" si="15"/>
        <v>67.894661921708177</v>
      </c>
      <c r="J24" s="328">
        <f t="shared" si="16"/>
        <v>281.51732093023259</v>
      </c>
      <c r="K24" s="328">
        <f t="shared" si="17"/>
        <v>67.894661921708177</v>
      </c>
      <c r="L24" s="904">
        <f t="shared" si="18"/>
        <v>281.51732093023259</v>
      </c>
    </row>
    <row r="25" spans="1:13" ht="16">
      <c r="A25" s="313" t="s">
        <v>1393</v>
      </c>
      <c r="B25" s="929">
        <f t="shared" ref="B25:B26" si="20">C8</f>
        <v>2981</v>
      </c>
      <c r="C25" s="312">
        <f t="shared" si="19"/>
        <v>8048.7000000000007</v>
      </c>
      <c r="D25" s="328">
        <f t="shared" si="12"/>
        <v>2981</v>
      </c>
      <c r="E25" s="312">
        <f t="shared" si="13"/>
        <v>8048.7000000000007</v>
      </c>
      <c r="F25" s="317">
        <v>125</v>
      </c>
      <c r="G25" s="312">
        <f t="shared" si="14"/>
        <v>487.5</v>
      </c>
      <c r="H25" s="318">
        <v>0.95</v>
      </c>
      <c r="I25" s="328">
        <f t="shared" si="15"/>
        <v>113.97094333547972</v>
      </c>
      <c r="J25" s="328">
        <f t="shared" si="16"/>
        <v>436.67606048358755</v>
      </c>
      <c r="K25" s="328">
        <f t="shared" si="17"/>
        <v>113.97094333547972</v>
      </c>
      <c r="L25" s="904">
        <f t="shared" si="18"/>
        <v>436.67606048358755</v>
      </c>
    </row>
    <row r="26" spans="1:13" ht="16">
      <c r="A26" s="766" t="s">
        <v>1392</v>
      </c>
      <c r="B26" s="929">
        <f t="shared" si="20"/>
        <v>2981</v>
      </c>
      <c r="C26" s="312">
        <f t="shared" si="19"/>
        <v>8048.7000000000007</v>
      </c>
      <c r="D26" s="328">
        <f t="shared" si="12"/>
        <v>2981</v>
      </c>
      <c r="E26" s="312">
        <f t="shared" si="13"/>
        <v>8048.7000000000007</v>
      </c>
      <c r="F26" s="317">
        <v>285</v>
      </c>
      <c r="G26" s="312">
        <f t="shared" si="14"/>
        <v>1427.85</v>
      </c>
      <c r="H26" s="318">
        <v>1.3</v>
      </c>
      <c r="I26" s="328">
        <f t="shared" si="15"/>
        <v>338.1691671769749</v>
      </c>
      <c r="J26" s="328">
        <f t="shared" si="16"/>
        <v>1576.5270254997863</v>
      </c>
      <c r="K26" s="328">
        <f t="shared" si="17"/>
        <v>338.1691671769749</v>
      </c>
      <c r="L26" s="904">
        <f t="shared" si="18"/>
        <v>1576.5270254997863</v>
      </c>
      <c r="M26" s="191"/>
    </row>
    <row r="27" spans="1:13" ht="16">
      <c r="A27" s="314" t="s">
        <v>687</v>
      </c>
      <c r="B27" s="929">
        <v>372</v>
      </c>
      <c r="C27" s="312">
        <f>E10</f>
        <v>818.40000000000009</v>
      </c>
      <c r="D27" s="328">
        <v>372</v>
      </c>
      <c r="E27" s="312">
        <f>E10</f>
        <v>818.40000000000009</v>
      </c>
      <c r="F27" s="312">
        <v>210</v>
      </c>
      <c r="G27" s="312">
        <f t="shared" si="14"/>
        <v>976.50000000000011</v>
      </c>
      <c r="H27" s="318">
        <v>3.65</v>
      </c>
      <c r="I27" s="328">
        <f t="shared" si="15"/>
        <v>489.92783505154637</v>
      </c>
      <c r="J27" s="328">
        <f t="shared" si="16"/>
        <v>1625.1388601036272</v>
      </c>
      <c r="K27" s="328">
        <f t="shared" si="17"/>
        <v>489.92783505154637</v>
      </c>
      <c r="L27" s="904">
        <f t="shared" si="18"/>
        <v>1625.1388601036272</v>
      </c>
      <c r="M27" s="191"/>
    </row>
    <row r="28" spans="1:13" ht="16">
      <c r="A28" s="331" t="s">
        <v>489</v>
      </c>
      <c r="B28" s="929">
        <f>B27</f>
        <v>372</v>
      </c>
      <c r="C28" s="312">
        <f>C27</f>
        <v>818.40000000000009</v>
      </c>
      <c r="D28" s="328">
        <v>372</v>
      </c>
      <c r="E28" s="312">
        <f>E10</f>
        <v>818.40000000000009</v>
      </c>
      <c r="F28" s="312">
        <v>160</v>
      </c>
      <c r="G28" s="312">
        <f t="shared" si="14"/>
        <v>584</v>
      </c>
      <c r="H28" s="318">
        <v>3.3</v>
      </c>
      <c r="I28" s="328">
        <f t="shared" si="15"/>
        <v>369.20300751879699</v>
      </c>
      <c r="J28" s="328">
        <f t="shared" si="16"/>
        <v>1124.6580718767825</v>
      </c>
      <c r="K28" s="328">
        <f t="shared" si="17"/>
        <v>369.20300751879699</v>
      </c>
      <c r="L28" s="904">
        <f t="shared" si="18"/>
        <v>1124.6580718767825</v>
      </c>
      <c r="M28" s="191"/>
    </row>
    <row r="29" spans="1:13" ht="17" thickBot="1">
      <c r="A29" s="315" t="s">
        <v>378</v>
      </c>
      <c r="B29" s="930">
        <v>372</v>
      </c>
      <c r="C29" s="322">
        <f>C28</f>
        <v>818.40000000000009</v>
      </c>
      <c r="D29" s="330">
        <f t="shared" si="12"/>
        <v>76.574285714285722</v>
      </c>
      <c r="E29" s="322">
        <f t="shared" si="13"/>
        <v>107.20400000000001</v>
      </c>
      <c r="F29" s="322">
        <v>140</v>
      </c>
      <c r="G29" s="322">
        <f t="shared" si="14"/>
        <v>308</v>
      </c>
      <c r="H29" s="324">
        <v>4.5</v>
      </c>
      <c r="I29" s="330">
        <f t="shared" si="15"/>
        <v>457.734375</v>
      </c>
      <c r="J29" s="330">
        <f t="shared" si="16"/>
        <v>1007.015625</v>
      </c>
      <c r="K29" s="330">
        <f t="shared" si="17"/>
        <v>222.74943602327144</v>
      </c>
      <c r="L29" s="905">
        <f t="shared" si="18"/>
        <v>357.85961599599233</v>
      </c>
      <c r="M29" s="191"/>
    </row>
    <row r="30" spans="1:13" ht="15" customHeight="1"/>
    <row r="31" spans="1:13" ht="15" customHeight="1" thickBot="1"/>
    <row r="32" spans="1:13" ht="17">
      <c r="A32" s="796" t="s">
        <v>949</v>
      </c>
      <c r="B32" s="547" t="s">
        <v>36</v>
      </c>
      <c r="C32" s="547" t="s">
        <v>24</v>
      </c>
      <c r="D32" s="547" t="s">
        <v>1499</v>
      </c>
      <c r="E32" s="547" t="s">
        <v>859</v>
      </c>
      <c r="F32" s="547" t="s">
        <v>675</v>
      </c>
      <c r="G32" s="465"/>
      <c r="H32" s="547" t="s">
        <v>884</v>
      </c>
      <c r="I32" s="465" t="s">
        <v>885</v>
      </c>
      <c r="J32" s="465" t="s">
        <v>859</v>
      </c>
      <c r="K32" s="356" t="s">
        <v>675</v>
      </c>
    </row>
    <row r="33" spans="1:11" ht="17">
      <c r="A33" s="797"/>
      <c r="B33" s="548"/>
      <c r="C33" s="548"/>
      <c r="D33" s="548"/>
      <c r="E33" s="548"/>
      <c r="F33" s="548"/>
      <c r="G33" s="466" t="s">
        <v>950</v>
      </c>
      <c r="H33" s="548"/>
      <c r="I33" s="466"/>
      <c r="J33" s="466"/>
      <c r="K33" s="357"/>
    </row>
    <row r="34" spans="1:11" ht="16">
      <c r="A34" s="937"/>
      <c r="B34" s="328" t="str">
        <f>'Energy Contents Cell'!Q3</f>
        <v>[Wh kg-1]</v>
      </c>
      <c r="C34" s="328" t="str">
        <f>'Energy Contents Cell'!AA3</f>
        <v xml:space="preserve">   [Wh L-1]</v>
      </c>
      <c r="D34" s="325" t="str">
        <f>'Mass and Cost Cell'!R37</f>
        <v xml:space="preserve"> [$ kWh-1] </v>
      </c>
      <c r="E34" s="312" t="str">
        <f>'Env. Impacts Cell'!K134</f>
        <v>[kg CO2 eq./kWh]</v>
      </c>
      <c r="F34" s="352" t="str">
        <f>'Env. Impacts Cell'!J96</f>
        <v>[kg Si eq./kWh]</v>
      </c>
      <c r="G34" s="353" t="str">
        <f>'Mass and Cost System'!Z18</f>
        <v xml:space="preserve"> [$ kWh-1] </v>
      </c>
      <c r="H34" s="353" t="str">
        <f>'Mass and Cost System'!$P90</f>
        <v xml:space="preserve"> [$ cycle-1 kWh-1] </v>
      </c>
      <c r="I34" s="353" t="str">
        <f>'Mass and Cost System'!$O90</f>
        <v xml:space="preserve"> [$ cycle-1 kWh-1] </v>
      </c>
      <c r="J34" s="312" t="str">
        <f>'Env. Impacts System'!H118</f>
        <v>[kg/kWh]</v>
      </c>
      <c r="K34" s="907" t="str">
        <f>'Env. Impacts System'!H102</f>
        <v>[kg/kWh]</v>
      </c>
    </row>
    <row r="35" spans="1:11" ht="16">
      <c r="A35" s="313" t="s">
        <v>948</v>
      </c>
      <c r="B35" s="918">
        <v>250</v>
      </c>
      <c r="C35" s="919">
        <v>700</v>
      </c>
      <c r="D35" s="920">
        <v>70</v>
      </c>
      <c r="E35" s="921"/>
      <c r="F35" s="922"/>
      <c r="G35" s="621">
        <v>85</v>
      </c>
      <c r="H35" s="923">
        <v>0.03</v>
      </c>
      <c r="I35" s="923">
        <v>0.05</v>
      </c>
      <c r="J35" s="921"/>
      <c r="K35" s="924"/>
    </row>
    <row r="36" spans="1:11" ht="16">
      <c r="A36" s="313" t="s">
        <v>728</v>
      </c>
      <c r="B36" s="925">
        <f>'Energy Contents Cell'!Q4</f>
        <v>52.555193994147949</v>
      </c>
      <c r="C36" s="328">
        <f>'Energy Contents Cell'!AA4</f>
        <v>67.120973895554044</v>
      </c>
      <c r="D36" s="325">
        <f>'Mass and Cost Cell'!R38</f>
        <v>124.25892470950188</v>
      </c>
      <c r="E36" s="312">
        <f>'Env. Impacts Cell'!K135</f>
        <v>102.23928203152235</v>
      </c>
      <c r="F36" s="311">
        <f>'Env. Impacts Cell'!J97</f>
        <v>6712.8685653208868</v>
      </c>
      <c r="G36" s="612">
        <f>'Mass and Cost System'!Z19</f>
        <v>250.6413458687762</v>
      </c>
      <c r="H36" s="353">
        <f>'Mass and Cost System'!$P91</f>
        <v>6.6638398382219119E-2</v>
      </c>
      <c r="I36" s="353">
        <f>'Mass and Cost System'!$O91</f>
        <v>4.3227900587021729E-2</v>
      </c>
      <c r="J36" s="312">
        <f>'Env. Impacts System'!H119</f>
        <v>188.67130467014215</v>
      </c>
      <c r="K36" s="361">
        <f>'Env. Impacts System'!H103</f>
        <v>16788.279250491087</v>
      </c>
    </row>
    <row r="37" spans="1:11" ht="16">
      <c r="A37" s="313" t="s">
        <v>1395</v>
      </c>
      <c r="B37" s="925">
        <f>'Energy Contents Cell'!Q5</f>
        <v>123.65522124049309</v>
      </c>
      <c r="C37" s="328">
        <f>'Energy Contents Cell'!AA5</f>
        <v>184.65671873466661</v>
      </c>
      <c r="D37" s="325">
        <f>'Mass and Cost Cell'!R39</f>
        <v>38.190932534374163</v>
      </c>
      <c r="E37" s="312">
        <f>'Env. Impacts Cell'!K136</f>
        <v>56.846506723275887</v>
      </c>
      <c r="F37" s="311">
        <f>'Env. Impacts Cell'!J98</f>
        <v>1947.6634795355799</v>
      </c>
      <c r="G37" s="612">
        <f>'Mass and Cost System'!Z20</f>
        <v>121.83428928463486</v>
      </c>
      <c r="H37" s="353">
        <f>'Mass and Cost System'!$P92</f>
        <v>3.758164913275916E-2</v>
      </c>
      <c r="I37" s="353">
        <f>'Mass and Cost System'!$O92</f>
        <v>4.3227900587021729E-2</v>
      </c>
      <c r="J37" s="312">
        <f>'Env. Impacts System'!H120</f>
        <v>93.118095835827006</v>
      </c>
      <c r="K37" s="361">
        <f>'Env. Impacts System'!H104</f>
        <v>6638.3205933456238</v>
      </c>
    </row>
    <row r="38" spans="1:11" ht="16">
      <c r="A38" s="313" t="s">
        <v>688</v>
      </c>
      <c r="B38" s="925">
        <f>'Energy Contents Cell'!Q6</f>
        <v>196.88751700393024</v>
      </c>
      <c r="C38" s="328">
        <f>'Energy Contents Cell'!AA6</f>
        <v>285.18151019500465</v>
      </c>
      <c r="D38" s="325">
        <f>'Mass and Cost Cell'!R40</f>
        <v>23.972845858964735</v>
      </c>
      <c r="E38" s="312">
        <f>'Env. Impacts Cell'!K137</f>
        <v>34.991517586903242</v>
      </c>
      <c r="F38" s="311">
        <f>'Env. Impacts Cell'!J99</f>
        <v>1371.8276770758855</v>
      </c>
      <c r="G38" s="612">
        <f>'Mass and Cost System'!Z21</f>
        <v>86.538875851654936</v>
      </c>
      <c r="H38" s="353">
        <f>'Mass and Cost System'!$P93</f>
        <v>3.0240909547462506E-2</v>
      </c>
      <c r="I38" s="353">
        <f>'Mass and Cost System'!$O93</f>
        <v>4.3227900587021729E-2</v>
      </c>
      <c r="J38" s="312">
        <f>'Env. Impacts System'!H121</f>
        <v>61.426569230880482</v>
      </c>
      <c r="K38" s="361">
        <f>'Env. Impacts System'!H105</f>
        <v>5061.5641631085937</v>
      </c>
    </row>
    <row r="39" spans="1:11" ht="16">
      <c r="A39" s="313" t="s">
        <v>1394</v>
      </c>
      <c r="B39" s="925">
        <f>'Energy Contents Cell'!Q7</f>
        <v>53.874234942674377</v>
      </c>
      <c r="C39" s="328">
        <f>'Energy Contents Cell'!AA7</f>
        <v>158.72103684516335</v>
      </c>
      <c r="D39" s="325">
        <f>'Mass and Cost Cell'!R41</f>
        <v>71.96081806088182</v>
      </c>
      <c r="E39" s="312">
        <f>'Env. Impacts Cell'!K138</f>
        <v>221.9960611159847</v>
      </c>
      <c r="F39" s="311">
        <f>'Env. Impacts Cell'!J100</f>
        <v>1871.7199957899011</v>
      </c>
      <c r="G39" s="612">
        <f>'Mass and Cost System'!Z22</f>
        <v>190.98900366916251</v>
      </c>
      <c r="H39" s="353">
        <f>'Mass and Cost System'!$P94</f>
        <v>4.943503114660696E-2</v>
      </c>
      <c r="I39" s="353">
        <f>'Mass and Cost System'!$O94</f>
        <v>8.8401474950935879E-2</v>
      </c>
      <c r="J39" s="312">
        <f>'Env. Impacts System'!H122</f>
        <v>262.31573485484375</v>
      </c>
      <c r="K39" s="361">
        <f>'Env. Impacts System'!H106</f>
        <v>6956.7370346855596</v>
      </c>
    </row>
    <row r="40" spans="1:11" ht="16">
      <c r="A40" s="313" t="s">
        <v>1393</v>
      </c>
      <c r="B40" s="925">
        <f>'Energy Contents Cell'!Q8</f>
        <v>89.244624190709118</v>
      </c>
      <c r="C40" s="328">
        <f>'Energy Contents Cell'!AA8</f>
        <v>248.19213824733237</v>
      </c>
      <c r="D40" s="325">
        <f>'Mass and Cost Cell'!R42</f>
        <v>175.36856347679264</v>
      </c>
      <c r="E40" s="312">
        <f>'Env. Impacts Cell'!K139</f>
        <v>164.00427959146461</v>
      </c>
      <c r="F40" s="311">
        <f>'Env. Impacts Cell'!J101</f>
        <v>18490.836391062017</v>
      </c>
      <c r="G40" s="612">
        <f>'Mass and Cost System'!Z23</f>
        <v>265.75511503414185</v>
      </c>
      <c r="H40" s="353">
        <f>'Mass and Cost System'!$P95</f>
        <v>5.9371974868366435E-2</v>
      </c>
      <c r="I40" s="353">
        <f>'Mass and Cost System'!$O95</f>
        <v>5.7127461929764534E-2</v>
      </c>
      <c r="J40" s="312">
        <f>'Env. Impacts System'!H123</f>
        <v>192.82989406200321</v>
      </c>
      <c r="K40" s="361">
        <f>'Env. Impacts System'!H107</f>
        <v>22484.262630375655</v>
      </c>
    </row>
    <row r="41" spans="1:11" ht="16">
      <c r="A41" s="766" t="s">
        <v>1392</v>
      </c>
      <c r="B41" s="925">
        <f>'Energy Contents Cell'!Q9</f>
        <v>271.43530953310426</v>
      </c>
      <c r="C41" s="328">
        <f>'Energy Contents Cell'!AA9</f>
        <v>895.29923881435298</v>
      </c>
      <c r="D41" s="325">
        <f>'Mass and Cost Cell'!R43</f>
        <v>23.28177621406201</v>
      </c>
      <c r="E41" s="312">
        <f>'Env. Impacts Cell'!K140</f>
        <v>32.76038942498684</v>
      </c>
      <c r="F41" s="311">
        <f>'Env. Impacts Cell'!J102</f>
        <v>940.70414825363855</v>
      </c>
      <c r="G41" s="612">
        <f>'Mass and Cost System'!Z24</f>
        <v>67.698493481108599</v>
      </c>
      <c r="H41" s="353">
        <f>'Mass and Cost System'!$P96</f>
        <v>2.5080796571033497E-2</v>
      </c>
      <c r="I41" s="353">
        <f>'Mass and Cost System'!$O96</f>
        <v>5.3553289013059259E-2</v>
      </c>
      <c r="J41" s="312">
        <f>'Env. Impacts System'!H124</f>
        <v>44.513928396097668</v>
      </c>
      <c r="K41" s="361">
        <f>'Env. Impacts System'!H108</f>
        <v>3003.5788097714062</v>
      </c>
    </row>
    <row r="42" spans="1:11" ht="16">
      <c r="A42" s="314" t="s">
        <v>687</v>
      </c>
      <c r="B42" s="925">
        <f>'Energy Contents Cell'!Q10</f>
        <v>356.7383808838207</v>
      </c>
      <c r="C42" s="328">
        <f>'Energy Contents Cell'!AA10</f>
        <v>865.20461395008931</v>
      </c>
      <c r="D42" s="325">
        <f>'Mass and Cost Cell'!R44</f>
        <v>58.725397767259878</v>
      </c>
      <c r="E42" s="312">
        <f>'Env. Impacts Cell'!K141</f>
        <v>38.194259359125184</v>
      </c>
      <c r="F42" s="311">
        <f>'Env. Impacts Cell'!J103</f>
        <v>7823.592378403212</v>
      </c>
      <c r="G42" s="612">
        <f>'Mass and Cost System'!Z25</f>
        <v>96.768335310963835</v>
      </c>
      <c r="H42" s="353">
        <f>'Mass and Cost System'!$P97</f>
        <v>2.9749192688798297E-2</v>
      </c>
      <c r="I42" s="353">
        <f>'Mass and Cost System'!$O97</f>
        <v>4.1690076778888495E-2</v>
      </c>
      <c r="J42" s="312">
        <f>'Env. Impacts System'!H125</f>
        <v>50.620359667822164</v>
      </c>
      <c r="K42" s="361">
        <f>'Env. Impacts System'!H109</f>
        <v>10390.38272922141</v>
      </c>
    </row>
    <row r="43" spans="1:11" ht="16">
      <c r="A43" s="331" t="s">
        <v>489</v>
      </c>
      <c r="B43" s="925">
        <f>'Energy Contents Cell'!Q11</f>
        <v>261.45688979578239</v>
      </c>
      <c r="C43" s="328">
        <f>'Energy Contents Cell'!AA11</f>
        <v>611.80429814928846</v>
      </c>
      <c r="D43" s="325">
        <f>'Mass and Cost Cell'!R45</f>
        <v>46.715031377787255</v>
      </c>
      <c r="E43" s="312">
        <f>'Env. Impacts Cell'!K142</f>
        <v>45.757285180046892</v>
      </c>
      <c r="F43" s="311">
        <f>'Env. Impacts Cell'!J104</f>
        <v>3870.6611013192801</v>
      </c>
      <c r="G43" s="612">
        <f>'Mass and Cost System'!Z26</f>
        <v>89.688860048685527</v>
      </c>
      <c r="H43" s="353">
        <f>'Mass and Cost System'!$P98</f>
        <v>2.9055774182066185E-2</v>
      </c>
      <c r="I43" s="353">
        <f>'Mass and Cost System'!$O98</f>
        <v>4.0969221868826025E-2</v>
      </c>
      <c r="J43" s="312">
        <f>'Env. Impacts System'!H126</f>
        <v>61.136256457628264</v>
      </c>
      <c r="K43" s="361">
        <f>'Env. Impacts System'!H110</f>
        <v>6886.8872896276498</v>
      </c>
    </row>
    <row r="44" spans="1:11" ht="17" thickBot="1">
      <c r="A44" s="315" t="s">
        <v>378</v>
      </c>
      <c r="B44" s="926">
        <f>'Energy Contents Cell'!Q12</f>
        <v>149.76363593685821</v>
      </c>
      <c r="C44" s="330">
        <f>'Energy Contents Cell'!AA12</f>
        <v>172.4432488585897</v>
      </c>
      <c r="D44" s="354">
        <f>'Mass and Cost Cell'!R46</f>
        <v>113.19077538813487</v>
      </c>
      <c r="E44" s="322">
        <f>'Env. Impacts Cell'!K143</f>
        <v>49.712710146817052</v>
      </c>
      <c r="F44" s="360">
        <f>'Env. Impacts Cell'!J105</f>
        <v>4646.1334092136012</v>
      </c>
      <c r="G44" s="908">
        <f>'Mass and Cost System'!Z27</f>
        <v>186.31774767641238</v>
      </c>
      <c r="H44" s="355">
        <f>'Mass and Cost System'!$P99</f>
        <v>4.8262065903282414E-2</v>
      </c>
      <c r="I44" s="355">
        <f>'Mass and Cost System'!$O99</f>
        <v>4.0969221868826025E-2</v>
      </c>
      <c r="J44" s="322">
        <f>'Env. Impacts System'!H127</f>
        <v>88.825661866128556</v>
      </c>
      <c r="K44" s="362">
        <f>'Env. Impacts System'!H111</f>
        <v>11311.036543987902</v>
      </c>
    </row>
    <row r="45" spans="1:11" ht="16" thickBot="1"/>
    <row r="46" spans="1:11" ht="17">
      <c r="A46" s="796" t="s">
        <v>949</v>
      </c>
      <c r="B46" s="465" t="s">
        <v>36</v>
      </c>
      <c r="C46" s="465" t="s">
        <v>24</v>
      </c>
      <c r="D46" s="465" t="s">
        <v>1499</v>
      </c>
      <c r="E46" s="465" t="s">
        <v>859</v>
      </c>
      <c r="F46" s="465" t="s">
        <v>675</v>
      </c>
      <c r="G46" s="465" t="s">
        <v>950</v>
      </c>
      <c r="H46" s="465" t="s">
        <v>884</v>
      </c>
      <c r="I46" s="465" t="s">
        <v>885</v>
      </c>
      <c r="J46" s="465" t="s">
        <v>859</v>
      </c>
      <c r="K46" s="356" t="s">
        <v>675</v>
      </c>
    </row>
    <row r="47" spans="1:11" ht="16">
      <c r="A47" s="937"/>
      <c r="B47" s="328" t="str">
        <f t="shared" ref="B47:K47" si="21">B34</f>
        <v>[Wh kg-1]</v>
      </c>
      <c r="C47" s="328" t="str">
        <f t="shared" si="21"/>
        <v xml:space="preserve">   [Wh L-1]</v>
      </c>
      <c r="D47" s="328" t="str">
        <f t="shared" si="21"/>
        <v xml:space="preserve"> [$ kWh-1] </v>
      </c>
      <c r="E47" s="328" t="str">
        <f t="shared" si="21"/>
        <v>[kg CO2 eq./kWh]</v>
      </c>
      <c r="F47" s="328" t="str">
        <f t="shared" si="21"/>
        <v>[kg Si eq./kWh]</v>
      </c>
      <c r="G47" s="353" t="str">
        <f t="shared" si="21"/>
        <v xml:space="preserve"> [$ kWh-1] </v>
      </c>
      <c r="H47" s="328" t="str">
        <f t="shared" si="21"/>
        <v xml:space="preserve"> [$ cycle-1 kWh-1] </v>
      </c>
      <c r="I47" s="328" t="str">
        <f t="shared" si="21"/>
        <v xml:space="preserve"> [$ cycle-1 kWh-1] </v>
      </c>
      <c r="J47" s="328" t="str">
        <f t="shared" si="21"/>
        <v>[kg/kWh]</v>
      </c>
      <c r="K47" s="904" t="str">
        <f t="shared" si="21"/>
        <v>[kg/kWh]</v>
      </c>
    </row>
    <row r="48" spans="1:11" ht="16">
      <c r="A48" s="313" t="str">
        <f>A35</f>
        <v>KPIs 2030</v>
      </c>
      <c r="B48" s="912">
        <f>B35</f>
        <v>250</v>
      </c>
      <c r="C48" s="913">
        <f>C35</f>
        <v>700</v>
      </c>
      <c r="D48" s="913">
        <f>D35</f>
        <v>70</v>
      </c>
      <c r="E48" s="913"/>
      <c r="F48" s="913"/>
      <c r="G48" s="913">
        <f>G35</f>
        <v>85</v>
      </c>
      <c r="H48" s="914">
        <f>H35</f>
        <v>0.03</v>
      </c>
      <c r="I48" s="914">
        <f>I35</f>
        <v>0.05</v>
      </c>
      <c r="J48" s="913"/>
      <c r="K48" s="915"/>
    </row>
    <row r="49" spans="1:11" ht="16">
      <c r="A49" s="313" t="s">
        <v>728</v>
      </c>
      <c r="B49" s="916">
        <f t="shared" ref="B49:D57" si="22">B36/B$48</f>
        <v>0.21022077597659181</v>
      </c>
      <c r="C49" s="900">
        <f t="shared" si="22"/>
        <v>9.5887105565077208E-2</v>
      </c>
      <c r="D49" s="900">
        <f t="shared" si="22"/>
        <v>1.7751274958500269</v>
      </c>
      <c r="E49" s="900">
        <f t="shared" ref="E49:F57" si="23">E36/E$43</f>
        <v>2.2343826044143289</v>
      </c>
      <c r="F49" s="900">
        <f t="shared" si="23"/>
        <v>1.7342950957480792</v>
      </c>
      <c r="G49" s="900">
        <f t="shared" ref="G49:I57" si="24">G36/G$48</f>
        <v>2.9487217161032495</v>
      </c>
      <c r="H49" s="900">
        <f t="shared" si="24"/>
        <v>2.2212799460739707</v>
      </c>
      <c r="I49" s="900">
        <f t="shared" si="24"/>
        <v>0.86455801174043456</v>
      </c>
      <c r="J49" s="900">
        <f t="shared" ref="J49:K57" si="25">J36/J$43</f>
        <v>3.0860787951729538</v>
      </c>
      <c r="K49" s="909">
        <f t="shared" si="25"/>
        <v>2.4377165683800195</v>
      </c>
    </row>
    <row r="50" spans="1:11" ht="16">
      <c r="A50" s="313" t="s">
        <v>1395</v>
      </c>
      <c r="B50" s="916">
        <f t="shared" si="22"/>
        <v>0.49462088496197237</v>
      </c>
      <c r="C50" s="900">
        <f t="shared" si="22"/>
        <v>0.26379531247809518</v>
      </c>
      <c r="D50" s="900">
        <f t="shared" si="22"/>
        <v>0.54558475049105948</v>
      </c>
      <c r="E50" s="900">
        <f t="shared" si="23"/>
        <v>1.2423487647834623</v>
      </c>
      <c r="F50" s="900">
        <f t="shared" si="23"/>
        <v>0.50318625902736258</v>
      </c>
      <c r="G50" s="900">
        <f t="shared" si="24"/>
        <v>1.4333445798192337</v>
      </c>
      <c r="H50" s="900">
        <f t="shared" si="24"/>
        <v>1.2527216377586388</v>
      </c>
      <c r="I50" s="900">
        <f t="shared" si="24"/>
        <v>0.86455801174043456</v>
      </c>
      <c r="J50" s="900">
        <f t="shared" si="25"/>
        <v>1.5231239403800332</v>
      </c>
      <c r="K50" s="909">
        <f t="shared" si="25"/>
        <v>0.96390725071740424</v>
      </c>
    </row>
    <row r="51" spans="1:11" ht="16">
      <c r="A51" s="313" t="s">
        <v>688</v>
      </c>
      <c r="B51" s="916">
        <f t="shared" si="22"/>
        <v>0.78755006801572092</v>
      </c>
      <c r="C51" s="900">
        <f t="shared" si="22"/>
        <v>0.40740215742143521</v>
      </c>
      <c r="D51" s="900">
        <f t="shared" si="22"/>
        <v>0.34246922655663908</v>
      </c>
      <c r="E51" s="900">
        <f t="shared" si="23"/>
        <v>0.76472014126751087</v>
      </c>
      <c r="F51" s="900">
        <f t="shared" si="23"/>
        <v>0.35441689188658504</v>
      </c>
      <c r="G51" s="900">
        <f t="shared" si="24"/>
        <v>1.0181044217841757</v>
      </c>
      <c r="H51" s="900">
        <f t="shared" si="24"/>
        <v>1.0080303182487502</v>
      </c>
      <c r="I51" s="900">
        <f t="shared" si="24"/>
        <v>0.86455801174043456</v>
      </c>
      <c r="J51" s="900">
        <f t="shared" si="25"/>
        <v>1.0047486187423567</v>
      </c>
      <c r="K51" s="909">
        <f t="shared" si="25"/>
        <v>0.73495673012273954</v>
      </c>
    </row>
    <row r="52" spans="1:11" ht="16">
      <c r="A52" s="313" t="s">
        <v>1394</v>
      </c>
      <c r="B52" s="916">
        <f t="shared" si="22"/>
        <v>0.2154969397706975</v>
      </c>
      <c r="C52" s="900">
        <f t="shared" si="22"/>
        <v>0.22674433835023336</v>
      </c>
      <c r="D52" s="900">
        <f t="shared" si="22"/>
        <v>1.0280116865840261</v>
      </c>
      <c r="E52" s="900">
        <f t="shared" si="23"/>
        <v>4.8516003570244415</v>
      </c>
      <c r="F52" s="900">
        <f t="shared" si="23"/>
        <v>0.48356597149565539</v>
      </c>
      <c r="G52" s="900">
        <f t="shared" si="24"/>
        <v>2.2469294549313239</v>
      </c>
      <c r="H52" s="900">
        <f t="shared" si="24"/>
        <v>1.6478343715535655</v>
      </c>
      <c r="I52" s="900">
        <f t="shared" si="24"/>
        <v>1.7680294990187175</v>
      </c>
      <c r="J52" s="900">
        <f t="shared" si="25"/>
        <v>4.2906738170441798</v>
      </c>
      <c r="K52" s="909">
        <f t="shared" si="25"/>
        <v>1.0101424260511873</v>
      </c>
    </row>
    <row r="53" spans="1:11" ht="16">
      <c r="A53" s="313" t="s">
        <v>1393</v>
      </c>
      <c r="B53" s="916">
        <f t="shared" si="22"/>
        <v>0.35697849676283649</v>
      </c>
      <c r="C53" s="900">
        <f t="shared" si="22"/>
        <v>0.35456019749618911</v>
      </c>
      <c r="D53" s="900">
        <f t="shared" si="22"/>
        <v>2.5052651925256093</v>
      </c>
      <c r="E53" s="900">
        <f t="shared" si="23"/>
        <v>3.5842222488973401</v>
      </c>
      <c r="F53" s="900">
        <f t="shared" si="23"/>
        <v>4.7771778275188135</v>
      </c>
      <c r="G53" s="900">
        <f t="shared" si="24"/>
        <v>3.1265307651075513</v>
      </c>
      <c r="H53" s="900">
        <f t="shared" si="24"/>
        <v>1.9790658289455478</v>
      </c>
      <c r="I53" s="900">
        <f t="shared" si="24"/>
        <v>1.1425492385952907</v>
      </c>
      <c r="J53" s="900">
        <f t="shared" si="25"/>
        <v>3.1541004509435071</v>
      </c>
      <c r="K53" s="909">
        <f t="shared" si="25"/>
        <v>3.2647931764818097</v>
      </c>
    </row>
    <row r="54" spans="1:11" ht="16">
      <c r="A54" s="766" t="s">
        <v>1392</v>
      </c>
      <c r="B54" s="916">
        <f t="shared" si="22"/>
        <v>1.085741238132417</v>
      </c>
      <c r="C54" s="900">
        <f t="shared" si="22"/>
        <v>1.2789989125919328</v>
      </c>
      <c r="D54" s="900">
        <f t="shared" si="22"/>
        <v>0.33259680305802869</v>
      </c>
      <c r="E54" s="900">
        <f t="shared" si="23"/>
        <v>0.7159600770911223</v>
      </c>
      <c r="F54" s="900">
        <f t="shared" si="23"/>
        <v>0.24303449039571251</v>
      </c>
      <c r="G54" s="900">
        <f t="shared" si="24"/>
        <v>0.79645286448363062</v>
      </c>
      <c r="H54" s="900">
        <f t="shared" si="24"/>
        <v>0.83602655236778323</v>
      </c>
      <c r="I54" s="900">
        <f t="shared" si="24"/>
        <v>1.0710657802611852</v>
      </c>
      <c r="J54" s="900">
        <f t="shared" si="25"/>
        <v>0.72811014241522887</v>
      </c>
      <c r="K54" s="909">
        <f t="shared" si="25"/>
        <v>0.43613009527469693</v>
      </c>
    </row>
    <row r="55" spans="1:11" ht="16">
      <c r="A55" s="314" t="s">
        <v>687</v>
      </c>
      <c r="B55" s="916">
        <f t="shared" si="22"/>
        <v>1.4269535235352828</v>
      </c>
      <c r="C55" s="900">
        <f t="shared" si="22"/>
        <v>1.2360065913572704</v>
      </c>
      <c r="D55" s="900">
        <f t="shared" si="22"/>
        <v>0.83893425381799824</v>
      </c>
      <c r="E55" s="900">
        <f t="shared" si="23"/>
        <v>0.83471428011599624</v>
      </c>
      <c r="F55" s="900">
        <f t="shared" si="23"/>
        <v>2.0212548124496381</v>
      </c>
      <c r="G55" s="900">
        <f t="shared" si="24"/>
        <v>1.1384510036583981</v>
      </c>
      <c r="H55" s="900">
        <f t="shared" si="24"/>
        <v>0.99163975629327661</v>
      </c>
      <c r="I55" s="900">
        <f t="shared" si="24"/>
        <v>0.83380153557776981</v>
      </c>
      <c r="J55" s="900">
        <f t="shared" si="25"/>
        <v>0.82799246471536314</v>
      </c>
      <c r="K55" s="909">
        <f t="shared" si="25"/>
        <v>1.5087197295751273</v>
      </c>
    </row>
    <row r="56" spans="1:11" ht="16">
      <c r="A56" s="331" t="s">
        <v>489</v>
      </c>
      <c r="B56" s="916">
        <f t="shared" si="22"/>
        <v>1.0458275591831296</v>
      </c>
      <c r="C56" s="900">
        <f t="shared" si="22"/>
        <v>0.87400614021326928</v>
      </c>
      <c r="D56" s="900">
        <f t="shared" si="22"/>
        <v>0.66735759111124648</v>
      </c>
      <c r="E56" s="900">
        <f t="shared" si="23"/>
        <v>1</v>
      </c>
      <c r="F56" s="900">
        <f t="shared" si="23"/>
        <v>1</v>
      </c>
      <c r="G56" s="900">
        <f t="shared" si="24"/>
        <v>1.0551630593963004</v>
      </c>
      <c r="H56" s="900">
        <f t="shared" si="24"/>
        <v>0.96852580606887284</v>
      </c>
      <c r="I56" s="900">
        <f t="shared" si="24"/>
        <v>0.81938443737652045</v>
      </c>
      <c r="J56" s="900">
        <f t="shared" si="25"/>
        <v>1</v>
      </c>
      <c r="K56" s="909">
        <f t="shared" si="25"/>
        <v>1</v>
      </c>
    </row>
    <row r="57" spans="1:11" ht="17" thickBot="1">
      <c r="A57" s="315" t="s">
        <v>378</v>
      </c>
      <c r="B57" s="917">
        <f t="shared" si="22"/>
        <v>0.59905454374743283</v>
      </c>
      <c r="C57" s="910">
        <f t="shared" si="22"/>
        <v>0.24634749836941386</v>
      </c>
      <c r="D57" s="910">
        <f t="shared" si="22"/>
        <v>1.6170110769733552</v>
      </c>
      <c r="E57" s="910">
        <f t="shared" si="23"/>
        <v>1.0864436111365929</v>
      </c>
      <c r="F57" s="910">
        <f t="shared" si="23"/>
        <v>1.2003462167302656</v>
      </c>
      <c r="G57" s="910">
        <f t="shared" si="24"/>
        <v>2.1919735020754398</v>
      </c>
      <c r="H57" s="910">
        <f t="shared" si="24"/>
        <v>1.6087355301094139</v>
      </c>
      <c r="I57" s="910">
        <f t="shared" si="24"/>
        <v>0.81938443737652045</v>
      </c>
      <c r="J57" s="910">
        <f t="shared" si="25"/>
        <v>1.4529130014313356</v>
      </c>
      <c r="K57" s="911">
        <f t="shared" si="25"/>
        <v>1.6424018672446505</v>
      </c>
    </row>
  </sheetData>
  <mergeCells count="7">
    <mergeCell ref="K14:L14"/>
    <mergeCell ref="F32:F33"/>
    <mergeCell ref="H32:H33"/>
    <mergeCell ref="B32:B33"/>
    <mergeCell ref="C32:C33"/>
    <mergeCell ref="D32:D33"/>
    <mergeCell ref="E32:E33"/>
  </mergeCells>
  <pageMargins left="0.7" right="0.7" top="0.75" bottom="0.75" header="0.3" footer="0.3"/>
  <cellWatches>
    <cellWatch r="E169"/>
    <cellWatch r="G169"/>
  </cellWatch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B9830-61B9-A349-A8A7-ABF326DBFD41}">
  <dimension ref="A1:C30"/>
  <sheetViews>
    <sheetView workbookViewId="0">
      <selection activeCell="A7" sqref="A7"/>
    </sheetView>
  </sheetViews>
  <sheetFormatPr baseColWidth="10" defaultRowHeight="15"/>
  <sheetData>
    <row r="1" spans="1:3">
      <c r="A1" s="258" t="s">
        <v>1002</v>
      </c>
      <c r="B1" s="258"/>
      <c r="C1" s="258" t="s">
        <v>282</v>
      </c>
    </row>
    <row r="3" spans="1:3">
      <c r="A3" s="126" t="s">
        <v>1013</v>
      </c>
      <c r="C3" s="126" t="s">
        <v>1020</v>
      </c>
    </row>
    <row r="4" spans="1:3">
      <c r="A4" s="126" t="s">
        <v>1413</v>
      </c>
      <c r="C4" s="126" t="s">
        <v>1412</v>
      </c>
    </row>
    <row r="5" spans="1:3" ht="16" thickBot="1">
      <c r="A5" s="126" t="s">
        <v>1026</v>
      </c>
      <c r="C5" s="126" t="s">
        <v>1027</v>
      </c>
    </row>
    <row r="6" spans="1:3">
      <c r="A6" s="126" t="s">
        <v>1497</v>
      </c>
      <c r="C6" s="197" t="s">
        <v>1501</v>
      </c>
    </row>
    <row r="7" spans="1:3">
      <c r="A7" t="s">
        <v>224</v>
      </c>
      <c r="C7" s="126" t="s">
        <v>1022</v>
      </c>
    </row>
    <row r="8" spans="1:3">
      <c r="A8" t="s">
        <v>1008</v>
      </c>
      <c r="C8" s="126" t="s">
        <v>1023</v>
      </c>
    </row>
    <row r="9" spans="1:3">
      <c r="A9" t="s">
        <v>1003</v>
      </c>
      <c r="C9" s="126" t="s">
        <v>1031</v>
      </c>
    </row>
    <row r="10" spans="1:3">
      <c r="A10" t="s">
        <v>1006</v>
      </c>
      <c r="C10" s="126" t="s">
        <v>1024</v>
      </c>
    </row>
    <row r="11" spans="1:3">
      <c r="A11" t="s">
        <v>1007</v>
      </c>
      <c r="C11" s="126" t="s">
        <v>1025</v>
      </c>
    </row>
    <row r="12" spans="1:3">
      <c r="A12" t="s">
        <v>1004</v>
      </c>
      <c r="C12" s="126" t="s">
        <v>1030</v>
      </c>
    </row>
    <row r="13" spans="1:3">
      <c r="A13" s="126" t="s">
        <v>1044</v>
      </c>
      <c r="C13" s="126" t="s">
        <v>1043</v>
      </c>
    </row>
    <row r="14" spans="1:3">
      <c r="A14" t="s">
        <v>1005</v>
      </c>
      <c r="C14" s="126" t="s">
        <v>1028</v>
      </c>
    </row>
    <row r="15" spans="1:3">
      <c r="A15" s="126" t="s">
        <v>1014</v>
      </c>
      <c r="C15" s="126" t="s">
        <v>1038</v>
      </c>
    </row>
    <row r="16" spans="1:3">
      <c r="A16" s="126" t="s">
        <v>1034</v>
      </c>
      <c r="C16" s="126" t="s">
        <v>1035</v>
      </c>
    </row>
    <row r="17" spans="1:3">
      <c r="A17" s="126" t="s">
        <v>1010</v>
      </c>
      <c r="C17" s="126" t="s">
        <v>1039</v>
      </c>
    </row>
    <row r="18" spans="1:3">
      <c r="A18" s="126" t="s">
        <v>1012</v>
      </c>
      <c r="C18" s="126" t="s">
        <v>1042</v>
      </c>
    </row>
    <row r="19" spans="1:3">
      <c r="A19" s="126" t="s">
        <v>1016</v>
      </c>
      <c r="C19" s="126" t="s">
        <v>1036</v>
      </c>
    </row>
    <row r="20" spans="1:3">
      <c r="A20" s="126" t="s">
        <v>208</v>
      </c>
      <c r="C20" s="126" t="s">
        <v>1021</v>
      </c>
    </row>
    <row r="21" spans="1:3">
      <c r="A21" s="126" t="s">
        <v>1015</v>
      </c>
      <c r="C21" s="126" t="s">
        <v>1041</v>
      </c>
    </row>
    <row r="22" spans="1:3">
      <c r="A22" s="126" t="s">
        <v>1009</v>
      </c>
      <c r="C22" s="126" t="s">
        <v>1040</v>
      </c>
    </row>
    <row r="23" spans="1:3">
      <c r="A23" s="126" t="s">
        <v>1001</v>
      </c>
      <c r="C23" s="126" t="s">
        <v>1033</v>
      </c>
    </row>
    <row r="24" spans="1:3">
      <c r="A24" s="126" t="s">
        <v>1017</v>
      </c>
      <c r="C24" s="126" t="s">
        <v>1037</v>
      </c>
    </row>
    <row r="25" spans="1:3">
      <c r="A25" s="126" t="s">
        <v>1018</v>
      </c>
      <c r="C25" s="126" t="s">
        <v>1032</v>
      </c>
    </row>
    <row r="26" spans="1:3">
      <c r="A26" s="126" t="s">
        <v>1019</v>
      </c>
      <c r="C26" s="126" t="s">
        <v>1029</v>
      </c>
    </row>
    <row r="30" spans="1:3">
      <c r="C30" s="12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48FF-C4A8-D041-A935-2BAFA7F6494B}">
  <dimension ref="A1:X229"/>
  <sheetViews>
    <sheetView zoomScale="90" zoomScaleNormal="90" workbookViewId="0">
      <selection activeCell="A2" sqref="A2"/>
    </sheetView>
  </sheetViews>
  <sheetFormatPr baseColWidth="10" defaultRowHeight="15"/>
  <cols>
    <col min="1" max="5" width="10.83203125" style="6"/>
    <col min="6" max="6" width="15.6640625" style="6" bestFit="1" customWidth="1"/>
    <col min="7" max="16384" width="10.83203125" style="6"/>
  </cols>
  <sheetData>
    <row r="1" spans="1:24">
      <c r="A1" s="348" t="s">
        <v>1435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348"/>
      <c r="P1" s="10"/>
      <c r="Q1" s="10"/>
      <c r="R1" s="10"/>
      <c r="S1" s="10"/>
      <c r="T1" s="10"/>
      <c r="U1" s="10"/>
      <c r="V1" s="10"/>
      <c r="W1" s="10"/>
      <c r="X1" s="10"/>
    </row>
    <row r="2" spans="1:24">
      <c r="A2" s="348" t="s">
        <v>381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348"/>
      <c r="P2" s="10"/>
      <c r="Q2" s="10"/>
      <c r="R2" s="10"/>
      <c r="S2" s="10"/>
      <c r="T2" s="10"/>
      <c r="U2" s="10"/>
      <c r="V2" s="10"/>
      <c r="W2" s="10"/>
      <c r="X2" s="10"/>
    </row>
    <row r="3" spans="1:2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4">
      <c r="A4" s="348" t="s">
        <v>418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348"/>
      <c r="P4" s="10"/>
      <c r="Q4" s="10"/>
      <c r="R4" s="10"/>
      <c r="S4" s="10"/>
      <c r="T4" s="10"/>
      <c r="U4" s="10"/>
      <c r="V4" s="10"/>
      <c r="W4" s="10"/>
      <c r="X4" s="10"/>
    </row>
    <row r="5" spans="1:24">
      <c r="A5" s="10" t="s">
        <v>1056</v>
      </c>
      <c r="B5" s="10"/>
      <c r="C5" s="10"/>
      <c r="D5" s="10"/>
      <c r="E5" s="10"/>
      <c r="F5" s="348" t="s">
        <v>728</v>
      </c>
      <c r="G5" s="348" t="s">
        <v>416</v>
      </c>
      <c r="H5" s="348" t="s">
        <v>688</v>
      </c>
      <c r="I5" s="348" t="s">
        <v>960</v>
      </c>
      <c r="J5" s="348" t="s">
        <v>957</v>
      </c>
      <c r="K5" s="348" t="s">
        <v>379</v>
      </c>
      <c r="L5" s="348" t="s">
        <v>687</v>
      </c>
      <c r="M5" s="348" t="s">
        <v>489</v>
      </c>
      <c r="N5" s="348" t="s">
        <v>378</v>
      </c>
      <c r="O5" s="10"/>
      <c r="P5" s="191"/>
      <c r="Q5" s="191"/>
      <c r="R5" s="191"/>
      <c r="S5" s="10"/>
      <c r="T5" s="10"/>
      <c r="U5" s="10"/>
      <c r="V5" s="10"/>
      <c r="W5" s="10"/>
      <c r="X5" s="10"/>
    </row>
    <row r="6" spans="1:24">
      <c r="A6" s="10" t="s">
        <v>1057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219"/>
      <c r="P6" s="10"/>
      <c r="Q6" s="10"/>
      <c r="R6" s="10"/>
      <c r="S6" s="10"/>
      <c r="T6" s="10"/>
      <c r="U6" s="10"/>
      <c r="V6" s="10"/>
      <c r="W6" s="10"/>
      <c r="X6" s="10"/>
    </row>
    <row r="7" spans="1:24">
      <c r="A7" s="10" t="s">
        <v>348</v>
      </c>
      <c r="B7" s="10"/>
      <c r="C7" s="10"/>
      <c r="D7" s="10"/>
      <c r="E7" s="10"/>
      <c r="F7" s="10">
        <v>1</v>
      </c>
      <c r="G7" s="10">
        <v>1</v>
      </c>
      <c r="H7" s="10">
        <v>1</v>
      </c>
      <c r="I7" s="10">
        <v>1</v>
      </c>
      <c r="J7" s="10">
        <v>1</v>
      </c>
      <c r="K7" s="10">
        <v>1</v>
      </c>
      <c r="L7" s="10">
        <v>1</v>
      </c>
      <c r="M7" s="10">
        <v>1</v>
      </c>
      <c r="N7" s="10">
        <v>1</v>
      </c>
      <c r="O7" s="649"/>
      <c r="P7" s="10"/>
      <c r="Q7" s="10"/>
      <c r="R7" s="10"/>
      <c r="S7" s="10"/>
      <c r="T7" s="10"/>
      <c r="U7" s="10"/>
      <c r="V7" s="10"/>
      <c r="W7" s="10"/>
      <c r="X7" s="10"/>
    </row>
    <row r="8" spans="1:24">
      <c r="A8" s="10" t="s">
        <v>349</v>
      </c>
      <c r="B8" s="10"/>
      <c r="C8" s="10"/>
      <c r="D8" s="10"/>
      <c r="E8" s="10"/>
      <c r="F8" s="10" t="s">
        <v>13</v>
      </c>
      <c r="G8" s="10" t="s">
        <v>13</v>
      </c>
      <c r="H8" s="10" t="s">
        <v>13</v>
      </c>
      <c r="I8" s="10" t="s">
        <v>13</v>
      </c>
      <c r="J8" s="10" t="s">
        <v>13</v>
      </c>
      <c r="K8" s="10" t="s">
        <v>13</v>
      </c>
      <c r="L8" s="10" t="s">
        <v>13</v>
      </c>
      <c r="M8" s="10" t="s">
        <v>13</v>
      </c>
      <c r="N8" s="10" t="s">
        <v>13</v>
      </c>
      <c r="O8" s="649"/>
      <c r="P8" s="10"/>
      <c r="Q8" s="10"/>
      <c r="R8" s="10"/>
      <c r="S8" s="10"/>
      <c r="T8" s="10"/>
      <c r="U8" s="10"/>
      <c r="V8" s="10"/>
      <c r="W8" s="10"/>
      <c r="X8" s="10"/>
    </row>
    <row r="9" spans="1:24">
      <c r="A9" s="10" t="s">
        <v>1058</v>
      </c>
      <c r="B9" s="10"/>
      <c r="C9" s="10"/>
      <c r="D9" s="10"/>
      <c r="E9" s="10"/>
      <c r="F9" s="10">
        <v>984</v>
      </c>
      <c r="G9" s="10">
        <v>1007.9999999999999</v>
      </c>
      <c r="H9" s="10">
        <v>960</v>
      </c>
      <c r="I9" s="10">
        <v>898.56000000000006</v>
      </c>
      <c r="J9" s="10">
        <v>902.5</v>
      </c>
      <c r="K9" s="10">
        <v>1007.5</v>
      </c>
      <c r="L9" s="10">
        <v>963.6</v>
      </c>
      <c r="M9" s="10">
        <v>910.8</v>
      </c>
      <c r="N9" s="10">
        <v>1008</v>
      </c>
      <c r="O9" s="649"/>
      <c r="P9" s="10"/>
      <c r="Q9" s="10"/>
      <c r="R9" s="10"/>
      <c r="S9" s="10"/>
      <c r="T9" s="10"/>
      <c r="U9" s="10"/>
      <c r="V9" s="10"/>
      <c r="W9" s="10"/>
      <c r="X9" s="10"/>
    </row>
    <row r="10" spans="1:24">
      <c r="A10" s="10" t="s">
        <v>351</v>
      </c>
      <c r="B10" s="10"/>
      <c r="C10" s="10"/>
      <c r="D10" s="10"/>
      <c r="E10" s="10"/>
      <c r="F10" s="10">
        <v>422.76422764227641</v>
      </c>
      <c r="G10" s="10">
        <v>415.87301587301579</v>
      </c>
      <c r="H10" s="10">
        <v>438.54166666666663</v>
      </c>
      <c r="I10" s="10">
        <v>490.78525641025635</v>
      </c>
      <c r="J10" s="10">
        <v>479.77839335180056</v>
      </c>
      <c r="K10" s="10">
        <v>455.0868486352357</v>
      </c>
      <c r="L10" s="10">
        <v>435.86550435865502</v>
      </c>
      <c r="M10" s="10">
        <v>458.93719806763289</v>
      </c>
      <c r="N10" s="10">
        <v>410.71428571428567</v>
      </c>
      <c r="O10" s="649"/>
      <c r="P10" s="10"/>
      <c r="Q10" s="10"/>
      <c r="R10" s="10"/>
      <c r="S10" s="10"/>
      <c r="T10" s="10"/>
      <c r="U10" s="10"/>
      <c r="V10" s="10"/>
      <c r="W10" s="10"/>
      <c r="X10" s="10"/>
    </row>
    <row r="11" spans="1:24">
      <c r="A11" s="10" t="s">
        <v>1059</v>
      </c>
      <c r="B11" s="10"/>
      <c r="C11" s="10"/>
      <c r="D11" s="10"/>
      <c r="E11" s="10"/>
      <c r="F11" s="10">
        <v>416</v>
      </c>
      <c r="G11" s="10">
        <v>419.2</v>
      </c>
      <c r="H11" s="10">
        <v>421</v>
      </c>
      <c r="I11" s="10">
        <v>441</v>
      </c>
      <c r="J11" s="10">
        <v>433</v>
      </c>
      <c r="K11" s="10">
        <v>458.5</v>
      </c>
      <c r="L11" s="10">
        <v>420</v>
      </c>
      <c r="M11" s="10">
        <v>418</v>
      </c>
      <c r="N11" s="10">
        <v>414</v>
      </c>
      <c r="O11" s="649"/>
      <c r="P11" s="10"/>
      <c r="Q11" s="10"/>
      <c r="R11" s="10"/>
      <c r="S11" s="10"/>
      <c r="T11" s="10"/>
      <c r="U11" s="10"/>
      <c r="V11" s="10"/>
      <c r="W11" s="10"/>
      <c r="X11" s="10"/>
    </row>
    <row r="12" spans="1:24">
      <c r="A12" s="10" t="s">
        <v>1060</v>
      </c>
      <c r="B12" s="10"/>
      <c r="C12" s="10"/>
      <c r="D12" s="10"/>
      <c r="E12" s="10"/>
      <c r="F12" s="10">
        <v>353.6</v>
      </c>
      <c r="G12" s="10">
        <v>356.32</v>
      </c>
      <c r="H12" s="10">
        <v>357.85</v>
      </c>
      <c r="I12" s="10">
        <v>374.85</v>
      </c>
      <c r="J12" s="10">
        <v>368.05</v>
      </c>
      <c r="K12" s="10">
        <v>389.72500000000002</v>
      </c>
      <c r="L12" s="10">
        <v>357</v>
      </c>
      <c r="M12" s="10">
        <v>355.3</v>
      </c>
      <c r="N12" s="10">
        <v>351.9</v>
      </c>
      <c r="O12" s="649"/>
      <c r="P12" s="10"/>
      <c r="Q12" s="10"/>
      <c r="R12" s="10"/>
      <c r="S12" s="10"/>
      <c r="T12" s="10"/>
      <c r="U12" s="10"/>
      <c r="V12" s="10"/>
      <c r="W12" s="10"/>
      <c r="X12" s="10"/>
    </row>
    <row r="13" spans="1:24">
      <c r="A13" s="10" t="s">
        <v>352</v>
      </c>
      <c r="B13" s="10"/>
      <c r="C13" s="10"/>
      <c r="D13" s="10"/>
      <c r="E13" s="10"/>
      <c r="F13" s="10">
        <v>1073.7007858701791</v>
      </c>
      <c r="G13" s="10">
        <v>703.91911924118881</v>
      </c>
      <c r="H13" s="10">
        <v>688.06921219698654</v>
      </c>
      <c r="I13" s="10">
        <v>182.29670065318587</v>
      </c>
      <c r="J13" s="10">
        <v>261.28011227431409</v>
      </c>
      <c r="K13" s="10">
        <v>201.34256690480669</v>
      </c>
      <c r="L13" s="10">
        <v>1604.9498887602545</v>
      </c>
      <c r="M13" s="10">
        <v>2012.1473618137441</v>
      </c>
      <c r="N13" s="10">
        <v>5583.1395196144576</v>
      </c>
      <c r="O13" s="649"/>
      <c r="P13" s="10"/>
      <c r="Q13" s="10"/>
      <c r="R13" s="10"/>
      <c r="S13" s="10"/>
      <c r="T13" s="10"/>
      <c r="U13" s="10"/>
      <c r="V13" s="10"/>
      <c r="W13" s="10"/>
      <c r="X13" s="10"/>
    </row>
    <row r="14" spans="1:24">
      <c r="A14" s="10" t="s">
        <v>1061</v>
      </c>
      <c r="B14" s="10"/>
      <c r="C14" s="10"/>
      <c r="D14" s="10"/>
      <c r="E14" s="10"/>
      <c r="F14" s="10">
        <v>100</v>
      </c>
      <c r="G14" s="10">
        <v>100</v>
      </c>
      <c r="H14" s="10">
        <v>100</v>
      </c>
      <c r="I14" s="10">
        <v>100</v>
      </c>
      <c r="J14" s="10">
        <v>100</v>
      </c>
      <c r="K14" s="10">
        <v>100</v>
      </c>
      <c r="L14" s="10">
        <v>100</v>
      </c>
      <c r="M14" s="10">
        <v>100</v>
      </c>
      <c r="N14" s="10">
        <v>100</v>
      </c>
      <c r="O14" s="649"/>
      <c r="P14" s="10"/>
      <c r="Q14" s="10"/>
      <c r="R14" s="10"/>
      <c r="S14" s="10"/>
      <c r="T14" s="10"/>
      <c r="U14" s="10"/>
      <c r="V14" s="10"/>
      <c r="W14" s="10"/>
      <c r="X14" s="10"/>
    </row>
    <row r="15" spans="1:24">
      <c r="A15" s="10" t="s">
        <v>1062</v>
      </c>
      <c r="B15" s="10"/>
      <c r="C15" s="10"/>
      <c r="D15" s="10"/>
      <c r="E15" s="10"/>
      <c r="F15" s="10">
        <v>20</v>
      </c>
      <c r="G15" s="10">
        <v>20</v>
      </c>
      <c r="H15" s="10">
        <v>20</v>
      </c>
      <c r="I15" s="10">
        <v>20</v>
      </c>
      <c r="J15" s="10">
        <v>20</v>
      </c>
      <c r="K15" s="10">
        <v>20</v>
      </c>
      <c r="L15" s="10">
        <v>20</v>
      </c>
      <c r="M15" s="10">
        <v>20</v>
      </c>
      <c r="N15" s="10">
        <v>20</v>
      </c>
      <c r="O15" s="649"/>
      <c r="P15" s="10"/>
      <c r="Q15" s="10"/>
      <c r="R15" s="10"/>
      <c r="S15" s="10"/>
      <c r="T15" s="10"/>
      <c r="U15" s="10"/>
      <c r="V15" s="10"/>
      <c r="W15" s="10"/>
      <c r="X15" s="10"/>
    </row>
    <row r="16" spans="1:24">
      <c r="A16" s="10" t="s">
        <v>1063</v>
      </c>
      <c r="B16" s="10"/>
      <c r="C16" s="10"/>
      <c r="D16" s="10"/>
      <c r="E16" s="10"/>
      <c r="F16" s="10">
        <v>10</v>
      </c>
      <c r="G16" s="10">
        <v>10</v>
      </c>
      <c r="H16" s="10">
        <v>10</v>
      </c>
      <c r="I16" s="10">
        <v>10</v>
      </c>
      <c r="J16" s="10">
        <v>10</v>
      </c>
      <c r="K16" s="10">
        <v>10</v>
      </c>
      <c r="L16" s="10">
        <v>10</v>
      </c>
      <c r="M16" s="10">
        <v>10</v>
      </c>
      <c r="N16" s="10">
        <v>10</v>
      </c>
      <c r="O16" s="649"/>
      <c r="P16" s="10"/>
      <c r="Q16" s="10"/>
      <c r="R16" s="10"/>
      <c r="S16" s="10"/>
      <c r="T16" s="10"/>
      <c r="U16" s="10"/>
      <c r="V16" s="10"/>
      <c r="W16" s="10"/>
      <c r="X16" s="10"/>
    </row>
    <row r="17" spans="1:24">
      <c r="A17" s="10" t="s">
        <v>1064</v>
      </c>
      <c r="B17" s="10"/>
      <c r="C17" s="10"/>
      <c r="D17" s="10"/>
      <c r="E17" s="10"/>
      <c r="F17" s="10">
        <v>80</v>
      </c>
      <c r="G17" s="10">
        <v>80</v>
      </c>
      <c r="H17" s="10">
        <v>80</v>
      </c>
      <c r="I17" s="10">
        <v>80</v>
      </c>
      <c r="J17" s="10">
        <v>80</v>
      </c>
      <c r="K17" s="10">
        <v>80</v>
      </c>
      <c r="L17" s="10">
        <v>80</v>
      </c>
      <c r="M17" s="10">
        <v>80</v>
      </c>
      <c r="N17" s="10">
        <v>80</v>
      </c>
      <c r="O17" s="649"/>
      <c r="P17" s="10"/>
      <c r="Q17" s="10"/>
      <c r="R17" s="10"/>
      <c r="S17" s="10"/>
      <c r="T17" s="10"/>
      <c r="U17" s="10"/>
      <c r="V17" s="10"/>
      <c r="W17" s="10"/>
      <c r="X17" s="10"/>
    </row>
    <row r="18" spans="1:24">
      <c r="A18" s="10" t="s">
        <v>353</v>
      </c>
      <c r="B18" s="10"/>
      <c r="C18" s="10"/>
      <c r="D18" s="10"/>
      <c r="E18" s="10"/>
      <c r="F18" s="10">
        <v>645.55716790760596</v>
      </c>
      <c r="G18" s="10">
        <v>1075.0500674937705</v>
      </c>
      <c r="H18" s="10">
        <v>1288.1918947426943</v>
      </c>
      <c r="I18" s="10">
        <v>4242.1461122065966</v>
      </c>
      <c r="J18" s="10">
        <v>2913.1262805383112</v>
      </c>
      <c r="K18" s="10">
        <v>6572.9963080842945</v>
      </c>
      <c r="L18" s="10">
        <v>982.6570904991836</v>
      </c>
      <c r="M18" s="10">
        <v>757.99541706062189</v>
      </c>
      <c r="N18" s="10">
        <v>253.18498771797221</v>
      </c>
      <c r="O18" s="177"/>
      <c r="P18" s="10"/>
      <c r="Q18" s="10"/>
      <c r="R18" s="10"/>
      <c r="S18" s="10"/>
      <c r="T18" s="10"/>
      <c r="U18" s="10"/>
      <c r="V18" s="10"/>
      <c r="W18" s="10"/>
      <c r="X18" s="10"/>
    </row>
    <row r="19" spans="1:2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77"/>
      <c r="P19" s="10"/>
      <c r="Q19" s="10"/>
      <c r="R19" s="10"/>
      <c r="S19" s="10"/>
      <c r="T19" s="10"/>
      <c r="U19" s="10"/>
      <c r="V19" s="10"/>
      <c r="W19" s="10"/>
      <c r="X19" s="10"/>
    </row>
    <row r="20" spans="1:24">
      <c r="A20" s="10" t="s">
        <v>1065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649"/>
      <c r="P20" s="10"/>
      <c r="Q20" s="10"/>
      <c r="R20" s="10"/>
      <c r="S20" s="10"/>
      <c r="T20" s="10"/>
      <c r="U20" s="10"/>
      <c r="V20" s="10"/>
      <c r="W20" s="10"/>
      <c r="X20" s="10"/>
    </row>
    <row r="21" spans="1:24">
      <c r="A21" s="10" t="s">
        <v>1066</v>
      </c>
      <c r="B21" s="10"/>
      <c r="C21" s="10"/>
      <c r="D21" s="10"/>
      <c r="E21" s="10"/>
      <c r="F21" s="10">
        <v>12411.306662813773</v>
      </c>
      <c r="G21" s="10">
        <v>4487.5530491850923</v>
      </c>
      <c r="H21" s="10">
        <v>2936.6398269966348</v>
      </c>
      <c r="I21" s="10">
        <v>5216.4830491341436</v>
      </c>
      <c r="J21" s="10">
        <v>3416.200249640684</v>
      </c>
      <c r="K21" s="10">
        <v>970.02299474195502</v>
      </c>
      <c r="L21" s="10">
        <v>997.40851202004376</v>
      </c>
      <c r="M21" s="10">
        <v>1394.0697696975062</v>
      </c>
      <c r="N21" s="10">
        <v>4837.0400784413578</v>
      </c>
      <c r="O21" s="649"/>
      <c r="P21" s="10"/>
      <c r="Q21" s="10"/>
      <c r="R21" s="10"/>
      <c r="S21" s="10"/>
      <c r="T21" s="10"/>
      <c r="U21" s="10"/>
      <c r="V21" s="10"/>
      <c r="W21" s="10"/>
      <c r="X21" s="10"/>
    </row>
    <row r="22" spans="1:24">
      <c r="A22" s="10" t="s">
        <v>1067</v>
      </c>
      <c r="B22" s="10"/>
      <c r="C22" s="10"/>
      <c r="D22" s="10"/>
      <c r="E22" s="10"/>
      <c r="F22" s="10">
        <v>13808.391031656209</v>
      </c>
      <c r="G22" s="10">
        <v>5605.5978755904835</v>
      </c>
      <c r="H22" s="10">
        <v>3742.9085136215226</v>
      </c>
      <c r="I22" s="10">
        <v>10567.807235891118</v>
      </c>
      <c r="J22" s="10">
        <v>6491.216358575185</v>
      </c>
      <c r="K22" s="10">
        <v>2089.4190355946353</v>
      </c>
      <c r="L22" s="10">
        <v>1825.5217668546363</v>
      </c>
      <c r="M22" s="10">
        <v>2469.2771029654173</v>
      </c>
      <c r="N22" s="10">
        <v>5908.9088369829215</v>
      </c>
      <c r="O22" s="649"/>
      <c r="P22" s="10"/>
      <c r="Q22" s="10"/>
      <c r="R22" s="10"/>
      <c r="S22" s="10"/>
      <c r="T22" s="10"/>
      <c r="U22" s="10"/>
      <c r="V22" s="10"/>
      <c r="W22" s="10"/>
      <c r="X22" s="10"/>
    </row>
    <row r="23" spans="1:2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649"/>
      <c r="P23" s="10"/>
      <c r="Q23" s="10"/>
      <c r="R23" s="10"/>
      <c r="S23" s="10"/>
      <c r="T23" s="10"/>
      <c r="U23" s="10"/>
      <c r="V23" s="10"/>
      <c r="W23" s="10"/>
      <c r="X23" s="10"/>
    </row>
    <row r="24" spans="1:24">
      <c r="A24" s="10" t="s">
        <v>1068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649"/>
      <c r="P24" s="10"/>
      <c r="Q24" s="10"/>
      <c r="R24" s="10"/>
      <c r="S24" s="10"/>
      <c r="T24" s="10"/>
      <c r="U24" s="10"/>
      <c r="V24" s="10"/>
      <c r="W24" s="10"/>
      <c r="X24" s="10"/>
    </row>
    <row r="25" spans="1:24">
      <c r="A25" s="10" t="s">
        <v>1069</v>
      </c>
      <c r="B25" s="10"/>
      <c r="C25" s="10"/>
      <c r="D25" s="10"/>
      <c r="E25" s="10"/>
      <c r="F25" s="10">
        <v>33.517824617644926</v>
      </c>
      <c r="G25" s="10">
        <v>93.413937485624544</v>
      </c>
      <c r="H25" s="10">
        <v>143.36112863747604</v>
      </c>
      <c r="I25" s="10">
        <v>84.539716864065952</v>
      </c>
      <c r="J25" s="10">
        <v>126.74901011600329</v>
      </c>
      <c r="K25" s="10">
        <v>472.66920731293584</v>
      </c>
      <c r="L25" s="10">
        <v>421.09125292040795</v>
      </c>
      <c r="M25" s="10">
        <v>299.84152090945935</v>
      </c>
      <c r="N25" s="10">
        <v>85.589532707242626</v>
      </c>
      <c r="O25" s="649"/>
      <c r="P25" s="10"/>
      <c r="Q25" s="10"/>
      <c r="R25" s="10"/>
      <c r="S25" s="10"/>
      <c r="T25" s="10"/>
      <c r="U25" s="10"/>
      <c r="V25" s="10"/>
      <c r="W25" s="10"/>
      <c r="X25" s="10"/>
    </row>
    <row r="26" spans="1:24">
      <c r="A26" s="10" t="s">
        <v>1070</v>
      </c>
      <c r="B26" s="10"/>
      <c r="C26" s="10"/>
      <c r="D26" s="10"/>
      <c r="E26" s="10"/>
      <c r="F26" s="10">
        <v>30.12660917889027</v>
      </c>
      <c r="G26" s="10">
        <v>74.782388837665636</v>
      </c>
      <c r="H26" s="10">
        <v>112.47937224964481</v>
      </c>
      <c r="I26" s="10">
        <v>41.730511368739329</v>
      </c>
      <c r="J26" s="10">
        <v>66.705525756815646</v>
      </c>
      <c r="K26" s="10">
        <v>219.438988632318</v>
      </c>
      <c r="L26" s="10">
        <v>230.07120902406857</v>
      </c>
      <c r="M26" s="10">
        <v>169.28031264616402</v>
      </c>
      <c r="N26" s="10">
        <v>70.063697278394244</v>
      </c>
      <c r="O26" s="649"/>
      <c r="P26" s="10"/>
      <c r="Q26" s="10"/>
      <c r="R26" s="10"/>
      <c r="S26" s="10"/>
      <c r="T26" s="10"/>
      <c r="U26" s="10"/>
      <c r="V26" s="10"/>
      <c r="W26" s="10"/>
      <c r="X26" s="10"/>
    </row>
    <row r="27" spans="1:24">
      <c r="A27" s="10" t="s">
        <v>1071</v>
      </c>
      <c r="B27" s="10"/>
      <c r="C27" s="10"/>
      <c r="D27" s="10"/>
      <c r="E27" s="10"/>
      <c r="F27" s="10">
        <v>28.49015092499819</v>
      </c>
      <c r="G27" s="10">
        <v>79.401846862780857</v>
      </c>
      <c r="H27" s="10">
        <v>121.85695934185466</v>
      </c>
      <c r="I27" s="10">
        <v>71.858759334456067</v>
      </c>
      <c r="J27" s="10">
        <v>107.73665859860279</v>
      </c>
      <c r="K27" s="10">
        <v>401.76882621599549</v>
      </c>
      <c r="L27" s="10">
        <v>357.92756498234672</v>
      </c>
      <c r="M27" s="10">
        <v>254.86529277304049</v>
      </c>
      <c r="N27" s="10">
        <v>72.751102801156222</v>
      </c>
      <c r="O27" s="649"/>
      <c r="P27" s="10"/>
      <c r="Q27" s="10"/>
      <c r="R27" s="10"/>
      <c r="S27" s="10"/>
      <c r="T27" s="10"/>
      <c r="U27" s="10"/>
      <c r="V27" s="10"/>
      <c r="W27" s="10"/>
      <c r="X27" s="10"/>
    </row>
    <row r="28" spans="1:24">
      <c r="A28" s="10" t="s">
        <v>1072</v>
      </c>
      <c r="B28" s="10"/>
      <c r="C28" s="10"/>
      <c r="D28" s="10"/>
      <c r="E28" s="10"/>
      <c r="F28" s="10">
        <v>25.60761780205673</v>
      </c>
      <c r="G28" s="10">
        <v>63.565030512015802</v>
      </c>
      <c r="H28" s="10">
        <v>95.607466412198093</v>
      </c>
      <c r="I28" s="10">
        <v>35.47093466342843</v>
      </c>
      <c r="J28" s="10">
        <v>56.699696893293293</v>
      </c>
      <c r="K28" s="10">
        <v>186.52314033747029</v>
      </c>
      <c r="L28" s="10">
        <v>195.56052767045827</v>
      </c>
      <c r="M28" s="10">
        <v>143.88826574923942</v>
      </c>
      <c r="N28" s="10">
        <v>59.554142686635103</v>
      </c>
      <c r="O28" s="649"/>
      <c r="P28" s="10"/>
      <c r="Q28" s="10"/>
      <c r="R28" s="10"/>
      <c r="S28" s="10"/>
      <c r="T28" s="10"/>
      <c r="U28" s="10"/>
      <c r="V28" s="10"/>
      <c r="W28" s="10"/>
      <c r="X28" s="10"/>
    </row>
    <row r="29" spans="1:2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649"/>
      <c r="P29" s="10"/>
      <c r="Q29" s="10"/>
      <c r="R29" s="10"/>
      <c r="S29" s="10"/>
      <c r="T29" s="10"/>
      <c r="U29" s="10"/>
      <c r="V29" s="10"/>
      <c r="W29" s="10"/>
      <c r="X29" s="10"/>
    </row>
    <row r="30" spans="1:24">
      <c r="A30" s="10" t="s">
        <v>1073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649"/>
      <c r="P30" s="10"/>
      <c r="Q30" s="10"/>
      <c r="R30" s="10"/>
      <c r="S30" s="10"/>
      <c r="T30" s="10"/>
      <c r="U30" s="10"/>
      <c r="V30" s="10"/>
      <c r="W30" s="10"/>
      <c r="X30" s="10"/>
    </row>
    <row r="31" spans="1:24">
      <c r="A31" s="10" t="s">
        <v>1074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649"/>
      <c r="P31" s="10"/>
      <c r="Q31" s="10"/>
      <c r="R31" s="10"/>
      <c r="S31" s="10"/>
      <c r="T31" s="10"/>
      <c r="U31" s="10"/>
      <c r="V31" s="10"/>
      <c r="W31" s="10"/>
      <c r="X31" s="10"/>
    </row>
    <row r="32" spans="1:24">
      <c r="A32" s="10" t="s">
        <v>350</v>
      </c>
      <c r="B32" s="10"/>
      <c r="C32" s="10"/>
      <c r="D32" s="10"/>
      <c r="E32" s="10"/>
      <c r="F32" s="10">
        <v>9840</v>
      </c>
      <c r="G32" s="10">
        <v>3600</v>
      </c>
      <c r="H32" s="10">
        <v>2400</v>
      </c>
      <c r="I32" s="10">
        <v>4212</v>
      </c>
      <c r="J32" s="10">
        <v>2850</v>
      </c>
      <c r="K32" s="10">
        <v>775</v>
      </c>
      <c r="L32" s="10">
        <v>792</v>
      </c>
      <c r="M32" s="10">
        <v>1104</v>
      </c>
      <c r="N32" s="10">
        <v>4032</v>
      </c>
      <c r="O32" s="649"/>
      <c r="P32" s="10"/>
      <c r="Q32" s="10"/>
      <c r="R32" s="10"/>
      <c r="S32" s="10"/>
      <c r="T32" s="10"/>
      <c r="U32" s="10"/>
      <c r="V32" s="10"/>
      <c r="W32" s="10"/>
      <c r="X32" s="10"/>
    </row>
    <row r="33" spans="1:24">
      <c r="A33" s="10" t="s">
        <v>1075</v>
      </c>
      <c r="B33" s="10"/>
      <c r="C33" s="10"/>
      <c r="D33" s="10"/>
      <c r="E33" s="10"/>
      <c r="F33" s="10">
        <v>12</v>
      </c>
      <c r="G33" s="10">
        <v>16</v>
      </c>
      <c r="H33" s="10">
        <v>20</v>
      </c>
      <c r="I33" s="10">
        <v>36</v>
      </c>
      <c r="J33" s="10">
        <v>25</v>
      </c>
      <c r="K33" s="10">
        <v>25</v>
      </c>
      <c r="L33" s="10">
        <v>12</v>
      </c>
      <c r="M33" s="10">
        <v>12</v>
      </c>
      <c r="N33" s="10">
        <v>16</v>
      </c>
      <c r="O33" s="649"/>
      <c r="P33" s="10"/>
      <c r="Q33" s="10"/>
      <c r="R33" s="10"/>
      <c r="S33" s="10"/>
      <c r="T33" s="10"/>
      <c r="U33" s="10"/>
      <c r="V33" s="10"/>
      <c r="W33" s="10"/>
      <c r="X33" s="10"/>
    </row>
    <row r="34" spans="1:24">
      <c r="A34" s="10" t="s">
        <v>1076</v>
      </c>
      <c r="B34" s="10"/>
      <c r="C34" s="10"/>
      <c r="D34" s="10"/>
      <c r="E34" s="10"/>
      <c r="F34" s="10">
        <v>984</v>
      </c>
      <c r="G34" s="10">
        <v>1007.9999999999999</v>
      </c>
      <c r="H34" s="10">
        <v>960</v>
      </c>
      <c r="I34" s="10">
        <v>898.56000000000006</v>
      </c>
      <c r="J34" s="10">
        <v>902.5</v>
      </c>
      <c r="K34" s="10">
        <v>1007.5</v>
      </c>
      <c r="L34" s="10">
        <v>963.6</v>
      </c>
      <c r="M34" s="10">
        <v>910.8</v>
      </c>
      <c r="N34" s="10">
        <v>1008</v>
      </c>
      <c r="O34" s="649"/>
      <c r="P34" s="10"/>
      <c r="Q34" s="10"/>
      <c r="R34" s="10"/>
      <c r="S34" s="10"/>
      <c r="T34" s="10"/>
      <c r="U34" s="10"/>
      <c r="V34" s="10"/>
      <c r="W34" s="10"/>
      <c r="X34" s="10"/>
    </row>
    <row r="35" spans="1:24">
      <c r="A35" s="10" t="s">
        <v>355</v>
      </c>
      <c r="B35" s="10"/>
      <c r="C35" s="10"/>
      <c r="D35" s="10"/>
      <c r="E35" s="10"/>
      <c r="F35" s="10">
        <v>422.76422764227641</v>
      </c>
      <c r="G35" s="10">
        <v>415.87301587301585</v>
      </c>
      <c r="H35" s="10">
        <v>438.54166666666663</v>
      </c>
      <c r="I35" s="10">
        <v>490.78525641025635</v>
      </c>
      <c r="J35" s="10">
        <v>479.77839335180056</v>
      </c>
      <c r="K35" s="10">
        <v>455.0868486352357</v>
      </c>
      <c r="L35" s="10">
        <v>435.86550435865502</v>
      </c>
      <c r="M35" s="10">
        <v>458.93719806763289</v>
      </c>
      <c r="N35" s="10">
        <v>410.71428571428572</v>
      </c>
      <c r="O35" s="177"/>
      <c r="P35" s="10"/>
      <c r="Q35" s="10"/>
      <c r="R35" s="10"/>
      <c r="S35" s="10"/>
      <c r="T35" s="10"/>
      <c r="U35" s="10"/>
      <c r="V35" s="10"/>
      <c r="W35" s="10"/>
      <c r="X35" s="10"/>
    </row>
    <row r="36" spans="1:24">
      <c r="A36" s="10" t="s">
        <v>354</v>
      </c>
      <c r="B36" s="10"/>
      <c r="C36" s="10"/>
      <c r="D36" s="10"/>
      <c r="E36" s="10"/>
      <c r="F36" s="10">
        <v>411.17498959728317</v>
      </c>
      <c r="G36" s="10">
        <v>411.15411413498208</v>
      </c>
      <c r="H36" s="10">
        <v>411.35486167741902</v>
      </c>
      <c r="I36" s="10">
        <v>409.38865062704167</v>
      </c>
      <c r="J36" s="10">
        <v>411.23045478554343</v>
      </c>
      <c r="K36" s="10">
        <v>409.31344584085468</v>
      </c>
      <c r="L36" s="10">
        <v>412.63427829754164</v>
      </c>
      <c r="M36" s="10">
        <v>412.31851322381976</v>
      </c>
      <c r="N36" s="10">
        <v>412.10217087389503</v>
      </c>
      <c r="O36" s="177"/>
      <c r="P36" s="10"/>
      <c r="Q36" s="10"/>
      <c r="R36" s="10"/>
      <c r="S36" s="10"/>
      <c r="T36" s="10"/>
      <c r="U36" s="10"/>
      <c r="V36" s="10"/>
      <c r="W36" s="10"/>
      <c r="X36" s="10"/>
    </row>
    <row r="37" spans="1:24">
      <c r="A37" s="10" t="s">
        <v>1077</v>
      </c>
      <c r="B37" s="10"/>
      <c r="C37" s="10"/>
      <c r="D37" s="10"/>
      <c r="E37" s="10"/>
      <c r="F37" s="10">
        <v>349.49874115769069</v>
      </c>
      <c r="G37" s="10">
        <v>349.48099701473478</v>
      </c>
      <c r="H37" s="10">
        <v>349.65163242580616</v>
      </c>
      <c r="I37" s="10">
        <v>347.98035303298542</v>
      </c>
      <c r="J37" s="10">
        <v>349.54588656771193</v>
      </c>
      <c r="K37" s="10">
        <v>347.91642896472649</v>
      </c>
      <c r="L37" s="10">
        <v>350.7391365529104</v>
      </c>
      <c r="M37" s="10">
        <v>350.47073624024677</v>
      </c>
      <c r="N37" s="10">
        <v>350.28684524281078</v>
      </c>
      <c r="O37" s="177"/>
      <c r="P37" s="10"/>
      <c r="Q37" s="10"/>
      <c r="R37" s="10"/>
      <c r="S37" s="10"/>
      <c r="T37" s="10"/>
      <c r="U37" s="10"/>
      <c r="V37" s="10"/>
      <c r="W37" s="10"/>
      <c r="X37" s="10"/>
    </row>
    <row r="38" spans="1:24">
      <c r="A38" s="10" t="s">
        <v>1078</v>
      </c>
      <c r="B38" s="10"/>
      <c r="C38" s="10"/>
      <c r="D38" s="10"/>
      <c r="E38" s="10"/>
      <c r="F38" s="10">
        <v>1073.7007858701791</v>
      </c>
      <c r="G38" s="10">
        <v>703.91911924118881</v>
      </c>
      <c r="H38" s="10">
        <v>688.06921219698654</v>
      </c>
      <c r="I38" s="10">
        <v>182.29670065318587</v>
      </c>
      <c r="J38" s="10">
        <v>261.28011227431409</v>
      </c>
      <c r="K38" s="10">
        <v>201.34256690480669</v>
      </c>
      <c r="L38" s="10">
        <v>1604.9498887602545</v>
      </c>
      <c r="M38" s="10">
        <v>2012.1473618137441</v>
      </c>
      <c r="N38" s="10">
        <v>5583.1395196144576</v>
      </c>
      <c r="O38" s="177"/>
      <c r="P38" s="10"/>
      <c r="Q38" s="10"/>
      <c r="R38" s="10"/>
      <c r="S38" s="10"/>
      <c r="T38" s="10"/>
      <c r="U38" s="10"/>
      <c r="V38" s="10"/>
      <c r="W38" s="10"/>
      <c r="X38" s="10"/>
    </row>
    <row r="39" spans="1:24">
      <c r="A39" s="10" t="s">
        <v>1079</v>
      </c>
      <c r="B39" s="10"/>
      <c r="C39" s="10"/>
      <c r="D39" s="10"/>
      <c r="E39" s="10"/>
      <c r="F39" s="10">
        <v>100</v>
      </c>
      <c r="G39" s="10">
        <v>100</v>
      </c>
      <c r="H39" s="10">
        <v>100</v>
      </c>
      <c r="I39" s="10">
        <v>100</v>
      </c>
      <c r="J39" s="10">
        <v>100</v>
      </c>
      <c r="K39" s="10">
        <v>100</v>
      </c>
      <c r="L39" s="10">
        <v>100</v>
      </c>
      <c r="M39" s="10">
        <v>100</v>
      </c>
      <c r="N39" s="10">
        <v>100</v>
      </c>
      <c r="O39" s="177"/>
      <c r="P39" s="10"/>
      <c r="Q39" s="10"/>
      <c r="R39" s="10"/>
      <c r="S39" s="10"/>
      <c r="T39" s="10"/>
      <c r="U39" s="10"/>
      <c r="V39" s="10"/>
      <c r="W39" s="10"/>
      <c r="X39" s="10"/>
    </row>
    <row r="40" spans="1:2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77"/>
      <c r="P40" s="10"/>
      <c r="Q40" s="10"/>
      <c r="R40" s="10"/>
      <c r="S40" s="10"/>
      <c r="T40" s="10"/>
      <c r="U40" s="10"/>
      <c r="V40" s="10"/>
      <c r="W40" s="10"/>
      <c r="X40" s="10"/>
    </row>
    <row r="41" spans="1:24">
      <c r="A41" s="10" t="s">
        <v>1080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219"/>
      <c r="P41" s="10"/>
      <c r="Q41" s="10"/>
      <c r="R41" s="10"/>
      <c r="S41" s="10"/>
      <c r="T41" s="10"/>
      <c r="U41" s="10"/>
      <c r="V41" s="10"/>
      <c r="W41" s="10"/>
      <c r="X41" s="10"/>
    </row>
    <row r="42" spans="1:24">
      <c r="A42" s="10" t="s">
        <v>1081</v>
      </c>
      <c r="B42" s="10"/>
      <c r="C42" s="10"/>
      <c r="D42" s="10"/>
      <c r="E42" s="10"/>
      <c r="F42" s="10">
        <v>50266.799999999996</v>
      </c>
      <c r="G42" s="10">
        <v>18444.400000000001</v>
      </c>
      <c r="H42" s="10">
        <v>12326</v>
      </c>
      <c r="I42" s="10">
        <v>14408.399999999998</v>
      </c>
      <c r="J42" s="10">
        <v>11714</v>
      </c>
      <c r="K42" s="10">
        <v>3248</v>
      </c>
      <c r="L42" s="10">
        <v>5469.9999999999991</v>
      </c>
      <c r="M42" s="10">
        <v>7591.5999999999995</v>
      </c>
      <c r="N42" s="10">
        <v>20647.599999999999</v>
      </c>
      <c r="O42" s="336"/>
      <c r="P42" s="10"/>
      <c r="Q42" s="10"/>
      <c r="R42" s="10"/>
      <c r="S42" s="10"/>
      <c r="T42" s="10"/>
      <c r="U42" s="10"/>
      <c r="V42" s="10"/>
      <c r="W42" s="10"/>
      <c r="X42" s="10"/>
    </row>
    <row r="43" spans="1:24">
      <c r="A43" s="10" t="s">
        <v>1082</v>
      </c>
      <c r="B43" s="10"/>
      <c r="C43" s="10"/>
      <c r="D43" s="10"/>
      <c r="E43" s="10"/>
      <c r="F43" s="10">
        <v>1648.2924984422746</v>
      </c>
      <c r="G43" s="10">
        <v>1633.8325265153283</v>
      </c>
      <c r="H43" s="10">
        <v>1615.0911202409466</v>
      </c>
      <c r="I43" s="10">
        <v>2436.0557001488028</v>
      </c>
      <c r="J43" s="10">
        <v>1999.518876347383</v>
      </c>
      <c r="K43" s="10">
        <v>2013.9966933156286</v>
      </c>
      <c r="L43" s="10">
        <v>1230.2281564753264</v>
      </c>
      <c r="M43" s="10">
        <v>1236.5833537939814</v>
      </c>
      <c r="N43" s="10">
        <v>1603.3044543274657</v>
      </c>
      <c r="O43" s="650"/>
      <c r="P43" s="10"/>
      <c r="Q43" s="10"/>
      <c r="R43" s="10"/>
      <c r="S43" s="10"/>
      <c r="T43" s="10"/>
      <c r="U43" s="10"/>
      <c r="V43" s="10"/>
      <c r="W43" s="10"/>
      <c r="X43" s="10"/>
    </row>
    <row r="44" spans="1:24">
      <c r="A44" s="10" t="s">
        <v>1083</v>
      </c>
      <c r="B44" s="10"/>
      <c r="C44" s="10"/>
      <c r="D44" s="10"/>
      <c r="E44" s="10"/>
      <c r="F44" s="10">
        <v>149.67437487018952</v>
      </c>
      <c r="G44" s="10">
        <v>148.46937720961068</v>
      </c>
      <c r="H44" s="10">
        <v>146.90759335341221</v>
      </c>
      <c r="I44" s="10">
        <v>148.01420556382237</v>
      </c>
      <c r="J44" s="10">
        <v>145.16792508982553</v>
      </c>
      <c r="K44" s="10">
        <v>146.13311288770856</v>
      </c>
      <c r="L44" s="10">
        <v>146.98090627503626</v>
      </c>
      <c r="M44" s="10">
        <v>147.68703931044234</v>
      </c>
      <c r="N44" s="10">
        <v>145.92537119395547</v>
      </c>
      <c r="O44" s="650"/>
      <c r="P44" s="10"/>
      <c r="Q44" s="10"/>
      <c r="R44" s="10"/>
      <c r="S44" s="10"/>
      <c r="T44" s="10"/>
      <c r="U44" s="10"/>
      <c r="V44" s="10"/>
      <c r="W44" s="10"/>
      <c r="X44" s="10"/>
    </row>
    <row r="45" spans="1:24">
      <c r="A45" s="10" t="s">
        <v>358</v>
      </c>
      <c r="B45" s="10"/>
      <c r="C45" s="10"/>
      <c r="D45" s="10"/>
      <c r="E45" s="10"/>
      <c r="F45" s="10">
        <v>12409.306662813773</v>
      </c>
      <c r="G45" s="10">
        <v>4484.7530491850921</v>
      </c>
      <c r="H45" s="10">
        <v>2933.8398269966347</v>
      </c>
      <c r="I45" s="10">
        <v>5213.6830491341434</v>
      </c>
      <c r="J45" s="10">
        <v>3413.4002496406838</v>
      </c>
      <c r="K45" s="10">
        <v>967.22299474195506</v>
      </c>
      <c r="L45" s="10">
        <v>994.6085120200438</v>
      </c>
      <c r="M45" s="10">
        <v>1392.0697696975062</v>
      </c>
      <c r="N45" s="10">
        <v>4835.8400784413579</v>
      </c>
      <c r="O45" s="650"/>
      <c r="P45" s="10"/>
      <c r="Q45" s="10"/>
      <c r="R45" s="10"/>
      <c r="S45" s="10"/>
      <c r="T45" s="10"/>
      <c r="U45" s="10"/>
      <c r="V45" s="10"/>
      <c r="W45" s="10"/>
      <c r="X45" s="10"/>
    </row>
    <row r="46" spans="1:24">
      <c r="A46" s="10" t="s">
        <v>356</v>
      </c>
      <c r="B46" s="10"/>
      <c r="C46" s="10"/>
      <c r="D46" s="10"/>
      <c r="E46" s="10"/>
      <c r="F46" s="10">
        <v>13803.391031656209</v>
      </c>
      <c r="G46" s="10">
        <v>5598.5978755904835</v>
      </c>
      <c r="H46" s="10">
        <v>3735.9085136215226</v>
      </c>
      <c r="I46" s="10">
        <v>10560.807235891118</v>
      </c>
      <c r="J46" s="10">
        <v>6484.216358575185</v>
      </c>
      <c r="K46" s="10">
        <v>2082.4190355946353</v>
      </c>
      <c r="L46" s="10">
        <v>1818.5217668546363</v>
      </c>
      <c r="M46" s="10">
        <v>2464.2771029654173</v>
      </c>
      <c r="N46" s="10">
        <v>5905.9088369829215</v>
      </c>
      <c r="O46" s="650"/>
      <c r="P46" s="10"/>
      <c r="Q46" s="10"/>
      <c r="R46" s="10"/>
      <c r="S46" s="10"/>
      <c r="T46" s="10"/>
      <c r="U46" s="10"/>
      <c r="V46" s="10"/>
      <c r="W46" s="10"/>
      <c r="X46" s="10"/>
    </row>
    <row r="47" spans="1:2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650"/>
      <c r="P47" s="10"/>
      <c r="Q47" s="10"/>
      <c r="R47" s="10"/>
      <c r="S47" s="10"/>
      <c r="T47" s="10"/>
      <c r="U47" s="10"/>
      <c r="V47" s="10"/>
      <c r="W47" s="10"/>
      <c r="X47" s="10"/>
    </row>
    <row r="48" spans="1:24">
      <c r="A48" s="10" t="s">
        <v>1084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650"/>
      <c r="P48" s="10"/>
      <c r="Q48" s="10"/>
      <c r="R48" s="10"/>
      <c r="S48" s="10"/>
      <c r="T48" s="10"/>
      <c r="U48" s="10"/>
      <c r="V48" s="10"/>
      <c r="W48" s="10"/>
      <c r="X48" s="10"/>
    </row>
    <row r="49" spans="1:24">
      <c r="A49" s="10" t="s">
        <v>1085</v>
      </c>
      <c r="B49" s="10"/>
      <c r="C49" s="10"/>
      <c r="D49" s="10"/>
      <c r="E49" s="10"/>
      <c r="F49" s="10">
        <v>2.6112988703952862</v>
      </c>
      <c r="G49" s="10">
        <v>1.7120566109915949</v>
      </c>
      <c r="H49" s="10">
        <v>1.6726901181894005</v>
      </c>
      <c r="I49" s="10">
        <v>0.44529006940952182</v>
      </c>
      <c r="J49" s="10">
        <v>0.6353617764291597</v>
      </c>
      <c r="K49" s="10">
        <v>0.49190313426227089</v>
      </c>
      <c r="L49" s="10">
        <v>3.8895214798489421</v>
      </c>
      <c r="M49" s="10">
        <v>4.880080077125923</v>
      </c>
      <c r="N49" s="10">
        <v>13.547949790642868</v>
      </c>
      <c r="O49" s="650"/>
      <c r="P49" s="10"/>
      <c r="Q49" s="10"/>
      <c r="R49" s="10"/>
      <c r="S49" s="10"/>
      <c r="T49" s="10"/>
      <c r="U49" s="10"/>
      <c r="V49" s="10"/>
      <c r="W49" s="10"/>
      <c r="X49" s="10"/>
    </row>
    <row r="50" spans="1:24">
      <c r="A50" s="10" t="s">
        <v>1086</v>
      </c>
      <c r="B50" s="10"/>
      <c r="C50" s="10"/>
      <c r="D50" s="10"/>
      <c r="E50" s="10"/>
      <c r="F50" s="10">
        <v>0.24320545395512244</v>
      </c>
      <c r="G50" s="10">
        <v>0.24321780218687039</v>
      </c>
      <c r="H50" s="10">
        <v>0.24309910813311147</v>
      </c>
      <c r="I50" s="10">
        <v>0.24426666407785028</v>
      </c>
      <c r="J50" s="10">
        <v>0.24317265133524699</v>
      </c>
      <c r="K50" s="10">
        <v>0.24431154416285908</v>
      </c>
      <c r="L50" s="10">
        <v>0.24234535340249208</v>
      </c>
      <c r="M50" s="10">
        <v>0.24253094826648441</v>
      </c>
      <c r="N50" s="10">
        <v>0.24265827037004475</v>
      </c>
      <c r="O50" s="650"/>
      <c r="P50" s="10"/>
      <c r="Q50" s="10"/>
      <c r="R50" s="10"/>
      <c r="S50" s="10"/>
      <c r="T50" s="10"/>
      <c r="U50" s="10"/>
      <c r="V50" s="10"/>
      <c r="W50" s="10"/>
      <c r="X50" s="10"/>
    </row>
    <row r="51" spans="1:24">
      <c r="A51" s="10" t="s">
        <v>359</v>
      </c>
      <c r="B51" s="10"/>
      <c r="C51" s="10"/>
      <c r="D51" s="10"/>
      <c r="E51" s="10"/>
      <c r="F51" s="10">
        <v>33.13440474715857</v>
      </c>
      <c r="G51" s="10">
        <v>91.678206051878675</v>
      </c>
      <c r="H51" s="10">
        <v>140.21040204451859</v>
      </c>
      <c r="I51" s="10">
        <v>78.521967440086414</v>
      </c>
      <c r="J51" s="10">
        <v>120.47531045585181</v>
      </c>
      <c r="K51" s="10">
        <v>423.18415511828812</v>
      </c>
      <c r="L51" s="10">
        <v>414.87105057997542</v>
      </c>
      <c r="M51" s="10">
        <v>296.19098280786295</v>
      </c>
      <c r="N51" s="10">
        <v>85.218320744535433</v>
      </c>
      <c r="O51" s="336"/>
      <c r="P51" s="10"/>
      <c r="Q51" s="10"/>
      <c r="R51" s="10"/>
      <c r="S51" s="10"/>
      <c r="T51" s="10"/>
      <c r="U51" s="10"/>
      <c r="V51" s="10"/>
      <c r="W51" s="10"/>
      <c r="X51" s="10"/>
    </row>
    <row r="52" spans="1:24">
      <c r="A52" s="10" t="s">
        <v>357</v>
      </c>
      <c r="B52" s="10"/>
      <c r="C52" s="10"/>
      <c r="D52" s="10"/>
      <c r="E52" s="10"/>
      <c r="F52" s="10">
        <v>29.787969394934116</v>
      </c>
      <c r="G52" s="10">
        <v>73.438765075017585</v>
      </c>
      <c r="H52" s="10">
        <v>110.10838733806654</v>
      </c>
      <c r="I52" s="10">
        <v>38.764901345393938</v>
      </c>
      <c r="J52" s="10">
        <v>63.420224132666903</v>
      </c>
      <c r="K52" s="10">
        <v>196.55671545663483</v>
      </c>
      <c r="L52" s="10">
        <v>226.90642796717518</v>
      </c>
      <c r="M52" s="10">
        <v>167.31824222513424</v>
      </c>
      <c r="N52" s="10">
        <v>69.777943115766178</v>
      </c>
      <c r="O52" s="336"/>
      <c r="P52" s="10"/>
      <c r="Q52" s="10"/>
      <c r="R52" s="10"/>
      <c r="S52" s="10"/>
      <c r="T52" s="10"/>
      <c r="U52" s="10"/>
      <c r="V52" s="10"/>
      <c r="W52" s="10"/>
      <c r="X52" s="10"/>
    </row>
    <row r="53" spans="1:24">
      <c r="A53" s="10" t="s">
        <v>1087</v>
      </c>
      <c r="B53" s="10"/>
      <c r="C53" s="10"/>
      <c r="D53" s="10"/>
      <c r="E53" s="10"/>
      <c r="F53" s="10">
        <v>28.164244035084785</v>
      </c>
      <c r="G53" s="10">
        <v>77.926475144096884</v>
      </c>
      <c r="H53" s="10">
        <v>119.1788417378408</v>
      </c>
      <c r="I53" s="10">
        <v>66.743672324073458</v>
      </c>
      <c r="J53" s="10">
        <v>102.40401388747404</v>
      </c>
      <c r="K53" s="10">
        <v>359.70653185054493</v>
      </c>
      <c r="L53" s="10">
        <v>352.64039299297906</v>
      </c>
      <c r="M53" s="10">
        <v>251.76233538668347</v>
      </c>
      <c r="N53" s="10">
        <v>72.435572632855113</v>
      </c>
      <c r="O53" s="219"/>
      <c r="P53" s="10"/>
      <c r="Q53" s="10"/>
      <c r="R53" s="10"/>
      <c r="S53" s="10"/>
      <c r="T53" s="10"/>
      <c r="U53" s="10"/>
      <c r="V53" s="10"/>
      <c r="W53" s="10"/>
      <c r="X53" s="10"/>
    </row>
    <row r="54" spans="1:24">
      <c r="A54" s="10" t="s">
        <v>1088</v>
      </c>
      <c r="B54" s="10"/>
      <c r="C54" s="10"/>
      <c r="D54" s="10"/>
      <c r="E54" s="10"/>
      <c r="F54" s="10">
        <v>25.319773985693995</v>
      </c>
      <c r="G54" s="10">
        <v>62.422950313764957</v>
      </c>
      <c r="H54" s="10">
        <v>93.592129237356545</v>
      </c>
      <c r="I54" s="10">
        <v>32.950166143584852</v>
      </c>
      <c r="J54" s="10">
        <v>53.907190512766867</v>
      </c>
      <c r="K54" s="10">
        <v>167.07320813813965</v>
      </c>
      <c r="L54" s="10">
        <v>192.87046377209887</v>
      </c>
      <c r="M54" s="10">
        <v>142.2205058913641</v>
      </c>
      <c r="N54" s="10">
        <v>59.311251648401246</v>
      </c>
      <c r="O54" s="177"/>
      <c r="P54" s="10"/>
      <c r="Q54" s="10"/>
      <c r="R54" s="10"/>
      <c r="S54" s="10"/>
      <c r="T54" s="10"/>
      <c r="U54" s="10"/>
      <c r="V54" s="10"/>
      <c r="W54" s="10"/>
      <c r="X54" s="10"/>
    </row>
    <row r="55" spans="1:24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651"/>
      <c r="P55" s="10"/>
      <c r="Q55" s="10"/>
      <c r="R55" s="10"/>
      <c r="S55" s="10"/>
      <c r="T55" s="10"/>
      <c r="U55" s="10"/>
      <c r="V55" s="10"/>
      <c r="W55" s="10"/>
      <c r="X55" s="10"/>
    </row>
    <row r="56" spans="1:24">
      <c r="A56" s="10" t="s">
        <v>1089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77"/>
      <c r="P56" s="10"/>
      <c r="Q56" s="10"/>
      <c r="R56" s="10"/>
      <c r="S56" s="10"/>
      <c r="T56" s="10"/>
      <c r="U56" s="10"/>
      <c r="V56" s="10"/>
      <c r="W56" s="10"/>
      <c r="X56" s="10"/>
    </row>
    <row r="57" spans="1:24">
      <c r="A57" s="10" t="s">
        <v>1090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77"/>
      <c r="P57" s="10"/>
      <c r="Q57" s="10"/>
      <c r="R57" s="10"/>
      <c r="S57" s="10"/>
      <c r="T57" s="10"/>
      <c r="U57" s="10"/>
      <c r="V57" s="10"/>
      <c r="W57" s="10"/>
      <c r="X57" s="10"/>
    </row>
    <row r="58" spans="1:24">
      <c r="A58" s="10" t="s">
        <v>1091</v>
      </c>
      <c r="B58" s="10"/>
      <c r="C58" s="10"/>
      <c r="D58" s="10"/>
      <c r="E58" s="10"/>
      <c r="F58" s="10">
        <v>820</v>
      </c>
      <c r="G58" s="10">
        <v>225</v>
      </c>
      <c r="H58" s="10">
        <v>120</v>
      </c>
      <c r="I58" s="10">
        <v>117</v>
      </c>
      <c r="J58" s="10">
        <v>114</v>
      </c>
      <c r="K58" s="10">
        <v>31</v>
      </c>
      <c r="L58" s="10">
        <v>66</v>
      </c>
      <c r="M58" s="10">
        <v>92</v>
      </c>
      <c r="N58" s="10">
        <v>252</v>
      </c>
      <c r="O58" s="177"/>
      <c r="P58" s="10"/>
      <c r="Q58" s="10"/>
      <c r="R58" s="10"/>
      <c r="S58" s="10"/>
      <c r="T58" s="10"/>
      <c r="U58" s="10"/>
      <c r="V58" s="10"/>
      <c r="W58" s="10"/>
      <c r="X58" s="10"/>
    </row>
    <row r="59" spans="1:24">
      <c r="A59" s="10" t="s">
        <v>1092</v>
      </c>
      <c r="B59" s="10"/>
      <c r="C59" s="10"/>
      <c r="D59" s="10"/>
      <c r="E59" s="10"/>
      <c r="F59" s="10">
        <v>82</v>
      </c>
      <c r="G59" s="10">
        <v>63</v>
      </c>
      <c r="H59" s="10">
        <v>48</v>
      </c>
      <c r="I59" s="10">
        <v>24.959999999999997</v>
      </c>
      <c r="J59" s="10">
        <v>36.1</v>
      </c>
      <c r="K59" s="10">
        <v>40.300000000000004</v>
      </c>
      <c r="L59" s="10">
        <v>80.3</v>
      </c>
      <c r="M59" s="10">
        <v>75.899999999999991</v>
      </c>
      <c r="N59" s="10">
        <v>63</v>
      </c>
      <c r="O59" s="652"/>
      <c r="P59" s="10"/>
      <c r="Q59" s="10"/>
      <c r="R59" s="10"/>
      <c r="S59" s="10"/>
      <c r="T59" s="10"/>
      <c r="U59" s="10"/>
      <c r="V59" s="10"/>
      <c r="W59" s="10"/>
      <c r="X59" s="10"/>
    </row>
    <row r="60" spans="1:24">
      <c r="A60" s="10" t="s">
        <v>1093</v>
      </c>
      <c r="B60" s="10"/>
      <c r="C60" s="10"/>
      <c r="D60" s="10"/>
      <c r="E60" s="10"/>
      <c r="F60" s="10">
        <v>422.76422764227641</v>
      </c>
      <c r="G60" s="10">
        <v>415.87301587301585</v>
      </c>
      <c r="H60" s="10">
        <v>438.54166666666663</v>
      </c>
      <c r="I60" s="10">
        <v>490.78525641025635</v>
      </c>
      <c r="J60" s="10">
        <v>479.77839335180056</v>
      </c>
      <c r="K60" s="10">
        <v>455.0868486352357</v>
      </c>
      <c r="L60" s="10">
        <v>435.86550435865502</v>
      </c>
      <c r="M60" s="10">
        <v>458.93719806763289</v>
      </c>
      <c r="N60" s="10">
        <v>410.71428571428572</v>
      </c>
      <c r="O60" s="177"/>
      <c r="P60" s="10"/>
      <c r="Q60" s="10"/>
      <c r="R60" s="10"/>
      <c r="S60" s="10"/>
      <c r="T60" s="10"/>
      <c r="U60" s="10"/>
      <c r="V60" s="10"/>
      <c r="W60" s="10"/>
      <c r="X60" s="10"/>
    </row>
    <row r="61" spans="1:24">
      <c r="A61" s="10" t="s">
        <v>1094</v>
      </c>
      <c r="B61" s="10"/>
      <c r="C61" s="10"/>
      <c r="D61" s="10"/>
      <c r="E61" s="10"/>
      <c r="F61" s="10">
        <v>34.666666666666664</v>
      </c>
      <c r="G61" s="10">
        <v>26.2</v>
      </c>
      <c r="H61" s="10">
        <v>21.05</v>
      </c>
      <c r="I61" s="10">
        <v>12.249999999999996</v>
      </c>
      <c r="J61" s="10">
        <v>17.32</v>
      </c>
      <c r="K61" s="10">
        <v>18.34</v>
      </c>
      <c r="L61" s="10">
        <v>35</v>
      </c>
      <c r="M61" s="10">
        <v>34.833333333333336</v>
      </c>
      <c r="N61" s="10">
        <v>25.875</v>
      </c>
      <c r="O61" s="177"/>
      <c r="P61" s="10"/>
      <c r="Q61" s="10"/>
      <c r="R61" s="10"/>
      <c r="S61" s="10"/>
      <c r="T61" s="10"/>
      <c r="U61" s="10"/>
      <c r="V61" s="10"/>
      <c r="W61" s="10"/>
      <c r="X61" s="10"/>
    </row>
    <row r="62" spans="1:24">
      <c r="A62" s="10" t="s">
        <v>1095</v>
      </c>
      <c r="B62" s="10"/>
      <c r="C62" s="10"/>
      <c r="D62" s="10"/>
      <c r="E62" s="10"/>
      <c r="F62" s="10">
        <v>29.466666666666665</v>
      </c>
      <c r="G62" s="10">
        <v>22.27</v>
      </c>
      <c r="H62" s="10">
        <v>17.892499999999998</v>
      </c>
      <c r="I62" s="10">
        <v>10.412499999999998</v>
      </c>
      <c r="J62" s="10">
        <v>14.722000000000001</v>
      </c>
      <c r="K62" s="10">
        <v>15.589</v>
      </c>
      <c r="L62" s="10">
        <v>29.75</v>
      </c>
      <c r="M62" s="10">
        <v>29.608333333333334</v>
      </c>
      <c r="N62" s="10">
        <v>21.993749999999999</v>
      </c>
      <c r="O62" s="177"/>
      <c r="P62" s="10"/>
      <c r="Q62" s="10"/>
      <c r="R62" s="10"/>
      <c r="S62" s="10"/>
      <c r="T62" s="10"/>
      <c r="U62" s="10"/>
      <c r="V62" s="10"/>
      <c r="W62" s="10"/>
      <c r="X62" s="10"/>
    </row>
    <row r="63" spans="1:24">
      <c r="A63" s="10" t="s">
        <v>1096</v>
      </c>
      <c r="B63" s="10"/>
      <c r="C63" s="10"/>
      <c r="D63" s="10"/>
      <c r="E63" s="10"/>
      <c r="F63" s="10">
        <v>89.475065489181588</v>
      </c>
      <c r="G63" s="10">
        <v>43.994944952574301</v>
      </c>
      <c r="H63" s="10">
        <v>34.403460609849326</v>
      </c>
      <c r="I63" s="10">
        <v>5.0637972403662737</v>
      </c>
      <c r="J63" s="10">
        <v>10.451204490972565</v>
      </c>
      <c r="K63" s="10">
        <v>8.0537026761922679</v>
      </c>
      <c r="L63" s="10">
        <v>133.74582406335455</v>
      </c>
      <c r="M63" s="10">
        <v>167.678946817812</v>
      </c>
      <c r="N63" s="10">
        <v>348.9462199759036</v>
      </c>
      <c r="O63" s="177"/>
      <c r="P63" s="10"/>
      <c r="Q63" s="10"/>
      <c r="R63" s="10"/>
      <c r="S63" s="10"/>
      <c r="T63" s="10"/>
      <c r="U63" s="10"/>
      <c r="V63" s="10"/>
      <c r="W63" s="10"/>
      <c r="X63" s="10"/>
    </row>
    <row r="64" spans="1:24">
      <c r="A64" s="10" t="s">
        <v>1097</v>
      </c>
      <c r="B64" s="10"/>
      <c r="C64" s="10"/>
      <c r="D64" s="10"/>
      <c r="E64" s="10"/>
      <c r="F64" s="10">
        <v>8.3333333333333339</v>
      </c>
      <c r="G64" s="10">
        <v>6.25</v>
      </c>
      <c r="H64" s="10">
        <v>5</v>
      </c>
      <c r="I64" s="10">
        <v>2.7777777777777777</v>
      </c>
      <c r="J64" s="10">
        <v>4</v>
      </c>
      <c r="K64" s="10">
        <v>4</v>
      </c>
      <c r="L64" s="10">
        <v>8.3333333333333339</v>
      </c>
      <c r="M64" s="10">
        <v>8.3333333333333339</v>
      </c>
      <c r="N64" s="10">
        <v>6.25</v>
      </c>
      <c r="O64" s="219"/>
      <c r="P64" s="10"/>
      <c r="Q64" s="10"/>
      <c r="R64" s="10"/>
      <c r="S64" s="10"/>
      <c r="T64" s="10"/>
      <c r="U64" s="10"/>
      <c r="V64" s="10"/>
      <c r="W64" s="10"/>
      <c r="X64" s="10"/>
    </row>
    <row r="65" spans="1:24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219"/>
      <c r="P65" s="10"/>
      <c r="Q65" s="10"/>
      <c r="R65" s="10"/>
      <c r="S65" s="10"/>
      <c r="T65" s="10"/>
      <c r="U65" s="10"/>
      <c r="V65" s="10"/>
      <c r="W65" s="10"/>
      <c r="X65" s="10"/>
    </row>
    <row r="66" spans="1:24">
      <c r="A66" s="10" t="s">
        <v>1098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651"/>
      <c r="P66" s="10"/>
      <c r="Q66" s="10"/>
      <c r="R66" s="10"/>
      <c r="S66" s="10"/>
      <c r="T66" s="10"/>
      <c r="U66" s="10"/>
      <c r="V66" s="10"/>
      <c r="W66" s="10"/>
      <c r="X66" s="10"/>
    </row>
    <row r="67" spans="1:24">
      <c r="A67" s="10" t="s">
        <v>1099</v>
      </c>
      <c r="B67" s="10"/>
      <c r="C67" s="10"/>
      <c r="D67" s="10"/>
      <c r="E67" s="10"/>
      <c r="F67" s="10">
        <v>388.82312461056864</v>
      </c>
      <c r="G67" s="10">
        <v>385.20813162883206</v>
      </c>
      <c r="H67" s="10">
        <v>380.52278006023664</v>
      </c>
      <c r="I67" s="10">
        <v>383.84261669146713</v>
      </c>
      <c r="J67" s="10">
        <v>375.3037752694766</v>
      </c>
      <c r="K67" s="10">
        <v>378.19933866312573</v>
      </c>
      <c r="L67" s="10">
        <v>380.7427188251088</v>
      </c>
      <c r="M67" s="10">
        <v>382.8611179313271</v>
      </c>
      <c r="N67" s="10">
        <v>377.57611358186642</v>
      </c>
      <c r="O67" s="177"/>
      <c r="P67" s="10"/>
      <c r="Q67" s="10"/>
      <c r="R67" s="10"/>
      <c r="S67" s="10"/>
      <c r="T67" s="10"/>
      <c r="U67" s="10"/>
      <c r="V67" s="10"/>
      <c r="W67" s="10"/>
      <c r="X67" s="10"/>
    </row>
    <row r="68" spans="1:24">
      <c r="A68" s="10" t="s">
        <v>1100</v>
      </c>
      <c r="B68" s="10"/>
      <c r="C68" s="10"/>
      <c r="D68" s="10"/>
      <c r="E68" s="10"/>
      <c r="F68" s="10">
        <v>16728.599999999999</v>
      </c>
      <c r="G68" s="10">
        <v>4590.6000000000004</v>
      </c>
      <c r="H68" s="10">
        <v>2448.6</v>
      </c>
      <c r="I68" s="10">
        <v>2387.3999999999996</v>
      </c>
      <c r="J68" s="10">
        <v>2326.1999999999998</v>
      </c>
      <c r="K68" s="10">
        <v>633</v>
      </c>
      <c r="L68" s="10">
        <v>1346.9999999999998</v>
      </c>
      <c r="M68" s="10">
        <v>1877.3999999999999</v>
      </c>
      <c r="N68" s="10">
        <v>5141.3999999999996</v>
      </c>
      <c r="O68" s="177"/>
      <c r="P68" s="10"/>
      <c r="Q68" s="10"/>
      <c r="R68" s="10"/>
      <c r="S68" s="10"/>
      <c r="T68" s="10"/>
      <c r="U68" s="10"/>
      <c r="V68" s="10"/>
      <c r="W68" s="10"/>
      <c r="X68" s="10"/>
    </row>
    <row r="69" spans="1:24">
      <c r="A69" s="10" t="s">
        <v>1101</v>
      </c>
      <c r="B69" s="10"/>
      <c r="C69" s="10"/>
      <c r="D69" s="10"/>
      <c r="E69" s="10"/>
      <c r="F69" s="10">
        <v>107.67437487018954</v>
      </c>
      <c r="G69" s="10">
        <v>106.46937720961068</v>
      </c>
      <c r="H69" s="10">
        <v>104.9075933534122</v>
      </c>
      <c r="I69" s="10">
        <v>106.01420556382237</v>
      </c>
      <c r="J69" s="10">
        <v>103.16792508982553</v>
      </c>
      <c r="K69" s="10">
        <v>104.13311288770856</v>
      </c>
      <c r="L69" s="10">
        <v>104.98090627503625</v>
      </c>
      <c r="M69" s="10">
        <v>105.68703931044236</v>
      </c>
      <c r="N69" s="10">
        <v>103.92537119395547</v>
      </c>
      <c r="O69" s="177"/>
      <c r="P69" s="10"/>
      <c r="Q69" s="10"/>
      <c r="R69" s="10"/>
      <c r="S69" s="10"/>
      <c r="T69" s="10"/>
      <c r="U69" s="10"/>
      <c r="V69" s="10"/>
      <c r="W69" s="10"/>
      <c r="X69" s="10"/>
    </row>
    <row r="70" spans="1:24">
      <c r="A70" s="10" t="s">
        <v>1102</v>
      </c>
      <c r="B70" s="10"/>
      <c r="C70" s="10"/>
      <c r="D70" s="10"/>
      <c r="E70" s="10"/>
      <c r="F70" s="10">
        <v>700.36436665922736</v>
      </c>
      <c r="G70" s="10">
        <v>188.27368042797403</v>
      </c>
      <c r="H70" s="10">
        <v>97.74744860635839</v>
      </c>
      <c r="I70" s="10">
        <v>97.149919265320136</v>
      </c>
      <c r="J70" s="10">
        <v>90.068863046189932</v>
      </c>
      <c r="K70" s="10">
        <v>24.92948611233151</v>
      </c>
      <c r="L70" s="10">
        <v>53.840554020799999</v>
      </c>
      <c r="M70" s="10">
        <v>75.966096089091138</v>
      </c>
      <c r="N70" s="10">
        <v>201.74718770880926</v>
      </c>
      <c r="O70" s="177"/>
      <c r="P70" s="10"/>
      <c r="Q70" s="10"/>
      <c r="R70" s="10"/>
      <c r="S70" s="10"/>
      <c r="T70" s="10"/>
      <c r="U70" s="10"/>
      <c r="V70" s="10"/>
      <c r="W70" s="10"/>
      <c r="X70" s="10"/>
    </row>
    <row r="71" spans="1:24">
      <c r="A71" s="10" t="s">
        <v>1103</v>
      </c>
      <c r="B71" s="10"/>
      <c r="C71" s="10"/>
      <c r="D71" s="10"/>
      <c r="E71" s="10"/>
      <c r="F71" s="10">
        <v>8404.3723999107278</v>
      </c>
      <c r="G71" s="10">
        <v>3012.3788868475845</v>
      </c>
      <c r="H71" s="10">
        <v>1954.9489721271677</v>
      </c>
      <c r="I71" s="10">
        <v>3497.3970935515249</v>
      </c>
      <c r="J71" s="10">
        <v>2251.7215761547482</v>
      </c>
      <c r="K71" s="10">
        <v>623.23715280828776</v>
      </c>
      <c r="L71" s="10">
        <v>646.08664824959999</v>
      </c>
      <c r="M71" s="10">
        <v>911.59315306909366</v>
      </c>
      <c r="N71" s="10">
        <v>3227.9550033409482</v>
      </c>
      <c r="O71" s="177"/>
      <c r="P71" s="10"/>
      <c r="Q71" s="10"/>
      <c r="R71" s="10"/>
      <c r="S71" s="10"/>
      <c r="T71" s="10"/>
      <c r="U71" s="10"/>
      <c r="V71" s="10"/>
      <c r="W71" s="10"/>
      <c r="X71" s="10"/>
    </row>
    <row r="72" spans="1:24">
      <c r="A72" s="10" t="s">
        <v>360</v>
      </c>
      <c r="B72" s="10"/>
      <c r="C72" s="10"/>
      <c r="D72" s="10"/>
      <c r="E72" s="10"/>
      <c r="F72" s="10">
        <v>787.2781782572066</v>
      </c>
      <c r="G72" s="10">
        <v>239.17270463138954</v>
      </c>
      <c r="H72" s="10">
        <v>122.13019249919307</v>
      </c>
      <c r="I72" s="10">
        <v>237.04983952715594</v>
      </c>
      <c r="J72" s="10">
        <v>204.60855810941371</v>
      </c>
      <c r="K72" s="10">
        <v>67.024273547930278</v>
      </c>
      <c r="L72" s="10">
        <v>112.36507555853051</v>
      </c>
      <c r="M72" s="10">
        <v>151.47368362163235</v>
      </c>
      <c r="N72" s="10">
        <v>247.73930464939514</v>
      </c>
      <c r="O72" s="651"/>
      <c r="P72" s="10"/>
      <c r="Q72" s="10"/>
      <c r="R72" s="10"/>
      <c r="S72" s="10"/>
      <c r="T72" s="10"/>
      <c r="U72" s="10"/>
      <c r="V72" s="10"/>
      <c r="W72" s="10"/>
      <c r="X72" s="10"/>
    </row>
    <row r="73" spans="1:24">
      <c r="A73" s="10" t="s">
        <v>1104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77"/>
      <c r="P73" s="10"/>
      <c r="Q73" s="10"/>
      <c r="R73" s="10"/>
      <c r="S73" s="10"/>
      <c r="T73" s="10"/>
      <c r="U73" s="10"/>
      <c r="V73" s="10"/>
      <c r="W73" s="10"/>
      <c r="X73" s="10"/>
    </row>
    <row r="74" spans="1:2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77"/>
      <c r="P74" s="10"/>
      <c r="Q74" s="10"/>
      <c r="R74" s="10"/>
      <c r="S74" s="10"/>
      <c r="T74" s="10"/>
      <c r="U74" s="10"/>
      <c r="V74" s="10"/>
      <c r="W74" s="10"/>
      <c r="X74" s="10"/>
    </row>
    <row r="75" spans="1:24">
      <c r="A75" s="10" t="s">
        <v>1105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77"/>
      <c r="P75" s="10"/>
      <c r="Q75" s="10"/>
      <c r="R75" s="10"/>
      <c r="S75" s="10"/>
      <c r="T75" s="10"/>
      <c r="U75" s="10"/>
      <c r="V75" s="10"/>
      <c r="W75" s="10"/>
      <c r="X75" s="10"/>
    </row>
    <row r="76" spans="1:24">
      <c r="A76" s="10" t="s">
        <v>1106</v>
      </c>
      <c r="B76" s="10"/>
      <c r="C76" s="10"/>
      <c r="D76" s="10"/>
      <c r="E76" s="10"/>
      <c r="F76" s="10">
        <v>49.498044613589322</v>
      </c>
      <c r="G76" s="10">
        <v>139.15912165972168</v>
      </c>
      <c r="H76" s="10">
        <v>215.35088946179118</v>
      </c>
      <c r="I76" s="10">
        <v>126.09377437097791</v>
      </c>
      <c r="J76" s="10">
        <v>192.29730912799246</v>
      </c>
      <c r="K76" s="10">
        <v>735.67501220685074</v>
      </c>
      <c r="L76" s="10">
        <v>650.06760492246406</v>
      </c>
      <c r="M76" s="10">
        <v>458.53788896143448</v>
      </c>
      <c r="N76" s="10">
        <v>128.25457590688475</v>
      </c>
      <c r="O76" s="177"/>
      <c r="P76" s="10"/>
      <c r="Q76" s="10"/>
      <c r="R76" s="10"/>
      <c r="S76" s="10"/>
      <c r="T76" s="10"/>
      <c r="U76" s="10"/>
      <c r="V76" s="10"/>
      <c r="W76" s="10"/>
      <c r="X76" s="10"/>
    </row>
    <row r="77" spans="1:24">
      <c r="A77" s="10" t="s">
        <v>1107</v>
      </c>
      <c r="B77" s="10"/>
      <c r="C77" s="10"/>
      <c r="D77" s="10"/>
      <c r="E77" s="10"/>
      <c r="F77" s="10">
        <v>44.033567326110926</v>
      </c>
      <c r="G77" s="10">
        <v>109.54427278973645</v>
      </c>
      <c r="H77" s="10">
        <v>172.35705249657312</v>
      </c>
      <c r="I77" s="10">
        <v>51.676896404718555</v>
      </c>
      <c r="J77" s="10">
        <v>84.649440668743637</v>
      </c>
      <c r="K77" s="10">
        <v>273.63220858909773</v>
      </c>
      <c r="L77" s="10">
        <v>311.48468352845669</v>
      </c>
      <c r="M77" s="10">
        <v>229.96293811896643</v>
      </c>
      <c r="N77" s="10">
        <v>104.4444684973131</v>
      </c>
      <c r="O77" s="177"/>
      <c r="P77" s="10"/>
      <c r="Q77" s="10"/>
      <c r="R77" s="10"/>
      <c r="S77" s="10"/>
      <c r="T77" s="10"/>
      <c r="U77" s="10"/>
      <c r="V77" s="10"/>
      <c r="W77" s="10"/>
      <c r="X77" s="10"/>
    </row>
    <row r="78" spans="1:24">
      <c r="A78" s="10" t="s">
        <v>1108</v>
      </c>
      <c r="B78" s="10"/>
      <c r="C78" s="10"/>
      <c r="D78" s="10"/>
      <c r="E78" s="10"/>
      <c r="F78" s="10">
        <v>42.073337921550923</v>
      </c>
      <c r="G78" s="10">
        <v>118.28525341076343</v>
      </c>
      <c r="H78" s="10">
        <v>183.04825604252247</v>
      </c>
      <c r="I78" s="10">
        <v>107.17970821533122</v>
      </c>
      <c r="J78" s="10">
        <v>163.45271275879358</v>
      </c>
      <c r="K78" s="10">
        <v>625.32376037582321</v>
      </c>
      <c r="L78" s="10">
        <v>552.55746418409444</v>
      </c>
      <c r="M78" s="10">
        <v>389.75720561721931</v>
      </c>
      <c r="N78" s="10">
        <v>109.01638952085202</v>
      </c>
      <c r="O78" s="177"/>
      <c r="P78" s="10"/>
      <c r="Q78" s="10"/>
      <c r="R78" s="10"/>
      <c r="S78" s="10"/>
      <c r="T78" s="10"/>
      <c r="U78" s="10"/>
      <c r="V78" s="10"/>
      <c r="W78" s="10"/>
      <c r="X78" s="10"/>
    </row>
    <row r="79" spans="1:24">
      <c r="A79" s="10" t="s">
        <v>1109</v>
      </c>
      <c r="B79" s="10"/>
      <c r="C79" s="10"/>
      <c r="D79" s="10"/>
      <c r="E79" s="10"/>
      <c r="F79" s="10">
        <v>37.428532227194282</v>
      </c>
      <c r="G79" s="10">
        <v>93.11263187127598</v>
      </c>
      <c r="H79" s="10">
        <v>146.50349462208715</v>
      </c>
      <c r="I79" s="10">
        <v>43.925361944010781</v>
      </c>
      <c r="J79" s="10">
        <v>71.952024568432094</v>
      </c>
      <c r="K79" s="10">
        <v>232.58737730073304</v>
      </c>
      <c r="L79" s="10">
        <v>264.76198099918821</v>
      </c>
      <c r="M79" s="10">
        <v>195.46849740112143</v>
      </c>
      <c r="N79" s="10">
        <v>88.777798222716115</v>
      </c>
      <c r="O79" s="177"/>
      <c r="P79" s="10"/>
      <c r="Q79" s="10"/>
      <c r="R79" s="10"/>
      <c r="S79" s="10"/>
      <c r="T79" s="10"/>
      <c r="U79" s="10"/>
      <c r="V79" s="10"/>
      <c r="W79" s="10"/>
      <c r="X79" s="10"/>
    </row>
    <row r="80" spans="1:24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77"/>
      <c r="P80" s="10"/>
      <c r="Q80" s="10"/>
      <c r="R80" s="10"/>
      <c r="S80" s="10"/>
      <c r="T80" s="10"/>
      <c r="U80" s="10"/>
      <c r="V80" s="10"/>
      <c r="W80" s="10"/>
      <c r="X80" s="10"/>
    </row>
    <row r="81" spans="1:24">
      <c r="A81" s="10" t="s">
        <v>1110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77"/>
      <c r="P81" s="10"/>
      <c r="Q81" s="10"/>
      <c r="R81" s="10"/>
      <c r="S81" s="10"/>
      <c r="T81" s="10"/>
      <c r="U81" s="10"/>
      <c r="V81" s="10"/>
      <c r="W81" s="10"/>
      <c r="X81" s="10"/>
    </row>
    <row r="82" spans="1:24">
      <c r="A82" s="10" t="s">
        <v>1111</v>
      </c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77"/>
      <c r="P82" s="10"/>
      <c r="Q82" s="10"/>
      <c r="R82" s="10"/>
      <c r="S82" s="10"/>
      <c r="T82" s="10"/>
      <c r="U82" s="10"/>
      <c r="V82" s="10"/>
      <c r="W82" s="10"/>
      <c r="X82" s="10"/>
    </row>
    <row r="83" spans="1:24">
      <c r="A83" s="10" t="s">
        <v>1112</v>
      </c>
      <c r="B83" s="10"/>
      <c r="C83" s="10"/>
      <c r="D83" s="10"/>
      <c r="E83" s="10"/>
      <c r="F83" s="10">
        <v>2</v>
      </c>
      <c r="G83" s="10">
        <v>1.4</v>
      </c>
      <c r="H83" s="10">
        <v>1.6</v>
      </c>
      <c r="I83" s="10">
        <v>0.64</v>
      </c>
      <c r="J83" s="10">
        <v>0.95</v>
      </c>
      <c r="K83" s="10">
        <v>1.3</v>
      </c>
      <c r="L83" s="10">
        <v>3.65</v>
      </c>
      <c r="M83" s="10">
        <v>3.3</v>
      </c>
      <c r="N83" s="10">
        <v>4.5</v>
      </c>
      <c r="O83" s="651"/>
      <c r="P83" s="10"/>
      <c r="Q83" s="10"/>
      <c r="R83" s="10"/>
      <c r="S83" s="10"/>
      <c r="T83" s="10"/>
      <c r="U83" s="10"/>
      <c r="V83" s="10"/>
      <c r="W83" s="10"/>
      <c r="X83" s="10"/>
    </row>
    <row r="84" spans="1:24">
      <c r="A84" s="10" t="s">
        <v>361</v>
      </c>
      <c r="B84" s="10"/>
      <c r="C84" s="10"/>
      <c r="D84" s="10"/>
      <c r="E84" s="10"/>
      <c r="F84" s="10">
        <v>21.13821138211382</v>
      </c>
      <c r="G84" s="10">
        <v>83.174603174603163</v>
      </c>
      <c r="H84" s="10">
        <v>109.63541666666666</v>
      </c>
      <c r="I84" s="10">
        <v>163.59508547008545</v>
      </c>
      <c r="J84" s="10">
        <v>159.92613111726686</v>
      </c>
      <c r="K84" s="10">
        <v>455.0868486352357</v>
      </c>
      <c r="L84" s="10">
        <v>145.28850145288501</v>
      </c>
      <c r="M84" s="10">
        <v>114.73429951690822</v>
      </c>
      <c r="N84" s="10">
        <v>22.817460317460316</v>
      </c>
      <c r="O84" s="177"/>
      <c r="P84" s="10"/>
      <c r="Q84" s="10"/>
      <c r="R84" s="10"/>
      <c r="S84" s="10"/>
      <c r="T84" s="10"/>
      <c r="U84" s="10"/>
      <c r="V84" s="10"/>
      <c r="W84" s="10"/>
      <c r="X84" s="10"/>
    </row>
    <row r="85" spans="1:24">
      <c r="A85" s="10" t="s">
        <v>1113</v>
      </c>
      <c r="B85" s="10"/>
      <c r="C85" s="10"/>
      <c r="D85" s="10"/>
      <c r="E85" s="10"/>
      <c r="F85" s="10">
        <v>4.2276422764227641E-2</v>
      </c>
      <c r="G85" s="10">
        <v>0.11644444444444442</v>
      </c>
      <c r="H85" s="10">
        <v>0.17541666666666667</v>
      </c>
      <c r="I85" s="10">
        <v>0.10470085470085469</v>
      </c>
      <c r="J85" s="10">
        <v>0.1519298245614035</v>
      </c>
      <c r="K85" s="10">
        <v>0.59161290322580651</v>
      </c>
      <c r="L85" s="10">
        <v>0.53030303030303028</v>
      </c>
      <c r="M85" s="10">
        <v>0.37862318840579712</v>
      </c>
      <c r="N85" s="10">
        <v>0.10267857142857141</v>
      </c>
      <c r="O85" s="177"/>
      <c r="P85" s="10"/>
      <c r="Q85" s="10"/>
      <c r="R85" s="10"/>
      <c r="S85" s="10"/>
      <c r="T85" s="10"/>
      <c r="U85" s="10"/>
      <c r="V85" s="10"/>
      <c r="W85" s="10"/>
      <c r="X85" s="10"/>
    </row>
    <row r="86" spans="1:24">
      <c r="A86" s="10" t="s">
        <v>1114</v>
      </c>
      <c r="B86" s="10"/>
      <c r="C86" s="10"/>
      <c r="D86" s="10"/>
      <c r="E86" s="10"/>
      <c r="F86" s="10">
        <v>3.5934959349593495E-2</v>
      </c>
      <c r="G86" s="10">
        <v>9.8977777777777762E-2</v>
      </c>
      <c r="H86" s="10">
        <v>0.14910416666666668</v>
      </c>
      <c r="I86" s="10">
        <v>8.8995726495726485E-2</v>
      </c>
      <c r="J86" s="10">
        <v>0.12914035087719297</v>
      </c>
      <c r="K86" s="10">
        <v>0.50287096774193552</v>
      </c>
      <c r="L86" s="10">
        <v>0.45075757575757569</v>
      </c>
      <c r="M86" s="10">
        <v>0.32182971014492756</v>
      </c>
      <c r="N86" s="10">
        <v>8.7276785714285696E-2</v>
      </c>
      <c r="O86" s="177"/>
      <c r="P86" s="10"/>
      <c r="Q86" s="10"/>
      <c r="R86" s="10"/>
      <c r="S86" s="10"/>
      <c r="T86" s="10"/>
      <c r="U86" s="10"/>
      <c r="V86" s="10"/>
      <c r="W86" s="10"/>
      <c r="X86" s="10"/>
    </row>
    <row r="87" spans="1:24">
      <c r="A87" s="10" t="s">
        <v>1115</v>
      </c>
      <c r="B87" s="10"/>
      <c r="C87" s="10"/>
      <c r="D87" s="10"/>
      <c r="E87" s="10"/>
      <c r="F87" s="10">
        <v>0.10911593352339218</v>
      </c>
      <c r="G87" s="10">
        <v>0.19553308867810801</v>
      </c>
      <c r="H87" s="10">
        <v>0.2866955050820777</v>
      </c>
      <c r="I87" s="10">
        <v>4.3280318293728838E-2</v>
      </c>
      <c r="J87" s="10">
        <v>9.1677232376952314E-2</v>
      </c>
      <c r="K87" s="10">
        <v>0.2597968605223312</v>
      </c>
      <c r="L87" s="10">
        <v>2.0264518797477962</v>
      </c>
      <c r="M87" s="10">
        <v>1.8225972480196957</v>
      </c>
      <c r="N87" s="10">
        <v>1.3847072221266017</v>
      </c>
      <c r="O87" s="177"/>
      <c r="P87" s="10"/>
      <c r="Q87" s="10"/>
      <c r="R87" s="10"/>
      <c r="S87" s="10"/>
      <c r="T87" s="10"/>
      <c r="U87" s="10"/>
      <c r="V87" s="10"/>
      <c r="W87" s="10"/>
      <c r="X87" s="10"/>
    </row>
    <row r="88" spans="1:24">
      <c r="A88" s="10" t="s">
        <v>1116</v>
      </c>
      <c r="B88" s="10"/>
      <c r="C88" s="10"/>
      <c r="D88" s="10"/>
      <c r="E88" s="10"/>
      <c r="F88" s="10">
        <v>1.0162601626016262E-2</v>
      </c>
      <c r="G88" s="10">
        <v>2.7777777777777776E-2</v>
      </c>
      <c r="H88" s="10">
        <v>4.1666666666666664E-2</v>
      </c>
      <c r="I88" s="10">
        <v>2.3741690408357073E-2</v>
      </c>
      <c r="J88" s="10">
        <v>3.5087719298245612E-2</v>
      </c>
      <c r="K88" s="10">
        <v>0.12903225806451613</v>
      </c>
      <c r="L88" s="10">
        <v>0.12626262626262627</v>
      </c>
      <c r="M88" s="10">
        <v>9.0579710144927536E-2</v>
      </c>
      <c r="N88" s="10">
        <v>2.48015873015873E-2</v>
      </c>
      <c r="O88" s="177"/>
      <c r="P88" s="10"/>
      <c r="Q88" s="10"/>
      <c r="R88" s="10"/>
      <c r="S88" s="10"/>
      <c r="T88" s="10"/>
      <c r="U88" s="10"/>
      <c r="V88" s="10"/>
      <c r="W88" s="10"/>
      <c r="X88" s="10"/>
    </row>
    <row r="89" spans="1:24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77"/>
      <c r="P89" s="10"/>
      <c r="Q89" s="10"/>
      <c r="R89" s="10"/>
      <c r="S89" s="10"/>
      <c r="T89" s="10"/>
      <c r="U89" s="10"/>
      <c r="V89" s="10"/>
      <c r="W89" s="10"/>
      <c r="X89" s="10"/>
    </row>
    <row r="90" spans="1:24">
      <c r="A90" s="10" t="s">
        <v>1117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219"/>
      <c r="P90" s="10"/>
      <c r="Q90" s="10"/>
      <c r="R90" s="10"/>
      <c r="S90" s="10"/>
      <c r="T90" s="10"/>
      <c r="U90" s="10"/>
      <c r="V90" s="10"/>
      <c r="W90" s="10"/>
      <c r="X90" s="10"/>
    </row>
    <row r="91" spans="1:24">
      <c r="A91" s="10" t="s">
        <v>1118</v>
      </c>
      <c r="B91" s="10"/>
      <c r="C91" s="10"/>
      <c r="D91" s="10"/>
      <c r="E91" s="10"/>
      <c r="F91" s="10">
        <v>380.82312461056864</v>
      </c>
      <c r="G91" s="10">
        <v>377.20813162883206</v>
      </c>
      <c r="H91" s="10">
        <v>372.52278006023664</v>
      </c>
      <c r="I91" s="10">
        <v>375.84261669146713</v>
      </c>
      <c r="J91" s="10">
        <v>367.3037752694766</v>
      </c>
      <c r="K91" s="10">
        <v>370.19933866312573</v>
      </c>
      <c r="L91" s="10">
        <v>372.7427188251088</v>
      </c>
      <c r="M91" s="10">
        <v>374.8611179313271</v>
      </c>
      <c r="N91" s="10">
        <v>369.57611358186642</v>
      </c>
      <c r="O91" s="177"/>
      <c r="P91" s="10"/>
      <c r="Q91" s="10"/>
      <c r="R91" s="10"/>
      <c r="S91" s="10"/>
      <c r="T91" s="10"/>
      <c r="U91" s="10"/>
      <c r="V91" s="10"/>
      <c r="W91" s="10"/>
      <c r="X91" s="10"/>
    </row>
    <row r="92" spans="1:24">
      <c r="A92" s="10" t="s">
        <v>1119</v>
      </c>
      <c r="B92" s="10"/>
      <c r="C92" s="10"/>
      <c r="D92" s="10"/>
      <c r="E92" s="10"/>
      <c r="F92" s="10">
        <v>106.27437487018955</v>
      </c>
      <c r="G92" s="10">
        <v>105.06937720961069</v>
      </c>
      <c r="H92" s="10">
        <v>103.5075933534122</v>
      </c>
      <c r="I92" s="10">
        <v>104.61420556382238</v>
      </c>
      <c r="J92" s="10">
        <v>101.76792508982554</v>
      </c>
      <c r="K92" s="10">
        <v>102.73311288770857</v>
      </c>
      <c r="L92" s="10">
        <v>103.58090627503626</v>
      </c>
      <c r="M92" s="10">
        <v>104.28703931044237</v>
      </c>
      <c r="N92" s="10">
        <v>102.52537119395548</v>
      </c>
      <c r="O92" s="177"/>
      <c r="P92" s="10"/>
      <c r="Q92" s="10"/>
      <c r="R92" s="10"/>
      <c r="S92" s="10"/>
      <c r="T92" s="10"/>
      <c r="U92" s="10"/>
      <c r="V92" s="10"/>
      <c r="W92" s="10"/>
      <c r="X92" s="10"/>
    </row>
    <row r="93" spans="1:24">
      <c r="A93" s="10" t="s">
        <v>1120</v>
      </c>
      <c r="B93" s="10"/>
      <c r="C93" s="10"/>
      <c r="D93" s="10"/>
      <c r="E93" s="10"/>
      <c r="F93" s="10">
        <v>20</v>
      </c>
      <c r="G93" s="10">
        <v>20</v>
      </c>
      <c r="H93" s="10">
        <v>20</v>
      </c>
      <c r="I93" s="10">
        <v>20</v>
      </c>
      <c r="J93" s="10">
        <v>20</v>
      </c>
      <c r="K93" s="10">
        <v>20</v>
      </c>
      <c r="L93" s="10">
        <v>20</v>
      </c>
      <c r="M93" s="10">
        <v>20</v>
      </c>
      <c r="N93" s="10">
        <v>20</v>
      </c>
      <c r="O93" s="177"/>
      <c r="P93" s="10"/>
      <c r="Q93" s="10"/>
      <c r="R93" s="10"/>
      <c r="S93" s="10"/>
      <c r="T93" s="10"/>
      <c r="U93" s="10"/>
      <c r="V93" s="10"/>
      <c r="W93" s="10"/>
      <c r="X93" s="10"/>
    </row>
    <row r="94" spans="1:24">
      <c r="A94" s="10" t="s">
        <v>364</v>
      </c>
      <c r="B94" s="10"/>
      <c r="C94" s="10"/>
      <c r="D94" s="10"/>
      <c r="E94" s="10"/>
      <c r="F94" s="10">
        <v>0.80943479008200958</v>
      </c>
      <c r="G94" s="10">
        <v>0.79266046937284462</v>
      </c>
      <c r="H94" s="10">
        <v>0.77117872866715165</v>
      </c>
      <c r="I94" s="10">
        <v>0.78636953524412079</v>
      </c>
      <c r="J94" s="10">
        <v>0.74759486173668421</v>
      </c>
      <c r="K94" s="10">
        <v>0.76063460899667901</v>
      </c>
      <c r="L94" s="10">
        <v>0.77218057246651572</v>
      </c>
      <c r="M94" s="10">
        <v>0.7818631228332138</v>
      </c>
      <c r="N94" s="10">
        <v>0.75781856458800601</v>
      </c>
      <c r="O94" s="177"/>
      <c r="P94" s="10"/>
      <c r="Q94" s="10"/>
      <c r="R94" s="10"/>
      <c r="S94" s="10"/>
      <c r="T94" s="10"/>
      <c r="U94" s="10"/>
      <c r="V94" s="10"/>
      <c r="W94" s="10"/>
      <c r="X94" s="10"/>
    </row>
    <row r="95" spans="1:24">
      <c r="A95" s="10" t="s">
        <v>1121</v>
      </c>
      <c r="B95" s="10"/>
      <c r="C95" s="10"/>
      <c r="D95" s="10"/>
      <c r="E95" s="10"/>
      <c r="F95" s="10">
        <v>7964.8383344069744</v>
      </c>
      <c r="G95" s="10">
        <v>2853.5776897422406</v>
      </c>
      <c r="H95" s="10">
        <v>1850.828948801164</v>
      </c>
      <c r="I95" s="10">
        <v>3312.1884824482368</v>
      </c>
      <c r="J95" s="10">
        <v>2130.6453559495499</v>
      </c>
      <c r="K95" s="10">
        <v>589.49182197242624</v>
      </c>
      <c r="L95" s="10">
        <v>611.56701339348047</v>
      </c>
      <c r="M95" s="10">
        <v>863.17688760786803</v>
      </c>
      <c r="N95" s="10">
        <v>3055.5244524188402</v>
      </c>
      <c r="O95" s="177"/>
      <c r="P95" s="10"/>
      <c r="Q95" s="10"/>
      <c r="R95" s="10"/>
      <c r="S95" s="10"/>
      <c r="T95" s="10"/>
      <c r="U95" s="10"/>
      <c r="V95" s="10"/>
      <c r="W95" s="10"/>
      <c r="X95" s="10"/>
    </row>
    <row r="96" spans="1:24">
      <c r="A96" s="10" t="s">
        <v>362</v>
      </c>
      <c r="B96" s="10"/>
      <c r="C96" s="10"/>
      <c r="D96" s="10"/>
      <c r="E96" s="10"/>
      <c r="F96" s="10">
        <v>0.82845053465629404</v>
      </c>
      <c r="G96" s="10">
        <v>0.94701724994178083</v>
      </c>
      <c r="H96" s="10">
        <v>0.89018161892771153</v>
      </c>
      <c r="I96" s="10">
        <v>1.8982884524481667</v>
      </c>
      <c r="J96" s="10">
        <v>1.6703969084851527</v>
      </c>
      <c r="K96" s="10">
        <v>2.039346260557986</v>
      </c>
      <c r="L96" s="10">
        <v>1.5740311251364556</v>
      </c>
      <c r="M96" s="10">
        <v>1.5171659745471635</v>
      </c>
      <c r="N96" s="10">
        <v>0.85516243253717183</v>
      </c>
      <c r="O96" s="177"/>
      <c r="P96" s="10"/>
      <c r="Q96" s="10"/>
      <c r="R96" s="10"/>
      <c r="S96" s="10"/>
      <c r="T96" s="10"/>
      <c r="U96" s="10"/>
      <c r="V96" s="10"/>
      <c r="W96" s="10"/>
      <c r="X96" s="10"/>
    </row>
    <row r="97" spans="1:24">
      <c r="A97" s="10" t="s">
        <v>1122</v>
      </c>
      <c r="B97" s="10"/>
      <c r="C97" s="10"/>
      <c r="D97" s="10"/>
      <c r="E97" s="10"/>
      <c r="F97" s="10">
        <v>8151.9532610179331</v>
      </c>
      <c r="G97" s="10">
        <v>3409.262099790411</v>
      </c>
      <c r="H97" s="10">
        <v>2136.4358854265079</v>
      </c>
      <c r="I97" s="10">
        <v>7995.5909617116777</v>
      </c>
      <c r="J97" s="10">
        <v>4760.6311891826854</v>
      </c>
      <c r="K97" s="10">
        <v>1580.4933519324391</v>
      </c>
      <c r="L97" s="10">
        <v>1246.6326511080729</v>
      </c>
      <c r="M97" s="10">
        <v>1674.9512359000685</v>
      </c>
      <c r="N97" s="10">
        <v>3448.0149279898769</v>
      </c>
      <c r="O97" s="177"/>
      <c r="P97" s="10"/>
      <c r="Q97" s="10"/>
      <c r="R97" s="10"/>
      <c r="S97" s="10"/>
      <c r="T97" s="10"/>
      <c r="U97" s="10"/>
      <c r="V97" s="10"/>
      <c r="W97" s="10"/>
      <c r="X97" s="10"/>
    </row>
    <row r="98" spans="1:24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77"/>
      <c r="P98" s="10"/>
      <c r="Q98" s="10"/>
      <c r="R98" s="10"/>
      <c r="S98" s="10"/>
      <c r="T98" s="10"/>
      <c r="U98" s="10"/>
      <c r="V98" s="10"/>
      <c r="W98" s="10"/>
      <c r="X98" s="10"/>
    </row>
    <row r="99" spans="1:24">
      <c r="A99" s="10" t="s">
        <v>1123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77"/>
      <c r="P99" s="10"/>
      <c r="Q99" s="10"/>
      <c r="R99" s="10"/>
      <c r="S99" s="10"/>
      <c r="T99" s="10"/>
      <c r="U99" s="10"/>
      <c r="V99" s="10"/>
      <c r="W99" s="10"/>
      <c r="X99" s="10"/>
    </row>
    <row r="100" spans="1:24">
      <c r="A100" s="10" t="s">
        <v>365</v>
      </c>
      <c r="B100" s="10"/>
      <c r="C100" s="10"/>
      <c r="D100" s="10"/>
      <c r="E100" s="10"/>
      <c r="F100" s="10">
        <v>51.623770920881775</v>
      </c>
      <c r="G100" s="10">
        <v>144.08372886182784</v>
      </c>
      <c r="H100" s="10">
        <v>222.2543914411246</v>
      </c>
      <c r="I100" s="10">
        <v>123.60065038461759</v>
      </c>
      <c r="J100" s="10">
        <v>193.00746303801142</v>
      </c>
      <c r="K100" s="10">
        <v>694.34965945973806</v>
      </c>
      <c r="L100" s="10">
        <v>674.71637492006778</v>
      </c>
      <c r="M100" s="10">
        <v>477.6755716507688</v>
      </c>
      <c r="N100" s="10">
        <v>134.87117425869829</v>
      </c>
      <c r="O100" s="177"/>
      <c r="P100" s="10"/>
      <c r="Q100" s="10"/>
      <c r="R100" s="10"/>
      <c r="S100" s="10"/>
      <c r="T100" s="10"/>
      <c r="U100" s="10"/>
      <c r="V100" s="10"/>
      <c r="W100" s="10"/>
      <c r="X100" s="10"/>
    </row>
    <row r="101" spans="1:24">
      <c r="A101" s="10" t="s">
        <v>363</v>
      </c>
      <c r="B101" s="10"/>
      <c r="C101" s="10"/>
      <c r="D101" s="10"/>
      <c r="E101" s="10"/>
      <c r="F101" s="10">
        <v>50.438830600697017</v>
      </c>
      <c r="G101" s="10">
        <v>120.59915081338519</v>
      </c>
      <c r="H101" s="10">
        <v>192.54257264794921</v>
      </c>
      <c r="I101" s="10">
        <v>51.201800165550317</v>
      </c>
      <c r="J101" s="10">
        <v>86.38149826013813</v>
      </c>
      <c r="K101" s="10">
        <v>258.9782774729137</v>
      </c>
      <c r="L101" s="10">
        <v>330.9990941844581</v>
      </c>
      <c r="M101" s="10">
        <v>246.16747305019433</v>
      </c>
      <c r="N101" s="10">
        <v>119.51867363699098</v>
      </c>
      <c r="O101" s="177"/>
      <c r="P101" s="10"/>
      <c r="Q101" s="10"/>
      <c r="R101" s="10"/>
      <c r="S101" s="10"/>
      <c r="T101" s="10"/>
      <c r="U101" s="10"/>
      <c r="V101" s="10"/>
      <c r="W101" s="10"/>
      <c r="X101" s="10"/>
    </row>
    <row r="102" spans="1:24">
      <c r="A102" s="10" t="s">
        <v>1124</v>
      </c>
      <c r="B102" s="10"/>
      <c r="C102" s="10"/>
      <c r="D102" s="10"/>
      <c r="E102" s="10"/>
      <c r="F102" s="10">
        <v>44.395125821009827</v>
      </c>
      <c r="G102" s="10">
        <v>124.86781112736615</v>
      </c>
      <c r="H102" s="10">
        <v>193.3457979635503</v>
      </c>
      <c r="I102" s="10">
        <v>113.17290727456606</v>
      </c>
      <c r="J102" s="10">
        <v>172.74108944140715</v>
      </c>
      <c r="K102" s="10">
        <v>661.12028271399765</v>
      </c>
      <c r="L102" s="10">
        <v>583.7463306254341</v>
      </c>
      <c r="M102" s="10">
        <v>411.61899154256434</v>
      </c>
      <c r="N102" s="10">
        <v>115.16844505087363</v>
      </c>
      <c r="O102" s="177"/>
      <c r="P102" s="10"/>
      <c r="Q102" s="10"/>
      <c r="R102" s="10"/>
      <c r="S102" s="10"/>
      <c r="T102" s="10"/>
      <c r="U102" s="10"/>
      <c r="V102" s="10"/>
      <c r="W102" s="10"/>
      <c r="X102" s="10"/>
    </row>
    <row r="103" spans="1:24">
      <c r="A103" s="10" t="s">
        <v>1125</v>
      </c>
      <c r="B103" s="10"/>
      <c r="C103" s="10"/>
      <c r="D103" s="10"/>
      <c r="E103" s="10"/>
      <c r="F103" s="10">
        <v>43.376107379183622</v>
      </c>
      <c r="G103" s="10">
        <v>104.51528500020729</v>
      </c>
      <c r="H103" s="10">
        <v>167.49859073283662</v>
      </c>
      <c r="I103" s="10">
        <v>46.88208811519204</v>
      </c>
      <c r="J103" s="10">
        <v>77.311176895261141</v>
      </c>
      <c r="K103" s="10">
        <v>246.58439690587164</v>
      </c>
      <c r="L103" s="10">
        <v>286.37145006805292</v>
      </c>
      <c r="M103" s="10">
        <v>212.12557857487263</v>
      </c>
      <c r="N103" s="10">
        <v>102.05872287367113</v>
      </c>
      <c r="O103" s="177"/>
      <c r="P103" s="10"/>
      <c r="Q103" s="10"/>
      <c r="R103" s="10"/>
      <c r="S103" s="10"/>
      <c r="T103" s="10"/>
      <c r="U103" s="10"/>
      <c r="V103" s="10"/>
      <c r="W103" s="10"/>
      <c r="X103" s="10"/>
    </row>
    <row r="104" spans="1:2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77"/>
      <c r="P104" s="10"/>
      <c r="Q104" s="10"/>
      <c r="R104" s="10"/>
      <c r="S104" s="10"/>
      <c r="T104" s="10"/>
      <c r="U104" s="10"/>
      <c r="V104" s="10"/>
      <c r="W104" s="10"/>
      <c r="X104" s="10"/>
    </row>
    <row r="105" spans="1:24">
      <c r="A105" s="10" t="s">
        <v>1126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77"/>
      <c r="P105" s="10"/>
      <c r="Q105" s="10"/>
      <c r="R105" s="10"/>
      <c r="S105" s="10"/>
      <c r="T105" s="10"/>
      <c r="U105" s="10"/>
      <c r="V105" s="10"/>
      <c r="W105" s="10"/>
      <c r="X105" s="10"/>
    </row>
    <row r="106" spans="1:24">
      <c r="A106" s="10" t="s">
        <v>366</v>
      </c>
      <c r="B106" s="10"/>
      <c r="C106" s="10"/>
      <c r="D106" s="10"/>
      <c r="E106" s="10"/>
      <c r="F106" s="10">
        <v>200</v>
      </c>
      <c r="G106" s="10">
        <v>200</v>
      </c>
      <c r="H106" s="10">
        <v>200</v>
      </c>
      <c r="I106" s="10">
        <v>200</v>
      </c>
      <c r="J106" s="10">
        <v>200</v>
      </c>
      <c r="K106" s="10">
        <v>200</v>
      </c>
      <c r="L106" s="10">
        <v>154</v>
      </c>
      <c r="M106" s="10">
        <v>200</v>
      </c>
      <c r="N106" s="10">
        <v>200</v>
      </c>
      <c r="O106" s="177"/>
      <c r="P106" s="10"/>
      <c r="Q106" s="10"/>
      <c r="R106" s="10"/>
      <c r="S106" s="10"/>
      <c r="T106" s="10"/>
      <c r="U106" s="10"/>
      <c r="V106" s="10"/>
      <c r="W106" s="10"/>
      <c r="X106" s="10"/>
    </row>
    <row r="107" spans="1:24">
      <c r="A107" s="10" t="s">
        <v>367</v>
      </c>
      <c r="B107" s="10"/>
      <c r="C107" s="10"/>
      <c r="D107" s="10"/>
      <c r="E107" s="10"/>
      <c r="F107" s="10">
        <v>5.685114335168965</v>
      </c>
      <c r="G107" s="10">
        <v>6.3299282704795079</v>
      </c>
      <c r="H107" s="10">
        <v>8.7874298343127268</v>
      </c>
      <c r="I107" s="10">
        <v>5.4183748654277446</v>
      </c>
      <c r="J107" s="10">
        <v>5.7167254677455412</v>
      </c>
      <c r="K107" s="10">
        <v>16.416253171675439</v>
      </c>
      <c r="L107" s="10">
        <v>192.6503105441067</v>
      </c>
      <c r="M107" s="10">
        <v>140.54138137192672</v>
      </c>
      <c r="N107" s="10">
        <v>65.43478496515435</v>
      </c>
      <c r="O107" s="653"/>
      <c r="P107" s="10"/>
      <c r="Q107" s="10"/>
      <c r="R107" s="10"/>
      <c r="S107" s="10"/>
      <c r="T107" s="10"/>
      <c r="U107" s="10"/>
      <c r="V107" s="10"/>
      <c r="W107" s="10"/>
      <c r="X107" s="10"/>
    </row>
    <row r="108" spans="1:24">
      <c r="A108" s="10" t="s">
        <v>1127</v>
      </c>
      <c r="B108" s="10"/>
      <c r="C108" s="10"/>
      <c r="D108" s="10"/>
      <c r="E108" s="10"/>
      <c r="F108" s="10">
        <v>3.4734489080209383</v>
      </c>
      <c r="G108" s="10">
        <v>4.125240036621725</v>
      </c>
      <c r="H108" s="10">
        <v>5.7268038155454528</v>
      </c>
      <c r="I108" s="10">
        <v>6.6209568181037293</v>
      </c>
      <c r="J108" s="10">
        <v>6.9855248857738541</v>
      </c>
      <c r="K108" s="10">
        <v>20.059760733468739</v>
      </c>
      <c r="L108" s="10">
        <v>10.605135361860059</v>
      </c>
      <c r="M108" s="10">
        <v>7.7366102820314158</v>
      </c>
      <c r="N108" s="10">
        <v>3.6020951638735657</v>
      </c>
      <c r="O108" s="336"/>
      <c r="P108" s="10"/>
      <c r="Q108" s="10"/>
      <c r="R108" s="10"/>
      <c r="S108" s="10"/>
      <c r="T108" s="10"/>
      <c r="U108" s="10"/>
      <c r="V108" s="10"/>
      <c r="W108" s="10"/>
      <c r="X108" s="10"/>
    </row>
    <row r="109" spans="1:24">
      <c r="A109" s="10" t="s">
        <v>1128</v>
      </c>
      <c r="B109" s="10"/>
      <c r="C109" s="10"/>
      <c r="D109" s="10"/>
      <c r="E109" s="10"/>
      <c r="F109" s="10">
        <v>3.7428184151735837</v>
      </c>
      <c r="G109" s="10">
        <v>4.1673343227097019</v>
      </c>
      <c r="H109" s="10">
        <v>5.7852405891734673</v>
      </c>
      <c r="I109" s="10">
        <v>7.1344187754260595</v>
      </c>
      <c r="J109" s="10">
        <v>7.5272594687522343</v>
      </c>
      <c r="K109" s="10">
        <v>21.615415647492853</v>
      </c>
      <c r="L109" s="10">
        <v>11.427574430739003</v>
      </c>
      <c r="M109" s="10">
        <v>8.3365923039032364</v>
      </c>
      <c r="N109" s="10">
        <v>3.8814413194392703</v>
      </c>
      <c r="O109" s="336"/>
      <c r="P109" s="10"/>
      <c r="Q109" s="10"/>
      <c r="R109" s="10"/>
      <c r="S109" s="10"/>
      <c r="T109" s="10"/>
      <c r="U109" s="10"/>
      <c r="V109" s="10"/>
      <c r="W109" s="10"/>
      <c r="X109" s="10"/>
    </row>
    <row r="110" spans="1:24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77"/>
      <c r="P110" s="10"/>
      <c r="Q110" s="10"/>
      <c r="R110" s="10"/>
      <c r="S110" s="10"/>
      <c r="T110" s="10"/>
      <c r="U110" s="10"/>
      <c r="V110" s="10"/>
      <c r="W110" s="10"/>
      <c r="X110" s="10"/>
    </row>
    <row r="111" spans="1:24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77"/>
      <c r="P111" s="10"/>
      <c r="Q111" s="10"/>
      <c r="R111" s="10"/>
      <c r="S111" s="10"/>
      <c r="T111" s="10"/>
      <c r="U111" s="10"/>
      <c r="V111" s="10"/>
      <c r="W111" s="10"/>
      <c r="X111" s="10"/>
    </row>
    <row r="112" spans="1:24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77"/>
      <c r="P112" s="10"/>
      <c r="Q112" s="10"/>
      <c r="R112" s="10"/>
      <c r="S112" s="10"/>
      <c r="T112" s="10"/>
      <c r="U112" s="10"/>
      <c r="V112" s="10"/>
      <c r="W112" s="10"/>
      <c r="X112" s="10"/>
    </row>
    <row r="113" spans="1:24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77"/>
      <c r="P113" s="10"/>
      <c r="Q113" s="10"/>
      <c r="R113" s="10"/>
      <c r="S113" s="10"/>
      <c r="T113" s="10"/>
      <c r="U113" s="10"/>
      <c r="V113" s="10"/>
      <c r="W113" s="10"/>
      <c r="X113" s="10"/>
    </row>
    <row r="114" spans="1:2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77"/>
      <c r="P114" s="10"/>
      <c r="Q114" s="10"/>
      <c r="R114" s="10"/>
      <c r="S114" s="10"/>
      <c r="T114" s="10"/>
      <c r="U114" s="10"/>
      <c r="V114" s="10"/>
      <c r="W114" s="10"/>
      <c r="X114" s="10"/>
    </row>
    <row r="115" spans="1:24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649"/>
      <c r="P115" s="10"/>
      <c r="Q115" s="10"/>
      <c r="R115" s="10"/>
      <c r="S115" s="10"/>
      <c r="T115" s="10"/>
      <c r="U115" s="10"/>
      <c r="V115" s="10"/>
      <c r="W115" s="10"/>
      <c r="X115" s="10"/>
    </row>
    <row r="116" spans="1:24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219"/>
      <c r="P116" s="10"/>
      <c r="Q116" s="10"/>
      <c r="R116" s="10"/>
      <c r="S116" s="10"/>
      <c r="T116" s="10"/>
      <c r="U116" s="10"/>
      <c r="V116" s="10"/>
      <c r="W116" s="10"/>
      <c r="X116" s="10"/>
    </row>
    <row r="117" spans="1:24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77"/>
      <c r="P117" s="10"/>
      <c r="Q117" s="10"/>
      <c r="R117" s="10"/>
      <c r="S117" s="10"/>
      <c r="T117" s="10"/>
      <c r="U117" s="10"/>
      <c r="V117" s="10"/>
      <c r="W117" s="10"/>
      <c r="X117" s="10"/>
    </row>
    <row r="118" spans="1:24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77"/>
      <c r="P118" s="10"/>
      <c r="Q118" s="10"/>
      <c r="R118" s="10"/>
      <c r="S118" s="10"/>
      <c r="T118" s="10"/>
      <c r="U118" s="10"/>
      <c r="V118" s="10"/>
      <c r="W118" s="10"/>
      <c r="X118" s="10"/>
    </row>
    <row r="119" spans="1:24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77"/>
      <c r="P119" s="10"/>
      <c r="Q119" s="10"/>
      <c r="R119" s="10"/>
      <c r="S119" s="10"/>
      <c r="T119" s="10"/>
      <c r="U119" s="10"/>
      <c r="V119" s="10"/>
      <c r="W119" s="10"/>
      <c r="X119" s="10"/>
    </row>
    <row r="120" spans="1:24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77"/>
      <c r="P120" s="10"/>
      <c r="Q120" s="10"/>
      <c r="R120" s="10"/>
      <c r="S120" s="10"/>
      <c r="T120" s="10"/>
      <c r="U120" s="10"/>
      <c r="V120" s="10"/>
      <c r="W120" s="10"/>
      <c r="X120" s="10"/>
    </row>
    <row r="121" spans="1:24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77"/>
      <c r="P121" s="10"/>
      <c r="Q121" s="10"/>
      <c r="R121" s="10"/>
      <c r="S121" s="10"/>
      <c r="T121" s="10"/>
      <c r="U121" s="10"/>
      <c r="V121" s="10"/>
      <c r="W121" s="10"/>
      <c r="X121" s="10"/>
    </row>
    <row r="122" spans="1:24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77"/>
      <c r="P122" s="10"/>
      <c r="Q122" s="10"/>
      <c r="R122" s="10"/>
      <c r="S122" s="10"/>
      <c r="T122" s="10"/>
      <c r="U122" s="10"/>
      <c r="V122" s="10"/>
      <c r="W122" s="10"/>
      <c r="X122" s="10"/>
    </row>
    <row r="123" spans="1:24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77"/>
      <c r="P123" s="10"/>
      <c r="Q123" s="10"/>
      <c r="R123" s="10"/>
      <c r="S123" s="10"/>
      <c r="T123" s="10"/>
      <c r="U123" s="10"/>
      <c r="V123" s="10"/>
      <c r="W123" s="10"/>
      <c r="X123" s="10"/>
    </row>
    <row r="124" spans="1: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77"/>
      <c r="P124" s="10"/>
      <c r="Q124" s="10"/>
      <c r="R124" s="10"/>
      <c r="S124" s="10"/>
      <c r="T124" s="10"/>
      <c r="U124" s="10"/>
      <c r="V124" s="10"/>
      <c r="W124" s="10"/>
      <c r="X124" s="10"/>
    </row>
    <row r="125" spans="1:24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</row>
    <row r="126" spans="1:24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</row>
    <row r="127" spans="1:24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77"/>
      <c r="Q127" s="177"/>
      <c r="R127" s="177"/>
      <c r="S127" s="10"/>
      <c r="T127" s="10"/>
      <c r="U127" s="10"/>
      <c r="V127" s="10"/>
      <c r="W127" s="10"/>
      <c r="X127" s="10"/>
    </row>
    <row r="128" spans="1:24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</row>
    <row r="129" spans="1:24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273"/>
      <c r="Q129" s="273"/>
      <c r="R129" s="273"/>
      <c r="S129" s="10"/>
      <c r="T129" s="10"/>
      <c r="U129" s="10"/>
      <c r="V129" s="10"/>
      <c r="W129" s="10"/>
      <c r="X129" s="10"/>
    </row>
    <row r="130" spans="1:24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341"/>
      <c r="Q130" s="341"/>
      <c r="R130" s="341"/>
      <c r="S130" s="10"/>
      <c r="T130" s="10"/>
      <c r="U130" s="10"/>
      <c r="V130" s="10"/>
      <c r="W130" s="10"/>
      <c r="X130" s="10"/>
    </row>
    <row r="131" spans="1:24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77"/>
      <c r="Q131" s="177"/>
      <c r="R131" s="177"/>
      <c r="S131" s="10"/>
      <c r="T131" s="10"/>
      <c r="U131" s="10"/>
      <c r="V131" s="10"/>
      <c r="W131" s="10"/>
      <c r="X131" s="10"/>
    </row>
    <row r="132" spans="1:24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</row>
    <row r="133" spans="1:24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</row>
    <row r="134" spans="1:2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</row>
    <row r="135" spans="1:24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273"/>
      <c r="Q135" s="273"/>
      <c r="R135" s="273"/>
      <c r="S135" s="10"/>
      <c r="T135" s="10"/>
      <c r="U135" s="10"/>
      <c r="V135" s="10"/>
      <c r="W135" s="10"/>
      <c r="X135" s="10"/>
    </row>
    <row r="136" spans="1:24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273"/>
      <c r="Q136" s="273"/>
      <c r="R136" s="273"/>
      <c r="S136" s="10"/>
      <c r="T136" s="10"/>
      <c r="U136" s="10"/>
      <c r="V136" s="10"/>
      <c r="W136" s="10"/>
      <c r="X136" s="10"/>
    </row>
    <row r="137" spans="1:24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273"/>
      <c r="Q137" s="273"/>
      <c r="R137" s="273"/>
      <c r="S137" s="10"/>
      <c r="T137" s="10"/>
      <c r="U137" s="10"/>
      <c r="V137" s="10"/>
      <c r="W137" s="10"/>
      <c r="X137" s="10"/>
    </row>
    <row r="138" spans="1:24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273"/>
      <c r="Q138" s="273"/>
      <c r="R138" s="273"/>
      <c r="S138" s="10"/>
      <c r="T138" s="10"/>
      <c r="U138" s="10"/>
      <c r="V138" s="10"/>
      <c r="W138" s="10"/>
      <c r="X138" s="10"/>
    </row>
    <row r="139" spans="1:24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273"/>
      <c r="Q139" s="273"/>
      <c r="R139" s="273"/>
      <c r="S139" s="10"/>
      <c r="T139" s="10"/>
      <c r="U139" s="10"/>
      <c r="V139" s="10"/>
      <c r="W139" s="10"/>
      <c r="X139" s="10"/>
    </row>
    <row r="140" spans="1:24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273"/>
      <c r="Q140" s="273"/>
      <c r="R140" s="273"/>
      <c r="S140" s="10"/>
      <c r="T140" s="10"/>
      <c r="U140" s="10"/>
      <c r="V140" s="10"/>
      <c r="W140" s="10"/>
      <c r="X140" s="10"/>
    </row>
    <row r="141" spans="1:24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273"/>
      <c r="Q141" s="273"/>
      <c r="R141" s="273"/>
      <c r="S141" s="10"/>
      <c r="T141" s="10"/>
      <c r="U141" s="10"/>
      <c r="V141" s="10"/>
      <c r="W141" s="10"/>
      <c r="X141" s="10"/>
    </row>
    <row r="142" spans="1:24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273"/>
      <c r="Q142" s="273"/>
      <c r="R142" s="273"/>
      <c r="S142" s="10"/>
      <c r="T142" s="10"/>
      <c r="U142" s="10"/>
      <c r="V142" s="10"/>
      <c r="W142" s="10"/>
      <c r="X142" s="10"/>
    </row>
    <row r="143" spans="1:24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273"/>
      <c r="Q143" s="273"/>
      <c r="R143" s="273"/>
      <c r="S143" s="10"/>
      <c r="T143" s="10"/>
      <c r="U143" s="10"/>
      <c r="V143" s="10"/>
      <c r="W143" s="10"/>
      <c r="X143" s="10"/>
    </row>
    <row r="144" spans="1:2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273"/>
      <c r="Q144" s="273"/>
      <c r="R144" s="273"/>
      <c r="S144" s="10"/>
      <c r="T144" s="10"/>
      <c r="U144" s="10"/>
      <c r="V144" s="10"/>
      <c r="W144" s="10"/>
      <c r="X144" s="10"/>
    </row>
    <row r="145" spans="1:24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</row>
    <row r="146" spans="1:24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273"/>
      <c r="Q146" s="273"/>
      <c r="R146" s="273"/>
      <c r="S146" s="10"/>
      <c r="T146" s="10"/>
      <c r="U146" s="10"/>
      <c r="V146" s="10"/>
      <c r="W146" s="10"/>
      <c r="X146" s="10"/>
    </row>
    <row r="147" spans="1:24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273"/>
      <c r="Q147" s="273"/>
      <c r="R147" s="273"/>
      <c r="S147" s="10"/>
      <c r="T147" s="10"/>
      <c r="U147" s="10"/>
      <c r="V147" s="10"/>
      <c r="W147" s="10"/>
      <c r="X147" s="10"/>
    </row>
    <row r="148" spans="1:24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</row>
    <row r="149" spans="1:24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</row>
    <row r="150" spans="1:24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</row>
    <row r="151" spans="1:24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</row>
    <row r="152" spans="1:24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</row>
    <row r="153" spans="1:24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341"/>
      <c r="Q153" s="341"/>
      <c r="R153" s="341"/>
      <c r="S153" s="10"/>
      <c r="T153" s="10"/>
      <c r="U153" s="10"/>
      <c r="V153" s="10"/>
      <c r="W153" s="10"/>
      <c r="X153" s="10"/>
    </row>
    <row r="154" spans="1:2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341"/>
      <c r="Q154" s="341"/>
      <c r="R154" s="341"/>
      <c r="S154" s="10"/>
      <c r="T154" s="10"/>
      <c r="U154" s="10"/>
      <c r="V154" s="10"/>
      <c r="W154" s="10"/>
      <c r="X154" s="10"/>
    </row>
    <row r="155" spans="1:24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341"/>
      <c r="Q155" s="341"/>
      <c r="R155" s="341"/>
      <c r="S155" s="10"/>
      <c r="T155" s="10"/>
      <c r="U155" s="10"/>
      <c r="V155" s="10"/>
      <c r="W155" s="10"/>
      <c r="X155" s="10"/>
    </row>
    <row r="156" spans="1:24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</row>
    <row r="157" spans="1:24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</row>
    <row r="158" spans="1:24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</row>
    <row r="159" spans="1:24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</row>
    <row r="160" spans="1:24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</row>
    <row r="161" spans="1:24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</row>
    <row r="162" spans="1:24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</row>
    <row r="163" spans="1:24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</row>
    <row r="164" spans="1:24">
      <c r="A164" s="177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77"/>
      <c r="P164" s="341"/>
      <c r="Q164" s="341"/>
      <c r="R164" s="341"/>
      <c r="S164" s="10"/>
      <c r="T164" s="10"/>
      <c r="U164" s="10"/>
      <c r="V164" s="10"/>
      <c r="W164" s="10"/>
      <c r="X164" s="10"/>
    </row>
    <row r="165" spans="1:24">
      <c r="A165" s="177"/>
      <c r="B165" s="177"/>
      <c r="C165" s="177"/>
      <c r="D165" s="177"/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341"/>
      <c r="Q165" s="341"/>
      <c r="R165" s="341"/>
      <c r="S165" s="10"/>
      <c r="T165" s="10"/>
      <c r="U165" s="10"/>
      <c r="V165" s="10"/>
      <c r="W165" s="10"/>
      <c r="X165" s="10"/>
    </row>
    <row r="166" spans="1:24">
      <c r="A166" s="177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77"/>
      <c r="P166" s="341"/>
      <c r="Q166" s="341"/>
      <c r="R166" s="341"/>
      <c r="S166" s="10"/>
      <c r="T166" s="10"/>
      <c r="U166" s="10"/>
      <c r="V166" s="10"/>
      <c r="W166" s="10"/>
      <c r="X166" s="10"/>
    </row>
    <row r="167" spans="1:24">
      <c r="A167" s="177"/>
      <c r="B167" s="10"/>
      <c r="C167" s="10"/>
      <c r="D167" s="10"/>
      <c r="E167" s="10"/>
      <c r="F167" s="273"/>
      <c r="G167" s="273"/>
      <c r="H167" s="273"/>
      <c r="I167" s="273"/>
      <c r="J167" s="273"/>
      <c r="K167" s="273"/>
      <c r="L167" s="273"/>
      <c r="M167" s="273"/>
      <c r="N167" s="273"/>
      <c r="O167" s="177"/>
      <c r="P167" s="341"/>
      <c r="Q167" s="341"/>
      <c r="R167" s="341"/>
      <c r="S167" s="10"/>
      <c r="T167" s="10"/>
      <c r="U167" s="10"/>
      <c r="V167" s="10"/>
      <c r="W167" s="10"/>
      <c r="X167" s="10"/>
    </row>
    <row r="168" spans="1:24">
      <c r="A168" s="177"/>
      <c r="B168" s="10"/>
      <c r="C168" s="10"/>
      <c r="D168" s="10"/>
      <c r="E168" s="10"/>
      <c r="F168" s="341"/>
      <c r="G168" s="341"/>
      <c r="H168" s="341"/>
      <c r="I168" s="341"/>
      <c r="J168" s="341"/>
      <c r="K168" s="341"/>
      <c r="L168" s="341"/>
      <c r="M168" s="341"/>
      <c r="N168" s="341"/>
      <c r="O168" s="177"/>
      <c r="P168" s="341"/>
      <c r="Q168" s="341"/>
      <c r="R168" s="341"/>
      <c r="S168" s="10"/>
      <c r="T168" s="10"/>
      <c r="U168" s="10"/>
      <c r="V168" s="10"/>
      <c r="W168" s="10"/>
      <c r="X168" s="10"/>
    </row>
    <row r="169" spans="1:24">
      <c r="A169" s="177"/>
      <c r="B169" s="177"/>
      <c r="C169" s="177"/>
      <c r="D169" s="177"/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341"/>
      <c r="Q169" s="341"/>
      <c r="R169" s="341"/>
      <c r="S169" s="10"/>
      <c r="T169" s="10"/>
      <c r="U169" s="10"/>
      <c r="V169" s="10"/>
      <c r="W169" s="10"/>
      <c r="X169" s="10"/>
    </row>
    <row r="170" spans="1:24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341"/>
      <c r="Q170" s="341"/>
      <c r="R170" s="341"/>
      <c r="S170" s="10"/>
      <c r="T170" s="10"/>
      <c r="U170" s="10"/>
      <c r="V170" s="10"/>
      <c r="W170" s="10"/>
      <c r="X170" s="10"/>
    </row>
    <row r="171" spans="1:24">
      <c r="A171" s="191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91"/>
      <c r="P171" s="10"/>
      <c r="Q171" s="10"/>
      <c r="R171" s="10"/>
      <c r="S171" s="10"/>
      <c r="T171" s="10"/>
      <c r="U171" s="10"/>
      <c r="V171" s="10"/>
      <c r="W171" s="10"/>
      <c r="X171" s="10"/>
    </row>
    <row r="172" spans="1:24">
      <c r="A172" s="191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91"/>
      <c r="P172" s="10"/>
      <c r="Q172" s="10"/>
      <c r="R172" s="10"/>
      <c r="S172" s="10"/>
      <c r="T172" s="10"/>
      <c r="U172" s="10"/>
      <c r="V172" s="10"/>
      <c r="W172" s="10"/>
      <c r="X172" s="10"/>
    </row>
    <row r="173" spans="1:24">
      <c r="A173" s="177"/>
      <c r="B173" s="10"/>
      <c r="C173" s="10"/>
      <c r="D173" s="10"/>
      <c r="E173" s="10"/>
      <c r="F173" s="273"/>
      <c r="G173" s="273"/>
      <c r="H173" s="273"/>
      <c r="I173" s="273"/>
      <c r="J173" s="273"/>
      <c r="K173" s="273"/>
      <c r="L173" s="273"/>
      <c r="M173" s="273"/>
      <c r="N173" s="273"/>
      <c r="O173" s="177"/>
      <c r="P173" s="273"/>
      <c r="Q173" s="273"/>
      <c r="R173" s="273"/>
      <c r="S173" s="10"/>
      <c r="T173" s="10"/>
      <c r="U173" s="10"/>
      <c r="V173" s="10"/>
      <c r="W173" s="10"/>
      <c r="X173" s="10"/>
    </row>
    <row r="174" spans="1:24">
      <c r="A174" s="177"/>
      <c r="B174" s="10"/>
      <c r="C174" s="10"/>
      <c r="D174" s="10"/>
      <c r="E174" s="10"/>
      <c r="F174" s="273"/>
      <c r="G174" s="273"/>
      <c r="H174" s="273"/>
      <c r="I174" s="273"/>
      <c r="J174" s="273"/>
      <c r="K174" s="273"/>
      <c r="L174" s="273"/>
      <c r="M174" s="273"/>
      <c r="N174" s="273"/>
      <c r="O174" s="177"/>
      <c r="P174" s="273"/>
      <c r="Q174" s="273"/>
      <c r="R174" s="273"/>
      <c r="S174" s="10"/>
      <c r="T174" s="10"/>
      <c r="U174" s="10"/>
      <c r="V174" s="10"/>
      <c r="W174" s="10"/>
      <c r="X174" s="10"/>
    </row>
    <row r="175" spans="1:24">
      <c r="A175" s="10"/>
      <c r="B175" s="10"/>
      <c r="C175" s="10"/>
      <c r="D175" s="10"/>
      <c r="E175" s="10"/>
      <c r="F175" s="273"/>
      <c r="G175" s="273"/>
      <c r="H175" s="273"/>
      <c r="I175" s="273"/>
      <c r="J175" s="273"/>
      <c r="K175" s="273"/>
      <c r="L175" s="273"/>
      <c r="M175" s="273"/>
      <c r="N175" s="273"/>
      <c r="O175" s="10"/>
      <c r="P175" s="273"/>
      <c r="Q175" s="273"/>
      <c r="R175" s="273"/>
      <c r="S175" s="10"/>
      <c r="T175" s="10"/>
      <c r="U175" s="10"/>
      <c r="V175" s="10"/>
      <c r="W175" s="10"/>
      <c r="X175" s="10"/>
    </row>
    <row r="176" spans="1:24">
      <c r="A176" s="10"/>
      <c r="B176" s="10"/>
      <c r="C176" s="10"/>
      <c r="D176" s="10"/>
      <c r="E176" s="10"/>
      <c r="F176" s="273"/>
      <c r="G176" s="273"/>
      <c r="H176" s="273"/>
      <c r="I176" s="273"/>
      <c r="J176" s="273"/>
      <c r="K176" s="273"/>
      <c r="L176" s="273"/>
      <c r="M176" s="273"/>
      <c r="N176" s="273"/>
      <c r="O176" s="10"/>
      <c r="P176" s="273"/>
      <c r="Q176" s="273"/>
      <c r="R176" s="273"/>
      <c r="S176" s="10"/>
      <c r="T176" s="10"/>
      <c r="U176" s="10"/>
      <c r="V176" s="10"/>
      <c r="W176" s="10"/>
      <c r="X176" s="10"/>
    </row>
    <row r="177" spans="1:24">
      <c r="A177" s="191"/>
      <c r="B177" s="10"/>
      <c r="C177" s="10"/>
      <c r="D177" s="10"/>
      <c r="E177" s="10"/>
      <c r="F177" s="273"/>
      <c r="G177" s="273"/>
      <c r="H177" s="273"/>
      <c r="I177" s="273"/>
      <c r="J177" s="273"/>
      <c r="K177" s="273"/>
      <c r="L177" s="273"/>
      <c r="M177" s="273"/>
      <c r="N177" s="273"/>
      <c r="O177" s="191"/>
      <c r="P177" s="273"/>
      <c r="Q177" s="273"/>
      <c r="R177" s="273"/>
      <c r="S177" s="10"/>
      <c r="T177" s="10"/>
      <c r="U177" s="10"/>
      <c r="V177" s="10"/>
      <c r="W177" s="10"/>
      <c r="X177" s="10"/>
    </row>
    <row r="178" spans="1:24">
      <c r="A178" s="10"/>
      <c r="B178" s="10"/>
      <c r="C178" s="10"/>
      <c r="D178" s="10"/>
      <c r="E178" s="10"/>
      <c r="F178" s="273"/>
      <c r="G178" s="273"/>
      <c r="H178" s="273"/>
      <c r="I178" s="273"/>
      <c r="J178" s="273"/>
      <c r="K178" s="273"/>
      <c r="L178" s="273"/>
      <c r="M178" s="273"/>
      <c r="N178" s="273"/>
      <c r="O178" s="10"/>
      <c r="P178" s="273"/>
      <c r="Q178" s="273"/>
      <c r="R178" s="273"/>
      <c r="S178" s="10"/>
      <c r="T178" s="10"/>
      <c r="U178" s="10"/>
      <c r="V178" s="10"/>
      <c r="W178" s="10"/>
      <c r="X178" s="10"/>
    </row>
    <row r="179" spans="1:24">
      <c r="A179" s="10"/>
      <c r="B179" s="10"/>
      <c r="C179" s="10"/>
      <c r="D179" s="10"/>
      <c r="E179" s="10"/>
      <c r="F179" s="273"/>
      <c r="G179" s="273"/>
      <c r="H179" s="273"/>
      <c r="I179" s="273"/>
      <c r="J179" s="273"/>
      <c r="K179" s="273"/>
      <c r="L179" s="273"/>
      <c r="M179" s="273"/>
      <c r="N179" s="273"/>
      <c r="O179" s="10"/>
      <c r="P179" s="273"/>
      <c r="Q179" s="273"/>
      <c r="R179" s="273"/>
      <c r="S179" s="10"/>
      <c r="T179" s="10"/>
      <c r="U179" s="10"/>
      <c r="V179" s="10"/>
      <c r="W179" s="10"/>
      <c r="X179" s="10"/>
    </row>
    <row r="180" spans="1:24">
      <c r="A180" s="191"/>
      <c r="B180" s="10"/>
      <c r="C180" s="10"/>
      <c r="D180" s="10"/>
      <c r="E180" s="10"/>
      <c r="F180" s="273"/>
      <c r="G180" s="273"/>
      <c r="H180" s="273"/>
      <c r="I180" s="273"/>
      <c r="J180" s="273"/>
      <c r="K180" s="273"/>
      <c r="L180" s="273"/>
      <c r="M180" s="273"/>
      <c r="N180" s="273"/>
      <c r="O180" s="191"/>
      <c r="P180" s="273"/>
      <c r="Q180" s="273"/>
      <c r="R180" s="273"/>
      <c r="S180" s="10"/>
      <c r="T180" s="10"/>
      <c r="U180" s="10"/>
      <c r="V180" s="10"/>
      <c r="W180" s="10"/>
      <c r="X180" s="10"/>
    </row>
    <row r="181" spans="1:24">
      <c r="A181" s="10"/>
      <c r="B181" s="10"/>
      <c r="C181" s="10"/>
      <c r="D181" s="10"/>
      <c r="E181" s="10"/>
      <c r="F181" s="273"/>
      <c r="G181" s="273"/>
      <c r="H181" s="273"/>
      <c r="I181" s="273"/>
      <c r="J181" s="273"/>
      <c r="K181" s="273"/>
      <c r="L181" s="273"/>
      <c r="M181" s="273"/>
      <c r="N181" s="273"/>
      <c r="O181" s="10"/>
      <c r="P181" s="273"/>
      <c r="Q181" s="273"/>
      <c r="R181" s="273"/>
      <c r="S181" s="10"/>
      <c r="T181" s="10"/>
      <c r="U181" s="10"/>
      <c r="V181" s="10"/>
      <c r="W181" s="10"/>
      <c r="X181" s="10"/>
    </row>
    <row r="182" spans="1:24">
      <c r="A182" s="10"/>
      <c r="B182" s="10"/>
      <c r="C182" s="10"/>
      <c r="D182" s="10"/>
      <c r="E182" s="10"/>
      <c r="F182" s="273"/>
      <c r="G182" s="273"/>
      <c r="H182" s="273"/>
      <c r="I182" s="273"/>
      <c r="J182" s="273"/>
      <c r="K182" s="273"/>
      <c r="L182" s="273"/>
      <c r="M182" s="273"/>
      <c r="N182" s="273"/>
      <c r="O182" s="10"/>
      <c r="P182" s="273"/>
      <c r="Q182" s="273"/>
      <c r="R182" s="273"/>
      <c r="S182" s="10"/>
      <c r="T182" s="10"/>
      <c r="U182" s="10"/>
      <c r="V182" s="10"/>
      <c r="W182" s="10"/>
      <c r="X182" s="10"/>
    </row>
    <row r="183" spans="1:24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273"/>
      <c r="Q183" s="273"/>
      <c r="R183" s="273"/>
      <c r="S183" s="10"/>
      <c r="T183" s="10"/>
      <c r="U183" s="10"/>
      <c r="V183" s="10"/>
      <c r="W183" s="10"/>
      <c r="X183" s="10"/>
    </row>
    <row r="184" spans="1:24">
      <c r="A184" s="191"/>
      <c r="B184" s="10"/>
      <c r="C184" s="10"/>
      <c r="D184" s="10"/>
      <c r="E184" s="10"/>
      <c r="F184" s="273"/>
      <c r="G184" s="273"/>
      <c r="H184" s="273"/>
      <c r="I184" s="273"/>
      <c r="J184" s="273"/>
      <c r="K184" s="273"/>
      <c r="L184" s="273"/>
      <c r="M184" s="273"/>
      <c r="N184" s="273"/>
      <c r="O184" s="191"/>
      <c r="P184" s="273"/>
      <c r="Q184" s="273"/>
      <c r="R184" s="273"/>
      <c r="S184" s="10"/>
      <c r="T184" s="10"/>
      <c r="U184" s="10"/>
      <c r="V184" s="10"/>
      <c r="W184" s="10"/>
      <c r="X184" s="10"/>
    </row>
    <row r="185" spans="1:24">
      <c r="A185" s="191"/>
      <c r="B185" s="10"/>
      <c r="C185" s="10"/>
      <c r="D185" s="10"/>
      <c r="E185" s="10"/>
      <c r="F185" s="273"/>
      <c r="G185" s="273"/>
      <c r="H185" s="273"/>
      <c r="I185" s="273"/>
      <c r="J185" s="273"/>
      <c r="K185" s="273"/>
      <c r="L185" s="273"/>
      <c r="M185" s="273"/>
      <c r="N185" s="273"/>
      <c r="O185" s="191"/>
      <c r="P185" s="10"/>
      <c r="Q185" s="10"/>
      <c r="R185" s="10"/>
      <c r="S185" s="10"/>
      <c r="T185" s="10"/>
      <c r="U185" s="10"/>
      <c r="V185" s="10"/>
      <c r="W185" s="10"/>
      <c r="X185" s="10"/>
    </row>
    <row r="186" spans="1:24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 spans="1:24">
      <c r="A187" s="177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77"/>
      <c r="P187" s="10"/>
      <c r="Q187" s="10"/>
      <c r="R187" s="10"/>
      <c r="S187" s="10"/>
      <c r="T187" s="10"/>
      <c r="U187" s="10"/>
      <c r="V187" s="10"/>
      <c r="W187" s="10"/>
      <c r="X187" s="10"/>
    </row>
    <row r="188" spans="1:24">
      <c r="A188" s="177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77"/>
      <c r="P188" s="10"/>
      <c r="Q188" s="10"/>
      <c r="R188" s="10"/>
      <c r="S188" s="10"/>
      <c r="T188" s="10"/>
      <c r="U188" s="10"/>
      <c r="V188" s="10"/>
      <c r="W188" s="10"/>
      <c r="X188" s="10"/>
    </row>
    <row r="189" spans="1:24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 spans="1:24">
      <c r="A190" s="177"/>
      <c r="B190" s="10"/>
      <c r="C190" s="10"/>
      <c r="D190" s="10"/>
      <c r="E190" s="10"/>
      <c r="F190" s="22"/>
      <c r="G190" s="22"/>
      <c r="H190" s="22"/>
      <c r="I190" s="22"/>
      <c r="J190" s="22"/>
      <c r="K190" s="22"/>
      <c r="L190" s="22"/>
      <c r="M190" s="22"/>
      <c r="N190" s="22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1:24">
      <c r="A191" s="177"/>
      <c r="B191" s="10"/>
      <c r="C191" s="10"/>
      <c r="D191" s="10"/>
      <c r="E191" s="10"/>
      <c r="F191" s="341"/>
      <c r="G191" s="341"/>
      <c r="H191" s="341"/>
      <c r="I191" s="341"/>
      <c r="J191" s="341"/>
      <c r="K191" s="341"/>
      <c r="L191" s="341"/>
      <c r="M191" s="341"/>
      <c r="N191" s="341"/>
      <c r="O191" s="177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1:24">
      <c r="A192" s="177"/>
      <c r="B192" s="10"/>
      <c r="C192" s="10"/>
      <c r="D192" s="10"/>
      <c r="E192" s="10"/>
      <c r="F192" s="341"/>
      <c r="G192" s="341"/>
      <c r="H192" s="341"/>
      <c r="I192" s="341"/>
      <c r="J192" s="341"/>
      <c r="K192" s="341"/>
      <c r="L192" s="341"/>
      <c r="M192" s="341"/>
      <c r="N192" s="341"/>
      <c r="O192" s="177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1:24">
      <c r="A193" s="10"/>
      <c r="B193" s="10"/>
      <c r="C193" s="10"/>
      <c r="D193" s="10"/>
      <c r="E193" s="10"/>
      <c r="F193" s="341"/>
      <c r="G193" s="341"/>
      <c r="H193" s="341"/>
      <c r="I193" s="341"/>
      <c r="J193" s="341"/>
      <c r="K193" s="341"/>
      <c r="L193" s="341"/>
      <c r="M193" s="341"/>
      <c r="N193" s="341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 spans="1:24">
      <c r="A194" s="10"/>
      <c r="B194" s="10"/>
      <c r="C194" s="10"/>
      <c r="D194" s="10"/>
      <c r="E194" s="10"/>
      <c r="F194" s="341"/>
      <c r="G194" s="341"/>
      <c r="H194" s="341"/>
      <c r="I194" s="341"/>
      <c r="J194" s="341"/>
      <c r="K194" s="341"/>
      <c r="L194" s="341"/>
      <c r="M194" s="341"/>
      <c r="N194" s="341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1:24">
      <c r="A195" s="191"/>
      <c r="B195" s="10"/>
      <c r="C195" s="10"/>
      <c r="D195" s="10"/>
      <c r="E195" s="10"/>
      <c r="F195" s="341"/>
      <c r="G195" s="341"/>
      <c r="H195" s="341"/>
      <c r="I195" s="341"/>
      <c r="J195" s="341"/>
      <c r="K195" s="341"/>
      <c r="L195" s="341"/>
      <c r="M195" s="341"/>
      <c r="N195" s="341"/>
      <c r="O195" s="191"/>
      <c r="P195" s="10"/>
      <c r="Q195" s="10"/>
      <c r="R195" s="10"/>
      <c r="S195" s="10"/>
      <c r="T195" s="10"/>
      <c r="U195" s="10"/>
      <c r="V195" s="10"/>
      <c r="W195" s="10"/>
      <c r="X195" s="10"/>
    </row>
    <row r="196" spans="1:24">
      <c r="A196" s="10"/>
      <c r="B196" s="10"/>
      <c r="C196" s="10"/>
      <c r="D196" s="10"/>
      <c r="E196" s="10"/>
      <c r="F196" s="341"/>
      <c r="G196" s="341"/>
      <c r="H196" s="341"/>
      <c r="I196" s="341"/>
      <c r="J196" s="341"/>
      <c r="K196" s="341"/>
      <c r="L196" s="341"/>
      <c r="M196" s="341"/>
      <c r="N196" s="341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 spans="1:24">
      <c r="A197" s="10"/>
      <c r="B197" s="10"/>
      <c r="C197" s="10"/>
      <c r="D197" s="10"/>
      <c r="E197" s="10"/>
      <c r="F197" s="341"/>
      <c r="G197" s="341"/>
      <c r="H197" s="341"/>
      <c r="I197" s="341"/>
      <c r="J197" s="341"/>
      <c r="K197" s="341"/>
      <c r="L197" s="341"/>
      <c r="M197" s="341"/>
      <c r="N197" s="341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 spans="1:24">
      <c r="A198" s="191"/>
      <c r="B198" s="10"/>
      <c r="C198" s="10"/>
      <c r="D198" s="10"/>
      <c r="E198" s="10"/>
      <c r="F198" s="341"/>
      <c r="G198" s="341"/>
      <c r="H198" s="341"/>
      <c r="I198" s="341"/>
      <c r="J198" s="341"/>
      <c r="K198" s="341"/>
      <c r="L198" s="341"/>
      <c r="M198" s="341"/>
      <c r="N198" s="341"/>
      <c r="O198" s="191"/>
      <c r="P198" s="10"/>
      <c r="Q198" s="10"/>
      <c r="R198" s="10"/>
      <c r="S198" s="10"/>
      <c r="T198" s="10"/>
      <c r="U198" s="10"/>
      <c r="V198" s="10"/>
      <c r="W198" s="10"/>
      <c r="X198" s="10"/>
    </row>
    <row r="199" spans="1:24">
      <c r="A199" s="10"/>
      <c r="B199" s="10"/>
      <c r="C199" s="10"/>
      <c r="D199" s="10"/>
      <c r="E199" s="10"/>
      <c r="F199" s="341"/>
      <c r="G199" s="341"/>
      <c r="H199" s="341"/>
      <c r="I199" s="341"/>
      <c r="J199" s="341"/>
      <c r="K199" s="341"/>
      <c r="L199" s="341"/>
      <c r="M199" s="341"/>
      <c r="N199" s="341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 spans="1:24">
      <c r="A200" s="10"/>
      <c r="B200" s="10"/>
      <c r="C200" s="10"/>
      <c r="D200" s="10"/>
      <c r="E200" s="10"/>
      <c r="F200" s="341"/>
      <c r="G200" s="341"/>
      <c r="H200" s="341"/>
      <c r="I200" s="341"/>
      <c r="J200" s="341"/>
      <c r="K200" s="341"/>
      <c r="L200" s="341"/>
      <c r="M200" s="341"/>
      <c r="N200" s="341"/>
      <c r="O200" s="10"/>
      <c r="P200" s="10"/>
      <c r="Q200" s="10"/>
      <c r="R200" s="10"/>
      <c r="S200" s="10"/>
      <c r="T200" s="10"/>
      <c r="U200" s="10"/>
      <c r="V200" s="10"/>
      <c r="W200" s="10"/>
      <c r="X200" s="10"/>
    </row>
    <row r="201" spans="1:24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</row>
    <row r="202" spans="1:24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</row>
    <row r="203" spans="1:24">
      <c r="A203" s="177"/>
      <c r="B203" s="10"/>
      <c r="C203" s="10"/>
      <c r="D203" s="10"/>
      <c r="E203" s="10"/>
      <c r="F203" s="273"/>
      <c r="G203" s="273"/>
      <c r="H203" s="273"/>
      <c r="I203" s="273"/>
      <c r="J203" s="273"/>
      <c r="K203" s="273"/>
      <c r="L203" s="273"/>
      <c r="M203" s="273"/>
      <c r="N203" s="273"/>
      <c r="O203" s="177"/>
      <c r="P203" s="10"/>
      <c r="Q203" s="10"/>
      <c r="R203" s="10"/>
      <c r="S203" s="10"/>
      <c r="T203" s="10"/>
      <c r="U203" s="10"/>
      <c r="V203" s="10"/>
      <c r="W203" s="10"/>
      <c r="X203" s="10"/>
    </row>
    <row r="204" spans="1:24">
      <c r="A204" s="177"/>
      <c r="B204" s="10"/>
      <c r="C204" s="10"/>
      <c r="D204" s="10"/>
      <c r="E204" s="10"/>
      <c r="F204" s="273"/>
      <c r="G204" s="273"/>
      <c r="H204" s="273"/>
      <c r="I204" s="273"/>
      <c r="J204" s="273"/>
      <c r="K204" s="273"/>
      <c r="L204" s="273"/>
      <c r="M204" s="273"/>
      <c r="N204" s="273"/>
      <c r="O204" s="177"/>
      <c r="P204" s="10"/>
      <c r="Q204" s="10"/>
      <c r="R204" s="10"/>
      <c r="S204" s="10"/>
      <c r="T204" s="10"/>
      <c r="U204" s="10"/>
      <c r="V204" s="10"/>
      <c r="W204" s="10"/>
      <c r="X204" s="10"/>
    </row>
    <row r="205" spans="1:24">
      <c r="A205" s="10"/>
      <c r="B205" s="10"/>
      <c r="C205" s="10"/>
      <c r="D205" s="10"/>
      <c r="E205" s="10"/>
      <c r="F205" s="273"/>
      <c r="G205" s="273"/>
      <c r="H205" s="273"/>
      <c r="I205" s="273"/>
      <c r="J205" s="273"/>
      <c r="K205" s="273"/>
      <c r="L205" s="273"/>
      <c r="M205" s="273"/>
      <c r="N205" s="273"/>
      <c r="O205" s="10"/>
      <c r="P205" s="10"/>
      <c r="Q205" s="10"/>
      <c r="R205" s="10"/>
      <c r="S205" s="10"/>
      <c r="T205" s="10"/>
      <c r="U205" s="10"/>
      <c r="V205" s="10"/>
      <c r="W205" s="10"/>
      <c r="X205" s="10"/>
    </row>
    <row r="206" spans="1:24">
      <c r="A206" s="10"/>
      <c r="B206" s="10"/>
      <c r="C206" s="10"/>
      <c r="D206" s="10"/>
      <c r="E206" s="10"/>
      <c r="F206" s="273"/>
      <c r="G206" s="273"/>
      <c r="H206" s="273"/>
      <c r="I206" s="273"/>
      <c r="J206" s="273"/>
      <c r="K206" s="273"/>
      <c r="L206" s="273"/>
      <c r="M206" s="273"/>
      <c r="N206" s="273"/>
      <c r="O206" s="10"/>
      <c r="P206" s="10"/>
      <c r="Q206" s="10"/>
      <c r="R206" s="10"/>
      <c r="S206" s="10"/>
      <c r="T206" s="10"/>
      <c r="U206" s="10"/>
      <c r="V206" s="10"/>
      <c r="W206" s="10"/>
      <c r="X206" s="10"/>
    </row>
    <row r="207" spans="1:24">
      <c r="A207" s="191"/>
      <c r="B207" s="10"/>
      <c r="C207" s="10"/>
      <c r="D207" s="10"/>
      <c r="E207" s="10"/>
      <c r="F207" s="273"/>
      <c r="G207" s="273"/>
      <c r="H207" s="273"/>
      <c r="I207" s="273"/>
      <c r="J207" s="273"/>
      <c r="K207" s="273"/>
      <c r="L207" s="273"/>
      <c r="M207" s="273"/>
      <c r="N207" s="273"/>
      <c r="O207" s="191"/>
      <c r="P207" s="10"/>
      <c r="Q207" s="10"/>
      <c r="R207" s="10"/>
      <c r="S207" s="10"/>
      <c r="T207" s="10"/>
      <c r="U207" s="10"/>
      <c r="V207" s="10"/>
      <c r="W207" s="10"/>
      <c r="X207" s="10"/>
    </row>
    <row r="208" spans="1:24">
      <c r="A208" s="10"/>
      <c r="B208" s="10"/>
      <c r="C208" s="10"/>
      <c r="D208" s="10"/>
      <c r="E208" s="10"/>
      <c r="F208" s="273"/>
      <c r="G208" s="273"/>
      <c r="H208" s="273"/>
      <c r="I208" s="273"/>
      <c r="J208" s="273"/>
      <c r="K208" s="273"/>
      <c r="L208" s="273"/>
      <c r="M208" s="273"/>
      <c r="N208" s="273"/>
      <c r="O208" s="10"/>
      <c r="P208" s="10"/>
      <c r="Q208" s="10"/>
      <c r="R208" s="10"/>
      <c r="S208" s="10"/>
      <c r="T208" s="10"/>
      <c r="U208" s="10"/>
      <c r="V208" s="10"/>
      <c r="W208" s="10"/>
      <c r="X208" s="10"/>
    </row>
    <row r="209" spans="1:24">
      <c r="A209" s="10"/>
      <c r="B209" s="10"/>
      <c r="C209" s="10"/>
      <c r="D209" s="10"/>
      <c r="E209" s="10"/>
      <c r="F209" s="273"/>
      <c r="G209" s="273"/>
      <c r="H209" s="273"/>
      <c r="I209" s="273"/>
      <c r="J209" s="273"/>
      <c r="K209" s="273"/>
      <c r="L209" s="273"/>
      <c r="M209" s="273"/>
      <c r="N209" s="273"/>
      <c r="O209" s="10"/>
      <c r="P209" s="10"/>
      <c r="Q209" s="10"/>
      <c r="R209" s="10"/>
      <c r="S209" s="10"/>
      <c r="T209" s="10"/>
      <c r="U209" s="10"/>
      <c r="V209" s="10"/>
      <c r="W209" s="10"/>
      <c r="X209" s="10"/>
    </row>
    <row r="210" spans="1:24">
      <c r="A210" s="191"/>
      <c r="B210" s="10"/>
      <c r="C210" s="10"/>
      <c r="D210" s="10"/>
      <c r="E210" s="10"/>
      <c r="F210" s="273"/>
      <c r="G210" s="273"/>
      <c r="H210" s="273"/>
      <c r="I210" s="273"/>
      <c r="J210" s="273"/>
      <c r="K210" s="273"/>
      <c r="L210" s="273"/>
      <c r="M210" s="273"/>
      <c r="N210" s="273"/>
      <c r="O210" s="191"/>
      <c r="P210" s="10"/>
      <c r="Q210" s="10"/>
      <c r="R210" s="10"/>
      <c r="S210" s="10"/>
      <c r="T210" s="10"/>
      <c r="U210" s="10"/>
      <c r="V210" s="10"/>
      <c r="W210" s="10"/>
      <c r="X210" s="10"/>
    </row>
    <row r="211" spans="1:24">
      <c r="A211" s="10"/>
      <c r="B211" s="10"/>
      <c r="C211" s="10"/>
      <c r="D211" s="10"/>
      <c r="E211" s="10"/>
      <c r="F211" s="273"/>
      <c r="G211" s="273"/>
      <c r="H211" s="273"/>
      <c r="I211" s="273"/>
      <c r="J211" s="273"/>
      <c r="K211" s="273"/>
      <c r="L211" s="273"/>
      <c r="M211" s="273"/>
      <c r="N211" s="273"/>
      <c r="O211" s="10"/>
      <c r="P211" s="10"/>
      <c r="Q211" s="10"/>
      <c r="R211" s="10"/>
      <c r="S211" s="10"/>
      <c r="T211" s="10"/>
      <c r="U211" s="10"/>
      <c r="V211" s="10"/>
      <c r="W211" s="10"/>
      <c r="X211" s="10"/>
    </row>
    <row r="212" spans="1:24">
      <c r="A212" s="10"/>
      <c r="B212" s="10"/>
      <c r="C212" s="10"/>
      <c r="D212" s="10"/>
      <c r="E212" s="10"/>
      <c r="F212" s="273"/>
      <c r="G212" s="273"/>
      <c r="H212" s="273"/>
      <c r="I212" s="273"/>
      <c r="J212" s="273"/>
      <c r="K212" s="273"/>
      <c r="L212" s="273"/>
      <c r="M212" s="273"/>
      <c r="N212" s="273"/>
      <c r="O212" s="10"/>
      <c r="P212" s="10"/>
      <c r="Q212" s="10"/>
      <c r="R212" s="10"/>
      <c r="S212" s="10"/>
      <c r="T212" s="10"/>
      <c r="U212" s="10"/>
      <c r="V212" s="10"/>
      <c r="W212" s="10"/>
      <c r="X212" s="10"/>
    </row>
    <row r="213" spans="1:24">
      <c r="A213" s="10"/>
      <c r="B213" s="10"/>
      <c r="C213" s="10"/>
      <c r="D213" s="10"/>
      <c r="E213" s="10"/>
      <c r="F213" s="273"/>
      <c r="G213" s="273"/>
      <c r="H213" s="273"/>
      <c r="I213" s="273"/>
      <c r="J213" s="273"/>
      <c r="K213" s="273"/>
      <c r="L213" s="273"/>
      <c r="M213" s="273"/>
      <c r="N213" s="273"/>
      <c r="O213" s="10"/>
      <c r="P213" s="10"/>
      <c r="Q213" s="10"/>
      <c r="R213" s="10"/>
      <c r="S213" s="10"/>
      <c r="T213" s="10"/>
      <c r="U213" s="10"/>
      <c r="V213" s="10"/>
      <c r="W213" s="10"/>
      <c r="X213" s="10"/>
    </row>
    <row r="214" spans="1:24">
      <c r="A214" s="191"/>
      <c r="B214" s="10"/>
      <c r="C214" s="10"/>
      <c r="D214" s="10"/>
      <c r="E214" s="10"/>
      <c r="F214" s="273"/>
      <c r="G214" s="273"/>
      <c r="H214" s="273"/>
      <c r="I214" s="273"/>
      <c r="J214" s="273"/>
      <c r="K214" s="273"/>
      <c r="L214" s="273"/>
      <c r="M214" s="273"/>
      <c r="N214" s="273"/>
      <c r="O214" s="191"/>
      <c r="P214" s="10"/>
      <c r="Q214" s="10"/>
      <c r="R214" s="10"/>
      <c r="S214" s="10"/>
      <c r="T214" s="10"/>
      <c r="U214" s="10"/>
      <c r="V214" s="10"/>
      <c r="W214" s="10"/>
      <c r="X214" s="10"/>
    </row>
    <row r="215" spans="1:24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</row>
    <row r="216" spans="1:24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</row>
    <row r="217" spans="1:24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</row>
    <row r="218" spans="1:24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</row>
    <row r="219" spans="1:24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</row>
    <row r="220" spans="1:24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</row>
    <row r="221" spans="1:24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</row>
    <row r="222" spans="1:24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</row>
    <row r="223" spans="1:24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</row>
    <row r="224" spans="1:2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</row>
    <row r="225" spans="1:24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</row>
    <row r="226" spans="1:24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</row>
    <row r="227" spans="1:24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</row>
    <row r="228" spans="1:24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</row>
    <row r="229" spans="1:24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Energy Contents Cell</vt:lpstr>
      <vt:lpstr>Mass and Cost Cell</vt:lpstr>
      <vt:lpstr>Mass and Cost System</vt:lpstr>
      <vt:lpstr>Env. Impacts Cell</vt:lpstr>
      <vt:lpstr>Env. Impacts System</vt:lpstr>
      <vt:lpstr>Material Costs and GWP</vt:lpstr>
      <vt:lpstr>Cell Properties</vt:lpstr>
      <vt:lpstr>References</vt:lpstr>
      <vt:lpstr>BatPac Summary</vt:lpstr>
      <vt:lpstr>BatPac Manufacturing Costs</vt:lpstr>
      <vt:lpstr>BatPac Recycling</vt:lpstr>
      <vt:lpstr>Mass Contents</vt:lpstr>
      <vt:lpstr>Sensitivity Energy Density</vt:lpstr>
      <vt:lpstr>Utility System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Betz</dc:creator>
  <cp:lastModifiedBy>Niklas Lindahl</cp:lastModifiedBy>
  <dcterms:created xsi:type="dcterms:W3CDTF">2018-04-16T16:47:53Z</dcterms:created>
  <dcterms:modified xsi:type="dcterms:W3CDTF">2022-03-04T14:02:07Z</dcterms:modified>
</cp:coreProperties>
</file>