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irius/MolPhys/PaperCatcher/PM6extraDimers/"/>
    </mc:Choice>
  </mc:AlternateContent>
  <xr:revisionPtr revIDLastSave="0" documentId="13_ncr:1_{0D4E3205-38D0-1347-965C-D2E2E6484135}" xr6:coauthVersionLast="47" xr6:coauthVersionMax="47" xr10:uidLastSave="{00000000-0000-0000-0000-000000000000}"/>
  <bookViews>
    <workbookView xWindow="580" yWindow="500" windowWidth="32840" windowHeight="19400" xr2:uid="{0BE5F076-D477-1341-AA84-B22170566899}"/>
  </bookViews>
  <sheets>
    <sheet name="Thermodynamics binding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6" i="13" l="1"/>
  <c r="AK12" i="13"/>
  <c r="AK11" i="13"/>
  <c r="AK6" i="13"/>
  <c r="AK5" i="13"/>
  <c r="AJ5" i="13"/>
  <c r="AJ6" i="13" s="1"/>
  <c r="AI5" i="13"/>
  <c r="AI4" i="13"/>
  <c r="AF37" i="13"/>
  <c r="AE36" i="13"/>
  <c r="AD35" i="13"/>
  <c r="AC38" i="13"/>
  <c r="AB37" i="13"/>
  <c r="AA36" i="13"/>
  <c r="AA9" i="13"/>
  <c r="Z39" i="13"/>
  <c r="X35" i="13"/>
  <c r="Y29" i="13"/>
  <c r="W31" i="13"/>
  <c r="V29" i="13"/>
  <c r="U28" i="13"/>
  <c r="R45" i="13"/>
  <c r="E75" i="13"/>
  <c r="D75" i="13"/>
  <c r="D48" i="13"/>
  <c r="L40" i="13" l="1"/>
  <c r="P40" i="13" s="1"/>
  <c r="I40" i="13"/>
  <c r="I41" i="13"/>
  <c r="L41" i="13" s="1"/>
  <c r="P41" i="13" s="1"/>
  <c r="J41" i="13"/>
  <c r="M41" i="13" s="1"/>
  <c r="Q41" i="13" s="1"/>
  <c r="H41" i="13"/>
  <c r="K41" i="13" s="1"/>
  <c r="O41" i="13" s="1"/>
  <c r="H40" i="13"/>
  <c r="K40" i="13" s="1"/>
  <c r="O40" i="13" s="1"/>
  <c r="H38" i="13"/>
  <c r="K38" i="13" s="1"/>
  <c r="O38" i="13" s="1"/>
  <c r="H32" i="13"/>
  <c r="K32" i="13" s="1"/>
  <c r="O32" i="13" s="1"/>
  <c r="G32" i="13"/>
  <c r="F27" i="13"/>
  <c r="H27" i="13" s="1"/>
  <c r="K27" i="13" s="1"/>
  <c r="O27" i="13" s="1"/>
  <c r="G27" i="13"/>
  <c r="F28" i="13"/>
  <c r="G28" i="13"/>
  <c r="F29" i="13"/>
  <c r="G29" i="13"/>
  <c r="F30" i="13"/>
  <c r="H30" i="13" s="1"/>
  <c r="K30" i="13" s="1"/>
  <c r="O30" i="13" s="1"/>
  <c r="G30" i="13"/>
  <c r="F31" i="13"/>
  <c r="G31" i="13"/>
  <c r="F32" i="13"/>
  <c r="I32" i="13" s="1"/>
  <c r="L32" i="13" s="1"/>
  <c r="P32" i="13" s="1"/>
  <c r="F33" i="13"/>
  <c r="I33" i="13" s="1"/>
  <c r="L33" i="13" s="1"/>
  <c r="P33" i="13" s="1"/>
  <c r="G33" i="13"/>
  <c r="F34" i="13"/>
  <c r="H34" i="13" s="1"/>
  <c r="G34" i="13"/>
  <c r="F35" i="13"/>
  <c r="G35" i="13"/>
  <c r="F36" i="13"/>
  <c r="G36" i="13"/>
  <c r="F37" i="13"/>
  <c r="H37" i="13" s="1"/>
  <c r="K37" i="13" s="1"/>
  <c r="O37" i="13" s="1"/>
  <c r="G37" i="13"/>
  <c r="F38" i="13"/>
  <c r="I38" i="13" s="1"/>
  <c r="L38" i="13" s="1"/>
  <c r="P38" i="13" s="1"/>
  <c r="G38" i="13"/>
  <c r="F39" i="13"/>
  <c r="H39" i="13" s="1"/>
  <c r="K39" i="13" s="1"/>
  <c r="O39" i="13" s="1"/>
  <c r="G39" i="13"/>
  <c r="F40" i="13"/>
  <c r="G40" i="13"/>
  <c r="F41" i="13"/>
  <c r="G41" i="13"/>
  <c r="F42" i="13"/>
  <c r="I42" i="13" s="1"/>
  <c r="L42" i="13" s="1"/>
  <c r="P42" i="13" s="1"/>
  <c r="G42" i="13"/>
  <c r="F43" i="13"/>
  <c r="I43" i="13" s="1"/>
  <c r="L43" i="13" s="1"/>
  <c r="P43" i="13" s="1"/>
  <c r="G43" i="13"/>
  <c r="D70" i="13"/>
  <c r="E70" i="13"/>
  <c r="F70" i="13" s="1"/>
  <c r="D71" i="13"/>
  <c r="E71" i="13"/>
  <c r="F71" i="13"/>
  <c r="J28" i="13" s="1"/>
  <c r="D72" i="13"/>
  <c r="E72" i="13"/>
  <c r="F72" i="13" s="1"/>
  <c r="D73" i="13"/>
  <c r="I30" i="13" s="1"/>
  <c r="L30" i="13" s="1"/>
  <c r="P30" i="13" s="1"/>
  <c r="E73" i="13"/>
  <c r="F73" i="13"/>
  <c r="D74" i="13"/>
  <c r="E74" i="13"/>
  <c r="F74" i="13"/>
  <c r="F75" i="13"/>
  <c r="J32" i="13" s="1"/>
  <c r="D76" i="13"/>
  <c r="E76" i="13"/>
  <c r="D77" i="13"/>
  <c r="E77" i="13"/>
  <c r="F77" i="13"/>
  <c r="D78" i="13"/>
  <c r="E78" i="13"/>
  <c r="F78" i="13" s="1"/>
  <c r="D79" i="13"/>
  <c r="E79" i="13"/>
  <c r="F79" i="13"/>
  <c r="D80" i="13"/>
  <c r="E80" i="13"/>
  <c r="F80" i="13" s="1"/>
  <c r="D81" i="13"/>
  <c r="E81" i="13"/>
  <c r="F81" i="13"/>
  <c r="J38" i="13" s="1"/>
  <c r="D82" i="13"/>
  <c r="E82" i="13"/>
  <c r="F82" i="13"/>
  <c r="J39" i="13" s="1"/>
  <c r="M39" i="13" s="1"/>
  <c r="Q39" i="13" s="1"/>
  <c r="D83" i="13"/>
  <c r="E83" i="13"/>
  <c r="F83" i="13"/>
  <c r="J40" i="13" s="1"/>
  <c r="M40" i="13" s="1"/>
  <c r="Q40" i="13" s="1"/>
  <c r="D84" i="13"/>
  <c r="E84" i="13"/>
  <c r="F84" i="13" s="1"/>
  <c r="D85" i="13"/>
  <c r="E85" i="13"/>
  <c r="F85" i="13"/>
  <c r="J42" i="13" s="1"/>
  <c r="M42" i="13" s="1"/>
  <c r="Q42" i="13" s="1"/>
  <c r="D86" i="13"/>
  <c r="E86" i="13"/>
  <c r="F86" i="13" s="1"/>
  <c r="H31" i="13" l="1"/>
  <c r="I31" i="13"/>
  <c r="I35" i="13"/>
  <c r="L35" i="13" s="1"/>
  <c r="J35" i="13"/>
  <c r="M35" i="13" s="1"/>
  <c r="Q35" i="13" s="1"/>
  <c r="J27" i="13"/>
  <c r="M27" i="13" s="1"/>
  <c r="Q27" i="13" s="1"/>
  <c r="M32" i="13"/>
  <c r="Q32" i="13" s="1"/>
  <c r="K34" i="13"/>
  <c r="O34" i="13" s="1"/>
  <c r="I39" i="13"/>
  <c r="L39" i="13" s="1"/>
  <c r="P39" i="13" s="1"/>
  <c r="H43" i="13"/>
  <c r="K43" i="13" s="1"/>
  <c r="O43" i="13" s="1"/>
  <c r="F76" i="13"/>
  <c r="J33" i="13" s="1"/>
  <c r="M33" i="13" s="1"/>
  <c r="Q33" i="13" s="1"/>
  <c r="I27" i="13"/>
  <c r="L27" i="13" s="1"/>
  <c r="P27" i="13" s="1"/>
  <c r="M38" i="13"/>
  <c r="Q38" i="13" s="1"/>
  <c r="H29" i="13"/>
  <c r="I37" i="13"/>
  <c r="L37" i="13" s="1"/>
  <c r="P37" i="13" s="1"/>
  <c r="J43" i="13"/>
  <c r="M43" i="13" s="1"/>
  <c r="Q43" i="13" s="1"/>
  <c r="J37" i="13"/>
  <c r="M37" i="13" s="1"/>
  <c r="Q37" i="13" s="1"/>
  <c r="J30" i="13"/>
  <c r="M30" i="13" s="1"/>
  <c r="Q30" i="13" s="1"/>
  <c r="I28" i="13"/>
  <c r="H33" i="13"/>
  <c r="K33" i="13" s="1"/>
  <c r="O33" i="13" s="1"/>
  <c r="H42" i="13"/>
  <c r="K42" i="13" s="1"/>
  <c r="O42" i="13" s="1"/>
  <c r="H36" i="13"/>
  <c r="K29" i="13"/>
  <c r="O29" i="13" s="1"/>
  <c r="J29" i="13"/>
  <c r="M29" i="13" s="1"/>
  <c r="Q29" i="13" s="1"/>
  <c r="I29" i="13"/>
  <c r="L29" i="13" s="1"/>
  <c r="P29" i="13" s="1"/>
  <c r="L31" i="13"/>
  <c r="P31" i="13" s="1"/>
  <c r="K31" i="13"/>
  <c r="O31" i="13" s="1"/>
  <c r="J31" i="13"/>
  <c r="M31" i="13" s="1"/>
  <c r="Q31" i="13" s="1"/>
  <c r="P35" i="13"/>
  <c r="H35" i="13"/>
  <c r="K36" i="13"/>
  <c r="O36" i="13" s="1"/>
  <c r="I36" i="13"/>
  <c r="L36" i="13" s="1"/>
  <c r="P36" i="13" s="1"/>
  <c r="J36" i="13"/>
  <c r="M36" i="13" s="1"/>
  <c r="Q36" i="13" s="1"/>
  <c r="M28" i="13"/>
  <c r="L28" i="13"/>
  <c r="P28" i="13" s="1"/>
  <c r="H28" i="13"/>
  <c r="K28" i="13" s="1"/>
  <c r="O28" i="13" s="1"/>
  <c r="I34" i="13"/>
  <c r="L34" i="13" s="1"/>
  <c r="P34" i="13" s="1"/>
  <c r="J34" i="13"/>
  <c r="M34" i="13" s="1"/>
  <c r="Q34" i="13" s="1"/>
  <c r="Q28" i="13"/>
  <c r="D47" i="13"/>
  <c r="N8" i="13"/>
  <c r="N9" i="13"/>
  <c r="N10" i="13"/>
  <c r="N11" i="13"/>
  <c r="N12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5" i="13"/>
  <c r="N26" i="13"/>
  <c r="N7" i="13"/>
  <c r="N6" i="13"/>
  <c r="N5" i="13"/>
  <c r="N4" i="13"/>
  <c r="E47" i="13"/>
  <c r="F47" i="13" s="1"/>
  <c r="E48" i="13"/>
  <c r="F48" i="13" s="1"/>
  <c r="E49" i="13"/>
  <c r="F49" i="13" s="1"/>
  <c r="E50" i="13"/>
  <c r="F50" i="13" s="1"/>
  <c r="E51" i="13"/>
  <c r="F51" i="13" s="1"/>
  <c r="E52" i="13"/>
  <c r="F52" i="13" s="1"/>
  <c r="E53" i="13"/>
  <c r="F53" i="13" s="1"/>
  <c r="E54" i="13"/>
  <c r="F54" i="13" s="1"/>
  <c r="E55" i="13"/>
  <c r="F55" i="13" s="1"/>
  <c r="E56" i="13"/>
  <c r="F56" i="13" s="1"/>
  <c r="E57" i="13"/>
  <c r="F57" i="13" s="1"/>
  <c r="E58" i="13"/>
  <c r="F58" i="13" s="1"/>
  <c r="E59" i="13"/>
  <c r="F59" i="13" s="1"/>
  <c r="E60" i="13"/>
  <c r="F60" i="13" s="1"/>
  <c r="E61" i="13"/>
  <c r="F61" i="13" s="1"/>
  <c r="E62" i="13"/>
  <c r="F62" i="13" s="1"/>
  <c r="E63" i="13"/>
  <c r="F63" i="13" s="1"/>
  <c r="E64" i="13"/>
  <c r="F64" i="13" s="1"/>
  <c r="E65" i="13"/>
  <c r="F65" i="13" s="1"/>
  <c r="E66" i="13"/>
  <c r="F66" i="13" s="1"/>
  <c r="E67" i="13"/>
  <c r="F67" i="13" s="1"/>
  <c r="E68" i="13"/>
  <c r="F68" i="13" s="1"/>
  <c r="E69" i="13"/>
  <c r="F69" i="13" s="1"/>
  <c r="D49" i="13"/>
  <c r="D50" i="13"/>
  <c r="D51" i="13"/>
  <c r="D52" i="13"/>
  <c r="D53" i="13"/>
  <c r="D54" i="13"/>
  <c r="D55" i="13"/>
  <c r="D56" i="13"/>
  <c r="D57" i="13"/>
  <c r="D58" i="13"/>
  <c r="D59" i="13"/>
  <c r="D60" i="13"/>
  <c r="D61" i="13"/>
  <c r="D62" i="13"/>
  <c r="D63" i="13"/>
  <c r="D64" i="13"/>
  <c r="D65" i="13"/>
  <c r="D66" i="13"/>
  <c r="D67" i="13"/>
  <c r="D68" i="13"/>
  <c r="D69" i="13"/>
  <c r="K35" i="13" l="1"/>
  <c r="O35" i="13" s="1"/>
  <c r="F5" i="13"/>
  <c r="G5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4" i="13"/>
  <c r="G4" i="13"/>
  <c r="J26" i="13" l="1"/>
  <c r="I26" i="13"/>
  <c r="H26" i="13"/>
  <c r="K26" i="13" s="1"/>
  <c r="J22" i="13"/>
  <c r="I22" i="13"/>
  <c r="I18" i="13"/>
  <c r="L18" i="13" s="1"/>
  <c r="P18" i="13" s="1"/>
  <c r="J18" i="13"/>
  <c r="M18" i="13" s="1"/>
  <c r="Q18" i="13" s="1"/>
  <c r="I14" i="13"/>
  <c r="L14" i="13" s="1"/>
  <c r="P14" i="13" s="1"/>
  <c r="J14" i="13"/>
  <c r="J10" i="13"/>
  <c r="I10" i="13"/>
  <c r="L10" i="13" s="1"/>
  <c r="P10" i="13" s="1"/>
  <c r="J6" i="13"/>
  <c r="I6" i="13"/>
  <c r="I25" i="13"/>
  <c r="L25" i="13" s="1"/>
  <c r="P25" i="13" s="1"/>
  <c r="J25" i="13"/>
  <c r="M25" i="13" s="1"/>
  <c r="Q25" i="13" s="1"/>
  <c r="I21" i="13"/>
  <c r="L21" i="13" s="1"/>
  <c r="P21" i="13" s="1"/>
  <c r="J21" i="13"/>
  <c r="I17" i="13"/>
  <c r="J17" i="13"/>
  <c r="M17" i="13" s="1"/>
  <c r="Q17" i="13" s="1"/>
  <c r="I13" i="13"/>
  <c r="J13" i="13"/>
  <c r="M13" i="13" s="1"/>
  <c r="Q13" i="13" s="1"/>
  <c r="I9" i="13"/>
  <c r="J9" i="13"/>
  <c r="I5" i="13"/>
  <c r="L5" i="13" s="1"/>
  <c r="P5" i="13" s="1"/>
  <c r="J5" i="13"/>
  <c r="J24" i="13"/>
  <c r="I24" i="13"/>
  <c r="I20" i="13"/>
  <c r="J20" i="13"/>
  <c r="M20" i="13" s="1"/>
  <c r="Q20" i="13" s="1"/>
  <c r="I16" i="13"/>
  <c r="L16" i="13" s="1"/>
  <c r="P16" i="13" s="1"/>
  <c r="J16" i="13"/>
  <c r="M16" i="13" s="1"/>
  <c r="Q16" i="13" s="1"/>
  <c r="I12" i="13"/>
  <c r="L12" i="13" s="1"/>
  <c r="P12" i="13" s="1"/>
  <c r="J12" i="13"/>
  <c r="I8" i="13"/>
  <c r="J8" i="13"/>
  <c r="I4" i="13"/>
  <c r="L4" i="13" s="1"/>
  <c r="P4" i="13" s="1"/>
  <c r="J4" i="13"/>
  <c r="M4" i="13" s="1"/>
  <c r="I23" i="13"/>
  <c r="L23" i="13" s="1"/>
  <c r="P23" i="13" s="1"/>
  <c r="J23" i="13"/>
  <c r="M23" i="13" s="1"/>
  <c r="Q23" i="13" s="1"/>
  <c r="H19" i="13"/>
  <c r="K19" i="13" s="1"/>
  <c r="O19" i="13" s="1"/>
  <c r="I19" i="13"/>
  <c r="J19" i="13"/>
  <c r="M19" i="13" s="1"/>
  <c r="Q19" i="13" s="1"/>
  <c r="J15" i="13"/>
  <c r="M15" i="13" s="1"/>
  <c r="Q15" i="13" s="1"/>
  <c r="I15" i="13"/>
  <c r="L15" i="13" s="1"/>
  <c r="P15" i="13" s="1"/>
  <c r="I11" i="13"/>
  <c r="J11" i="13"/>
  <c r="J7" i="13"/>
  <c r="I7" i="13"/>
  <c r="L7" i="13" s="1"/>
  <c r="P7" i="13" s="1"/>
  <c r="H4" i="13"/>
  <c r="K4" i="13" s="1"/>
  <c r="H23" i="13"/>
  <c r="L19" i="13"/>
  <c r="P19" i="13" s="1"/>
  <c r="H15" i="13"/>
  <c r="K15" i="13" s="1"/>
  <c r="O15" i="13" s="1"/>
  <c r="H11" i="13"/>
  <c r="K11" i="13" s="1"/>
  <c r="O11" i="13" s="1"/>
  <c r="L11" i="13"/>
  <c r="P11" i="13" s="1"/>
  <c r="M11" i="13"/>
  <c r="Q11" i="13" s="1"/>
  <c r="M7" i="13"/>
  <c r="Q7" i="13" s="1"/>
  <c r="H7" i="13"/>
  <c r="H18" i="13"/>
  <c r="K18" i="13" s="1"/>
  <c r="O18" i="13" s="1"/>
  <c r="M14" i="13"/>
  <c r="Q14" i="13" s="1"/>
  <c r="H14" i="13"/>
  <c r="K14" i="13" s="1"/>
  <c r="O14" i="13" s="1"/>
  <c r="H10" i="13"/>
  <c r="M10" i="13"/>
  <c r="Q10" i="13" s="1"/>
  <c r="M6" i="13"/>
  <c r="Q6" i="13" s="1"/>
  <c r="L6" i="13"/>
  <c r="P6" i="13" s="1"/>
  <c r="H6" i="13"/>
  <c r="M22" i="13"/>
  <c r="Q22" i="13" s="1"/>
  <c r="L22" i="13"/>
  <c r="P22" i="13" s="1"/>
  <c r="H22" i="13"/>
  <c r="K22" i="13" s="1"/>
  <c r="O22" i="13" s="1"/>
  <c r="H25" i="13"/>
  <c r="H21" i="13"/>
  <c r="K21" i="13" s="1"/>
  <c r="O21" i="13" s="1"/>
  <c r="M21" i="13"/>
  <c r="Q21" i="13" s="1"/>
  <c r="H17" i="13"/>
  <c r="K17" i="13" s="1"/>
  <c r="O17" i="13" s="1"/>
  <c r="L17" i="13"/>
  <c r="P17" i="13" s="1"/>
  <c r="H13" i="13"/>
  <c r="K13" i="13" s="1"/>
  <c r="O13" i="13" s="1"/>
  <c r="L13" i="13"/>
  <c r="P13" i="13" s="1"/>
  <c r="H9" i="13"/>
  <c r="M9" i="13"/>
  <c r="Q9" i="13" s="1"/>
  <c r="L9" i="13"/>
  <c r="P9" i="13" s="1"/>
  <c r="H5" i="13"/>
  <c r="M5" i="13"/>
  <c r="Q5" i="13" s="1"/>
  <c r="L26" i="13"/>
  <c r="P26" i="13" s="1"/>
  <c r="O26" i="13"/>
  <c r="M26" i="13"/>
  <c r="Q26" i="13" s="1"/>
  <c r="L24" i="13"/>
  <c r="P24" i="13" s="1"/>
  <c r="M24" i="13"/>
  <c r="Q24" i="13" s="1"/>
  <c r="H24" i="13"/>
  <c r="H20" i="13"/>
  <c r="K20" i="13" s="1"/>
  <c r="O20" i="13" s="1"/>
  <c r="L20" i="13"/>
  <c r="P20" i="13" s="1"/>
  <c r="H16" i="13"/>
  <c r="K16" i="13" s="1"/>
  <c r="O16" i="13" s="1"/>
  <c r="M12" i="13"/>
  <c r="Q12" i="13" s="1"/>
  <c r="H12" i="13"/>
  <c r="K12" i="13" s="1"/>
  <c r="O12" i="13" s="1"/>
  <c r="L8" i="13"/>
  <c r="M8" i="13"/>
  <c r="H8" i="13"/>
  <c r="K8" i="13" s="1"/>
  <c r="Q4" i="13" l="1"/>
  <c r="Q45" i="13" s="1"/>
  <c r="M45" i="13"/>
  <c r="K9" i="13"/>
  <c r="K46" i="13" s="1"/>
  <c r="K6" i="13"/>
  <c r="O6" i="13" s="1"/>
  <c r="K23" i="13"/>
  <c r="O23" i="13" s="1"/>
  <c r="O8" i="13"/>
  <c r="Q8" i="13"/>
  <c r="Q46" i="13" s="1"/>
  <c r="T36" i="13" s="1"/>
  <c r="M46" i="13"/>
  <c r="P8" i="13"/>
  <c r="P46" i="13" s="1"/>
  <c r="S35" i="13" s="1"/>
  <c r="L46" i="13"/>
  <c r="O25" i="13"/>
  <c r="K25" i="13"/>
  <c r="K10" i="13"/>
  <c r="O10" i="13" s="1"/>
  <c r="K7" i="13"/>
  <c r="O7" i="13" s="1"/>
  <c r="K45" i="13"/>
  <c r="K24" i="13"/>
  <c r="O24" i="13" s="1"/>
  <c r="K5" i="13"/>
  <c r="O5" i="13" s="1"/>
  <c r="O4" i="13"/>
  <c r="P45" i="13"/>
  <c r="S4" i="13" s="1"/>
  <c r="T7" i="13"/>
  <c r="L45" i="13"/>
  <c r="O45" i="13" l="1"/>
  <c r="R7" i="13" s="1"/>
  <c r="U7" i="13" s="1"/>
  <c r="O9" i="13"/>
  <c r="O46" i="13"/>
  <c r="T14" i="13"/>
  <c r="W14" i="13" s="1"/>
  <c r="T40" i="13"/>
  <c r="W40" i="13" s="1"/>
  <c r="T43" i="13"/>
  <c r="W43" i="13" s="1"/>
  <c r="T39" i="13"/>
  <c r="W39" i="13" s="1"/>
  <c r="T33" i="13"/>
  <c r="W33" i="13" s="1"/>
  <c r="T32" i="13"/>
  <c r="W32" i="13" s="1"/>
  <c r="T31" i="13"/>
  <c r="T27" i="13"/>
  <c r="W27" i="13" s="1"/>
  <c r="T28" i="13"/>
  <c r="W28" i="13" s="1"/>
  <c r="T41" i="13"/>
  <c r="W41" i="13" s="1"/>
  <c r="T42" i="13"/>
  <c r="W42" i="13" s="1"/>
  <c r="T37" i="13"/>
  <c r="W37" i="13" s="1"/>
  <c r="T38" i="13"/>
  <c r="W38" i="13" s="1"/>
  <c r="T34" i="13"/>
  <c r="W34" i="13" s="1"/>
  <c r="T35" i="13"/>
  <c r="W35" i="13" s="1"/>
  <c r="T30" i="13"/>
  <c r="W30" i="13" s="1"/>
  <c r="W36" i="13"/>
  <c r="T29" i="13"/>
  <c r="W29" i="13" s="1"/>
  <c r="S12" i="13"/>
  <c r="V12" i="13" s="1"/>
  <c r="S28" i="13"/>
  <c r="V28" i="13" s="1"/>
  <c r="S29" i="13"/>
  <c r="S41" i="13"/>
  <c r="V41" i="13" s="1"/>
  <c r="S42" i="13"/>
  <c r="V42" i="13" s="1"/>
  <c r="S37" i="13"/>
  <c r="V37" i="13" s="1"/>
  <c r="S38" i="13"/>
  <c r="V38" i="13" s="1"/>
  <c r="S34" i="13"/>
  <c r="V34" i="13" s="1"/>
  <c r="S36" i="13"/>
  <c r="V36" i="13" s="1"/>
  <c r="S30" i="13"/>
  <c r="V30" i="13" s="1"/>
  <c r="S43" i="13"/>
  <c r="V43" i="13" s="1"/>
  <c r="S32" i="13"/>
  <c r="V32" i="13" s="1"/>
  <c r="S27" i="13"/>
  <c r="V27" i="13" s="1"/>
  <c r="S39" i="13"/>
  <c r="V39" i="13" s="1"/>
  <c r="S33" i="13"/>
  <c r="V33" i="13" s="1"/>
  <c r="V35" i="13"/>
  <c r="S31" i="13"/>
  <c r="V31" i="13" s="1"/>
  <c r="S40" i="13"/>
  <c r="V40" i="13" s="1"/>
  <c r="T9" i="13"/>
  <c r="W9" i="13" s="1"/>
  <c r="R4" i="13"/>
  <c r="U4" i="13" s="1"/>
  <c r="T15" i="13"/>
  <c r="W15" i="13" s="1"/>
  <c r="T18" i="13"/>
  <c r="W18" i="13" s="1"/>
  <c r="T17" i="13"/>
  <c r="W17" i="13" s="1"/>
  <c r="T25" i="13"/>
  <c r="W25" i="13" s="1"/>
  <c r="T24" i="13"/>
  <c r="W24" i="13" s="1"/>
  <c r="S19" i="13"/>
  <c r="V19" i="13" s="1"/>
  <c r="S13" i="13"/>
  <c r="V13" i="13" s="1"/>
  <c r="S7" i="13"/>
  <c r="V7" i="13" s="1"/>
  <c r="T26" i="13"/>
  <c r="W26" i="13" s="1"/>
  <c r="T23" i="13"/>
  <c r="W23" i="13" s="1"/>
  <c r="S6" i="13"/>
  <c r="V6" i="13" s="1"/>
  <c r="S24" i="13"/>
  <c r="V24" i="13" s="1"/>
  <c r="S21" i="13"/>
  <c r="V21" i="13" s="1"/>
  <c r="T19" i="13"/>
  <c r="W19" i="13" s="1"/>
  <c r="R6" i="13"/>
  <c r="U6" i="13" s="1"/>
  <c r="S18" i="13"/>
  <c r="V18" i="13" s="1"/>
  <c r="R5" i="13"/>
  <c r="U5" i="13" s="1"/>
  <c r="T4" i="13"/>
  <c r="W4" i="13" s="1"/>
  <c r="R24" i="13"/>
  <c r="U24" i="13" s="1"/>
  <c r="T21" i="13"/>
  <c r="W21" i="13" s="1"/>
  <c r="S8" i="13"/>
  <c r="V8" i="13" s="1"/>
  <c r="S20" i="13"/>
  <c r="V20" i="13" s="1"/>
  <c r="T16" i="13"/>
  <c r="W16" i="13" s="1"/>
  <c r="R22" i="13"/>
  <c r="U22" i="13" s="1"/>
  <c r="R16" i="13"/>
  <c r="U16" i="13" s="1"/>
  <c r="R9" i="13"/>
  <c r="U9" i="13" s="1"/>
  <c r="S26" i="13"/>
  <c r="V26" i="13" s="1"/>
  <c r="S25" i="13"/>
  <c r="V25" i="13" s="1"/>
  <c r="R12" i="13"/>
  <c r="U12" i="13" s="1"/>
  <c r="S23" i="13"/>
  <c r="V23" i="13" s="1"/>
  <c r="R23" i="13"/>
  <c r="U23" i="13" s="1"/>
  <c r="S5" i="13"/>
  <c r="V5" i="13" s="1"/>
  <c r="T12" i="13"/>
  <c r="W12" i="13" s="1"/>
  <c r="V4" i="13"/>
  <c r="T5" i="13"/>
  <c r="W5" i="13" s="1"/>
  <c r="T10" i="13"/>
  <c r="W10" i="13" s="1"/>
  <c r="S10" i="13"/>
  <c r="V10" i="13" s="1"/>
  <c r="T20" i="13"/>
  <c r="W20" i="13" s="1"/>
  <c r="S14" i="13"/>
  <c r="V14" i="13" s="1"/>
  <c r="S17" i="13"/>
  <c r="V17" i="13" s="1"/>
  <c r="S11" i="13"/>
  <c r="V11" i="13" s="1"/>
  <c r="T8" i="13"/>
  <c r="W8" i="13" s="1"/>
  <c r="T6" i="13"/>
  <c r="W6" i="13" s="1"/>
  <c r="R17" i="13"/>
  <c r="U17" i="13" s="1"/>
  <c r="S15" i="13"/>
  <c r="V15" i="13" s="1"/>
  <c r="S22" i="13"/>
  <c r="V22" i="13" s="1"/>
  <c r="S9" i="13"/>
  <c r="V9" i="13" s="1"/>
  <c r="S16" i="13"/>
  <c r="V16" i="13" s="1"/>
  <c r="T13" i="13"/>
  <c r="W13" i="13" s="1"/>
  <c r="R25" i="13"/>
  <c r="U25" i="13" s="1"/>
  <c r="T11" i="13"/>
  <c r="W11" i="13" s="1"/>
  <c r="T22" i="13"/>
  <c r="W22" i="13" s="1"/>
  <c r="W7" i="13"/>
  <c r="R30" i="13" l="1"/>
  <c r="U30" i="13" s="1"/>
  <c r="R34" i="13"/>
  <c r="U34" i="13" s="1"/>
  <c r="R33" i="13"/>
  <c r="U33" i="13" s="1"/>
  <c r="R43" i="13"/>
  <c r="U43" i="13" s="1"/>
  <c r="R37" i="13"/>
  <c r="U37" i="13" s="1"/>
  <c r="R29" i="13"/>
  <c r="U29" i="13" s="1"/>
  <c r="R42" i="13"/>
  <c r="U42" i="13" s="1"/>
  <c r="R35" i="13"/>
  <c r="U35" i="13" s="1"/>
  <c r="R40" i="13"/>
  <c r="U40" i="13" s="1"/>
  <c r="R27" i="13"/>
  <c r="U27" i="13" s="1"/>
  <c r="R28" i="13"/>
  <c r="R36" i="13"/>
  <c r="U36" i="13" s="1"/>
  <c r="R41" i="13"/>
  <c r="U41" i="13" s="1"/>
  <c r="R31" i="13"/>
  <c r="U31" i="13" s="1"/>
  <c r="R39" i="13"/>
  <c r="U39" i="13" s="1"/>
  <c r="R32" i="13"/>
  <c r="U32" i="13" s="1"/>
  <c r="R38" i="13"/>
  <c r="U38" i="13" s="1"/>
  <c r="R15" i="13"/>
  <c r="U15" i="13" s="1"/>
  <c r="R19" i="13"/>
  <c r="U19" i="13" s="1"/>
  <c r="R14" i="13"/>
  <c r="U14" i="13" s="1"/>
  <c r="R18" i="13"/>
  <c r="U18" i="13" s="1"/>
  <c r="R11" i="13"/>
  <c r="U11" i="13" s="1"/>
  <c r="R13" i="13"/>
  <c r="U13" i="13" s="1"/>
  <c r="R46" i="13" s="1"/>
  <c r="R21" i="13"/>
  <c r="U21" i="13" s="1"/>
  <c r="R10" i="13"/>
  <c r="U10" i="13" s="1"/>
  <c r="R8" i="13"/>
  <c r="U8" i="13" s="1"/>
  <c r="R26" i="13"/>
  <c r="U26" i="13" s="1"/>
  <c r="R20" i="13"/>
  <c r="U20" i="13" s="1"/>
  <c r="T46" i="13"/>
  <c r="Z29" i="13" s="1"/>
  <c r="S46" i="13"/>
  <c r="Y37" i="13" s="1"/>
  <c r="S45" i="13"/>
  <c r="Y6" i="13" s="1"/>
  <c r="T45" i="13"/>
  <c r="Z7" i="13" s="1"/>
  <c r="X4" i="13"/>
  <c r="X32" i="13" l="1"/>
  <c r="X25" i="13"/>
  <c r="X30" i="13"/>
  <c r="AA30" i="13" s="1"/>
  <c r="X40" i="13"/>
  <c r="X16" i="13"/>
  <c r="X28" i="13"/>
  <c r="AA28" i="13" s="1"/>
  <c r="X33" i="13"/>
  <c r="AD33" i="13" s="1"/>
  <c r="X38" i="13"/>
  <c r="AD38" i="13" s="1"/>
  <c r="X43" i="13"/>
  <c r="X26" i="13"/>
  <c r="X29" i="13"/>
  <c r="X27" i="13"/>
  <c r="AD27" i="13" s="1"/>
  <c r="X39" i="13"/>
  <c r="AD39" i="13" s="1"/>
  <c r="X42" i="13"/>
  <c r="AA42" i="13" s="1"/>
  <c r="X31" i="13"/>
  <c r="AD31" i="13" s="1"/>
  <c r="X41" i="13"/>
  <c r="AD41" i="13" s="1"/>
  <c r="X37" i="13"/>
  <c r="X34" i="13"/>
  <c r="AA4" i="13"/>
  <c r="X36" i="13"/>
  <c r="Y35" i="13"/>
  <c r="AE35" i="13" s="1"/>
  <c r="AE29" i="13"/>
  <c r="Y31" i="13"/>
  <c r="AB31" i="13" s="1"/>
  <c r="Y34" i="13"/>
  <c r="AB34" i="13" s="1"/>
  <c r="AC39" i="13"/>
  <c r="Z36" i="13"/>
  <c r="AC36" i="13" s="1"/>
  <c r="Z30" i="13"/>
  <c r="AC30" i="13" s="1"/>
  <c r="Z43" i="13"/>
  <c r="AC43" i="13" s="1"/>
  <c r="Z41" i="13"/>
  <c r="AC41" i="13" s="1"/>
  <c r="Z27" i="13"/>
  <c r="AF27" i="13" s="1"/>
  <c r="Z28" i="13"/>
  <c r="AC28" i="13" s="1"/>
  <c r="Z31" i="13"/>
  <c r="AC31" i="13" s="1"/>
  <c r="Z37" i="13"/>
  <c r="AC37" i="13" s="1"/>
  <c r="Z40" i="13"/>
  <c r="AF40" i="13" s="1"/>
  <c r="Z38" i="13"/>
  <c r="AF38" i="13" s="1"/>
  <c r="Z35" i="13"/>
  <c r="AC35" i="13" s="1"/>
  <c r="Z13" i="13"/>
  <c r="AF13" i="13" s="1"/>
  <c r="Z33" i="13"/>
  <c r="AC33" i="13" s="1"/>
  <c r="Z42" i="13"/>
  <c r="AC42" i="13" s="1"/>
  <c r="Z32" i="13"/>
  <c r="AF32" i="13" s="1"/>
  <c r="Z34" i="13"/>
  <c r="AF34" i="13" s="1"/>
  <c r="AE37" i="13"/>
  <c r="AF29" i="13"/>
  <c r="AC29" i="13"/>
  <c r="AA34" i="13"/>
  <c r="AD34" i="13"/>
  <c r="AD30" i="13"/>
  <c r="Y28" i="13"/>
  <c r="Y32" i="13"/>
  <c r="Y43" i="13"/>
  <c r="AD29" i="13"/>
  <c r="AA29" i="13"/>
  <c r="Y38" i="13"/>
  <c r="AA26" i="13"/>
  <c r="AD26" i="13"/>
  <c r="AA43" i="13"/>
  <c r="AD43" i="13"/>
  <c r="AA32" i="13"/>
  <c r="AD32" i="13"/>
  <c r="Y33" i="13"/>
  <c r="Y36" i="13"/>
  <c r="Y41" i="13"/>
  <c r="AA27" i="13"/>
  <c r="Y42" i="13"/>
  <c r="AA39" i="13"/>
  <c r="Y27" i="13"/>
  <c r="AA40" i="13"/>
  <c r="AD40" i="13"/>
  <c r="AA35" i="13"/>
  <c r="Y9" i="13"/>
  <c r="AB9" i="13" s="1"/>
  <c r="Y40" i="13"/>
  <c r="Y39" i="13"/>
  <c r="Y30" i="13"/>
  <c r="AA37" i="13"/>
  <c r="AD37" i="13"/>
  <c r="AF7" i="13"/>
  <c r="AC7" i="13"/>
  <c r="AE6" i="13"/>
  <c r="AB6" i="13"/>
  <c r="AD16" i="13"/>
  <c r="AA16" i="13"/>
  <c r="Y4" i="13"/>
  <c r="AB4" i="13" s="1"/>
  <c r="Z5" i="13"/>
  <c r="Y10" i="13"/>
  <c r="Y22" i="13"/>
  <c r="Y5" i="13"/>
  <c r="Y15" i="13"/>
  <c r="Z16" i="13"/>
  <c r="Z4" i="13"/>
  <c r="AC4" i="13" s="1"/>
  <c r="Z25" i="13"/>
  <c r="Z22" i="13"/>
  <c r="X7" i="13"/>
  <c r="Z23" i="13"/>
  <c r="Z24" i="13"/>
  <c r="Z18" i="13"/>
  <c r="Z17" i="13"/>
  <c r="Z21" i="13"/>
  <c r="X6" i="13"/>
  <c r="Z6" i="13"/>
  <c r="Z19" i="13"/>
  <c r="Z14" i="13"/>
  <c r="Y7" i="13"/>
  <c r="Z8" i="13"/>
  <c r="Z9" i="13"/>
  <c r="X5" i="13"/>
  <c r="Z10" i="13"/>
  <c r="AD4" i="13"/>
  <c r="X17" i="13"/>
  <c r="X24" i="13"/>
  <c r="Y19" i="13"/>
  <c r="Y24" i="13"/>
  <c r="Y21" i="13"/>
  <c r="Y8" i="13"/>
  <c r="Y25" i="13"/>
  <c r="Y13" i="13"/>
  <c r="X10" i="13"/>
  <c r="X9" i="13"/>
  <c r="X8" i="13"/>
  <c r="X20" i="13"/>
  <c r="X14" i="13"/>
  <c r="Y18" i="13"/>
  <c r="X19" i="13"/>
  <c r="X13" i="13"/>
  <c r="X11" i="13"/>
  <c r="Y20" i="13"/>
  <c r="Y26" i="13"/>
  <c r="AE26" i="13" s="1"/>
  <c r="X18" i="13"/>
  <c r="Y16" i="13"/>
  <c r="X15" i="13"/>
  <c r="X12" i="13"/>
  <c r="Y14" i="13"/>
  <c r="Y12" i="13"/>
  <c r="AE12" i="13" s="1"/>
  <c r="X21" i="13"/>
  <c r="Z26" i="13"/>
  <c r="X23" i="13"/>
  <c r="Z12" i="13"/>
  <c r="Y23" i="13"/>
  <c r="Y17" i="13"/>
  <c r="Z20" i="13"/>
  <c r="X22" i="13"/>
  <c r="Z15" i="13"/>
  <c r="Z11" i="13"/>
  <c r="Y11" i="13"/>
  <c r="AD42" i="13" l="1"/>
  <c r="AA31" i="13"/>
  <c r="AA33" i="13"/>
  <c r="U45" i="13"/>
  <c r="AA38" i="13"/>
  <c r="AA41" i="13"/>
  <c r="AD36" i="13"/>
  <c r="AD28" i="13"/>
  <c r="AB35" i="13"/>
  <c r="AE31" i="13"/>
  <c r="AE9" i="13"/>
  <c r="AE34" i="13"/>
  <c r="AB29" i="13"/>
  <c r="AF36" i="13"/>
  <c r="AC34" i="13"/>
  <c r="AF39" i="13"/>
  <c r="AC40" i="13"/>
  <c r="AF30" i="13"/>
  <c r="AF31" i="13"/>
  <c r="AF33" i="13"/>
  <c r="AC27" i="13"/>
  <c r="AF41" i="13"/>
  <c r="AF42" i="13"/>
  <c r="AF28" i="13"/>
  <c r="AC32" i="13"/>
  <c r="AC13" i="13"/>
  <c r="AF43" i="13"/>
  <c r="AF35" i="13"/>
  <c r="AE39" i="13"/>
  <c r="AB39" i="13"/>
  <c r="AB8" i="13"/>
  <c r="V46" i="13"/>
  <c r="AB40" i="13"/>
  <c r="AE40" i="13"/>
  <c r="AE27" i="13"/>
  <c r="AB27" i="13"/>
  <c r="AE38" i="13"/>
  <c r="AB38" i="13"/>
  <c r="AB32" i="13"/>
  <c r="AE32" i="13"/>
  <c r="W46" i="13"/>
  <c r="AB41" i="13"/>
  <c r="AE41" i="13"/>
  <c r="AE43" i="13"/>
  <c r="AB43" i="13"/>
  <c r="AB28" i="13"/>
  <c r="AE28" i="13"/>
  <c r="AA8" i="13"/>
  <c r="U46" i="13"/>
  <c r="AB36" i="13"/>
  <c r="AB33" i="13"/>
  <c r="AE33" i="13"/>
  <c r="AB42" i="13"/>
  <c r="AE42" i="13"/>
  <c r="AE30" i="13"/>
  <c r="AB30" i="13"/>
  <c r="AE4" i="13"/>
  <c r="AF4" i="13"/>
  <c r="AE17" i="13"/>
  <c r="AB17" i="13"/>
  <c r="AE20" i="13"/>
  <c r="AB20" i="13"/>
  <c r="AE25" i="13"/>
  <c r="AB25" i="13"/>
  <c r="AD17" i="13"/>
  <c r="AA17" i="13"/>
  <c r="AF10" i="13"/>
  <c r="AC10" i="13"/>
  <c r="AE22" i="13"/>
  <c r="AB22" i="13"/>
  <c r="AF11" i="13"/>
  <c r="AC11" i="13"/>
  <c r="AF26" i="13"/>
  <c r="AC26" i="13"/>
  <c r="AE14" i="13"/>
  <c r="AB14" i="13"/>
  <c r="AD11" i="13"/>
  <c r="AA11" i="13"/>
  <c r="AD5" i="13"/>
  <c r="AA5" i="13"/>
  <c r="AE7" i="13"/>
  <c r="AB7" i="13"/>
  <c r="AF24" i="13"/>
  <c r="AC24" i="13"/>
  <c r="AF22" i="13"/>
  <c r="AC22" i="13"/>
  <c r="AE10" i="13"/>
  <c r="AB10" i="13"/>
  <c r="AF15" i="13"/>
  <c r="AC15" i="13"/>
  <c r="AE23" i="13"/>
  <c r="AB23" i="13"/>
  <c r="AE21" i="13"/>
  <c r="AB21" i="13"/>
  <c r="AF14" i="13"/>
  <c r="AC14" i="13"/>
  <c r="AF21" i="13"/>
  <c r="AC21" i="13"/>
  <c r="AF23" i="13"/>
  <c r="AC23" i="13"/>
  <c r="AF25" i="13"/>
  <c r="AC25" i="13"/>
  <c r="AD22" i="13"/>
  <c r="AA22" i="13"/>
  <c r="AD12" i="13"/>
  <c r="AA12" i="13"/>
  <c r="AE24" i="13"/>
  <c r="AB24" i="13"/>
  <c r="AD7" i="13"/>
  <c r="AA7" i="13"/>
  <c r="AF5" i="13"/>
  <c r="AC5" i="13"/>
  <c r="AF12" i="13"/>
  <c r="AC12" i="13"/>
  <c r="AD13" i="13"/>
  <c r="AA13" i="13"/>
  <c r="AE19" i="13"/>
  <c r="AB19" i="13"/>
  <c r="AF9" i="13"/>
  <c r="AC9" i="13"/>
  <c r="AF19" i="13"/>
  <c r="AC19" i="13"/>
  <c r="AD25" i="13"/>
  <c r="AA25" i="13"/>
  <c r="AD23" i="13"/>
  <c r="AA23" i="13"/>
  <c r="AD15" i="13"/>
  <c r="AA15" i="13"/>
  <c r="AD18" i="13"/>
  <c r="AA18" i="13"/>
  <c r="AD14" i="13"/>
  <c r="AA14" i="13"/>
  <c r="AD9" i="13"/>
  <c r="AD24" i="13"/>
  <c r="AA24" i="13"/>
  <c r="AF6" i="13"/>
  <c r="AC6" i="13"/>
  <c r="AF17" i="13"/>
  <c r="AC17" i="13"/>
  <c r="AF16" i="13"/>
  <c r="AC16" i="13"/>
  <c r="AE11" i="13"/>
  <c r="AB11" i="13"/>
  <c r="AD21" i="13"/>
  <c r="AA21" i="13"/>
  <c r="AE16" i="13"/>
  <c r="AB16" i="13"/>
  <c r="AB26" i="13"/>
  <c r="AD19" i="13"/>
  <c r="AA19" i="13"/>
  <c r="AD20" i="13"/>
  <c r="AA20" i="13"/>
  <c r="AD10" i="13"/>
  <c r="AA10" i="13"/>
  <c r="AF18" i="13"/>
  <c r="AC18" i="13"/>
  <c r="AE15" i="13"/>
  <c r="AB15" i="13"/>
  <c r="AF20" i="13"/>
  <c r="AC20" i="13"/>
  <c r="AB12" i="13"/>
  <c r="AE18" i="13"/>
  <c r="AB18" i="13"/>
  <c r="AE13" i="13"/>
  <c r="AB13" i="13"/>
  <c r="AF8" i="13"/>
  <c r="AC8" i="13"/>
  <c r="AD6" i="13"/>
  <c r="AA6" i="13"/>
  <c r="AE5" i="13"/>
  <c r="AB5" i="13"/>
  <c r="V45" i="13"/>
  <c r="W45" i="13"/>
  <c r="AD8" i="13"/>
  <c r="AE8" i="13"/>
  <c r="AI10" i="13" l="1"/>
  <c r="AJ4" i="13"/>
  <c r="AI6" i="13"/>
  <c r="AI11" i="13"/>
  <c r="AI12" i="13" s="1"/>
  <c r="AJ11" i="13"/>
  <c r="AK4" i="13"/>
  <c r="AK10" i="13"/>
  <c r="AJ10" i="13"/>
  <c r="AI16" i="13" l="1"/>
  <c r="AJ20" i="13"/>
  <c r="AK21" i="13"/>
  <c r="AK19" i="13"/>
  <c r="AJ12" i="13"/>
  <c r="AJ16" i="13" s="1"/>
  <c r="AJ19" i="13"/>
  <c r="AL21" i="13" l="1"/>
  <c r="AJ21" i="13"/>
  <c r="AL20" i="13"/>
  <c r="AK20" i="13"/>
  <c r="AL19" i="13"/>
</calcChain>
</file>

<file path=xl/sharedStrings.xml><?xml version="1.0" encoding="utf-8"?>
<sst xmlns="http://schemas.openxmlformats.org/spreadsheetml/2006/main" count="160" uniqueCount="49">
  <si>
    <t>Dimer</t>
  </si>
  <si>
    <t>5A</t>
  </si>
  <si>
    <t>5B</t>
  </si>
  <si>
    <t>7A</t>
  </si>
  <si>
    <t>7B</t>
  </si>
  <si>
    <t>8A</t>
  </si>
  <si>
    <t>8B</t>
  </si>
  <si>
    <t>def2-TZVP</t>
  </si>
  <si>
    <t>PBE-D3BJ</t>
  </si>
  <si>
    <t>PBE-D3BJ (ATM)</t>
  </si>
  <si>
    <t>ALPB</t>
  </si>
  <si>
    <t>Catcher</t>
  </si>
  <si>
    <t>ii</t>
  </si>
  <si>
    <t>ie</t>
  </si>
  <si>
    <t>ee</t>
  </si>
  <si>
    <t>iet</t>
  </si>
  <si>
    <t>H(PM6-D3H4)</t>
  </si>
  <si>
    <t>S</t>
  </si>
  <si>
    <t>J/mol</t>
  </si>
  <si>
    <t>J/K/mol</t>
  </si>
  <si>
    <t>kcal/mol</t>
  </si>
  <si>
    <t>kcal/K/mol</t>
  </si>
  <si>
    <t>Energies</t>
  </si>
  <si>
    <t>PM6-D3H4</t>
  </si>
  <si>
    <t>(kcal/mol)</t>
  </si>
  <si>
    <t>(Eh)</t>
  </si>
  <si>
    <t>ENTHALPY</t>
  </si>
  <si>
    <t>BASE DATA</t>
  </si>
  <si>
    <t>REDUCED GIBBS FREE ENERGY</t>
  </si>
  <si>
    <t>T</t>
  </si>
  <si>
    <t>BOLTZMANN FACTORS</t>
  </si>
  <si>
    <t>GIBBS FREE ENERGY (GAS)</t>
  </si>
  <si>
    <t>GIBBS FREE ENERGY (TOLUENE)</t>
  </si>
  <si>
    <t>WEIGHTS</t>
  </si>
  <si>
    <t>WEIGHTED GIBBS FREE ENERGY (TOLUENE)</t>
  </si>
  <si>
    <t>AVERAGED GIBBS FREE ENERGY (TOLUENE)</t>
  </si>
  <si>
    <t>catcher</t>
  </si>
  <si>
    <t>dimer</t>
  </si>
  <si>
    <t>dimerization</t>
  </si>
  <si>
    <t>CONFORMATIONAL ENTROPY</t>
  </si>
  <si>
    <t>∆Gsimple</t>
  </si>
  <si>
    <t>Sconf</t>
  </si>
  <si>
    <t>Gfull</t>
  </si>
  <si>
    <t>20A</t>
  </si>
  <si>
    <t>20B</t>
  </si>
  <si>
    <t>22A</t>
  </si>
  <si>
    <t>22B</t>
  </si>
  <si>
    <t>23A</t>
  </si>
  <si>
    <t>23B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</si>
</sst>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0" fillId="0" borderId="0" xfId="0" applyAlignment="1">
      <alignment horizontal="righ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0A649-83D2-1543-819F-E25EC57446C2}">
  <dimension ref="A1:AL129"/>
  <sheetViews>
    <sheetView tabSelected="1" topLeftCell="A89" workbookViewId="0">
      <selection activeCell="C94" sqref="C94:C129"/>
    </sheetView>
  </sheetViews>
  <sheetFormatPr baseColWidth="10" defaultRowHeight="16" x14ac:dyDescent="0.2"/>
  <cols>
    <col min="3" max="3" width="4.33203125" bestFit="1" customWidth="1"/>
    <col min="4" max="4" width="12.83203125" bestFit="1" customWidth="1"/>
    <col min="6" max="6" width="12.33203125" bestFit="1" customWidth="1"/>
    <col min="10" max="10" width="14.6640625" bestFit="1" customWidth="1"/>
    <col min="13" max="13" width="14.6640625" bestFit="1" customWidth="1"/>
    <col min="14" max="17" width="14.6640625" customWidth="1"/>
    <col min="20" max="20" width="14.6640625" bestFit="1" customWidth="1"/>
    <col min="21" max="22" width="12.1640625" bestFit="1" customWidth="1"/>
    <col min="23" max="23" width="14.6640625" bestFit="1" customWidth="1"/>
    <col min="24" max="25" width="12.1640625" bestFit="1" customWidth="1"/>
    <col min="26" max="26" width="14.6640625" bestFit="1" customWidth="1"/>
    <col min="27" max="29" width="14.6640625" customWidth="1"/>
    <col min="30" max="31" width="12.83203125" bestFit="1" customWidth="1"/>
    <col min="32" max="32" width="14.6640625" bestFit="1" customWidth="1"/>
    <col min="34" max="34" width="11.5" bestFit="1" customWidth="1"/>
    <col min="37" max="37" width="14.6640625" bestFit="1" customWidth="1"/>
  </cols>
  <sheetData>
    <row r="1" spans="1:37" x14ac:dyDescent="0.2">
      <c r="A1" t="s">
        <v>29</v>
      </c>
      <c r="B1">
        <v>300</v>
      </c>
      <c r="D1" s="11" t="s">
        <v>27</v>
      </c>
      <c r="E1" s="11"/>
      <c r="F1" s="11"/>
      <c r="G1" s="11"/>
      <c r="H1" s="11" t="s">
        <v>26</v>
      </c>
      <c r="I1" s="11"/>
      <c r="J1" s="11"/>
      <c r="K1" s="11" t="s">
        <v>31</v>
      </c>
      <c r="L1" s="11"/>
      <c r="M1" s="11"/>
      <c r="N1" s="11" t="s">
        <v>10</v>
      </c>
      <c r="O1" s="11" t="s">
        <v>32</v>
      </c>
      <c r="P1" s="11"/>
      <c r="Q1" s="11"/>
      <c r="R1" s="11" t="s">
        <v>28</v>
      </c>
      <c r="S1" s="11"/>
      <c r="T1" s="11"/>
      <c r="U1" s="11" t="s">
        <v>30</v>
      </c>
      <c r="V1" s="11"/>
      <c r="W1" s="11"/>
      <c r="X1" s="11" t="s">
        <v>33</v>
      </c>
      <c r="Y1" s="11"/>
      <c r="Z1" s="11"/>
      <c r="AA1" s="11" t="s">
        <v>39</v>
      </c>
      <c r="AB1" s="11"/>
      <c r="AC1" s="11"/>
      <c r="AD1" s="11" t="s">
        <v>34</v>
      </c>
      <c r="AE1" s="11"/>
      <c r="AF1" s="11"/>
      <c r="AI1" s="11" t="s">
        <v>35</v>
      </c>
      <c r="AJ1" s="11"/>
      <c r="AK1" s="11"/>
    </row>
    <row r="2" spans="1:37" x14ac:dyDescent="0.2">
      <c r="D2" t="s">
        <v>16</v>
      </c>
      <c r="E2" t="s">
        <v>17</v>
      </c>
      <c r="F2" t="s">
        <v>16</v>
      </c>
      <c r="G2" t="s">
        <v>17</v>
      </c>
      <c r="H2" s="11" t="s">
        <v>23</v>
      </c>
      <c r="I2" t="s">
        <v>8</v>
      </c>
      <c r="J2" t="s">
        <v>9</v>
      </c>
      <c r="K2" s="11" t="s">
        <v>23</v>
      </c>
      <c r="L2" t="s">
        <v>8</v>
      </c>
      <c r="M2" t="s">
        <v>9</v>
      </c>
      <c r="N2" s="11"/>
      <c r="O2" s="11" t="s">
        <v>23</v>
      </c>
      <c r="P2" t="s">
        <v>8</v>
      </c>
      <c r="Q2" t="s">
        <v>9</v>
      </c>
      <c r="R2" s="11" t="s">
        <v>23</v>
      </c>
      <c r="S2" t="s">
        <v>8</v>
      </c>
      <c r="T2" t="s">
        <v>9</v>
      </c>
      <c r="U2" s="11" t="s">
        <v>23</v>
      </c>
      <c r="V2" t="s">
        <v>8</v>
      </c>
      <c r="W2" t="s">
        <v>9</v>
      </c>
      <c r="X2" s="11" t="s">
        <v>23</v>
      </c>
      <c r="Y2" t="s">
        <v>8</v>
      </c>
      <c r="Z2" t="s">
        <v>9</v>
      </c>
      <c r="AA2" s="11" t="s">
        <v>23</v>
      </c>
      <c r="AB2" t="s">
        <v>8</v>
      </c>
      <c r="AC2" t="s">
        <v>9</v>
      </c>
      <c r="AD2" s="11" t="s">
        <v>23</v>
      </c>
      <c r="AE2" t="s">
        <v>8</v>
      </c>
      <c r="AF2" t="s">
        <v>9</v>
      </c>
      <c r="AI2" s="11" t="s">
        <v>23</v>
      </c>
      <c r="AJ2" t="s">
        <v>8</v>
      </c>
      <c r="AK2" t="s">
        <v>9</v>
      </c>
    </row>
    <row r="3" spans="1:37" x14ac:dyDescent="0.2">
      <c r="D3" t="s">
        <v>18</v>
      </c>
      <c r="E3" t="s">
        <v>19</v>
      </c>
      <c r="F3" t="s">
        <v>20</v>
      </c>
      <c r="G3" t="s">
        <v>21</v>
      </c>
      <c r="H3" s="11"/>
      <c r="I3" t="s">
        <v>7</v>
      </c>
      <c r="J3" t="s">
        <v>7</v>
      </c>
      <c r="K3" s="11"/>
      <c r="L3" t="s">
        <v>7</v>
      </c>
      <c r="M3" t="s">
        <v>7</v>
      </c>
      <c r="N3" s="11"/>
      <c r="O3" s="11"/>
      <c r="P3" t="s">
        <v>7</v>
      </c>
      <c r="Q3" t="s">
        <v>7</v>
      </c>
      <c r="R3" s="11"/>
      <c r="S3" t="s">
        <v>7</v>
      </c>
      <c r="T3" t="s">
        <v>7</v>
      </c>
      <c r="U3" s="11"/>
      <c r="V3" t="s">
        <v>7</v>
      </c>
      <c r="W3" t="s">
        <v>7</v>
      </c>
      <c r="X3" s="11"/>
      <c r="Y3" t="s">
        <v>7</v>
      </c>
      <c r="Z3" t="s">
        <v>7</v>
      </c>
      <c r="AA3" s="11"/>
      <c r="AB3" t="s">
        <v>7</v>
      </c>
      <c r="AC3" t="s">
        <v>7</v>
      </c>
      <c r="AD3" s="11"/>
      <c r="AE3" t="s">
        <v>7</v>
      </c>
      <c r="AF3" t="s">
        <v>7</v>
      </c>
      <c r="AI3" s="11"/>
      <c r="AJ3" t="s">
        <v>7</v>
      </c>
      <c r="AK3" t="s">
        <v>7</v>
      </c>
    </row>
    <row r="4" spans="1:37" x14ac:dyDescent="0.2">
      <c r="B4" s="11" t="s">
        <v>11</v>
      </c>
      <c r="C4" t="s">
        <v>12</v>
      </c>
      <c r="D4">
        <v>-743155402.82405603</v>
      </c>
      <c r="E4">
        <v>862.65482907369994</v>
      </c>
      <c r="F4">
        <f>D4/4.184/1000</f>
        <v>-177618.40411664819</v>
      </c>
      <c r="G4">
        <f>E4/4.184/1000</f>
        <v>0.2061794524554732</v>
      </c>
      <c r="H4">
        <f>$F$4-$D$47+D47</f>
        <v>-177618.40411664819</v>
      </c>
      <c r="I4">
        <f t="shared" ref="I4:J4" si="0">$F$4-$D$47+E47</f>
        <v>-1443692.4901549905</v>
      </c>
      <c r="J4">
        <f t="shared" si="0"/>
        <v>-1443691.9629589904</v>
      </c>
      <c r="K4">
        <f>H4-$B$1*$G$4</f>
        <v>-177680.25795238483</v>
      </c>
      <c r="L4">
        <f>I4-$B$1*$G$4</f>
        <v>-1443754.3439907271</v>
      </c>
      <c r="M4">
        <f>J4-$B$1*$G$4</f>
        <v>-1443753.816794727</v>
      </c>
      <c r="N4">
        <f>-0.0619765345588808*627.50947428</f>
        <v>-38.89086261873954</v>
      </c>
      <c r="O4">
        <f>K4+$N$4</f>
        <v>-177719.14881500357</v>
      </c>
      <c r="P4">
        <f>L4+$N$4</f>
        <v>-1443793.2348533459</v>
      </c>
      <c r="Q4">
        <f>M4+$N$4</f>
        <v>-1443792.7076573458</v>
      </c>
      <c r="R4">
        <f>O4-$O$45</f>
        <v>0</v>
      </c>
      <c r="S4">
        <f>P4-$P$45</f>
        <v>4.7239252366125584E-2</v>
      </c>
      <c r="T4">
        <f>Q4-$Q$45</f>
        <v>0.19963425234891474</v>
      </c>
      <c r="U4">
        <f>EXP(-R4/(8.3145*$B$1/4.184/1000))</f>
        <v>1</v>
      </c>
      <c r="V4">
        <f>EXP(-S4/(8.3145*$B$1/4.184/1000))</f>
        <v>0.92381938963964894</v>
      </c>
      <c r="W4">
        <f>EXP(-T4/(8.3145*$B$1/4.184/1000))</f>
        <v>0.71543489323522313</v>
      </c>
      <c r="X4">
        <f>U4/$R$45</f>
        <v>0.33973477837578786</v>
      </c>
      <c r="Y4">
        <f>V4/$S$45</f>
        <v>0.30877555074581231</v>
      </c>
      <c r="Z4">
        <f>W4/$T$45</f>
        <v>0.255875370309808</v>
      </c>
      <c r="AA4">
        <f t="shared" ref="AA4:AA25" si="1">-X4*LN(X4)</f>
        <v>0.36677427936828755</v>
      </c>
      <c r="AB4">
        <f t="shared" ref="AB4:AB26" si="2">-Y4*LN(Y4)</f>
        <v>0.36285469801470682</v>
      </c>
      <c r="AC4">
        <f t="shared" ref="AC4:AC26" si="3">-Z4*LN(Z4)</f>
        <v>0.3487747073275197</v>
      </c>
      <c r="AD4">
        <f t="shared" ref="AD4:AD25" si="4">X4*O4</f>
        <v>-60377.375635798904</v>
      </c>
      <c r="AE4">
        <f t="shared" ref="AE4:AE25" si="5">Y4*P4</f>
        <v>-445808.05125491985</v>
      </c>
      <c r="AF4">
        <f t="shared" ref="AF4:AF26" si="6">Z4*Q4</f>
        <v>-369430.99372242374</v>
      </c>
      <c r="AH4" t="s">
        <v>36</v>
      </c>
      <c r="AI4">
        <f>SUM(AD4:AD7)</f>
        <v>-177719.08650898069</v>
      </c>
      <c r="AJ4">
        <f>SUM(AE4:AE7)</f>
        <v>-1443793.2309687336</v>
      </c>
      <c r="AK4">
        <f>SUM(AF4:AF7)</f>
        <v>-1443792.8129248493</v>
      </c>
    </row>
    <row r="5" spans="1:37" x14ac:dyDescent="0.2">
      <c r="B5" s="11"/>
      <c r="C5" t="s">
        <v>13</v>
      </c>
      <c r="D5">
        <v>-743154020.90796399</v>
      </c>
      <c r="E5">
        <v>866.93268016900004</v>
      </c>
      <c r="F5">
        <f t="shared" ref="F5:F26" si="7">D5/4.184/1000</f>
        <v>-177618.07383077533</v>
      </c>
      <c r="G5">
        <f t="shared" ref="G5:G26" si="8">E5/4.184/1000</f>
        <v>0.20720188340559273</v>
      </c>
      <c r="H5">
        <f>$F$5-$D$48+D48</f>
        <v>-177618.07383077533</v>
      </c>
      <c r="I5">
        <f t="shared" ref="I5:J5" si="9">$F$5-$D$48+E48</f>
        <v>-1443692.2453782517</v>
      </c>
      <c r="J5">
        <f t="shared" si="9"/>
        <v>-1443691.8705772515</v>
      </c>
      <c r="K5">
        <f>H5-$B$1*$G$5</f>
        <v>-177680.23439579702</v>
      </c>
      <c r="L5">
        <f>I5-$B$1*$G$5</f>
        <v>-1443754.4059432733</v>
      </c>
      <c r="M5">
        <f>J5-$B$1*$G$5</f>
        <v>-1443754.0311422732</v>
      </c>
      <c r="N5">
        <f>-0.0619530874325981*627.50947428</f>
        <v>-38.876149324852506</v>
      </c>
      <c r="O5">
        <f>K5+$N$5</f>
        <v>-177719.11054512186</v>
      </c>
      <c r="P5">
        <f>L5+$N$5</f>
        <v>-1443793.2820925983</v>
      </c>
      <c r="Q5">
        <f>M5+$N$5</f>
        <v>-1443792.9072915982</v>
      </c>
      <c r="R5">
        <f>O5-$O$45</f>
        <v>3.8269881712039933E-2</v>
      </c>
      <c r="S5">
        <f>P5-$P$45</f>
        <v>0</v>
      </c>
      <c r="T5">
        <f>Q5-$Q$45</f>
        <v>0</v>
      </c>
      <c r="U5">
        <f t="shared" ref="U5:W6" si="10">2*EXP(-R5/(8.3145*$B$1/4.184/1000))</f>
        <v>1.8756469297254086</v>
      </c>
      <c r="V5">
        <f t="shared" si="10"/>
        <v>2</v>
      </c>
      <c r="W5">
        <f t="shared" si="10"/>
        <v>2</v>
      </c>
      <c r="X5">
        <f>U5/$R$45</f>
        <v>0.63722249398148867</v>
      </c>
      <c r="Y5">
        <f>V5/$S$45</f>
        <v>0.66847601210504004</v>
      </c>
      <c r="Z5">
        <f>W5/$T$45</f>
        <v>0.71530022572069429</v>
      </c>
      <c r="AA5">
        <f t="shared" si="1"/>
        <v>0.28715565086532768</v>
      </c>
      <c r="AB5">
        <f t="shared" si="2"/>
        <v>0.2692318999975567</v>
      </c>
      <c r="AC5">
        <f t="shared" si="3"/>
        <v>0.2396634352463575</v>
      </c>
      <c r="AD5">
        <f t="shared" si="4"/>
        <v>-113246.61484973444</v>
      </c>
      <c r="AE5">
        <f t="shared" si="5"/>
        <v>-965141.17551730725</v>
      </c>
      <c r="AF5">
        <f t="shared" si="6"/>
        <v>-1032745.3924796176</v>
      </c>
      <c r="AH5" t="s">
        <v>37</v>
      </c>
      <c r="AI5">
        <f>SUM(AD8:AD43)</f>
        <v>-355444.2349419666</v>
      </c>
      <c r="AJ5">
        <f>SUM(AE8:AE43)</f>
        <v>-2887589.6393552534</v>
      </c>
      <c r="AK5">
        <f>SUM(AF8:AF43)</f>
        <v>-2887586.0324673597</v>
      </c>
    </row>
    <row r="6" spans="1:37" x14ac:dyDescent="0.2">
      <c r="B6" s="11"/>
      <c r="C6" t="s">
        <v>15</v>
      </c>
      <c r="D6">
        <v>-743152949.35191703</v>
      </c>
      <c r="E6">
        <v>861.26532183339998</v>
      </c>
      <c r="F6">
        <f t="shared" si="7"/>
        <v>-177617.81772273351</v>
      </c>
      <c r="G6">
        <f t="shared" si="8"/>
        <v>0.20584735225463668</v>
      </c>
      <c r="H6">
        <f>$F$6-$D$49+D49</f>
        <v>-177617.81772273351</v>
      </c>
      <c r="I6">
        <f t="shared" ref="I6:J6" si="11">$F$6-$D$49+E49</f>
        <v>-1443690.3507548536</v>
      </c>
      <c r="J6">
        <f t="shared" si="11"/>
        <v>-1443688.4551838536</v>
      </c>
      <c r="K6">
        <f>H6-$B$1*$G$6</f>
        <v>-177679.57192840989</v>
      </c>
      <c r="L6">
        <f>I6-$B$1*$G$6</f>
        <v>-1443752.1049605301</v>
      </c>
      <c r="M6">
        <f>J6-$B$1*$G$6</f>
        <v>-1443750.2093895301</v>
      </c>
      <c r="N6">
        <f>-0.0555927188689492*627.50947428</f>
        <v>-34.884957791250145</v>
      </c>
      <c r="O6">
        <f>K6+$N$6</f>
        <v>-177714.45688620114</v>
      </c>
      <c r="P6">
        <f>L6+$N$6</f>
        <v>-1443786.9899183214</v>
      </c>
      <c r="Q6">
        <f>M6+$N$6</f>
        <v>-1443785.0943473214</v>
      </c>
      <c r="R6">
        <f>O6-$O$45</f>
        <v>4.6919288024364505</v>
      </c>
      <c r="S6">
        <f>P6-$P$45</f>
        <v>6.2921742768958211</v>
      </c>
      <c r="T6">
        <f>Q6-$Q$45</f>
        <v>7.8129442767240107</v>
      </c>
      <c r="U6">
        <f t="shared" si="10"/>
        <v>7.6391692452454005E-4</v>
      </c>
      <c r="V6">
        <f t="shared" si="10"/>
        <v>5.2155093329416038E-5</v>
      </c>
      <c r="W6">
        <f t="shared" si="10"/>
        <v>4.0685882812858555E-6</v>
      </c>
      <c r="X6">
        <f>U6/$R$45</f>
        <v>2.5952914705085808E-4</v>
      </c>
      <c r="Y6">
        <f>V6/$S$45</f>
        <v>1.7432214399907104E-5</v>
      </c>
      <c r="Z6">
        <f>W6/$T$45</f>
        <v>1.4551310579841722E-6</v>
      </c>
      <c r="AA6">
        <f t="shared" si="1"/>
        <v>2.1428391368023356E-3</v>
      </c>
      <c r="AB6">
        <f t="shared" si="2"/>
        <v>1.9100809682640356E-4</v>
      </c>
      <c r="AC6">
        <f t="shared" si="3"/>
        <v>1.9557564697991072E-5</v>
      </c>
      <c r="AD6">
        <f t="shared" si="4"/>
        <v>-46.12208141428227</v>
      </c>
      <c r="AE6">
        <f t="shared" si="5"/>
        <v>-25.168404356052694</v>
      </c>
      <c r="AF6">
        <f t="shared" si="6"/>
        <v>-2.1008965318393957</v>
      </c>
      <c r="AH6" t="s">
        <v>38</v>
      </c>
      <c r="AI6">
        <f>AI5-2*AI4</f>
        <v>-6.0619240052183159</v>
      </c>
      <c r="AJ6">
        <f>AJ5-2*AJ4</f>
        <v>-3.1774177863262594</v>
      </c>
      <c r="AK6">
        <f>AK5-2*AK4</f>
        <v>-0.40661766100674868</v>
      </c>
    </row>
    <row r="7" spans="1:37" x14ac:dyDescent="0.2">
      <c r="B7" s="11"/>
      <c r="C7" t="s">
        <v>14</v>
      </c>
      <c r="D7">
        <v>-743151605.07883203</v>
      </c>
      <c r="E7">
        <v>852.46502090169997</v>
      </c>
      <c r="F7">
        <f t="shared" si="7"/>
        <v>-177617.49643375524</v>
      </c>
      <c r="G7">
        <f t="shared" si="8"/>
        <v>0.20374402985222276</v>
      </c>
      <c r="H7">
        <f>$F$7-$D$50+D50</f>
        <v>-177617.49643375524</v>
      </c>
      <c r="I7">
        <f t="shared" ref="I7:J7" si="12">$F$7-$D$50+E50</f>
        <v>-1443691.6380686206</v>
      </c>
      <c r="J7">
        <f t="shared" si="12"/>
        <v>-1443691.3644606206</v>
      </c>
      <c r="K7">
        <f>H7-$B$1*$G$7</f>
        <v>-177678.6196427109</v>
      </c>
      <c r="L7">
        <f>I7-$B$1*$G$7</f>
        <v>-1443752.7612775762</v>
      </c>
      <c r="M7">
        <f>J7-$B$1*$G$7</f>
        <v>-1443752.4876695762</v>
      </c>
      <c r="N7">
        <f>-0.0620201834104382*627.50947428</f>
        <v>-38.918252686633245</v>
      </c>
      <c r="O7">
        <f>K7+$N$7</f>
        <v>-177717.53789539752</v>
      </c>
      <c r="P7">
        <f>L7+$N$7</f>
        <v>-1443791.6795302629</v>
      </c>
      <c r="Q7">
        <f>M7+$N$7</f>
        <v>-1443791.4059222629</v>
      </c>
      <c r="R7">
        <f>O7-$O$45</f>
        <v>1.6109196060569957</v>
      </c>
      <c r="S7">
        <f>P7-$P$45</f>
        <v>1.6025623353198171</v>
      </c>
      <c r="T7">
        <f>Q7-$Q$45</f>
        <v>1.5013693352229893</v>
      </c>
      <c r="U7">
        <f t="shared" ref="U7:W8" si="13">EXP(-R7/(8.3145*$B$1/4.184/1000))</f>
        <v>6.7061719746783571E-2</v>
      </c>
      <c r="V7">
        <f t="shared" si="13"/>
        <v>6.8008438666834342E-2</v>
      </c>
      <c r="W7">
        <f t="shared" si="13"/>
        <v>8.0589793773374871E-2</v>
      </c>
      <c r="X7">
        <f>U7/$R$45</f>
        <v>2.2783198495672712E-2</v>
      </c>
      <c r="Y7">
        <f>V7/$S$45</f>
        <v>2.2731004934747813E-2</v>
      </c>
      <c r="Z7">
        <f>W7/$T$45</f>
        <v>2.8822948838439628E-2</v>
      </c>
      <c r="AA7">
        <f t="shared" si="1"/>
        <v>8.6159949053583304E-2</v>
      </c>
      <c r="AB7">
        <f t="shared" si="2"/>
        <v>8.6014700728713006E-2</v>
      </c>
      <c r="AC7">
        <f t="shared" si="3"/>
        <v>0.10222299115379356</v>
      </c>
      <c r="AD7">
        <f t="shared" si="4"/>
        <v>-4048.9739420330789</v>
      </c>
      <c r="AE7">
        <f t="shared" si="5"/>
        <v>-32818.835792150239</v>
      </c>
      <c r="AF7">
        <f t="shared" si="6"/>
        <v>-41614.325826276203</v>
      </c>
      <c r="AI7" s="11" t="s">
        <v>39</v>
      </c>
      <c r="AJ7" s="11"/>
      <c r="AK7" s="11"/>
    </row>
    <row r="8" spans="1:37" x14ac:dyDescent="0.2">
      <c r="B8" s="11" t="s">
        <v>0</v>
      </c>
      <c r="C8">
        <v>1</v>
      </c>
      <c r="D8">
        <v>-1486481741.8555</v>
      </c>
      <c r="E8">
        <v>1480.8708541408</v>
      </c>
      <c r="F8">
        <f t="shared" si="7"/>
        <v>-355277.66296737571</v>
      </c>
      <c r="G8">
        <f t="shared" si="8"/>
        <v>0.35393662861873804</v>
      </c>
      <c r="H8">
        <f>$F$8-$D$51+D51</f>
        <v>-355277.66296737571</v>
      </c>
      <c r="I8">
        <f t="shared" ref="I8:J8" si="14">$F$8-$D$51+E51</f>
        <v>-2887423.1395763382</v>
      </c>
      <c r="J8">
        <f t="shared" si="14"/>
        <v>-2887416.6998493383</v>
      </c>
      <c r="K8" s="3">
        <f>H8-$B$1*$G$8</f>
        <v>-355383.84395596135</v>
      </c>
      <c r="L8" s="4">
        <f>I8-$B$1*$G$8</f>
        <v>-2887529.3205649238</v>
      </c>
      <c r="M8" s="5">
        <f>J8-$B$1*$G$8</f>
        <v>-2887522.8808379238</v>
      </c>
      <c r="N8">
        <f>-0.0966121077145716*627.50947428</f>
        <v>-60.625012921053553</v>
      </c>
      <c r="O8">
        <f>K8+$N$8</f>
        <v>-355444.4689688824</v>
      </c>
      <c r="P8">
        <f>L8+$N$8</f>
        <v>-2887589.945577845</v>
      </c>
      <c r="Q8">
        <f>M8+$N$8</f>
        <v>-2887583.505850845</v>
      </c>
      <c r="R8">
        <f t="shared" ref="R8:R43" si="15">O8-$O$46</f>
        <v>0</v>
      </c>
      <c r="S8">
        <f t="shared" ref="S8:S43" si="16">P8-$P$46</f>
        <v>0</v>
      </c>
      <c r="T8">
        <f t="shared" ref="T8:T43" si="17">Q8-$Q$46</f>
        <v>2.6479304204694927</v>
      </c>
      <c r="U8" s="3">
        <f t="shared" si="13"/>
        <v>1</v>
      </c>
      <c r="V8" s="4">
        <f t="shared" si="13"/>
        <v>1</v>
      </c>
      <c r="W8" s="5">
        <f t="shared" si="13"/>
        <v>1.1776910517285848E-2</v>
      </c>
      <c r="X8" s="3">
        <f t="shared" ref="X8:X26" si="18">U8/$R$46</f>
        <v>0.88744071438348016</v>
      </c>
      <c r="Y8" s="4">
        <f t="shared" ref="Y8:Y26" si="19">V8/$S$46</f>
        <v>0.44703238480626356</v>
      </c>
      <c r="Z8" s="5">
        <f t="shared" ref="Z8:Z26" si="20">W8/$T$46</f>
        <v>5.5539322302156748E-3</v>
      </c>
      <c r="AA8">
        <f t="shared" si="1"/>
        <v>0.10597245548911216</v>
      </c>
      <c r="AB8">
        <f t="shared" si="2"/>
        <v>0.35991660807201498</v>
      </c>
      <c r="AC8">
        <f t="shared" si="3"/>
        <v>2.8842953512428545E-2</v>
      </c>
      <c r="AD8">
        <f t="shared" si="4"/>
        <v>-315435.89346540172</v>
      </c>
      <c r="AE8">
        <f t="shared" si="5"/>
        <v>-1290846.2197142527</v>
      </c>
      <c r="AF8">
        <f t="shared" si="6"/>
        <v>-16037.44310058418</v>
      </c>
      <c r="AI8" s="11" t="s">
        <v>23</v>
      </c>
      <c r="AJ8" t="s">
        <v>8</v>
      </c>
      <c r="AK8" t="s">
        <v>9</v>
      </c>
    </row>
    <row r="9" spans="1:37" x14ac:dyDescent="0.2">
      <c r="B9" s="11"/>
      <c r="C9">
        <v>2</v>
      </c>
      <c r="D9">
        <v>-1486428910.5280099</v>
      </c>
      <c r="E9">
        <v>1497.0580907714</v>
      </c>
      <c r="F9">
        <f t="shared" si="7"/>
        <v>-355265.03597705782</v>
      </c>
      <c r="G9">
        <f t="shared" si="8"/>
        <v>0.35780547102566918</v>
      </c>
      <c r="H9">
        <f>$F$9-$D$52+D52</f>
        <v>-355265.03597705782</v>
      </c>
      <c r="I9">
        <f t="shared" ref="I9:J9" si="21">$F$9-$D$52+E52</f>
        <v>-2887412.0076678912</v>
      </c>
      <c r="J9">
        <f t="shared" si="21"/>
        <v>-2887408.5885798912</v>
      </c>
      <c r="K9" s="6">
        <f>H9-$B$1*$G$9</f>
        <v>-355372.37761836551</v>
      </c>
      <c r="L9">
        <f>I9-$B$1*$G$9</f>
        <v>-2887519.349309199</v>
      </c>
      <c r="M9" s="7">
        <f>J9-$B$1*$G$9</f>
        <v>-2887515.9302211991</v>
      </c>
      <c r="N9">
        <f>-0.111908366239568*627.50947428</f>
        <v>-70.22356006652501</v>
      </c>
      <c r="O9">
        <f>K9+$N$9</f>
        <v>-355442.60117843206</v>
      </c>
      <c r="P9">
        <f>L9+$N$9</f>
        <v>-2887589.5728692655</v>
      </c>
      <c r="Q9">
        <f>M9+$N$9</f>
        <v>-2887586.1537812655</v>
      </c>
      <c r="R9">
        <f t="shared" si="15"/>
        <v>1.8677904503419995</v>
      </c>
      <c r="S9">
        <f t="shared" si="16"/>
        <v>0.37270857952535152</v>
      </c>
      <c r="T9">
        <f t="shared" si="17"/>
        <v>0</v>
      </c>
      <c r="U9" s="6">
        <f>2*EXP(-R9/(8.3145*$B$1/4.184/1000))</f>
        <v>8.7172398391719516E-2</v>
      </c>
      <c r="V9">
        <f>2*EXP(-S9/(8.3145*$B$1/4.184/1000))</f>
        <v>1.0703323413383137</v>
      </c>
      <c r="W9" s="7">
        <f>2*EXP(-T9/(8.3145*$B$1/4.184/1000))</f>
        <v>2</v>
      </c>
      <c r="X9" s="6">
        <f t="shared" si="18"/>
        <v>7.7360335503268901E-2</v>
      </c>
      <c r="Y9">
        <f t="shared" si="19"/>
        <v>0.47847321908373808</v>
      </c>
      <c r="Z9" s="7">
        <f t="shared" si="20"/>
        <v>0.94319001949853565</v>
      </c>
      <c r="AA9">
        <f>-X9*LN(X9)</f>
        <v>0.19798684384210857</v>
      </c>
      <c r="AB9">
        <f t="shared" si="2"/>
        <v>0.35270894405903297</v>
      </c>
      <c r="AC9">
        <f t="shared" si="3"/>
        <v>5.5164836968242627E-2</v>
      </c>
      <c r="AD9">
        <f t="shared" si="4"/>
        <v>-27497.158879318107</v>
      </c>
      <c r="AE9">
        <f t="shared" si="5"/>
        <v>-1381634.2783233938</v>
      </c>
      <c r="AF9">
        <f t="shared" si="6"/>
        <v>-2723542.4406886534</v>
      </c>
      <c r="AI9" s="11"/>
      <c r="AJ9" t="s">
        <v>7</v>
      </c>
      <c r="AK9" t="s">
        <v>7</v>
      </c>
    </row>
    <row r="10" spans="1:37" x14ac:dyDescent="0.2">
      <c r="B10" s="11"/>
      <c r="C10">
        <v>3</v>
      </c>
      <c r="D10">
        <v>-1486422544.6755199</v>
      </c>
      <c r="E10">
        <v>1475.3594722352</v>
      </c>
      <c r="F10">
        <f t="shared" si="7"/>
        <v>-355263.51450179733</v>
      </c>
      <c r="G10">
        <f t="shared" si="8"/>
        <v>0.35261937672925425</v>
      </c>
      <c r="H10">
        <f>$F$10-$D$53+D53</f>
        <v>-355263.51450179733</v>
      </c>
      <c r="I10">
        <f t="shared" ref="I10:J10" si="22">$F$10-$D$53+E53</f>
        <v>-2887413.6997254575</v>
      </c>
      <c r="J10">
        <f t="shared" si="22"/>
        <v>-2887409.1928134579</v>
      </c>
      <c r="K10" s="6">
        <f>H10-$B$1*$G$10</f>
        <v>-355369.30031481612</v>
      </c>
      <c r="L10">
        <f>I10-$B$1*$G$10</f>
        <v>-2887519.4855384761</v>
      </c>
      <c r="M10" s="7">
        <f>J10-$B$1*$G$10</f>
        <v>-2887514.9786264766</v>
      </c>
      <c r="N10">
        <f>-0.103362491046486*627.50947428</f>
        <v>-64.860942416851628</v>
      </c>
      <c r="O10">
        <f>K10+$N$10</f>
        <v>-355434.16125723295</v>
      </c>
      <c r="P10">
        <f>L10+$N$10</f>
        <v>-2887584.346480893</v>
      </c>
      <c r="Q10">
        <f>M10+$N$10</f>
        <v>-2887579.8395688934</v>
      </c>
      <c r="R10">
        <f t="shared" si="15"/>
        <v>10.307711649453267</v>
      </c>
      <c r="S10">
        <f t="shared" si="16"/>
        <v>5.5990969520062208</v>
      </c>
      <c r="T10">
        <f t="shared" si="17"/>
        <v>6.3142123720608652</v>
      </c>
      <c r="U10" s="6">
        <f t="shared" ref="U10:W16" si="23">EXP(-R10/(8.3145*$B$1/4.184/1000))</f>
        <v>3.0975732670792495E-8</v>
      </c>
      <c r="V10">
        <f t="shared" si="23"/>
        <v>8.3398995354284878E-5</v>
      </c>
      <c r="W10" s="7">
        <f t="shared" si="23"/>
        <v>2.5131151259673566E-5</v>
      </c>
      <c r="X10" s="6">
        <f t="shared" si="18"/>
        <v>2.7489126329919795E-8</v>
      </c>
      <c r="Y10">
        <f t="shared" si="19"/>
        <v>3.7282051783672463E-5</v>
      </c>
      <c r="Z10" s="7">
        <f t="shared" si="20"/>
        <v>1.185172552331608E-5</v>
      </c>
      <c r="AA10">
        <f t="shared" si="1"/>
        <v>4.7857126631707441E-7</v>
      </c>
      <c r="AB10">
        <f t="shared" si="2"/>
        <v>3.8016502732840057E-4</v>
      </c>
      <c r="AC10">
        <f t="shared" si="3"/>
        <v>1.3443456215831098E-4</v>
      </c>
      <c r="AD10">
        <f t="shared" si="4"/>
        <v>-9.7705745607691609E-3</v>
      </c>
      <c r="AE10">
        <f t="shared" si="5"/>
        <v>-107.65506913522266</v>
      </c>
      <c r="AF10">
        <f t="shared" si="6"/>
        <v>-34.222803685231604</v>
      </c>
      <c r="AH10" t="s">
        <v>36</v>
      </c>
      <c r="AI10">
        <f>8.3145*300*SUM(AA4:AA7)/1000/4.184</f>
        <v>0.44249239512449967</v>
      </c>
      <c r="AJ10">
        <f>8.3145*300*SUM(AB4:AB7)/1000/4.184</f>
        <v>0.42821998459867922</v>
      </c>
      <c r="AK10">
        <f>8.3145*300*SUM(AC4:AC7)/1000/4.184</f>
        <v>0.4117589345901338</v>
      </c>
    </row>
    <row r="11" spans="1:37" x14ac:dyDescent="0.2">
      <c r="B11" s="11"/>
      <c r="C11">
        <v>4</v>
      </c>
      <c r="D11">
        <v>-1486381743.86166</v>
      </c>
      <c r="E11">
        <v>1505.0487994552</v>
      </c>
      <c r="F11">
        <f t="shared" si="7"/>
        <v>-355253.76287324564</v>
      </c>
      <c r="G11">
        <f t="shared" si="8"/>
        <v>0.35971529623690246</v>
      </c>
      <c r="H11">
        <f>$F$11-$D$54+D54</f>
        <v>-355253.76287324564</v>
      </c>
      <c r="I11">
        <f t="shared" ref="I11:J11" si="24">$F$11-$D$54+E54</f>
        <v>-2887403.6202216609</v>
      </c>
      <c r="J11">
        <f t="shared" si="24"/>
        <v>-2887401.2342346609</v>
      </c>
      <c r="K11" s="6">
        <f>H11-$B$1*$G$11</f>
        <v>-355361.6774621167</v>
      </c>
      <c r="L11">
        <f>I11-$B$1*$G$11</f>
        <v>-2887511.5348105319</v>
      </c>
      <c r="M11" s="7">
        <f>J11-$B$1*$G$11</f>
        <v>-2887509.1488235318</v>
      </c>
      <c r="N11">
        <f>-0.118342736585976*627.50947428</f>
        <v>-74.261188419922306</v>
      </c>
      <c r="O11">
        <f>K11+$N$11</f>
        <v>-355435.93865053664</v>
      </c>
      <c r="P11">
        <f>L11+$N$11</f>
        <v>-2887585.7959989519</v>
      </c>
      <c r="Q11">
        <f>M11+$N$11</f>
        <v>-2887583.4100119518</v>
      </c>
      <c r="R11">
        <f t="shared" si="15"/>
        <v>8.5303183457581326</v>
      </c>
      <c r="S11">
        <f t="shared" si="16"/>
        <v>4.1495788930915296</v>
      </c>
      <c r="T11">
        <f t="shared" si="17"/>
        <v>2.7437693136744201</v>
      </c>
      <c r="U11" s="6">
        <f t="shared" si="23"/>
        <v>6.1068876327230292E-7</v>
      </c>
      <c r="V11">
        <f t="shared" si="23"/>
        <v>9.4865450445550943E-4</v>
      </c>
      <c r="W11" s="7">
        <f t="shared" si="23"/>
        <v>1.0028004119362126E-2</v>
      </c>
      <c r="X11" s="6">
        <f t="shared" si="18"/>
        <v>5.4195007234433647E-7</v>
      </c>
      <c r="Y11">
        <f t="shared" si="19"/>
        <v>4.2407928548395056E-4</v>
      </c>
      <c r="Z11" s="7">
        <f t="shared" si="20"/>
        <v>4.7291567004362801E-3</v>
      </c>
      <c r="AA11">
        <f t="shared" si="1"/>
        <v>7.8193054799929546E-6</v>
      </c>
      <c r="AB11">
        <f t="shared" si="2"/>
        <v>3.2932259120578983E-3</v>
      </c>
      <c r="AC11">
        <f t="shared" si="3"/>
        <v>2.5319944603559005E-2</v>
      </c>
      <c r="AD11">
        <f t="shared" si="4"/>
        <v>-0.19262853266543548</v>
      </c>
      <c r="AE11">
        <f t="shared" si="5"/>
        <v>-1224.5653211408401</v>
      </c>
      <c r="AF11">
        <f t="shared" si="6"/>
        <v>-13655.834431526664</v>
      </c>
      <c r="AH11" t="s">
        <v>37</v>
      </c>
      <c r="AI11">
        <f>8.3145*300*SUM(AA8:AA43)/1000/4.184</f>
        <v>0.27189398716564833</v>
      </c>
      <c r="AJ11">
        <f t="shared" ref="AJ11" si="25">8.3145*300*SUM(AB8:AB43)/1000/4.184</f>
        <v>0.58770059037063827</v>
      </c>
      <c r="AK11">
        <f>8.3145*300*SUM(AC8:AC43)/1000/4.184</f>
        <v>0.17962027949343773</v>
      </c>
    </row>
    <row r="12" spans="1:37" x14ac:dyDescent="0.2">
      <c r="B12" s="11"/>
      <c r="C12" t="s">
        <v>1</v>
      </c>
      <c r="D12">
        <v>-1486391834.1186299</v>
      </c>
      <c r="E12">
        <v>1512.5048285370999</v>
      </c>
      <c r="F12">
        <f t="shared" si="7"/>
        <v>-355256.17450254061</v>
      </c>
      <c r="G12">
        <f t="shared" si="8"/>
        <v>0.36149732995628581</v>
      </c>
      <c r="H12">
        <f>$F$12-$D$55+D55</f>
        <v>-355256.17450254061</v>
      </c>
      <c r="I12">
        <f t="shared" ref="I12:J12" si="26">$F$12-$D$55+E55</f>
        <v>-2887402.3434053911</v>
      </c>
      <c r="J12">
        <f t="shared" si="26"/>
        <v>-2887399.5052813911</v>
      </c>
      <c r="K12" s="6">
        <f>H12-$B$1*$G$12</f>
        <v>-355364.62370152748</v>
      </c>
      <c r="L12">
        <f>I12-$B$1*$G$12</f>
        <v>-2887510.792604378</v>
      </c>
      <c r="M12" s="7">
        <f>J12-$B$1*$G$12</f>
        <v>-2887507.954480378</v>
      </c>
      <c r="N12">
        <f>-0.113865370114261*627.50947428</f>
        <v>-71.451598539097532</v>
      </c>
      <c r="O12">
        <f>K12+$N$12</f>
        <v>-355436.07530006656</v>
      </c>
      <c r="P12">
        <f>L12+$N$12</f>
        <v>-2887582.244202917</v>
      </c>
      <c r="Q12">
        <f>M12+$N$12</f>
        <v>-2887579.406078917</v>
      </c>
      <c r="R12">
        <f t="shared" si="15"/>
        <v>8.3936688158428296</v>
      </c>
      <c r="S12">
        <f t="shared" si="16"/>
        <v>7.7013749280013144</v>
      </c>
      <c r="T12">
        <f t="shared" si="17"/>
        <v>6.7477023485116661</v>
      </c>
      <c r="U12" s="6">
        <f t="shared" si="23"/>
        <v>7.6800951220051788E-7</v>
      </c>
      <c r="V12">
        <f t="shared" si="23"/>
        <v>2.4529571819437493E-6</v>
      </c>
      <c r="W12" s="7">
        <f t="shared" si="23"/>
        <v>1.2145709980821492E-5</v>
      </c>
      <c r="X12" s="6">
        <f t="shared" si="18"/>
        <v>6.8156291016053571E-7</v>
      </c>
      <c r="Y12">
        <f t="shared" si="19"/>
        <v>1.0965512988719659E-6</v>
      </c>
      <c r="Z12" s="7">
        <f t="shared" si="20"/>
        <v>5.7278562168172913E-6</v>
      </c>
      <c r="AA12">
        <f t="shared" si="1"/>
        <v>9.6774281191213738E-6</v>
      </c>
      <c r="AB12">
        <f t="shared" si="2"/>
        <v>1.5048346834770025E-5</v>
      </c>
      <c r="AC12">
        <f t="shared" si="3"/>
        <v>6.9136193864575933E-5</v>
      </c>
      <c r="AD12">
        <f t="shared" si="4"/>
        <v>-0.24225204585755267</v>
      </c>
      <c r="AE12">
        <f>Y12*P12</f>
        <v>-3.166382060480335</v>
      </c>
      <c r="AF12">
        <f t="shared" si="6"/>
        <v>-16.539639652662707</v>
      </c>
      <c r="AH12" t="s">
        <v>38</v>
      </c>
      <c r="AI12">
        <f>AI11-2*AI10</f>
        <v>-0.61309080308335107</v>
      </c>
      <c r="AJ12">
        <f t="shared" ref="AJ12" si="27">AJ11-2*AJ10</f>
        <v>-0.26873937882672017</v>
      </c>
      <c r="AK12">
        <f>AK11-2*AK10</f>
        <v>-0.64389758968682986</v>
      </c>
    </row>
    <row r="13" spans="1:37" x14ac:dyDescent="0.2">
      <c r="B13" s="11"/>
      <c r="C13" t="s">
        <v>2</v>
      </c>
      <c r="D13">
        <v>-1486385545.2553999</v>
      </c>
      <c r="E13">
        <v>1494.8252267629</v>
      </c>
      <c r="F13">
        <f t="shared" si="7"/>
        <v>-355254.6714281548</v>
      </c>
      <c r="G13">
        <f t="shared" si="8"/>
        <v>0.35727180371962236</v>
      </c>
      <c r="H13">
        <f>$F$13-$D$56+D56</f>
        <v>-355254.6714281548</v>
      </c>
      <c r="I13">
        <f t="shared" ref="I13:J13" si="28">$F$13-$D$56+E56</f>
        <v>-2887398.01923163</v>
      </c>
      <c r="J13">
        <f t="shared" si="28"/>
        <v>-2887391.56787463</v>
      </c>
      <c r="K13" s="6">
        <f>H13-$B$1*$G$13</f>
        <v>-355361.85296927067</v>
      </c>
      <c r="L13">
        <f>I13-$B$1*$G$13</f>
        <v>-2887505.200772746</v>
      </c>
      <c r="M13" s="7">
        <f>J13-$B$1*$G$13</f>
        <v>-2887498.749415746</v>
      </c>
      <c r="N13">
        <f>-0.101345740893728*627.50947428</f>
        <v>-63.595412588740345</v>
      </c>
      <c r="O13">
        <f>K13+$N$13</f>
        <v>-355425.4483818594</v>
      </c>
      <c r="P13">
        <f>L13+$N$13</f>
        <v>-2887568.7961853347</v>
      </c>
      <c r="Q13">
        <f>M13+$N$13</f>
        <v>-2887562.3448283346</v>
      </c>
      <c r="R13">
        <f t="shared" si="15"/>
        <v>19.02058702299837</v>
      </c>
      <c r="S13">
        <f t="shared" si="16"/>
        <v>21.14939251029864</v>
      </c>
      <c r="T13">
        <f t="shared" si="17"/>
        <v>23.808952930849046</v>
      </c>
      <c r="U13" s="6">
        <f t="shared" si="23"/>
        <v>1.392682371787836E-14</v>
      </c>
      <c r="V13">
        <f t="shared" si="23"/>
        <v>3.9179277460377479E-16</v>
      </c>
      <c r="W13" s="7">
        <f t="shared" si="23"/>
        <v>4.5249684611372083E-18</v>
      </c>
      <c r="X13" s="6">
        <f t="shared" si="18"/>
        <v>1.2359230389286766E-14</v>
      </c>
      <c r="Y13">
        <f t="shared" si="19"/>
        <v>1.7514405838098833E-16</v>
      </c>
      <c r="Z13" s="7">
        <f t="shared" si="20"/>
        <v>2.1339525455451313E-18</v>
      </c>
      <c r="AA13">
        <f t="shared" si="1"/>
        <v>3.9579660658797765E-13</v>
      </c>
      <c r="AB13">
        <f t="shared" si="2"/>
        <v>6.3543880693811085E-15</v>
      </c>
      <c r="AC13">
        <f t="shared" si="3"/>
        <v>8.6827447135591894E-17</v>
      </c>
      <c r="AD13">
        <f t="shared" si="4"/>
        <v>-4.3927850027669516E-9</v>
      </c>
      <c r="AE13">
        <f t="shared" si="5"/>
        <v>-5.0574051781820442E-10</v>
      </c>
      <c r="AF13">
        <f t="shared" si="6"/>
        <v>-6.1619210161666928E-12</v>
      </c>
      <c r="AI13" s="11" t="s">
        <v>32</v>
      </c>
      <c r="AJ13" s="11"/>
      <c r="AK13" s="11"/>
    </row>
    <row r="14" spans="1:37" x14ac:dyDescent="0.2">
      <c r="B14" s="11"/>
      <c r="C14">
        <v>6</v>
      </c>
      <c r="D14">
        <v>-1486431481.58987</v>
      </c>
      <c r="E14">
        <v>1495.3795213828</v>
      </c>
      <c r="F14">
        <f t="shared" si="7"/>
        <v>-355265.65047559037</v>
      </c>
      <c r="G14">
        <f t="shared" si="8"/>
        <v>0.35740428331328872</v>
      </c>
      <c r="H14">
        <f>$F$14-$D$57+D57</f>
        <v>-355265.65047559037</v>
      </c>
      <c r="I14">
        <f t="shared" ref="I14:J14" si="29">$F$14-$D$57+E57</f>
        <v>-2887412.1046950179</v>
      </c>
      <c r="J14">
        <f t="shared" si="29"/>
        <v>-2887407.6251300178</v>
      </c>
      <c r="K14" s="6">
        <f>H14-$B$1*$G$14</f>
        <v>-355372.87176058436</v>
      </c>
      <c r="L14">
        <f>I14-$B$1*$G$14</f>
        <v>-2887519.3259800118</v>
      </c>
      <c r="M14" s="7">
        <f>J14-$B$1*$G$14</f>
        <v>-2887514.8464150117</v>
      </c>
      <c r="N14">
        <f>-0.106367843398916*627.50947428</f>
        <v>-66.746829491551139</v>
      </c>
      <c r="O14">
        <f>K14+$N$14</f>
        <v>-355439.61859007593</v>
      </c>
      <c r="P14">
        <f>L14+$N$14</f>
        <v>-2887586.0728095034</v>
      </c>
      <c r="Q14">
        <f>M14+$N$14</f>
        <v>-2887581.5932445033</v>
      </c>
      <c r="R14">
        <f t="shared" si="15"/>
        <v>4.850378806469962</v>
      </c>
      <c r="S14">
        <f t="shared" si="16"/>
        <v>3.872768341563642</v>
      </c>
      <c r="T14">
        <f t="shared" si="17"/>
        <v>4.5605367622338235</v>
      </c>
      <c r="U14" s="6">
        <f t="shared" si="23"/>
        <v>2.9281156221443053E-4</v>
      </c>
      <c r="V14">
        <f t="shared" si="23"/>
        <v>1.5092440430194904E-3</v>
      </c>
      <c r="W14" s="7">
        <f t="shared" si="23"/>
        <v>4.761379761936459E-4</v>
      </c>
      <c r="X14" s="6">
        <f t="shared" si="18"/>
        <v>2.5985290195131705E-4</v>
      </c>
      <c r="Y14">
        <f t="shared" si="19"/>
        <v>6.7468096380564986E-4</v>
      </c>
      <c r="Z14" s="7">
        <f t="shared" si="20"/>
        <v>2.245442935250391E-4</v>
      </c>
      <c r="AA14">
        <f t="shared" si="1"/>
        <v>2.145188308208919E-3</v>
      </c>
      <c r="AB14">
        <f t="shared" si="2"/>
        <v>4.9260283023065355E-3</v>
      </c>
      <c r="AC14">
        <f t="shared" si="3"/>
        <v>1.8864948641299077E-3</v>
      </c>
      <c r="AD14">
        <f t="shared" si="4"/>
        <v>-92.362016359100537</v>
      </c>
      <c r="AE14">
        <f t="shared" si="5"/>
        <v>-1948.1993546748872</v>
      </c>
      <c r="AF14">
        <f t="shared" si="6"/>
        <v>-648.3899688509938</v>
      </c>
      <c r="AI14" s="11" t="s">
        <v>23</v>
      </c>
      <c r="AJ14" t="s">
        <v>8</v>
      </c>
      <c r="AK14" t="s">
        <v>9</v>
      </c>
    </row>
    <row r="15" spans="1:37" x14ac:dyDescent="0.2">
      <c r="B15" s="11"/>
      <c r="C15" t="s">
        <v>3</v>
      </c>
      <c r="D15">
        <v>-1486390938.6314199</v>
      </c>
      <c r="E15">
        <v>1508.566565673</v>
      </c>
      <c r="F15">
        <f t="shared" si="7"/>
        <v>-355255.9604759608</v>
      </c>
      <c r="G15">
        <f t="shared" si="8"/>
        <v>0.36055606254134798</v>
      </c>
      <c r="H15">
        <f>$F$15-$D$58+D58</f>
        <v>-355255.9604759608</v>
      </c>
      <c r="I15">
        <f t="shared" ref="I15:J15" si="30">$F$15-$D$58+E58</f>
        <v>-2887404.0096456702</v>
      </c>
      <c r="J15">
        <f t="shared" si="30"/>
        <v>-2887401.46717567</v>
      </c>
      <c r="K15" s="6">
        <f>H15-$B$1*$G$15</f>
        <v>-355364.12729472324</v>
      </c>
      <c r="L15">
        <f>I15-$B$1*$G$15</f>
        <v>-2887512.1764644324</v>
      </c>
      <c r="M15" s="7">
        <f>J15-$B$1*$G$15</f>
        <v>-2887509.6339944322</v>
      </c>
      <c r="N15">
        <f>-0.116512036523505*627.50947428</f>
        <v>-73.112406786156782</v>
      </c>
      <c r="O15">
        <f>K15+$N$15</f>
        <v>-355437.23970150942</v>
      </c>
      <c r="P15">
        <f>L15+$N$15</f>
        <v>-2887585.2888712185</v>
      </c>
      <c r="Q15">
        <f>M15+$N$15</f>
        <v>-2887582.7464012182</v>
      </c>
      <c r="R15">
        <f t="shared" si="15"/>
        <v>7.2292673729825765</v>
      </c>
      <c r="S15">
        <f t="shared" si="16"/>
        <v>4.6567066265270114</v>
      </c>
      <c r="T15">
        <f t="shared" si="17"/>
        <v>3.4073800472542644</v>
      </c>
      <c r="U15" s="6">
        <f t="shared" si="23"/>
        <v>5.4151643343246777E-6</v>
      </c>
      <c r="V15">
        <f t="shared" si="23"/>
        <v>4.0520504487525266E-4</v>
      </c>
      <c r="W15" s="7">
        <f t="shared" si="23"/>
        <v>3.2944755278104831E-3</v>
      </c>
      <c r="X15" s="6">
        <f t="shared" si="18"/>
        <v>4.8056373053570349E-6</v>
      </c>
      <c r="Y15">
        <f t="shared" si="19"/>
        <v>1.8113977754611324E-4</v>
      </c>
      <c r="Z15" s="7">
        <f t="shared" si="20"/>
        <v>1.5536582186565092E-3</v>
      </c>
      <c r="AA15">
        <f t="shared" si="1"/>
        <v>5.8848493142607041E-5</v>
      </c>
      <c r="AB15">
        <f t="shared" si="2"/>
        <v>1.560744081834061E-3</v>
      </c>
      <c r="AC15">
        <f t="shared" si="3"/>
        <v>1.0047729854130208E-2</v>
      </c>
      <c r="AD15">
        <f t="shared" si="4"/>
        <v>-1.7081024588227043</v>
      </c>
      <c r="AE15">
        <f t="shared" si="5"/>
        <v>-523.05655687156161</v>
      </c>
      <c r="AF15">
        <f t="shared" si="6"/>
        <v>-4486.3166659969875</v>
      </c>
      <c r="AI15" s="11"/>
      <c r="AJ15" t="s">
        <v>7</v>
      </c>
      <c r="AK15" t="s">
        <v>7</v>
      </c>
    </row>
    <row r="16" spans="1:37" x14ac:dyDescent="0.2">
      <c r="B16" s="11"/>
      <c r="C16" t="s">
        <v>4</v>
      </c>
      <c r="D16">
        <v>-1486375543.2897799</v>
      </c>
      <c r="E16">
        <v>1491.8011385474999</v>
      </c>
      <c r="F16">
        <f t="shared" si="7"/>
        <v>-355252.28090099903</v>
      </c>
      <c r="G16">
        <f t="shared" si="8"/>
        <v>0.3565490292895554</v>
      </c>
      <c r="H16">
        <f>$F$16-$D$59+D59</f>
        <v>-355252.28090099903</v>
      </c>
      <c r="I16">
        <f t="shared" ref="I16:J16" si="31">$F$16-$D$59+E59</f>
        <v>-2887396.0976638719</v>
      </c>
      <c r="J16">
        <f t="shared" si="31"/>
        <v>-2887390.6603978719</v>
      </c>
      <c r="K16" s="6">
        <f>H16-$B$1*$G$16</f>
        <v>-355359.2456097859</v>
      </c>
      <c r="L16">
        <f>I16-$B$1*$G$16</f>
        <v>-2887503.0623726589</v>
      </c>
      <c r="M16" s="7">
        <f>J16-$B$1*$G$16</f>
        <v>-2887497.6251066588</v>
      </c>
      <c r="N16">
        <f>-0.104211491303531*627.50947428</f>
        <v>-65.393698121813514</v>
      </c>
      <c r="O16">
        <f>K16+$N$16</f>
        <v>-355424.63930790772</v>
      </c>
      <c r="P16">
        <f>L16+$N$16</f>
        <v>-2887568.4560707808</v>
      </c>
      <c r="Q16">
        <f>M16+$N$16</f>
        <v>-2887563.0188047807</v>
      </c>
      <c r="R16">
        <f t="shared" si="15"/>
        <v>19.829660974675789</v>
      </c>
      <c r="S16">
        <f t="shared" si="16"/>
        <v>21.489507064223289</v>
      </c>
      <c r="T16">
        <f t="shared" si="17"/>
        <v>23.134976484812796</v>
      </c>
      <c r="U16" s="6">
        <f t="shared" si="23"/>
        <v>3.5847310763055411E-15</v>
      </c>
      <c r="V16">
        <f t="shared" si="23"/>
        <v>2.2145690371118476E-16</v>
      </c>
      <c r="W16" s="7">
        <f t="shared" si="23"/>
        <v>1.4015061418232257E-17</v>
      </c>
      <c r="X16" s="6">
        <f t="shared" si="18"/>
        <v>3.181236307229251E-15</v>
      </c>
      <c r="Y16">
        <f t="shared" si="19"/>
        <v>9.8998407797821995E-17</v>
      </c>
      <c r="Z16" s="7">
        <f t="shared" si="20"/>
        <v>6.6094330261678294E-18</v>
      </c>
      <c r="AA16">
        <f t="shared" si="1"/>
        <v>1.0619446046085536E-13</v>
      </c>
      <c r="AB16">
        <f t="shared" si="2"/>
        <v>3.6482326878432709E-15</v>
      </c>
      <c r="AC16">
        <f t="shared" si="3"/>
        <v>2.6145617504052685E-16</v>
      </c>
      <c r="AD16">
        <f t="shared" si="4"/>
        <v>-1.1306897670501769E-9</v>
      </c>
      <c r="AE16">
        <f t="shared" si="5"/>
        <v>-2.8586467955822242E-10</v>
      </c>
      <c r="AF16">
        <f t="shared" si="6"/>
        <v>-1.9085154381629194E-11</v>
      </c>
      <c r="AH16" t="s">
        <v>38</v>
      </c>
      <c r="AI16">
        <f>AI6-AI12</f>
        <v>-5.4488332021349652</v>
      </c>
      <c r="AJ16">
        <f>AJ6-AJ12</f>
        <v>-2.9086784074995391</v>
      </c>
      <c r="AK16">
        <f>AK6-AK12</f>
        <v>0.23727992868008119</v>
      </c>
    </row>
    <row r="17" spans="2:38" x14ac:dyDescent="0.2">
      <c r="B17" s="11"/>
      <c r="C17" t="s">
        <v>5</v>
      </c>
      <c r="D17">
        <v>-1486390097.7420299</v>
      </c>
      <c r="E17">
        <v>1503.1073898346001</v>
      </c>
      <c r="F17">
        <f t="shared" si="7"/>
        <v>-355255.75949857314</v>
      </c>
      <c r="G17">
        <f t="shared" si="8"/>
        <v>0.35925128820138624</v>
      </c>
      <c r="H17">
        <f>$F$17-$D$60+D60</f>
        <v>-355255.75949857314</v>
      </c>
      <c r="I17">
        <f t="shared" ref="I17:J17" si="32">$F$17-$D$60+E60</f>
        <v>-2887396.8065806972</v>
      </c>
      <c r="J17">
        <f t="shared" si="32"/>
        <v>-2887394.2112366972</v>
      </c>
      <c r="K17" s="6">
        <f>H17-$B$1*$G$17</f>
        <v>-355363.53488503356</v>
      </c>
      <c r="L17">
        <f>I17-$B$1*$G$17</f>
        <v>-2887504.5819671578</v>
      </c>
      <c r="M17" s="7">
        <f>J17-$B$1*$G$17</f>
        <v>-2887501.9866231577</v>
      </c>
      <c r="N17">
        <f>-0.114845661735893*627.50947428</f>
        <v>-72.066740819228926</v>
      </c>
      <c r="O17">
        <f>K17+$N$17</f>
        <v>-355435.60162585281</v>
      </c>
      <c r="P17">
        <f>L17+$N$17</f>
        <v>-2887576.648707977</v>
      </c>
      <c r="Q17">
        <f>M17+$N$17</f>
        <v>-2887574.053363977</v>
      </c>
      <c r="R17">
        <f t="shared" si="15"/>
        <v>8.8673430295893922</v>
      </c>
      <c r="S17">
        <f t="shared" si="16"/>
        <v>13.296869867946953</v>
      </c>
      <c r="T17">
        <f t="shared" si="17"/>
        <v>12.100417288485914</v>
      </c>
      <c r="U17" s="6">
        <f>2*EXP(-R17/(8.3145*$B$1/4.184/1000))</f>
        <v>6.9395872312665866E-7</v>
      </c>
      <c r="V17">
        <f t="shared" ref="V17:W18" si="33">2*EXP(-S17/(8.3145*$B$1/4.184/1000))</f>
        <v>4.1162787934697862E-10</v>
      </c>
      <c r="W17" s="7">
        <f t="shared" si="33"/>
        <v>3.0626578884386682E-9</v>
      </c>
      <c r="X17" s="6">
        <f t="shared" si="18"/>
        <v>6.1584722500416962E-7</v>
      </c>
      <c r="Y17">
        <f t="shared" si="19"/>
        <v>1.8401099255722476E-10</v>
      </c>
      <c r="Z17" s="7">
        <f t="shared" si="20"/>
        <v>1.4443341767569058E-9</v>
      </c>
      <c r="AA17">
        <f t="shared" si="1"/>
        <v>8.8067796967478786E-6</v>
      </c>
      <c r="AB17">
        <f t="shared" si="2"/>
        <v>4.1247951231462785E-9</v>
      </c>
      <c r="AC17">
        <f t="shared" si="3"/>
        <v>2.9400313898223651E-8</v>
      </c>
      <c r="AD17">
        <f t="shared" si="4"/>
        <v>-0.21889402892896898</v>
      </c>
      <c r="AE17">
        <f t="shared" si="5"/>
        <v>-5.3134584521381963E-4</v>
      </c>
      <c r="AF17">
        <f t="shared" si="6"/>
        <v>-4.1706218931900612E-3</v>
      </c>
    </row>
    <row r="18" spans="2:38" x14ac:dyDescent="0.2">
      <c r="B18" s="11"/>
      <c r="C18" t="s">
        <v>6</v>
      </c>
      <c r="D18">
        <v>-1486390401.74512</v>
      </c>
      <c r="E18">
        <v>1489.4792413994001</v>
      </c>
      <c r="F18">
        <f t="shared" si="7"/>
        <v>-355255.83215705544</v>
      </c>
      <c r="G18">
        <f t="shared" si="8"/>
        <v>0.35599408255243786</v>
      </c>
      <c r="H18">
        <f>$F$18-$D$61+D61</f>
        <v>-355255.83215705544</v>
      </c>
      <c r="I18">
        <f t="shared" ref="I18:J18" si="34">$F$18-$D$61+E61</f>
        <v>-2887399.9068019856</v>
      </c>
      <c r="J18">
        <f t="shared" si="34"/>
        <v>-2887393.4250389854</v>
      </c>
      <c r="K18" s="6">
        <f>H18-$B$1*$G$18</f>
        <v>-355362.63038182119</v>
      </c>
      <c r="L18">
        <f>I18-$B$1*$G$18</f>
        <v>-2887506.7050267514</v>
      </c>
      <c r="M18" s="7">
        <f>J18-$B$1*$G$18</f>
        <v>-2887500.2232637512</v>
      </c>
      <c r="N18">
        <f>-0.101383033092424*627.50947428</f>
        <v>-63.61881379673882</v>
      </c>
      <c r="O18">
        <f>K18+$N$18</f>
        <v>-355426.24919561791</v>
      </c>
      <c r="P18">
        <f>L18+$N$18</f>
        <v>-2887570.3238405483</v>
      </c>
      <c r="Q18">
        <f>M18+$N$18</f>
        <v>-2887563.8420775481</v>
      </c>
      <c r="R18">
        <f t="shared" si="15"/>
        <v>18.219773264485411</v>
      </c>
      <c r="S18">
        <f t="shared" si="16"/>
        <v>19.621737296693027</v>
      </c>
      <c r="T18">
        <f t="shared" si="17"/>
        <v>22.311703717336059</v>
      </c>
      <c r="U18" s="6">
        <f>2*EXP(-R18/(8.3145*$B$1/4.184/1000))</f>
        <v>1.0672352786760223E-13</v>
      </c>
      <c r="V18">
        <f t="shared" si="33"/>
        <v>1.0161437560063316E-14</v>
      </c>
      <c r="W18" s="7">
        <f t="shared" si="33"/>
        <v>1.1152290532264113E-16</v>
      </c>
      <c r="X18" s="6">
        <f t="shared" si="18"/>
        <v>9.4710803812350174E-14</v>
      </c>
      <c r="Y18">
        <f t="shared" si="19"/>
        <v>4.542491665535044E-15</v>
      </c>
      <c r="Z18" s="7">
        <f t="shared" si="20"/>
        <v>5.2593645622897622E-17</v>
      </c>
      <c r="AA18">
        <f t="shared" si="1"/>
        <v>2.8401826897501131E-12</v>
      </c>
      <c r="AB18">
        <f t="shared" si="2"/>
        <v>1.5001715321969138E-13</v>
      </c>
      <c r="AC18">
        <f t="shared" si="3"/>
        <v>1.9714168658422433E-15</v>
      </c>
      <c r="AD18">
        <f t="shared" si="4"/>
        <v>-3.366270575732565E-8</v>
      </c>
      <c r="AE18">
        <f t="shared" si="5"/>
        <v>-1.3116764129692019E-8</v>
      </c>
      <c r="AF18">
        <f t="shared" si="6"/>
        <v>-1.5186750942371928E-10</v>
      </c>
      <c r="AJ18" t="s">
        <v>40</v>
      </c>
      <c r="AK18" t="s">
        <v>41</v>
      </c>
      <c r="AL18" t="s">
        <v>42</v>
      </c>
    </row>
    <row r="19" spans="2:38" x14ac:dyDescent="0.2">
      <c r="B19" s="11"/>
      <c r="C19">
        <v>9</v>
      </c>
      <c r="D19">
        <v>-1486333490.4345</v>
      </c>
      <c r="E19">
        <v>1511.0056501607</v>
      </c>
      <c r="F19">
        <f t="shared" si="7"/>
        <v>-355242.23002736614</v>
      </c>
      <c r="G19">
        <f t="shared" si="8"/>
        <v>0.3611390177248327</v>
      </c>
      <c r="H19">
        <f>$F$19-$D$62+D62</f>
        <v>-355242.23002736614</v>
      </c>
      <c r="I19">
        <f t="shared" ref="I19:J19" si="35">$F$19-$D$62+E62</f>
        <v>-2887392.4048084258</v>
      </c>
      <c r="J19">
        <f t="shared" si="35"/>
        <v>-2887390.984400426</v>
      </c>
      <c r="K19" s="6">
        <f>H19-$B$1*$G$19</f>
        <v>-355350.57173268357</v>
      </c>
      <c r="L19">
        <f>I19-$B$1*$G$19</f>
        <v>-2887500.7465137434</v>
      </c>
      <c r="M19" s="7">
        <f>J19-$B$1*$G$19</f>
        <v>-2887499.3261057436</v>
      </c>
      <c r="N19">
        <f>-0.121706107149571*627.50947428</f>
        <v>-76.371735314092646</v>
      </c>
      <c r="O19">
        <f>K19+$N$19</f>
        <v>-355426.94346799765</v>
      </c>
      <c r="P19">
        <f>L19+$N$19</f>
        <v>-2887577.1182490573</v>
      </c>
      <c r="Q19">
        <f>M19+$N$19</f>
        <v>-2887575.6978410576</v>
      </c>
      <c r="R19">
        <f t="shared" si="15"/>
        <v>17.52550088474527</v>
      </c>
      <c r="S19">
        <f t="shared" si="16"/>
        <v>12.827328787650913</v>
      </c>
      <c r="T19">
        <f t="shared" si="17"/>
        <v>10.455940207932144</v>
      </c>
      <c r="U19" s="6">
        <f t="shared" ref="U19:W26" si="36">EXP(-R19/(8.3145*$B$1/4.184/1000))</f>
        <v>1.7099950000963722E-13</v>
      </c>
      <c r="V19">
        <f t="shared" si="36"/>
        <v>4.5240440993711138E-10</v>
      </c>
      <c r="W19" s="7">
        <f t="shared" si="36"/>
        <v>2.4156822496434637E-8</v>
      </c>
      <c r="X19" s="6">
        <f t="shared" si="18"/>
        <v>1.5175191844777038E-13</v>
      </c>
      <c r="Y19">
        <f t="shared" si="19"/>
        <v>2.0223942227105737E-10</v>
      </c>
      <c r="Z19" s="7">
        <f t="shared" si="20"/>
        <v>1.1392236940717426E-8</v>
      </c>
      <c r="AA19">
        <f t="shared" si="1"/>
        <v>4.4791899506685861E-12</v>
      </c>
      <c r="AB19">
        <f t="shared" si="2"/>
        <v>4.5143011907585355E-9</v>
      </c>
      <c r="AC19">
        <f t="shared" si="3"/>
        <v>2.0836781504862874E-7</v>
      </c>
      <c r="AD19">
        <f t="shared" si="4"/>
        <v>-5.3936720539295871E-8</v>
      </c>
      <c r="AE19">
        <f t="shared" si="5"/>
        <v>-5.8398192815781408E-4</v>
      </c>
      <c r="AF19">
        <f t="shared" si="6"/>
        <v>-3.2895946534062796E-2</v>
      </c>
      <c r="AH19" s="11" t="s">
        <v>23</v>
      </c>
      <c r="AI19" s="11"/>
      <c r="AJ19" s="1">
        <f>AI6</f>
        <v>-6.0619240052183159</v>
      </c>
      <c r="AK19" s="1">
        <f>AI12</f>
        <v>-0.61309080308335107</v>
      </c>
      <c r="AL19" s="1">
        <f>AI16</f>
        <v>-5.4488332021349652</v>
      </c>
    </row>
    <row r="20" spans="2:38" x14ac:dyDescent="0.2">
      <c r="B20" s="11"/>
      <c r="C20">
        <v>10</v>
      </c>
      <c r="D20">
        <v>-1486452817.29704</v>
      </c>
      <c r="E20">
        <v>1495.8428460417999</v>
      </c>
      <c r="F20">
        <f t="shared" si="7"/>
        <v>-355270.74983198853</v>
      </c>
      <c r="G20">
        <f t="shared" si="8"/>
        <v>0.35751502056448375</v>
      </c>
      <c r="H20">
        <f>$F$20-$D$63+D63</f>
        <v>-355270.74983198853</v>
      </c>
      <c r="I20">
        <f t="shared" ref="I20:J20" si="37">$F$20-$D$63+E63</f>
        <v>-2887416.6652962458</v>
      </c>
      <c r="J20">
        <f t="shared" si="37"/>
        <v>-2887411.2547522457</v>
      </c>
      <c r="K20" s="6">
        <f>H20-$B$1*$G$20</f>
        <v>-355378.00433815789</v>
      </c>
      <c r="L20">
        <f>I20-$B$1*$G$20</f>
        <v>-2887523.9198024152</v>
      </c>
      <c r="M20" s="7">
        <f>J20-$B$1*$G$20</f>
        <v>-2887518.5092584151</v>
      </c>
      <c r="N20">
        <f>-0.10254440464037*627.50947428</f>
        <v>-64.347585446234163</v>
      </c>
      <c r="O20">
        <f>K20+$N$20</f>
        <v>-355442.35192360415</v>
      </c>
      <c r="P20">
        <f>L20+$N$20</f>
        <v>-2887588.2673878614</v>
      </c>
      <c r="Q20">
        <f>M20+$N$20</f>
        <v>-2887582.8568438613</v>
      </c>
      <c r="R20">
        <f t="shared" si="15"/>
        <v>2.1170452782534994</v>
      </c>
      <c r="S20">
        <f t="shared" si="16"/>
        <v>1.6781899835914373</v>
      </c>
      <c r="T20">
        <f t="shared" si="17"/>
        <v>3.2969374042004347</v>
      </c>
      <c r="U20" s="6">
        <f t="shared" si="36"/>
        <v>2.8692701493578218E-2</v>
      </c>
      <c r="V20">
        <f t="shared" si="36"/>
        <v>5.9905880140723164E-2</v>
      </c>
      <c r="W20" s="7">
        <f t="shared" si="36"/>
        <v>3.9649865700624749E-3</v>
      </c>
      <c r="X20" s="6">
        <f t="shared" si="18"/>
        <v>2.5463071511053002E-2</v>
      </c>
      <c r="Y20">
        <f t="shared" si="19"/>
        <v>2.6779868463225661E-2</v>
      </c>
      <c r="Z20" s="7">
        <f t="shared" si="20"/>
        <v>1.8698678801643289E-3</v>
      </c>
      <c r="AA20">
        <f t="shared" si="1"/>
        <v>9.3462867357361396E-2</v>
      </c>
      <c r="AB20">
        <f t="shared" si="2"/>
        <v>9.694593171908035E-2</v>
      </c>
      <c r="AC20">
        <f t="shared" si="3"/>
        <v>1.1746299668534835E-2</v>
      </c>
      <c r="AD20">
        <f t="shared" si="4"/>
        <v>-9050.6540250876005</v>
      </c>
      <c r="AE20">
        <f t="shared" si="5"/>
        <v>-77329.233976600619</v>
      </c>
      <c r="AF20">
        <f t="shared" si="6"/>
        <v>-5399.3984353254873</v>
      </c>
      <c r="AH20" t="s">
        <v>8</v>
      </c>
      <c r="AI20" t="s">
        <v>7</v>
      </c>
      <c r="AJ20" s="1">
        <f>AJ6</f>
        <v>-3.1774177863262594</v>
      </c>
      <c r="AK20" s="1">
        <f>AJ12</f>
        <v>-0.26873937882672017</v>
      </c>
      <c r="AL20" s="1">
        <f>AJ16</f>
        <v>-2.9086784074995391</v>
      </c>
    </row>
    <row r="21" spans="2:38" x14ac:dyDescent="0.2">
      <c r="B21" s="11"/>
      <c r="C21">
        <v>11</v>
      </c>
      <c r="D21">
        <v>-1486457404.4025099</v>
      </c>
      <c r="E21">
        <v>1483.5178860907999</v>
      </c>
      <c r="F21">
        <f t="shared" si="7"/>
        <v>-355271.84617650806</v>
      </c>
      <c r="G21">
        <f t="shared" si="8"/>
        <v>0.3545692844385277</v>
      </c>
      <c r="H21">
        <f>$F$21-$D$64+D64</f>
        <v>-355271.84617650806</v>
      </c>
      <c r="I21">
        <f t="shared" ref="I21:J21" si="38">$F$21-$D$64+E64</f>
        <v>-2887416.9031287497</v>
      </c>
      <c r="J21">
        <f t="shared" si="38"/>
        <v>-2887410.95175175</v>
      </c>
      <c r="K21" s="6">
        <f>H21-$B$1*$G$21</f>
        <v>-355378.21696183964</v>
      </c>
      <c r="L21">
        <f>I21-$B$1*$G$21</f>
        <v>-2887523.273914081</v>
      </c>
      <c r="M21" s="7">
        <f>J21-$B$1*$G$21</f>
        <v>-2887517.3225370813</v>
      </c>
      <c r="N21">
        <f>-0.0999395960018011*627.50947428</f>
        <v>-62.713043346845794</v>
      </c>
      <c r="O21">
        <f>K21+$N$21</f>
        <v>-355440.93000518647</v>
      </c>
      <c r="P21">
        <f>L21+$N$21</f>
        <v>-2887585.986957428</v>
      </c>
      <c r="Q21">
        <f>M21+$N$21</f>
        <v>-2887580.0355804283</v>
      </c>
      <c r="R21">
        <f t="shared" si="15"/>
        <v>3.5389636959298514</v>
      </c>
      <c r="S21">
        <f t="shared" si="16"/>
        <v>3.958620416931808</v>
      </c>
      <c r="T21">
        <f t="shared" si="17"/>
        <v>6.1182008371688426</v>
      </c>
      <c r="U21" s="6">
        <f t="shared" si="36"/>
        <v>2.6419829901152352E-3</v>
      </c>
      <c r="V21">
        <f t="shared" si="36"/>
        <v>1.3068261371722784E-3</v>
      </c>
      <c r="W21" s="7">
        <f t="shared" si="36"/>
        <v>3.491428746088198E-5</v>
      </c>
      <c r="X21" s="6">
        <f t="shared" si="18"/>
        <v>2.3446032721368671E-3</v>
      </c>
      <c r="Y21">
        <f t="shared" si="19"/>
        <v>5.8419360462728096E-4</v>
      </c>
      <c r="Z21" s="7">
        <f t="shared" si="20"/>
        <v>1.6465403735503379E-5</v>
      </c>
      <c r="AA21">
        <f t="shared" si="1"/>
        <v>1.4198071182439098E-2</v>
      </c>
      <c r="AB21">
        <f t="shared" si="2"/>
        <v>4.3494838596309935E-3</v>
      </c>
      <c r="AC21">
        <f t="shared" si="3"/>
        <v>1.8135405863062832E-4</v>
      </c>
      <c r="AD21">
        <f t="shared" si="4"/>
        <v>-833.36796754153136</v>
      </c>
      <c r="AE21">
        <f t="shared" si="5"/>
        <v>-1686.9092663918846</v>
      </c>
      <c r="AF21">
        <f t="shared" si="6"/>
        <v>-47.545171104410962</v>
      </c>
      <c r="AH21" t="s">
        <v>9</v>
      </c>
      <c r="AI21" t="s">
        <v>7</v>
      </c>
      <c r="AJ21" s="1">
        <f>AK6</f>
        <v>-0.40661766100674868</v>
      </c>
      <c r="AK21" s="1">
        <f>AK12</f>
        <v>-0.64389758968682986</v>
      </c>
      <c r="AL21" s="1">
        <f>AK16</f>
        <v>0.23727992868008119</v>
      </c>
    </row>
    <row r="22" spans="2:38" x14ac:dyDescent="0.2">
      <c r="B22" s="11"/>
      <c r="C22">
        <v>12</v>
      </c>
      <c r="D22">
        <v>-1486418410.94713</v>
      </c>
      <c r="E22">
        <v>1503.1938810086001</v>
      </c>
      <c r="F22">
        <f t="shared" si="7"/>
        <v>-355262.52651700046</v>
      </c>
      <c r="G22">
        <f t="shared" si="8"/>
        <v>0.35927196008809748</v>
      </c>
      <c r="H22">
        <f>$F$22-$D$65+D65</f>
        <v>-355262.52651700046</v>
      </c>
      <c r="I22">
        <f t="shared" ref="I22" si="39">$F$22-$D$65+E65</f>
        <v>-2887409.5898931869</v>
      </c>
      <c r="J22">
        <f>$F$22-$D$65+F65</f>
        <v>-2887405.5254931869</v>
      </c>
      <c r="K22" s="6">
        <f>H22-$B$1*$G$22</f>
        <v>-355370.3081050269</v>
      </c>
      <c r="L22">
        <f>I22-$B$1*$G$22</f>
        <v>-2887517.3714812133</v>
      </c>
      <c r="M22" s="7">
        <f>J22-$B$1*$G$22</f>
        <v>-2887513.3070812132</v>
      </c>
      <c r="N22">
        <f>-0.107227532913067*627.50947428</f>
        <v>-67.286292806620068</v>
      </c>
      <c r="O22">
        <f>K22+$N$22</f>
        <v>-355437.59439783351</v>
      </c>
      <c r="P22">
        <f>L22+$N$22</f>
        <v>-2887584.65777402</v>
      </c>
      <c r="Q22">
        <f>M22+$N$22</f>
        <v>-2887580.59337402</v>
      </c>
      <c r="R22">
        <f t="shared" si="15"/>
        <v>6.8745710488874465</v>
      </c>
      <c r="S22">
        <f t="shared" si="16"/>
        <v>5.2878038249909878</v>
      </c>
      <c r="T22">
        <f t="shared" si="17"/>
        <v>5.5604072455316782</v>
      </c>
      <c r="U22" s="6">
        <f t="shared" si="36"/>
        <v>9.8175108780536395E-6</v>
      </c>
      <c r="V22">
        <f t="shared" si="36"/>
        <v>1.4058278365101378E-4</v>
      </c>
      <c r="W22" s="7">
        <f t="shared" si="36"/>
        <v>8.8990891774051414E-5</v>
      </c>
      <c r="X22" s="6">
        <f t="shared" si="18"/>
        <v>8.7124588670875095E-6</v>
      </c>
      <c r="Y22">
        <f t="shared" si="19"/>
        <v>6.2845057038215689E-5</v>
      </c>
      <c r="Z22" s="7">
        <f t="shared" si="20"/>
        <v>4.1967660473779814E-5</v>
      </c>
      <c r="AA22">
        <f t="shared" si="1"/>
        <v>1.0150673680307077E-4</v>
      </c>
      <c r="AB22">
        <f t="shared" si="2"/>
        <v>6.0801576310134204E-4</v>
      </c>
      <c r="AC22">
        <f t="shared" si="3"/>
        <v>4.2297573393777456E-4</v>
      </c>
      <c r="AD22">
        <f t="shared" si="4"/>
        <v>-3.0967354210076583</v>
      </c>
      <c r="AE22">
        <f t="shared" si="5"/>
        <v>-181.47042252048482</v>
      </c>
      <c r="AF22">
        <f t="shared" si="6"/>
        <v>-121.18500193339652</v>
      </c>
    </row>
    <row r="23" spans="2:38" x14ac:dyDescent="0.2">
      <c r="B23" s="11"/>
      <c r="C23">
        <v>13</v>
      </c>
      <c r="D23">
        <v>-1486403667.18309</v>
      </c>
      <c r="E23">
        <v>1510.7911419781999</v>
      </c>
      <c r="F23">
        <f t="shared" si="7"/>
        <v>-355259.00267282268</v>
      </c>
      <c r="G23">
        <f t="shared" si="8"/>
        <v>0.36108774903876667</v>
      </c>
      <c r="H23">
        <f>$F$23-$D$66+D66</f>
        <v>-355259.00267282268</v>
      </c>
      <c r="I23">
        <f t="shared" ref="I23:J23" si="40">$F$23-$D$66+E66</f>
        <v>-2887406.3414653544</v>
      </c>
      <c r="J23">
        <f t="shared" si="40"/>
        <v>-2887403.1315623545</v>
      </c>
      <c r="K23" s="6">
        <f>H23-$B$1*$G$23</f>
        <v>-355367.32899753429</v>
      </c>
      <c r="L23">
        <f>I23-$B$1*$G$23</f>
        <v>-2887514.667790066</v>
      </c>
      <c r="M23" s="7">
        <f>J23-$B$1*$G$23</f>
        <v>-2887511.4578870661</v>
      </c>
      <c r="N23">
        <f>-0.112615302892267*627.50947428</f>
        <v>-70.667169513809426</v>
      </c>
      <c r="O23">
        <f>K23+$N$23</f>
        <v>-355437.99616704811</v>
      </c>
      <c r="P23">
        <f>L23+$N$23</f>
        <v>-2887585.3349595796</v>
      </c>
      <c r="Q23">
        <f>M23+$N$23</f>
        <v>-2887582.1250565797</v>
      </c>
      <c r="R23">
        <f t="shared" si="15"/>
        <v>6.4728018342866562</v>
      </c>
      <c r="S23">
        <f t="shared" si="16"/>
        <v>4.6106182653456926</v>
      </c>
      <c r="T23">
        <f t="shared" si="17"/>
        <v>4.0287246857769787</v>
      </c>
      <c r="U23" s="6">
        <f t="shared" si="36"/>
        <v>1.9261179421836964E-5</v>
      </c>
      <c r="V23">
        <f t="shared" si="36"/>
        <v>4.3777339804102508E-4</v>
      </c>
      <c r="W23" s="7">
        <f t="shared" si="36"/>
        <v>1.1618448603018441E-3</v>
      </c>
      <c r="X23" s="6">
        <f t="shared" si="18"/>
        <v>1.7093154825983381E-5</v>
      </c>
      <c r="Y23">
        <f t="shared" si="19"/>
        <v>1.9569888613102111E-4</v>
      </c>
      <c r="Z23" s="7">
        <f t="shared" si="20"/>
        <v>5.4792023822118488E-4</v>
      </c>
      <c r="AA23">
        <f t="shared" si="1"/>
        <v>1.8762869703118701E-4</v>
      </c>
      <c r="AB23">
        <f t="shared" si="2"/>
        <v>1.6710597502922803E-3</v>
      </c>
      <c r="AC23">
        <f t="shared" si="3"/>
        <v>4.1145417345279942E-3</v>
      </c>
      <c r="AD23">
        <f t="shared" si="4"/>
        <v>-6.0755566995206411</v>
      </c>
      <c r="AE23">
        <f t="shared" si="5"/>
        <v>-565.09723365986122</v>
      </c>
      <c r="AF23">
        <f t="shared" si="6"/>
        <v>-1582.1646858442364</v>
      </c>
    </row>
    <row r="24" spans="2:38" x14ac:dyDescent="0.2">
      <c r="B24" s="11"/>
      <c r="C24">
        <v>14</v>
      </c>
      <c r="D24">
        <v>-1486425809.5264699</v>
      </c>
      <c r="E24">
        <v>1497.8170535495999</v>
      </c>
      <c r="F24">
        <f t="shared" si="7"/>
        <v>-355264.29481990199</v>
      </c>
      <c r="G24">
        <f t="shared" si="8"/>
        <v>0.35798686748317399</v>
      </c>
      <c r="H24">
        <f>$F$24-$D$67+D67</f>
        <v>-355264.29481990199</v>
      </c>
      <c r="I24">
        <f t="shared" ref="I24:J24" si="41">$F$24-$D$67+E67</f>
        <v>-2887411.6084171575</v>
      </c>
      <c r="J24">
        <f t="shared" si="41"/>
        <v>-2887407.6380991577</v>
      </c>
      <c r="K24" s="6">
        <f>H24-$B$1*$G$24</f>
        <v>-355371.69088014693</v>
      </c>
      <c r="L24">
        <f>I24-$B$1*$G$24</f>
        <v>-2887519.0044774027</v>
      </c>
      <c r="M24" s="7">
        <f>J24-$B$1*$G$24</f>
        <v>-2887515.0341594028</v>
      </c>
      <c r="N24">
        <f>-0.110796959868331*627.50947428</f>
        <v>-69.526142038798639</v>
      </c>
      <c r="O24">
        <f>K24+$N$24</f>
        <v>-355441.21702218574</v>
      </c>
      <c r="P24">
        <f>L24+$N$24</f>
        <v>-2887588.5306194415</v>
      </c>
      <c r="Q24">
        <f>M24+$N$24</f>
        <v>-2887584.5603014417</v>
      </c>
      <c r="R24">
        <f t="shared" si="15"/>
        <v>3.251946696662344</v>
      </c>
      <c r="S24">
        <f t="shared" si="16"/>
        <v>1.4149584034457803</v>
      </c>
      <c r="T24">
        <f t="shared" si="17"/>
        <v>1.5934798237867653</v>
      </c>
      <c r="U24" s="6">
        <f t="shared" si="36"/>
        <v>4.2757925265025165E-3</v>
      </c>
      <c r="V24">
        <f t="shared" si="36"/>
        <v>9.3159858329603662E-2</v>
      </c>
      <c r="W24" s="7">
        <f t="shared" si="36"/>
        <v>6.9052474650571974E-2</v>
      </c>
      <c r="X24" s="6">
        <f t="shared" si="18"/>
        <v>3.7945123742749386E-3</v>
      </c>
      <c r="Y24">
        <f t="shared" si="19"/>
        <v>4.1645473637296385E-2</v>
      </c>
      <c r="Z24" s="7">
        <f t="shared" si="20"/>
        <v>3.2564802456047558E-2</v>
      </c>
      <c r="AA24">
        <f t="shared" si="1"/>
        <v>2.1151368478617785E-2</v>
      </c>
      <c r="AB24">
        <f t="shared" si="2"/>
        <v>0.1323727446483865</v>
      </c>
      <c r="AC24">
        <f t="shared" si="3"/>
        <v>0.1115189232448195</v>
      </c>
      <c r="AD24">
        <f t="shared" si="4"/>
        <v>-1348.7260963180277</v>
      </c>
      <c r="AE24">
        <f t="shared" si="5"/>
        <v>-120254.99202727135</v>
      </c>
      <c r="AF24">
        <f t="shared" si="6"/>
        <v>-94033.620781349397</v>
      </c>
    </row>
    <row r="25" spans="2:38" x14ac:dyDescent="0.2">
      <c r="B25" s="11"/>
      <c r="C25">
        <v>15</v>
      </c>
      <c r="D25">
        <v>-1486399353.3238499</v>
      </c>
      <c r="E25">
        <v>1511.5109941257999</v>
      </c>
      <c r="F25">
        <f t="shared" si="7"/>
        <v>-355257.97163571935</v>
      </c>
      <c r="G25">
        <f t="shared" si="8"/>
        <v>0.36125979783121415</v>
      </c>
      <c r="H25">
        <f>$F$25-$D$68+D68</f>
        <v>-355257.97163571935</v>
      </c>
      <c r="I25">
        <f t="shared" ref="I25:J25" si="42">$F$25-$D$68+E68</f>
        <v>-2887407.3022329165</v>
      </c>
      <c r="J25">
        <f t="shared" si="42"/>
        <v>-2887404.3939959165</v>
      </c>
      <c r="K25" s="6">
        <f>H25-$B$1*$G$25</f>
        <v>-355366.34957506874</v>
      </c>
      <c r="L25">
        <f>I25-$B$1*$G$25</f>
        <v>-2887515.680172266</v>
      </c>
      <c r="M25" s="7">
        <f>J25-$B$1*$G$25</f>
        <v>-2887512.771935266</v>
      </c>
      <c r="N25">
        <f>-0.112803496623966*627.50947428</f>
        <v>-70.785262863450654</v>
      </c>
      <c r="O25">
        <f>K25+$N$25</f>
        <v>-355437.13483793219</v>
      </c>
      <c r="P25">
        <f>L25+$N$25</f>
        <v>-2887586.4654351296</v>
      </c>
      <c r="Q25">
        <f>M25+$N$25</f>
        <v>-2887583.5571981296</v>
      </c>
      <c r="R25">
        <f t="shared" si="15"/>
        <v>7.3341309502138756</v>
      </c>
      <c r="S25">
        <f t="shared" si="16"/>
        <v>3.4801427153870463</v>
      </c>
      <c r="T25">
        <f t="shared" si="17"/>
        <v>2.5965831358917058</v>
      </c>
      <c r="U25" s="6">
        <f t="shared" si="36"/>
        <v>4.5417210105019304E-6</v>
      </c>
      <c r="V25">
        <f t="shared" si="36"/>
        <v>2.9159496450989848E-3</v>
      </c>
      <c r="W25" s="7">
        <f t="shared" si="36"/>
        <v>1.2836213381782716E-2</v>
      </c>
      <c r="X25" s="6">
        <f t="shared" si="18"/>
        <v>4.030508138090294E-6</v>
      </c>
      <c r="Y25">
        <f t="shared" si="19"/>
        <v>1.3035239238235771E-3</v>
      </c>
      <c r="Z25" s="7">
        <f t="shared" si="20"/>
        <v>6.0534941749255024E-3</v>
      </c>
      <c r="AA25">
        <f t="shared" si="1"/>
        <v>5.0065432844725444E-5</v>
      </c>
      <c r="AB25">
        <f t="shared" si="2"/>
        <v>8.6588974748993703E-3</v>
      </c>
      <c r="AC25">
        <f t="shared" si="3"/>
        <v>3.0915918895031078E-2</v>
      </c>
      <c r="AD25">
        <f t="shared" si="4"/>
        <v>-1.4325922645437827</v>
      </c>
      <c r="AE25">
        <f t="shared" si="5"/>
        <v>-3764.0380398038542</v>
      </c>
      <c r="AF25">
        <f t="shared" si="6"/>
        <v>-17479.970243109539</v>
      </c>
    </row>
    <row r="26" spans="2:38" x14ac:dyDescent="0.2">
      <c r="B26" s="11"/>
      <c r="C26">
        <v>16</v>
      </c>
      <c r="D26">
        <v>-1486394473.67659</v>
      </c>
      <c r="E26">
        <v>1509.4653425494</v>
      </c>
      <c r="F26">
        <f t="shared" si="7"/>
        <v>-355256.80537203391</v>
      </c>
      <c r="G26">
        <f t="shared" si="8"/>
        <v>0.36077087537031549</v>
      </c>
      <c r="H26">
        <f>$F$26-$D$69+D69</f>
        <v>-355256.80537203391</v>
      </c>
      <c r="I26">
        <f t="shared" ref="I26:J26" si="43">$F$26-$D$69+E69</f>
        <v>-2887404.7794895922</v>
      </c>
      <c r="J26">
        <f t="shared" si="43"/>
        <v>-2887401.9271945921</v>
      </c>
      <c r="K26" s="6">
        <f>H26-$B$1*$G$26</f>
        <v>-355365.03663464502</v>
      </c>
      <c r="L26">
        <f>I26-$B$1*$G$26</f>
        <v>-2887513.0107522034</v>
      </c>
      <c r="M26" s="7">
        <f>J26-$B$1*$G$26</f>
        <v>-2887510.1584572033</v>
      </c>
      <c r="N26">
        <f>-0.116460305479429*627.50947428</f>
        <v>-73.079945065884687</v>
      </c>
      <c r="O26">
        <f>K26+$N$26</f>
        <v>-355438.11657971091</v>
      </c>
      <c r="P26">
        <f>L26+$N$26</f>
        <v>-2887586.0906972694</v>
      </c>
      <c r="Q26">
        <f>M26+$N$26</f>
        <v>-2887583.2384022693</v>
      </c>
      <c r="R26">
        <f t="shared" si="15"/>
        <v>6.3523891714867204</v>
      </c>
      <c r="S26">
        <f t="shared" si="16"/>
        <v>3.854880575556308</v>
      </c>
      <c r="T26">
        <f t="shared" si="17"/>
        <v>2.9153789961710572</v>
      </c>
      <c r="U26" s="6">
        <f>EXP(-R26/(8.3145*$B$1/4.184/1000))</f>
        <v>2.3572263527351468E-5</v>
      </c>
      <c r="V26">
        <f>EXP(-S26/(8.3145*$B$1/4.184/1000))</f>
        <v>1.5552147946343814E-3</v>
      </c>
      <c r="W26" s="7">
        <f t="shared" si="36"/>
        <v>7.5196911806801403E-3</v>
      </c>
      <c r="X26" s="6">
        <f t="shared" si="18"/>
        <v>2.0918986384348439E-5</v>
      </c>
      <c r="Y26">
        <f t="shared" si="19"/>
        <v>6.9523137853139095E-4</v>
      </c>
      <c r="Z26" s="7">
        <f t="shared" si="20"/>
        <v>3.5462488356643343E-3</v>
      </c>
      <c r="AA26">
        <f>-X26*LN(X26)</f>
        <v>2.2539901098080433E-4</v>
      </c>
      <c r="AB26">
        <f t="shared" si="2"/>
        <v>5.0552121799063363E-3</v>
      </c>
      <c r="AC26">
        <f t="shared" si="3"/>
        <v>2.0007456833203232E-2</v>
      </c>
      <c r="AD26">
        <f>X26*O26</f>
        <v>-7.4354051212094259</v>
      </c>
      <c r="AE26">
        <f>Y26*P26</f>
        <v>-2007.5404584635328</v>
      </c>
      <c r="AF26">
        <f t="shared" si="6"/>
        <v>-10240.088697067895</v>
      </c>
    </row>
    <row r="27" spans="2:38" x14ac:dyDescent="0.2">
      <c r="B27" s="11"/>
      <c r="C27">
        <v>17</v>
      </c>
      <c r="D27">
        <v>-1486430396.49353</v>
      </c>
      <c r="E27">
        <v>1464.8335608885</v>
      </c>
      <c r="F27">
        <f t="shared" ref="F27:F43" si="44">D27/4.184/1000</f>
        <v>-355265.39113134082</v>
      </c>
      <c r="G27">
        <f t="shared" ref="G27:G43" si="45">E27/4.184/1000</f>
        <v>0.3501036235393164</v>
      </c>
      <c r="H27">
        <f>$F$27-$D$70+D70</f>
        <v>-355265.39113134082</v>
      </c>
      <c r="I27">
        <f t="shared" ref="I27:J27" si="46">$F$27-$D$70+E70</f>
        <v>-2887412.9600820038</v>
      </c>
      <c r="J27">
        <f t="shared" si="46"/>
        <v>-2887406.9584910041</v>
      </c>
      <c r="K27" s="6">
        <f>H27-$B$1*$G$27</f>
        <v>-355370.42221840261</v>
      </c>
      <c r="L27">
        <f t="shared" ref="L27:M27" si="47">I27-$B$1*$G$27</f>
        <v>-2887517.9911690657</v>
      </c>
      <c r="M27" s="7">
        <f t="shared" si="47"/>
        <v>-2887511.9895780659</v>
      </c>
      <c r="N27">
        <v>-63.36449756561106</v>
      </c>
      <c r="O27">
        <f>K27+$N$27</f>
        <v>-355433.78671596822</v>
      </c>
      <c r="P27">
        <f t="shared" ref="P27:Q27" si="48">L27+$N$27</f>
        <v>-2887581.3556666314</v>
      </c>
      <c r="Q27">
        <f t="shared" si="48"/>
        <v>-2887575.3540756316</v>
      </c>
      <c r="R27">
        <f t="shared" si="15"/>
        <v>10.682252914179116</v>
      </c>
      <c r="S27">
        <f t="shared" si="16"/>
        <v>8.5899112136103213</v>
      </c>
      <c r="T27">
        <f t="shared" si="17"/>
        <v>10.799705633893609</v>
      </c>
      <c r="U27" s="6">
        <f t="shared" ref="U27" si="49">EXP(-R27/(8.3145*$B$1/4.184/1000))</f>
        <v>1.6526282136907006E-8</v>
      </c>
      <c r="V27">
        <f t="shared" ref="V27" si="50">EXP(-S27/(8.3145*$B$1/4.184/1000))</f>
        <v>5.5259585185438339E-7</v>
      </c>
      <c r="W27" s="7">
        <f t="shared" ref="W27" si="51">EXP(-T27/(8.3145*$B$1/4.184/1000))</f>
        <v>1.3571036420610978E-8</v>
      </c>
      <c r="X27" s="6">
        <f t="shared" ref="X27:X43" si="52">U27/$R$46</f>
        <v>1.4666095625679701E-8</v>
      </c>
      <c r="Y27">
        <f t="shared" ref="Y27:Y43" si="53">V27/$S$46</f>
        <v>2.4702824148851374E-7</v>
      </c>
      <c r="Z27" s="7">
        <f t="shared" ref="Z27:Z43" si="54">W27/$T$46</f>
        <v>6.400033053085703E-9</v>
      </c>
      <c r="AA27">
        <f t="shared" ref="AA27:AA43" si="55">-X27*LN(X27)</f>
        <v>2.6454303531530977E-7</v>
      </c>
      <c r="AB27">
        <f t="shared" ref="AB27:AB43" si="56">-Y27*LN(Y27)</f>
        <v>3.7582291620223379E-6</v>
      </c>
      <c r="AC27">
        <f t="shared" ref="AC27:AC43" si="57">-Z27*LN(Z27)</f>
        <v>1.2074918477645114E-7</v>
      </c>
      <c r="AD27">
        <f t="shared" ref="AD27:AD43" si="58">X27*O27</f>
        <v>-5.2128259045738333E-3</v>
      </c>
      <c r="AE27">
        <f t="shared" ref="AE27:AE43" si="59">Y27*P27</f>
        <v>-0.71331414444534647</v>
      </c>
      <c r="AF27">
        <f t="shared" ref="AF27:AF43" si="60">Z27*Q27</f>
        <v>-1.8480577709359694E-2</v>
      </c>
    </row>
    <row r="28" spans="2:38" x14ac:dyDescent="0.2">
      <c r="B28" s="11"/>
      <c r="C28">
        <v>18</v>
      </c>
      <c r="D28">
        <v>-1486473032.0083699</v>
      </c>
      <c r="E28">
        <v>1454.5863641026999</v>
      </c>
      <c r="F28">
        <f t="shared" si="44"/>
        <v>-355275.58126395068</v>
      </c>
      <c r="G28">
        <f t="shared" si="45"/>
        <v>0.34765448472817873</v>
      </c>
      <c r="H28">
        <f>$F$28-$D$71+D71</f>
        <v>-355275.58126395068</v>
      </c>
      <c r="I28">
        <f t="shared" ref="I28:J28" si="61">$F$28-$D$71+E71</f>
        <v>-2887420.5076782121</v>
      </c>
      <c r="J28">
        <f t="shared" si="61"/>
        <v>-2887414.021116212</v>
      </c>
      <c r="K28" s="6">
        <f>H28-$B$1*$G$28</f>
        <v>-355379.87760936911</v>
      </c>
      <c r="L28">
        <f t="shared" ref="L28:M28" si="62">I28-$B$1*$G$28</f>
        <v>-2887524.8040236305</v>
      </c>
      <c r="M28" s="7">
        <f t="shared" si="62"/>
        <v>-2887518.3174616303</v>
      </c>
      <c r="N28">
        <v>-60.695705054027293</v>
      </c>
      <c r="O28">
        <f>K28+$N$28</f>
        <v>-355440.57331442315</v>
      </c>
      <c r="P28">
        <f t="shared" ref="P28:Q28" si="63">L28+$N$28</f>
        <v>-2887585.4997286843</v>
      </c>
      <c r="Q28">
        <f t="shared" si="63"/>
        <v>-2887579.0131666842</v>
      </c>
      <c r="R28">
        <f t="shared" si="15"/>
        <v>3.8956544592510909</v>
      </c>
      <c r="S28">
        <f t="shared" si="16"/>
        <v>4.4458491606637836</v>
      </c>
      <c r="T28">
        <f t="shared" si="17"/>
        <v>7.1406145812943578</v>
      </c>
      <c r="U28" s="6">
        <f>2*EXP(-R28/(8.3145*$B$1/4.184/1000))</f>
        <v>2.9048074523434254E-3</v>
      </c>
      <c r="V28">
        <f>2*EXP(-S28/(8.3145*$B$1/4.184/1000))</f>
        <v>1.1542785529954989E-3</v>
      </c>
      <c r="W28" s="7">
        <f>2*EXP(-T28/(8.3145*$B$1/4.184/1000))</f>
        <v>1.2566767063317403E-5</v>
      </c>
      <c r="X28" s="6">
        <f t="shared" si="52"/>
        <v>2.5778444006541064E-3</v>
      </c>
      <c r="Y28">
        <f t="shared" si="53"/>
        <v>5.1599989427630096E-4</v>
      </c>
      <c r="Z28" s="7">
        <f t="shared" si="54"/>
        <v>5.9264246357419486E-6</v>
      </c>
      <c r="AA28">
        <f t="shared" si="55"/>
        <v>1.5366019370562301E-2</v>
      </c>
      <c r="AB28">
        <f t="shared" si="56"/>
        <v>3.9058116623793991E-3</v>
      </c>
      <c r="AC28">
        <f t="shared" si="57"/>
        <v>7.1330977064072387E-5</v>
      </c>
      <c r="AD28">
        <f t="shared" si="58"/>
        <v>-916.27049168387111</v>
      </c>
      <c r="AE28">
        <f t="shared" si="59"/>
        <v>-1489.9938125737808</v>
      </c>
      <c r="AF28">
        <f t="shared" si="60"/>
        <v>-17.113019401282461</v>
      </c>
    </row>
    <row r="29" spans="2:38" x14ac:dyDescent="0.2">
      <c r="B29" s="11"/>
      <c r="C29">
        <v>19</v>
      </c>
      <c r="D29">
        <v>-1486366911.50033</v>
      </c>
      <c r="E29">
        <v>1472.6203015628</v>
      </c>
      <c r="F29">
        <f t="shared" si="44"/>
        <v>-355250.21785380732</v>
      </c>
      <c r="G29">
        <f t="shared" si="45"/>
        <v>0.35196469922629064</v>
      </c>
      <c r="H29">
        <f>$F$29-$D$72+D72</f>
        <v>-355250.21785380732</v>
      </c>
      <c r="I29">
        <f t="shared" ref="I29:J29" si="64">$F$29-$D$72+E72</f>
        <v>-2887397.9623597767</v>
      </c>
      <c r="J29">
        <f t="shared" si="64"/>
        <v>-2887395.400906777</v>
      </c>
      <c r="K29" s="6">
        <f>H29-$B$1*$G$29</f>
        <v>-355355.8072635752</v>
      </c>
      <c r="L29">
        <f t="shared" ref="L29:M29" si="65">I29-$B$1*$G$29</f>
        <v>-2887503.5517695448</v>
      </c>
      <c r="M29" s="7">
        <f t="shared" si="65"/>
        <v>-2887500.9903165451</v>
      </c>
      <c r="N29">
        <v>-74.306507719133478</v>
      </c>
      <c r="O29">
        <f>K29+$N$29</f>
        <v>-355430.11377129436</v>
      </c>
      <c r="P29">
        <f t="shared" ref="P29:Q29" si="66">L29+$N$29</f>
        <v>-2887577.8582772641</v>
      </c>
      <c r="Q29">
        <f t="shared" si="66"/>
        <v>-2887575.2968242643</v>
      </c>
      <c r="R29">
        <f t="shared" si="15"/>
        <v>14.355197588040028</v>
      </c>
      <c r="S29">
        <f t="shared" si="16"/>
        <v>12.087300580926239</v>
      </c>
      <c r="T29">
        <f t="shared" si="17"/>
        <v>10.856957001145929</v>
      </c>
      <c r="U29" s="6">
        <f t="shared" ref="U29:U42" si="67">2*EXP(-R29/(8.3145*$B$1/4.184/1000))</f>
        <v>6.9748118484205297E-11</v>
      </c>
      <c r="V29">
        <f>2*EXP(-S29/(8.3145*$B$1/4.184/1000))</f>
        <v>3.1307887696702744E-9</v>
      </c>
      <c r="W29" s="7">
        <f t="shared" ref="W29:W42" si="68">2*EXP(-T29/(8.3145*$B$1/4.184/1000))</f>
        <v>2.465678471798953E-8</v>
      </c>
      <c r="X29" s="6">
        <f t="shared" si="52"/>
        <v>6.1897320094526767E-11</v>
      </c>
      <c r="Y29">
        <f>V29/$S$46</f>
        <v>1.3995639700303705E-9</v>
      </c>
      <c r="Z29" s="7">
        <f t="shared" si="54"/>
        <v>1.1628016629465871E-8</v>
      </c>
      <c r="AA29">
        <f t="shared" si="55"/>
        <v>1.4549301952799822E-9</v>
      </c>
      <c r="AB29">
        <f t="shared" si="56"/>
        <v>2.8533057749522703E-8</v>
      </c>
      <c r="AC29">
        <f t="shared" si="57"/>
        <v>2.1244210129358333E-7</v>
      </c>
      <c r="AD29">
        <f t="shared" si="58"/>
        <v>-2.2000171523335875E-5</v>
      </c>
      <c r="AE29">
        <f t="shared" si="59"/>
        <v>-4.0413499311023225E-3</v>
      </c>
      <c r="AF29">
        <f t="shared" si="60"/>
        <v>-3.3576773570307396E-2</v>
      </c>
    </row>
    <row r="30" spans="2:38" x14ac:dyDescent="0.2">
      <c r="B30" s="11"/>
      <c r="C30" t="s">
        <v>43</v>
      </c>
      <c r="D30">
        <v>-1486376969.4398301</v>
      </c>
      <c r="E30">
        <v>1483.5932660287999</v>
      </c>
      <c r="F30">
        <f t="shared" si="44"/>
        <v>-355252.62175904162</v>
      </c>
      <c r="G30">
        <f t="shared" si="45"/>
        <v>0.35458730067609939</v>
      </c>
      <c r="H30">
        <f>$F$30-$D$73+D73</f>
        <v>-355252.62175904162</v>
      </c>
      <c r="I30">
        <f t="shared" ref="I30:J30" si="69">$F$30-$D$73+E73</f>
        <v>-2887401.163757842</v>
      </c>
      <c r="J30">
        <f t="shared" si="69"/>
        <v>-2887398.4408558421</v>
      </c>
      <c r="K30" s="6">
        <f>H30-$B$1*$G$30</f>
        <v>-355358.99794924445</v>
      </c>
      <c r="L30">
        <f t="shared" ref="L30:M30" si="70">I30-$B$1*$G$30</f>
        <v>-2887507.5399480448</v>
      </c>
      <c r="M30" s="7">
        <f t="shared" si="70"/>
        <v>-2887504.8170460449</v>
      </c>
      <c r="N30">
        <v>-72.029357474003774</v>
      </c>
      <c r="O30">
        <f>K30+$N$30</f>
        <v>-355431.02730671846</v>
      </c>
      <c r="P30">
        <f t="shared" ref="P30:Q30" si="71">L30+$N$30</f>
        <v>-2887579.5693055186</v>
      </c>
      <c r="Q30">
        <f t="shared" si="71"/>
        <v>-2887576.8464035187</v>
      </c>
      <c r="R30">
        <f t="shared" si="15"/>
        <v>13.441662163939327</v>
      </c>
      <c r="S30">
        <f t="shared" si="16"/>
        <v>10.376272326335311</v>
      </c>
      <c r="T30">
        <f t="shared" si="17"/>
        <v>9.3073777467943728</v>
      </c>
      <c r="U30" s="6">
        <f t="shared" si="67"/>
        <v>3.2286893134474771E-10</v>
      </c>
      <c r="V30">
        <f t="shared" ref="V30:V42" si="72">2*EXP(-S30/(8.3145*$B$1/4.184/1000))</f>
        <v>5.5221270029039428E-8</v>
      </c>
      <c r="W30" s="7">
        <f t="shared" si="68"/>
        <v>3.3172365244109354E-7</v>
      </c>
      <c r="X30" s="6">
        <f t="shared" si="52"/>
        <v>2.8652703508481369E-10</v>
      </c>
      <c r="Y30">
        <f t="shared" si="53"/>
        <v>2.4685696033112142E-8</v>
      </c>
      <c r="Z30" s="7">
        <f t="shared" si="54"/>
        <v>1.5643921910702025E-7</v>
      </c>
      <c r="AA30">
        <f t="shared" si="55"/>
        <v>6.295912472303026E-9</v>
      </c>
      <c r="AB30">
        <f t="shared" si="56"/>
        <v>4.3242037097820857E-7</v>
      </c>
      <c r="AC30">
        <f t="shared" si="57"/>
        <v>2.4514961576622697E-6</v>
      </c>
      <c r="AD30">
        <f t="shared" si="58"/>
        <v>-1.0184059843134349E-4</v>
      </c>
      <c r="AE30">
        <f t="shared" si="59"/>
        <v>-7.1281911519300911E-2</v>
      </c>
      <c r="AF30">
        <f t="shared" si="60"/>
        <v>-0.4517302669628786</v>
      </c>
    </row>
    <row r="31" spans="2:38" x14ac:dyDescent="0.2">
      <c r="B31" s="11"/>
      <c r="C31" t="s">
        <v>44</v>
      </c>
      <c r="D31">
        <v>-1486369448.99331</v>
      </c>
      <c r="E31">
        <v>1452.9789204133999</v>
      </c>
      <c r="F31">
        <f t="shared" si="44"/>
        <v>-355250.82432918495</v>
      </c>
      <c r="G31">
        <f t="shared" si="45"/>
        <v>0.34727029646591773</v>
      </c>
      <c r="H31">
        <f>$F$31-$D$74+D74</f>
        <v>-355250.82432918495</v>
      </c>
      <c r="I31">
        <f>$F$31-$D$74+E74</f>
        <v>-2887394.9308146429</v>
      </c>
      <c r="J31">
        <f t="shared" ref="J31" si="73">$F$31-$D$74+F74</f>
        <v>-2887388.5920676431</v>
      </c>
      <c r="K31" s="6">
        <f>H31-$B$1*$G$31</f>
        <v>-355355.00541812473</v>
      </c>
      <c r="L31">
        <f t="shared" ref="L31:M31" si="74">I31-$B$1*$G$31</f>
        <v>-2887499.1119035827</v>
      </c>
      <c r="M31" s="7">
        <f t="shared" si="74"/>
        <v>-2887492.7731565828</v>
      </c>
      <c r="N31">
        <v>-64.015651654236564</v>
      </c>
      <c r="O31">
        <f>K31+$N$31</f>
        <v>-355419.02106977894</v>
      </c>
      <c r="P31">
        <f t="shared" ref="P31:Q31" si="75">L31+$N$31</f>
        <v>-2887563.1275552372</v>
      </c>
      <c r="Q31">
        <f t="shared" si="75"/>
        <v>-2887556.7888082373</v>
      </c>
      <c r="R31">
        <f t="shared" si="15"/>
        <v>25.447899103455711</v>
      </c>
      <c r="S31">
        <f t="shared" si="16"/>
        <v>26.818022607825696</v>
      </c>
      <c r="T31">
        <f t="shared" si="17"/>
        <v>29.364973028190434</v>
      </c>
      <c r="U31" s="6">
        <f t="shared" si="67"/>
        <v>5.7903311281104733E-19</v>
      </c>
      <c r="V31">
        <f t="shared" si="72"/>
        <v>5.815587832050014E-20</v>
      </c>
      <c r="W31" s="7">
        <f>2*EXP(-T31/(8.3145*$B$1/4.184/1000))</f>
        <v>8.113104461358236E-22</v>
      </c>
      <c r="X31" s="6">
        <f t="shared" si="52"/>
        <v>5.1385755928472605E-19</v>
      </c>
      <c r="Y31">
        <f t="shared" si="53"/>
        <v>2.5997560976116057E-20</v>
      </c>
      <c r="Z31" s="7">
        <f t="shared" si="54"/>
        <v>3.8260995775510656E-22</v>
      </c>
      <c r="AA31">
        <f t="shared" si="55"/>
        <v>2.1639744683837197E-17</v>
      </c>
      <c r="AB31">
        <f t="shared" si="56"/>
        <v>1.1723933990101734E-18</v>
      </c>
      <c r="AC31">
        <f t="shared" si="57"/>
        <v>1.8868420071425909E-20</v>
      </c>
      <c r="AD31">
        <f t="shared" si="58"/>
        <v>-1.8263475069028322E-13</v>
      </c>
      <c r="AE31">
        <f t="shared" si="59"/>
        <v>-7.5069598481001663E-14</v>
      </c>
      <c r="AF31">
        <f t="shared" si="60"/>
        <v>-1.1048079809813908E-15</v>
      </c>
    </row>
    <row r="32" spans="2:38" x14ac:dyDescent="0.2">
      <c r="B32" s="11"/>
      <c r="C32">
        <v>21</v>
      </c>
      <c r="D32">
        <v>-1486422373.44944</v>
      </c>
      <c r="E32">
        <v>1463.4445446008001</v>
      </c>
      <c r="F32">
        <f t="shared" si="44"/>
        <v>-355263.47357778205</v>
      </c>
      <c r="G32">
        <f>E32/4.184/1000</f>
        <v>0.34977164067896749</v>
      </c>
      <c r="H32">
        <f>$F$32-$D$75+D75</f>
        <v>-355263.47357778205</v>
      </c>
      <c r="I32">
        <f t="shared" ref="I32:J32" si="76">$F$32-$D$75+E75</f>
        <v>-2887409.972150329</v>
      </c>
      <c r="J32">
        <f t="shared" si="76"/>
        <v>-2887405.0887783291</v>
      </c>
      <c r="K32" s="6">
        <f>H32-$B$1*$G$32</f>
        <v>-355368.40506998572</v>
      </c>
      <c r="L32">
        <f t="shared" ref="L32:M32" si="77">I32-$B$1*$G$32</f>
        <v>-2887514.9036425329</v>
      </c>
      <c r="M32" s="7">
        <f t="shared" si="77"/>
        <v>-2887510.0202705329</v>
      </c>
      <c r="N32">
        <v>-66.621094370429773</v>
      </c>
      <c r="O32">
        <f>K32+$N$32</f>
        <v>-355435.02616435615</v>
      </c>
      <c r="P32">
        <f t="shared" ref="P32:Q32" si="78">L32+$N$32</f>
        <v>-2887581.5247369031</v>
      </c>
      <c r="Q32">
        <f t="shared" si="78"/>
        <v>-2887576.6413649032</v>
      </c>
      <c r="R32">
        <f t="shared" si="15"/>
        <v>9.4428045262466185</v>
      </c>
      <c r="S32">
        <f t="shared" si="16"/>
        <v>8.4208409418351948</v>
      </c>
      <c r="T32">
        <f t="shared" si="17"/>
        <v>9.5124163622967899</v>
      </c>
      <c r="U32" s="6">
        <f t="shared" si="67"/>
        <v>2.6431421459248187E-7</v>
      </c>
      <c r="V32">
        <f t="shared" si="72"/>
        <v>1.4675814054214757E-6</v>
      </c>
      <c r="W32" s="7">
        <f t="shared" si="68"/>
        <v>2.3518497722432531E-7</v>
      </c>
      <c r="X32" s="6">
        <f t="shared" si="52"/>
        <v>2.3456319541966057E-7</v>
      </c>
      <c r="Y32">
        <f t="shared" si="53"/>
        <v>6.5605641556289017E-7</v>
      </c>
      <c r="Z32" s="7">
        <f t="shared" si="54"/>
        <v>1.1091206162698704E-7</v>
      </c>
      <c r="AA32">
        <f t="shared" si="55"/>
        <v>3.5807340287555717E-6</v>
      </c>
      <c r="AB32">
        <f t="shared" si="56"/>
        <v>9.3402876877960611E-6</v>
      </c>
      <c r="AC32">
        <f t="shared" si="57"/>
        <v>1.7762043372274929E-6</v>
      </c>
      <c r="AD32">
        <f t="shared" si="58"/>
        <v>-8.3371975501182041E-2</v>
      </c>
      <c r="AE32">
        <f t="shared" si="59"/>
        <v>-1.8944163847645177</v>
      </c>
      <c r="AF32">
        <f t="shared" si="60"/>
        <v>-0.32026707839971241</v>
      </c>
    </row>
    <row r="33" spans="2:32" x14ac:dyDescent="0.2">
      <c r="B33" s="11"/>
      <c r="C33" t="s">
        <v>45</v>
      </c>
      <c r="D33">
        <v>-1486366818.24791</v>
      </c>
      <c r="E33">
        <v>1483.5564318474001</v>
      </c>
      <c r="F33">
        <f t="shared" si="44"/>
        <v>-355250.19556594407</v>
      </c>
      <c r="G33">
        <f t="shared" si="45"/>
        <v>0.35457849709545891</v>
      </c>
      <c r="H33">
        <f>$F$33-$D$76+D76</f>
        <v>-355250.19556594407</v>
      </c>
      <c r="I33">
        <f t="shared" ref="I33:J33" si="79">$F$33-$D$76+E76</f>
        <v>-2887397.6535468982</v>
      </c>
      <c r="J33">
        <f t="shared" si="79"/>
        <v>-2887395.364603898</v>
      </c>
      <c r="K33" s="6">
        <f>H33-$B$1*$G$33</f>
        <v>-355356.56911507272</v>
      </c>
      <c r="L33">
        <f t="shared" ref="L33:M33" si="80">I33-$B$1*$G$33</f>
        <v>-2887504.0270960266</v>
      </c>
      <c r="M33" s="7">
        <f t="shared" si="80"/>
        <v>-2887501.7381530264</v>
      </c>
      <c r="N33">
        <v>-74.653868212864751</v>
      </c>
      <c r="O33">
        <f>K33+$N$33</f>
        <v>-355431.22298328561</v>
      </c>
      <c r="P33">
        <f t="shared" ref="P33:Q33" si="81">L33+$N$33</f>
        <v>-2887578.6809642394</v>
      </c>
      <c r="Q33">
        <f t="shared" si="81"/>
        <v>-2887576.3920212393</v>
      </c>
      <c r="R33">
        <f t="shared" si="15"/>
        <v>13.245985596789978</v>
      </c>
      <c r="S33">
        <f t="shared" si="16"/>
        <v>11.264613605570048</v>
      </c>
      <c r="T33">
        <f t="shared" si="17"/>
        <v>9.761760026216507</v>
      </c>
      <c r="U33" s="6">
        <f t="shared" si="67"/>
        <v>4.4830443736295407E-10</v>
      </c>
      <c r="V33">
        <f t="shared" si="72"/>
        <v>1.2444174785934177E-8</v>
      </c>
      <c r="W33" s="7">
        <f t="shared" si="68"/>
        <v>1.5479869764112585E-7</v>
      </c>
      <c r="X33" s="6">
        <f t="shared" si="52"/>
        <v>3.9784361015466411E-10</v>
      </c>
      <c r="Y33">
        <f t="shared" si="53"/>
        <v>5.56294913150213E-9</v>
      </c>
      <c r="Z33" s="7">
        <f t="shared" si="54"/>
        <v>7.3002293323240715E-8</v>
      </c>
      <c r="AA33">
        <f t="shared" si="55"/>
        <v>8.6113098743362315E-9</v>
      </c>
      <c r="AB33">
        <f t="shared" si="56"/>
        <v>1.057357387696612E-7</v>
      </c>
      <c r="AC33">
        <f t="shared" si="57"/>
        <v>1.1996302592708101E-6</v>
      </c>
      <c r="AD33">
        <f t="shared" si="58"/>
        <v>-1.4140604091335778E-4</v>
      </c>
      <c r="AE33">
        <f t="shared" si="59"/>
        <v>-1.6063453315414082E-2</v>
      </c>
      <c r="AF33">
        <f t="shared" si="60"/>
        <v>-0.21079969876359964</v>
      </c>
    </row>
    <row r="34" spans="2:32" x14ac:dyDescent="0.2">
      <c r="B34" s="11"/>
      <c r="C34" t="s">
        <v>46</v>
      </c>
      <c r="D34">
        <v>-1486349908.1125</v>
      </c>
      <c r="E34">
        <v>1440.7640493993999</v>
      </c>
      <c r="F34">
        <f t="shared" si="44"/>
        <v>-355246.15394658217</v>
      </c>
      <c r="G34">
        <f t="shared" si="45"/>
        <v>0.34435087222739003</v>
      </c>
      <c r="H34">
        <f>$F$34-$D$77+D77</f>
        <v>-355246.15394658217</v>
      </c>
      <c r="I34">
        <f t="shared" ref="I34:J34" si="82">$F$34-$D$77+E77</f>
        <v>-2887390.8929096046</v>
      </c>
      <c r="J34">
        <f t="shared" si="82"/>
        <v>-2887385.5888736048</v>
      </c>
      <c r="K34" s="6">
        <f>H34-$B$1*$G$34</f>
        <v>-355349.4592082504</v>
      </c>
      <c r="L34">
        <f t="shared" ref="L34:M34" si="83">I34-$B$1*$G$34</f>
        <v>-2887494.1981712729</v>
      </c>
      <c r="M34" s="7">
        <f t="shared" si="83"/>
        <v>-2887488.8941352731</v>
      </c>
      <c r="N34">
        <v>-65.960953879131623</v>
      </c>
      <c r="O34">
        <f>K34+$N$34</f>
        <v>-355415.42016212951</v>
      </c>
      <c r="P34">
        <f>L34+$N$34</f>
        <v>-2887560.159125152</v>
      </c>
      <c r="Q34">
        <f t="shared" ref="Q34" si="84">M34+$N$34</f>
        <v>-2887554.8550891522</v>
      </c>
      <c r="R34">
        <f t="shared" si="15"/>
        <v>29.048806752893142</v>
      </c>
      <c r="S34">
        <f t="shared" si="16"/>
        <v>29.786452692933381</v>
      </c>
      <c r="T34">
        <f t="shared" si="17"/>
        <v>31.298692113254219</v>
      </c>
      <c r="U34" s="6">
        <f t="shared" si="67"/>
        <v>1.378822577529215E-21</v>
      </c>
      <c r="V34">
        <f t="shared" si="72"/>
        <v>4.000800369598274E-22</v>
      </c>
      <c r="W34" s="7">
        <f t="shared" si="68"/>
        <v>3.1659807430745052E-23</v>
      </c>
      <c r="X34" s="6">
        <f t="shared" si="52"/>
        <v>1.2236232932105979E-21</v>
      </c>
      <c r="Y34">
        <f t="shared" si="53"/>
        <v>1.7884873303552971E-22</v>
      </c>
      <c r="Z34" s="7">
        <f t="shared" si="54"/>
        <v>1.4930607193962157E-23</v>
      </c>
      <c r="AA34">
        <f t="shared" si="55"/>
        <v>5.8920484631167733E-20</v>
      </c>
      <c r="AB34">
        <f t="shared" si="56"/>
        <v>8.9559400620135799E-21</v>
      </c>
      <c r="AC34">
        <f t="shared" si="57"/>
        <v>7.8473224353171186E-22</v>
      </c>
      <c r="AD34">
        <f t="shared" si="58"/>
        <v>-4.3489458687661324E-16</v>
      </c>
      <c r="AE34">
        <f t="shared" si="59"/>
        <v>-5.1643647602340603E-16</v>
      </c>
      <c r="AF34">
        <f t="shared" si="60"/>
        <v>-4.3112947292354447E-17</v>
      </c>
    </row>
    <row r="35" spans="2:32" x14ac:dyDescent="0.2">
      <c r="B35" s="11"/>
      <c r="C35" t="s">
        <v>47</v>
      </c>
      <c r="D35">
        <v>-1486379230.77513</v>
      </c>
      <c r="E35">
        <v>1471.9435675509999</v>
      </c>
      <c r="F35">
        <f t="shared" si="44"/>
        <v>-355253.16223114962</v>
      </c>
      <c r="G35">
        <f t="shared" si="45"/>
        <v>0.35180295591563093</v>
      </c>
      <c r="H35">
        <f>$F$35-$D$78+D78</f>
        <v>-355253.16223114962</v>
      </c>
      <c r="I35">
        <f t="shared" ref="I35" si="85">$F$35-$D$78+E78</f>
        <v>-2887393.3058031974</v>
      </c>
      <c r="J35">
        <f>$F$35-$D$78+F78</f>
        <v>-2887390.3286141972</v>
      </c>
      <c r="K35" s="6">
        <f>H35-$B$1*$G$35</f>
        <v>-355358.70311792433</v>
      </c>
      <c r="L35">
        <f>I35-$B$1*$G$35</f>
        <v>-2887498.8466899721</v>
      </c>
      <c r="M35" s="7">
        <f>J35-$B$1*$G$35</f>
        <v>-2887495.8695009719</v>
      </c>
      <c r="N35">
        <v>-71.302884643971652</v>
      </c>
      <c r="O35">
        <f>K35+$N$35</f>
        <v>-355430.00600256829</v>
      </c>
      <c r="P35">
        <f t="shared" ref="P35" si="86">L35+$N$35</f>
        <v>-2887570.149574616</v>
      </c>
      <c r="Q35">
        <f>M35+$N$35</f>
        <v>-2887567.1723856158</v>
      </c>
      <c r="R35">
        <f t="shared" si="15"/>
        <v>14.462966314109508</v>
      </c>
      <c r="S35">
        <f t="shared" si="16"/>
        <v>19.796003228984773</v>
      </c>
      <c r="T35">
        <f t="shared" si="17"/>
        <v>18.981395649723709</v>
      </c>
      <c r="U35" s="6">
        <f t="shared" si="67"/>
        <v>5.8213667527886093E-11</v>
      </c>
      <c r="V35">
        <f t="shared" si="72"/>
        <v>7.5858740082127351E-15</v>
      </c>
      <c r="W35" s="7">
        <f t="shared" si="68"/>
        <v>2.9746253104565525E-14</v>
      </c>
      <c r="X35" s="6">
        <f>U35/$R$46</f>
        <v>5.1661178697829631E-11</v>
      </c>
      <c r="Y35">
        <f t="shared" si="53"/>
        <v>3.3911313487311883E-15</v>
      </c>
      <c r="Z35" s="7">
        <f t="shared" si="54"/>
        <v>1.4028184522851768E-14</v>
      </c>
      <c r="AA35">
        <f t="shared" si="55"/>
        <v>1.22366292670108E-9</v>
      </c>
      <c r="AB35">
        <f t="shared" si="56"/>
        <v>1.1298440122420237E-13</v>
      </c>
      <c r="AC35">
        <f t="shared" si="57"/>
        <v>4.4746693240100229E-13</v>
      </c>
      <c r="AD35">
        <f>X35*O35</f>
        <v>-1.8361933054669337E-5</v>
      </c>
      <c r="AE35">
        <f t="shared" si="59"/>
        <v>-9.7921296558828871E-9</v>
      </c>
      <c r="AF35">
        <f t="shared" si="60"/>
        <v>-4.050732511635474E-8</v>
      </c>
    </row>
    <row r="36" spans="2:32" x14ac:dyDescent="0.2">
      <c r="B36" s="11"/>
      <c r="C36" t="s">
        <v>48</v>
      </c>
      <c r="D36">
        <v>-1486384472.7650599</v>
      </c>
      <c r="E36">
        <v>1457.4343172005999</v>
      </c>
      <c r="F36">
        <f t="shared" si="44"/>
        <v>-355254.41509681166</v>
      </c>
      <c r="G36">
        <f t="shared" si="45"/>
        <v>0.34833516185482788</v>
      </c>
      <c r="H36">
        <f>$F$36-$D$79+D79</f>
        <v>-355254.41509681166</v>
      </c>
      <c r="I36">
        <f t="shared" ref="I36:J36" si="87">$F$36-$D$79+E79</f>
        <v>-2887396.1947696586</v>
      </c>
      <c r="J36">
        <f t="shared" si="87"/>
        <v>-2887389.3784306585</v>
      </c>
      <c r="K36" s="6">
        <f>H36-$B$1*$G$36</f>
        <v>-355358.91564536811</v>
      </c>
      <c r="L36">
        <f t="shared" ref="L36:M36" si="88">I36-$B$1*$G$36</f>
        <v>-2887500.6953182151</v>
      </c>
      <c r="M36" s="7">
        <f t="shared" si="88"/>
        <v>-2887493.8789792149</v>
      </c>
      <c r="N36">
        <v>-63.022175837874599</v>
      </c>
      <c r="O36">
        <f>K36+$N$36</f>
        <v>-355421.937821206</v>
      </c>
      <c r="P36">
        <f t="shared" ref="P36:Q36" si="89">L36+$N$36</f>
        <v>-2887563.7174940528</v>
      </c>
      <c r="Q36">
        <f t="shared" si="89"/>
        <v>-2887556.9011550527</v>
      </c>
      <c r="R36">
        <f t="shared" si="15"/>
        <v>22.531147676403634</v>
      </c>
      <c r="S36">
        <f t="shared" si="16"/>
        <v>26.22808379214257</v>
      </c>
      <c r="T36">
        <f t="shared" si="17"/>
        <v>29.252626212779433</v>
      </c>
      <c r="U36" s="6">
        <f t="shared" si="67"/>
        <v>7.7179717663765089E-17</v>
      </c>
      <c r="V36">
        <f t="shared" si="72"/>
        <v>1.5644194235528295E-19</v>
      </c>
      <c r="W36" s="7">
        <f t="shared" si="68"/>
        <v>9.7955687527426118E-22</v>
      </c>
      <c r="X36" s="6">
        <f t="shared" si="52"/>
        <v>6.8492423779446994E-17</v>
      </c>
      <c r="Y36">
        <f t="shared" si="53"/>
        <v>6.9934614574806149E-20</v>
      </c>
      <c r="Z36" s="7">
        <f t="shared" si="54"/>
        <v>4.6195413414492757E-22</v>
      </c>
      <c r="AA36">
        <f>-X36*LN(X36)</f>
        <v>2.5492748992719307E-15</v>
      </c>
      <c r="AB36">
        <f t="shared" si="56"/>
        <v>3.0845868986914222E-18</v>
      </c>
      <c r="AC36">
        <f t="shared" si="57"/>
        <v>2.2694225167126576E-20</v>
      </c>
      <c r="AD36">
        <f t="shared" si="58"/>
        <v>-2.4343709985762302E-11</v>
      </c>
      <c r="AE36">
        <f>Y36*P36</f>
        <v>-2.0194065564314101E-13</v>
      </c>
      <c r="AF36">
        <f t="shared" si="60"/>
        <v>-1.3339188480672926E-15</v>
      </c>
    </row>
    <row r="37" spans="2:32" x14ac:dyDescent="0.2">
      <c r="B37" s="11"/>
      <c r="C37">
        <v>24</v>
      </c>
      <c r="D37">
        <v>-1486416819.6907899</v>
      </c>
      <c r="E37">
        <v>1461.0690407799</v>
      </c>
      <c r="F37">
        <f t="shared" si="44"/>
        <v>-355262.14619760751</v>
      </c>
      <c r="G37">
        <f t="shared" si="45"/>
        <v>0.34920388163955546</v>
      </c>
      <c r="H37">
        <f>$F$37-$D$80+D80</f>
        <v>-355262.14619760751</v>
      </c>
      <c r="I37">
        <f t="shared" ref="I37:J37" si="90">$F$37-$D$80+E80</f>
        <v>-2887408.8428209466</v>
      </c>
      <c r="J37">
        <f t="shared" si="90"/>
        <v>-2887405.2131729466</v>
      </c>
      <c r="K37" s="6">
        <f>H37-$B$1*$G$37</f>
        <v>-355366.90736209939</v>
      </c>
      <c r="L37">
        <f t="shared" ref="L37:M37" si="91">I37-$B$1*$G$37</f>
        <v>-2887513.6039854386</v>
      </c>
      <c r="M37" s="7">
        <f t="shared" si="91"/>
        <v>-2887509.9743374386</v>
      </c>
      <c r="N37">
        <v>-68.51970921151694</v>
      </c>
      <c r="O37">
        <f>K37+$N$37</f>
        <v>-355435.42707131093</v>
      </c>
      <c r="P37">
        <f t="shared" ref="P37:Q37" si="92">L37+$N$37</f>
        <v>-2887582.1236946499</v>
      </c>
      <c r="Q37">
        <f t="shared" si="92"/>
        <v>-2887578.4940466499</v>
      </c>
      <c r="R37">
        <f t="shared" si="15"/>
        <v>9.0418975714710541</v>
      </c>
      <c r="S37">
        <f t="shared" si="16"/>
        <v>7.8218831950798631</v>
      </c>
      <c r="T37">
        <f t="shared" si="17"/>
        <v>7.6597346155904233</v>
      </c>
      <c r="U37" s="6">
        <f t="shared" si="67"/>
        <v>5.1781409157560602E-7</v>
      </c>
      <c r="V37">
        <f t="shared" si="72"/>
        <v>4.0080386995534084E-6</v>
      </c>
      <c r="W37" s="7">
        <f t="shared" si="68"/>
        <v>5.2608287509559165E-6</v>
      </c>
      <c r="X37" s="6">
        <f t="shared" si="52"/>
        <v>4.5952930734568861E-7</v>
      </c>
      <c r="Y37">
        <f t="shared" si="53"/>
        <v>1.7917230982571555E-6</v>
      </c>
      <c r="Z37" s="7">
        <f t="shared" si="54"/>
        <v>2.4809805860962841E-6</v>
      </c>
      <c r="AA37">
        <f t="shared" si="55"/>
        <v>6.7059401858560327E-6</v>
      </c>
      <c r="AB37">
        <f>-Y37*LN(Y37)</f>
        <v>2.3708676279324408E-5</v>
      </c>
      <c r="AC37">
        <f t="shared" si="57"/>
        <v>3.2021660846431536E-5</v>
      </c>
      <c r="AD37">
        <f t="shared" si="58"/>
        <v>-0.16333299560819853</v>
      </c>
      <c r="AE37">
        <f t="shared" si="59"/>
        <v>-5.1737475891381548</v>
      </c>
      <c r="AF37">
        <f>Z37*Q37</f>
        <v>-7.1640261845588826</v>
      </c>
    </row>
    <row r="38" spans="2:32" x14ac:dyDescent="0.2">
      <c r="B38" s="11"/>
      <c r="C38">
        <v>25</v>
      </c>
      <c r="D38">
        <v>-1486448336.35495</v>
      </c>
      <c r="E38">
        <v>1469.9971224231001</v>
      </c>
      <c r="F38">
        <f t="shared" si="44"/>
        <v>-355269.67886112572</v>
      </c>
      <c r="G38">
        <f t="shared" si="45"/>
        <v>0.35133774436498566</v>
      </c>
      <c r="H38">
        <f>$F$38-$D$81+D81</f>
        <v>-355269.67886112572</v>
      </c>
      <c r="I38">
        <f t="shared" ref="I38:J38" si="93">$F$38-$D$81+E81</f>
        <v>-2887415.9560254421</v>
      </c>
      <c r="J38">
        <f t="shared" si="93"/>
        <v>-2887410.3792044418</v>
      </c>
      <c r="K38" s="6">
        <f>H38-$B$1*$G$38</f>
        <v>-355375.08018443524</v>
      </c>
      <c r="L38">
        <f t="shared" ref="L38:M38" si="94">I38-$B$1*$G$38</f>
        <v>-2887521.3573487517</v>
      </c>
      <c r="M38" s="7">
        <f t="shared" si="94"/>
        <v>-2887515.7805277514</v>
      </c>
      <c r="N38">
        <v>-64.712063240077455</v>
      </c>
      <c r="O38">
        <f>K38+$N$38</f>
        <v>-355439.7922476753</v>
      </c>
      <c r="P38">
        <f t="shared" ref="P38:Q38" si="95">L38+$N$38</f>
        <v>-2887586.0694119916</v>
      </c>
      <c r="Q38">
        <f t="shared" si="95"/>
        <v>-2887580.4925909913</v>
      </c>
      <c r="R38">
        <f t="shared" si="15"/>
        <v>4.6767212070990354</v>
      </c>
      <c r="S38">
        <f t="shared" si="16"/>
        <v>3.8761658533476293</v>
      </c>
      <c r="T38">
        <f t="shared" si="17"/>
        <v>5.6611902741715312</v>
      </c>
      <c r="U38" s="6">
        <f t="shared" si="67"/>
        <v>7.8365441643107599E-4</v>
      </c>
      <c r="V38">
        <f t="shared" si="72"/>
        <v>3.0013347815633197E-3</v>
      </c>
      <c r="W38" s="7">
        <f t="shared" si="68"/>
        <v>1.5029930459610862E-4</v>
      </c>
      <c r="X38" s="6">
        <f t="shared" si="52"/>
        <v>6.9544683514736333E-4</v>
      </c>
      <c r="Y38">
        <f t="shared" si="53"/>
        <v>1.3416938450042369E-3</v>
      </c>
      <c r="Z38" s="7">
        <f t="shared" si="54"/>
        <v>7.0880402016310025E-5</v>
      </c>
      <c r="AA38">
        <f t="shared" si="55"/>
        <v>5.0565633322417983E-3</v>
      </c>
      <c r="AB38">
        <f t="shared" si="56"/>
        <v>8.8737248058149733E-3</v>
      </c>
      <c r="AC38">
        <f>-Z38*LN(Z38)</f>
        <v>6.7722797625451839E-4</v>
      </c>
      <c r="AD38">
        <f t="shared" si="58"/>
        <v>-247.18947860408213</v>
      </c>
      <c r="AE38">
        <f t="shared" si="59"/>
        <v>-3874.2564562500461</v>
      </c>
      <c r="AF38">
        <f t="shared" si="60"/>
        <v>-204.672866169304</v>
      </c>
    </row>
    <row r="39" spans="2:32" x14ac:dyDescent="0.2">
      <c r="B39" s="11"/>
      <c r="C39">
        <v>26</v>
      </c>
      <c r="D39">
        <v>-1486432088.90553</v>
      </c>
      <c r="E39">
        <v>1458.1613274933</v>
      </c>
      <c r="F39">
        <f t="shared" si="44"/>
        <v>-355265.79562751669</v>
      </c>
      <c r="G39">
        <f t="shared" si="45"/>
        <v>0.34850892148501428</v>
      </c>
      <c r="H39">
        <f>$F$39-$D$82+D82</f>
        <v>-355265.79562751669</v>
      </c>
      <c r="I39">
        <f t="shared" ref="I39:J39" si="96">$F$39-$D$82+E82</f>
        <v>-2887412.9279020177</v>
      </c>
      <c r="J39">
        <f t="shared" si="96"/>
        <v>-2887408.1120380177</v>
      </c>
      <c r="K39" s="6">
        <f>H39-$B$1*$G$39</f>
        <v>-355370.34830396221</v>
      </c>
      <c r="L39">
        <f t="shared" ref="L39:M39" si="97">I39-$B$1*$G$39</f>
        <v>-2887517.4805784631</v>
      </c>
      <c r="M39" s="7">
        <f t="shared" si="97"/>
        <v>-2887512.6647144631</v>
      </c>
      <c r="N39">
        <v>-66.056599173360922</v>
      </c>
      <c r="O39">
        <f>K39+$N$39</f>
        <v>-355436.40490313555</v>
      </c>
      <c r="P39">
        <f t="shared" ref="P39:Q39" si="98">L39+$N$39</f>
        <v>-2887583.5371776363</v>
      </c>
      <c r="Q39">
        <f t="shared" si="98"/>
        <v>-2887578.7213136363</v>
      </c>
      <c r="R39">
        <f t="shared" si="15"/>
        <v>8.0640657468466088</v>
      </c>
      <c r="S39">
        <f t="shared" si="16"/>
        <v>6.4084002086892724</v>
      </c>
      <c r="T39">
        <f t="shared" si="17"/>
        <v>7.4324676292017102</v>
      </c>
      <c r="U39" s="6">
        <f t="shared" si="67"/>
        <v>2.6699699295483326E-6</v>
      </c>
      <c r="V39">
        <f t="shared" si="72"/>
        <v>4.2916892923015882E-5</v>
      </c>
      <c r="W39" s="7">
        <f t="shared" si="68"/>
        <v>7.7021857111921453E-6</v>
      </c>
      <c r="X39" s="6">
        <f t="shared" si="52"/>
        <v>2.3694400216607826E-6</v>
      </c>
      <c r="Y39">
        <f t="shared" si="53"/>
        <v>1.9185240991850844E-5</v>
      </c>
      <c r="Z39" s="7">
        <f>W39/$T$46</f>
        <v>3.6323123455603311E-6</v>
      </c>
      <c r="AA39">
        <f t="shared" si="55"/>
        <v>3.0691017553881954E-5</v>
      </c>
      <c r="AB39">
        <f t="shared" si="56"/>
        <v>2.083779870015274E-4</v>
      </c>
      <c r="AC39">
        <f t="shared" si="57"/>
        <v>4.5497040813380238E-5</v>
      </c>
      <c r="AD39">
        <f t="shared" si="58"/>
        <v>-0.84218524293271624</v>
      </c>
      <c r="AE39">
        <f t="shared" si="59"/>
        <v>-55.398986044854041</v>
      </c>
      <c r="AF39">
        <f t="shared" si="60"/>
        <v>-10.488587838204836</v>
      </c>
    </row>
    <row r="40" spans="2:32" x14ac:dyDescent="0.2">
      <c r="B40" s="11"/>
      <c r="C40">
        <v>27</v>
      </c>
      <c r="D40">
        <v>-1486432820.4647701</v>
      </c>
      <c r="E40">
        <v>1458.5656031038</v>
      </c>
      <c r="F40">
        <f t="shared" si="44"/>
        <v>-355265.97047437145</v>
      </c>
      <c r="G40">
        <f t="shared" si="45"/>
        <v>0.34860554567490437</v>
      </c>
      <c r="H40">
        <f>$F$40-$D$83+D83</f>
        <v>-355265.97047437145</v>
      </c>
      <c r="I40">
        <f t="shared" ref="I40:J40" si="99">$F$40-$D$83+E83</f>
        <v>-2887413.3743633823</v>
      </c>
      <c r="J40">
        <f t="shared" si="99"/>
        <v>-2887408.5298083825</v>
      </c>
      <c r="K40" s="6">
        <f>H40-$B$1*$G$40</f>
        <v>-355370.55213807395</v>
      </c>
      <c r="L40">
        <f t="shared" ref="L40:M40" si="100">I40-$B$1*$G$40</f>
        <v>-2887517.956027085</v>
      </c>
      <c r="M40" s="7">
        <f t="shared" si="100"/>
        <v>-2887513.1114720851</v>
      </c>
      <c r="N40">
        <v>-65.804575167721197</v>
      </c>
      <c r="O40">
        <f>K40+$N$40</f>
        <v>-355436.35671324166</v>
      </c>
      <c r="P40">
        <f t="shared" ref="P40:Q40" si="101">L40+$N$40</f>
        <v>-2887583.7606022526</v>
      </c>
      <c r="Q40">
        <f t="shared" si="101"/>
        <v>-2887578.9160472527</v>
      </c>
      <c r="R40">
        <f t="shared" si="15"/>
        <v>8.1122556407353841</v>
      </c>
      <c r="S40">
        <f t="shared" si="16"/>
        <v>6.1849755924195051</v>
      </c>
      <c r="T40">
        <f t="shared" si="17"/>
        <v>7.2377340127713978</v>
      </c>
      <c r="U40" s="6">
        <f t="shared" si="67"/>
        <v>2.4626399387307656E-6</v>
      </c>
      <c r="V40">
        <f t="shared" si="72"/>
        <v>6.2429376497015078E-5</v>
      </c>
      <c r="W40" s="7">
        <f t="shared" si="68"/>
        <v>1.0677604856093642E-5</v>
      </c>
      <c r="X40" s="6">
        <f t="shared" si="52"/>
        <v>2.1854469464965202E-6</v>
      </c>
      <c r="Y40">
        <f t="shared" si="53"/>
        <v>2.7907953057428752E-5</v>
      </c>
      <c r="Z40" s="7">
        <f t="shared" si="54"/>
        <v>5.0355051662083106E-6</v>
      </c>
      <c r="AA40">
        <f t="shared" si="55"/>
        <v>2.8484438445155518E-5</v>
      </c>
      <c r="AB40">
        <f t="shared" si="56"/>
        <v>2.9265950854772717E-4</v>
      </c>
      <c r="AC40">
        <f t="shared" si="57"/>
        <v>6.1428110935124526E-5</v>
      </c>
      <c r="AD40">
        <f t="shared" si="58"/>
        <v>-0.77678730045280198</v>
      </c>
      <c r="AE40">
        <f t="shared" si="59"/>
        <v>-80.586552040281248</v>
      </c>
      <c r="AF40">
        <f t="shared" si="60"/>
        <v>-14.540418549590134</v>
      </c>
    </row>
    <row r="41" spans="2:32" x14ac:dyDescent="0.2">
      <c r="B41" s="11"/>
      <c r="C41">
        <v>28</v>
      </c>
      <c r="D41">
        <v>-1486407275.97789</v>
      </c>
      <c r="E41">
        <v>1479.6001125872999</v>
      </c>
      <c r="F41">
        <f t="shared" si="44"/>
        <v>-355259.86519548041</v>
      </c>
      <c r="G41">
        <f t="shared" si="45"/>
        <v>0.35363291409830305</v>
      </c>
      <c r="H41">
        <f>$F$41-$D$84+D84</f>
        <v>-355259.86519548041</v>
      </c>
      <c r="I41">
        <f t="shared" ref="I41:J41" si="102">$F$41-$D$84+E84</f>
        <v>-2887404.2610635082</v>
      </c>
      <c r="J41">
        <f t="shared" si="102"/>
        <v>-2887400.2346135085</v>
      </c>
      <c r="K41" s="6">
        <f>H41-$B$1*$G$41</f>
        <v>-355365.95506970992</v>
      </c>
      <c r="L41">
        <f t="shared" ref="L41:M41" si="103">I41-$B$1*$G$41</f>
        <v>-2887510.3509377376</v>
      </c>
      <c r="M41" s="7">
        <f t="shared" si="103"/>
        <v>-2887506.3244877378</v>
      </c>
      <c r="N41">
        <v>-68.408266206714558</v>
      </c>
      <c r="O41">
        <f>K41+$N$41</f>
        <v>-355434.36333591666</v>
      </c>
      <c r="P41">
        <f t="shared" ref="P41:Q41" si="104">L41+$N$41</f>
        <v>-2887578.7592039444</v>
      </c>
      <c r="Q41">
        <f t="shared" si="104"/>
        <v>-2887574.7327539446</v>
      </c>
      <c r="R41">
        <f t="shared" si="15"/>
        <v>10.105632965744007</v>
      </c>
      <c r="S41">
        <f t="shared" si="16"/>
        <v>11.186373900622129</v>
      </c>
      <c r="T41">
        <f t="shared" si="17"/>
        <v>11.421027320902795</v>
      </c>
      <c r="U41" s="6">
        <f t="shared" si="67"/>
        <v>8.6948518945068175E-8</v>
      </c>
      <c r="V41">
        <f t="shared" si="72"/>
        <v>1.4189343059816979E-8</v>
      </c>
      <c r="W41" s="7">
        <f t="shared" si="68"/>
        <v>9.5724165003529398E-9</v>
      </c>
      <c r="X41" s="6">
        <f t="shared" si="52"/>
        <v>7.7161655767196855E-8</v>
      </c>
      <c r="Y41">
        <f t="shared" si="53"/>
        <v>6.3430958668641895E-9</v>
      </c>
      <c r="Z41" s="7">
        <f t="shared" si="54"/>
        <v>4.5143038528079969E-9</v>
      </c>
      <c r="AA41">
        <f t="shared" si="55"/>
        <v>1.2637044608611191E-6</v>
      </c>
      <c r="AB41">
        <f t="shared" si="56"/>
        <v>1.1973163617290566E-7</v>
      </c>
      <c r="AC41">
        <f t="shared" si="57"/>
        <v>8.6746929861187645E-8</v>
      </c>
      <c r="AD41">
        <f t="shared" si="58"/>
        <v>-2.7425903991558778E-2</v>
      </c>
      <c r="AE41">
        <f t="shared" si="59"/>
        <v>-1.8316188892751363E-2</v>
      </c>
      <c r="AF41">
        <f t="shared" si="60"/>
        <v>-1.3035389741342154E-2</v>
      </c>
    </row>
    <row r="42" spans="2:32" x14ac:dyDescent="0.2">
      <c r="B42" s="11"/>
      <c r="C42">
        <v>29</v>
      </c>
      <c r="D42">
        <v>-1486423450.2365401</v>
      </c>
      <c r="E42">
        <v>1466.4345690508001</v>
      </c>
      <c r="F42">
        <f t="shared" si="44"/>
        <v>-355263.7309360755</v>
      </c>
      <c r="G42">
        <f t="shared" si="45"/>
        <v>0.35048627367370938</v>
      </c>
      <c r="H42">
        <f>$F$42-$D$85+D85</f>
        <v>-355263.7309360755</v>
      </c>
      <c r="I42">
        <f t="shared" ref="I42:J42" si="105">$F$42-$D$85+E85</f>
        <v>-2887410.0468505342</v>
      </c>
      <c r="J42">
        <f t="shared" si="105"/>
        <v>-2887406.2713725343</v>
      </c>
      <c r="K42" s="6">
        <f>H42-$B$1*$G$42</f>
        <v>-355368.87681817764</v>
      </c>
      <c r="L42">
        <f t="shared" ref="L42:M42" si="106">I42-$B$1*$G$42</f>
        <v>-2887515.1927326364</v>
      </c>
      <c r="M42" s="7">
        <f t="shared" si="106"/>
        <v>-2887511.4172546365</v>
      </c>
      <c r="N42">
        <v>-66.915851614851903</v>
      </c>
      <c r="O42">
        <f>K42+$N$42</f>
        <v>-355435.79266979248</v>
      </c>
      <c r="P42">
        <f t="shared" ref="P42:Q42" si="107">L42+$N$42</f>
        <v>-2887582.1085842513</v>
      </c>
      <c r="Q42">
        <f t="shared" si="107"/>
        <v>-2887578.3331062514</v>
      </c>
      <c r="R42">
        <f t="shared" si="15"/>
        <v>8.6762990899151191</v>
      </c>
      <c r="S42">
        <f t="shared" si="16"/>
        <v>7.8369935937225819</v>
      </c>
      <c r="T42">
        <f t="shared" si="17"/>
        <v>7.8206750140525401</v>
      </c>
      <c r="U42" s="6">
        <f t="shared" si="67"/>
        <v>9.561051041067752E-7</v>
      </c>
      <c r="V42">
        <f t="shared" si="72"/>
        <v>3.9077273870456189E-6</v>
      </c>
      <c r="W42" s="7">
        <f t="shared" si="68"/>
        <v>4.0161695943961169E-6</v>
      </c>
      <c r="X42" s="6">
        <f t="shared" si="52"/>
        <v>8.4848659661420824E-7</v>
      </c>
      <c r="Y42">
        <f t="shared" si="53"/>
        <v>1.7468806930037518E-6</v>
      </c>
      <c r="Z42" s="7">
        <f t="shared" si="54"/>
        <v>1.8940055390239499E-6</v>
      </c>
      <c r="AA42">
        <f t="shared" si="55"/>
        <v>1.1861682722487072E-5</v>
      </c>
      <c r="AB42">
        <f t="shared" si="56"/>
        <v>2.3159583167574069E-5</v>
      </c>
      <c r="AC42">
        <f t="shared" si="57"/>
        <v>2.4956963700388631E-5</v>
      </c>
      <c r="AD42">
        <f t="shared" si="58"/>
        <v>-0.30158250603726555</v>
      </c>
      <c r="AE42">
        <f t="shared" si="59"/>
        <v>-5.0442614349488917</v>
      </c>
      <c r="AF42">
        <f t="shared" si="60"/>
        <v>-5.4690893572687846</v>
      </c>
    </row>
    <row r="43" spans="2:32" x14ac:dyDescent="0.2">
      <c r="B43" s="11"/>
      <c r="C43">
        <v>30</v>
      </c>
      <c r="D43">
        <v>-1486373277.39446</v>
      </c>
      <c r="E43">
        <v>1483.432738513</v>
      </c>
      <c r="F43">
        <f t="shared" si="44"/>
        <v>-355251.73933902005</v>
      </c>
      <c r="G43">
        <f t="shared" si="45"/>
        <v>0.3545489336790153</v>
      </c>
      <c r="H43">
        <f>$F$43-$D$86+D86</f>
        <v>-355251.73933902005</v>
      </c>
      <c r="I43">
        <f t="shared" ref="I43:J43" si="108">$F$43-$D$86+E86</f>
        <v>-2887399.1864114096</v>
      </c>
      <c r="J43">
        <f t="shared" si="108"/>
        <v>-2887396.5689814095</v>
      </c>
      <c r="K43" s="8">
        <f>H43-$B$1*$G$43</f>
        <v>-355358.10401912377</v>
      </c>
      <c r="L43" s="9">
        <f t="shared" ref="L43:M43" si="109">I43-$B$1*$G$43</f>
        <v>-2887505.5510915131</v>
      </c>
      <c r="M43" s="10">
        <f t="shared" si="109"/>
        <v>-2887502.933661513</v>
      </c>
      <c r="N43">
        <v>-73.741924126299693</v>
      </c>
      <c r="O43">
        <f>K43+$N$43</f>
        <v>-355431.84594325005</v>
      </c>
      <c r="P43">
        <f t="shared" ref="P43:Q43" si="110">L43+$N$43</f>
        <v>-2887579.2930156393</v>
      </c>
      <c r="Q43">
        <f t="shared" si="110"/>
        <v>-2887576.6755856392</v>
      </c>
      <c r="R43">
        <f t="shared" si="15"/>
        <v>12.62302563234698</v>
      </c>
      <c r="S43">
        <f t="shared" si="16"/>
        <v>10.652562205679715</v>
      </c>
      <c r="T43">
        <f t="shared" si="17"/>
        <v>9.4781956262886524</v>
      </c>
      <c r="U43" s="8">
        <f>2*EXP(-R43/(8.3145*$B$1/4.184/1000))</f>
        <v>1.2746410988612637E-9</v>
      </c>
      <c r="V43" s="9">
        <f>2*EXP(-S43/(8.3145*$B$1/4.184/1000))</f>
        <v>3.4740358328917545E-8</v>
      </c>
      <c r="W43" s="10">
        <f>2*EXP(-T43/(8.3145*$B$1/4.184/1000))</f>
        <v>2.4907994094908501E-7</v>
      </c>
      <c r="X43" s="8">
        <f t="shared" si="52"/>
        <v>1.1311684073559838E-9</v>
      </c>
      <c r="Y43" s="9">
        <f t="shared" si="53"/>
        <v>1.5530065232800152E-8</v>
      </c>
      <c r="Z43" s="10">
        <f t="shared" si="54"/>
        <v>1.1746485718023081E-7</v>
      </c>
      <c r="AA43">
        <f t="shared" si="55"/>
        <v>2.330208587582587E-8</v>
      </c>
      <c r="AB43">
        <f t="shared" si="56"/>
        <v>2.7923815154759083E-7</v>
      </c>
      <c r="AC43">
        <f t="shared" si="57"/>
        <v>1.8744016012958699E-6</v>
      </c>
      <c r="AD43">
        <f t="shared" si="58"/>
        <v>-4.0205327509922355E-4</v>
      </c>
      <c r="AE43">
        <f t="shared" si="59"/>
        <v>-4.4844294785415822E-2</v>
      </c>
      <c r="AF43">
        <f t="shared" si="60"/>
        <v>-0.3391887817946328</v>
      </c>
    </row>
    <row r="45" spans="2:32" x14ac:dyDescent="0.2">
      <c r="B45" t="s">
        <v>22</v>
      </c>
      <c r="C45" s="11"/>
      <c r="D45" s="11" t="s">
        <v>23</v>
      </c>
      <c r="E45" t="s">
        <v>8</v>
      </c>
      <c r="F45" t="s">
        <v>9</v>
      </c>
      <c r="K45">
        <f>MIN(K4:K7)</f>
        <v>-177680.25795238483</v>
      </c>
      <c r="L45">
        <f>MIN(L4:L7)</f>
        <v>-1443754.4059432733</v>
      </c>
      <c r="M45">
        <f>MIN(M4:M7)</f>
        <v>-1443754.0311422732</v>
      </c>
      <c r="O45">
        <f>MIN(O4:O7)</f>
        <v>-177719.14881500357</v>
      </c>
      <c r="P45">
        <f>MIN(P4:P7)</f>
        <v>-1443793.2820925983</v>
      </c>
      <c r="Q45">
        <f>MIN(Q4:Q7)</f>
        <v>-1443792.9072915982</v>
      </c>
      <c r="R45">
        <f>SUM(U4:U7)</f>
        <v>2.9434725663967165</v>
      </c>
      <c r="S45">
        <f t="shared" ref="S45:W45" si="111">SUM(V4:V7)</f>
        <v>2.9918799833998126</v>
      </c>
      <c r="T45">
        <f t="shared" si="111"/>
        <v>2.7960287555968795</v>
      </c>
      <c r="U45">
        <f>SUM(X4:X7)</f>
        <v>1.0000000000000002</v>
      </c>
      <c r="V45">
        <f t="shared" si="111"/>
        <v>1</v>
      </c>
      <c r="W45">
        <f t="shared" si="111"/>
        <v>0.99999999999999989</v>
      </c>
    </row>
    <row r="46" spans="2:32" x14ac:dyDescent="0.2">
      <c r="B46" t="s">
        <v>24</v>
      </c>
      <c r="C46" s="11"/>
      <c r="D46" s="11"/>
      <c r="E46" t="s">
        <v>7</v>
      </c>
      <c r="F46" t="s">
        <v>7</v>
      </c>
      <c r="K46">
        <f>MIN(K8:K43)</f>
        <v>-355383.84395596135</v>
      </c>
      <c r="L46">
        <f t="shared" ref="L46" si="112">MIN(L8:L43)</f>
        <v>-2887529.3205649238</v>
      </c>
      <c r="M46">
        <f>MIN(M8:M43)</f>
        <v>-2887522.8808379238</v>
      </c>
      <c r="O46">
        <f>MIN(O8:O43)</f>
        <v>-355444.4689688824</v>
      </c>
      <c r="P46">
        <f>MIN(P8:P43)</f>
        <v>-2887589.945577845</v>
      </c>
      <c r="Q46">
        <f>MIN(Q8:Q43)</f>
        <v>-2887586.1537812655</v>
      </c>
      <c r="R46">
        <f>SUM(U8:U43)</f>
        <v>1.1268358367969591</v>
      </c>
      <c r="S46">
        <f t="shared" ref="S46" si="113">SUM(V8:V43)</f>
        <v>2.2369743982494321</v>
      </c>
      <c r="T46">
        <f>SUM(W8:W43)</f>
        <v>2.1204634894921139</v>
      </c>
      <c r="U46">
        <f>SUM(X8:X43)</f>
        <v>1</v>
      </c>
      <c r="V46">
        <f t="shared" ref="V46:W46" si="114">SUM(Y8:Y43)</f>
        <v>1.0000000000000004</v>
      </c>
      <c r="W46">
        <f t="shared" si="114"/>
        <v>1.0000000000000002</v>
      </c>
    </row>
    <row r="47" spans="2:32" x14ac:dyDescent="0.2">
      <c r="B47" s="11" t="s">
        <v>11</v>
      </c>
      <c r="C47" t="s">
        <v>12</v>
      </c>
      <c r="D47">
        <f>D90*627.509608030592</f>
        <v>-178053.62889002517</v>
      </c>
      <c r="E47">
        <f t="shared" ref="E47" si="115">E90*627.509608030592</f>
        <v>-1444127.7149283674</v>
      </c>
      <c r="F47">
        <f t="shared" ref="F47:F69" si="116">E47+F90</f>
        <v>-1444127.1877323673</v>
      </c>
    </row>
    <row r="48" spans="2:32" x14ac:dyDescent="0.2">
      <c r="B48" s="11"/>
      <c r="C48" t="s">
        <v>13</v>
      </c>
      <c r="D48">
        <f>D91*627.509608030592</f>
        <v>-178053.46800233473</v>
      </c>
      <c r="E48">
        <f t="shared" ref="D48:E69" si="117">E91*627.509608030592</f>
        <v>-1444127.6395498111</v>
      </c>
      <c r="F48">
        <f t="shared" si="116"/>
        <v>-1444127.264748811</v>
      </c>
    </row>
    <row r="49" spans="2:6" x14ac:dyDescent="0.2">
      <c r="B49" s="11"/>
      <c r="C49" t="s">
        <v>15</v>
      </c>
      <c r="D49">
        <f t="shared" si="117"/>
        <v>-178052.70836543315</v>
      </c>
      <c r="E49">
        <f t="shared" si="117"/>
        <v>-1444125.2413975531</v>
      </c>
      <c r="F49">
        <f t="shared" si="116"/>
        <v>-1444123.3458265532</v>
      </c>
    </row>
    <row r="50" spans="2:6" x14ac:dyDescent="0.2">
      <c r="B50" s="11"/>
      <c r="C50" t="s">
        <v>14</v>
      </c>
      <c r="D50">
        <f t="shared" si="117"/>
        <v>-178053.18011630059</v>
      </c>
      <c r="E50">
        <f t="shared" si="117"/>
        <v>-1444127.3217511659</v>
      </c>
      <c r="F50">
        <f t="shared" si="116"/>
        <v>-1444127.0481431659</v>
      </c>
    </row>
    <row r="51" spans="2:6" x14ac:dyDescent="0.2">
      <c r="B51" s="11" t="s">
        <v>0</v>
      </c>
      <c r="C51">
        <v>1</v>
      </c>
      <c r="D51">
        <f t="shared" si="117"/>
        <v>-356149.31138173799</v>
      </c>
      <c r="E51">
        <f t="shared" si="117"/>
        <v>-2888294.7879907005</v>
      </c>
      <c r="F51">
        <f t="shared" si="116"/>
        <v>-2888288.3482637005</v>
      </c>
    </row>
    <row r="52" spans="2:6" x14ac:dyDescent="0.2">
      <c r="B52" s="11"/>
      <c r="C52">
        <v>2</v>
      </c>
      <c r="D52">
        <f t="shared" si="117"/>
        <v>-356136.0082763785</v>
      </c>
      <c r="E52">
        <f t="shared" si="117"/>
        <v>-2888282.9799672118</v>
      </c>
      <c r="F52">
        <f t="shared" si="116"/>
        <v>-2888279.5608792119</v>
      </c>
    </row>
    <row r="53" spans="2:6" x14ac:dyDescent="0.2">
      <c r="B53" s="11"/>
      <c r="C53">
        <v>3</v>
      </c>
      <c r="D53">
        <f t="shared" si="117"/>
        <v>-356135.55978635099</v>
      </c>
      <c r="E53">
        <f t="shared" si="117"/>
        <v>-2888285.7450100114</v>
      </c>
      <c r="F53">
        <f t="shared" si="116"/>
        <v>-2888281.2380980114</v>
      </c>
    </row>
    <row r="54" spans="2:6" x14ac:dyDescent="0.2">
      <c r="B54" s="11"/>
      <c r="C54">
        <v>4</v>
      </c>
      <c r="D54">
        <f t="shared" si="117"/>
        <v>-356124.78091149469</v>
      </c>
      <c r="E54">
        <f t="shared" si="117"/>
        <v>-2888274.63825991</v>
      </c>
      <c r="F54">
        <f t="shared" si="116"/>
        <v>-2888272.25227291</v>
      </c>
    </row>
    <row r="55" spans="2:6" x14ac:dyDescent="0.2">
      <c r="B55" s="11"/>
      <c r="C55" t="s">
        <v>1</v>
      </c>
      <c r="D55">
        <f t="shared" si="117"/>
        <v>-356127.46774448379</v>
      </c>
      <c r="E55">
        <f t="shared" si="117"/>
        <v>-2888273.6366473343</v>
      </c>
      <c r="F55">
        <f t="shared" si="116"/>
        <v>-2888270.7985233343</v>
      </c>
    </row>
    <row r="56" spans="2:6" x14ac:dyDescent="0.2">
      <c r="B56" s="11"/>
      <c r="C56" t="s">
        <v>2</v>
      </c>
      <c r="D56">
        <f t="shared" si="117"/>
        <v>-356125.52463255636</v>
      </c>
      <c r="E56">
        <f t="shared" si="117"/>
        <v>-2888268.8724360317</v>
      </c>
      <c r="F56">
        <f t="shared" si="116"/>
        <v>-2888262.4210790317</v>
      </c>
    </row>
    <row r="57" spans="2:6" x14ac:dyDescent="0.2">
      <c r="B57" s="11"/>
      <c r="C57">
        <v>6</v>
      </c>
      <c r="D57">
        <f t="shared" si="117"/>
        <v>-356137.10252744472</v>
      </c>
      <c r="E57">
        <f t="shared" si="117"/>
        <v>-2888283.5567468721</v>
      </c>
      <c r="F57">
        <f t="shared" si="116"/>
        <v>-2888279.077181872</v>
      </c>
    </row>
    <row r="58" spans="2:6" x14ac:dyDescent="0.2">
      <c r="B58" s="11"/>
      <c r="C58" t="s">
        <v>3</v>
      </c>
      <c r="D58">
        <f t="shared" si="117"/>
        <v>-356127.22150550922</v>
      </c>
      <c r="E58">
        <f t="shared" si="117"/>
        <v>-2888275.2706752187</v>
      </c>
      <c r="F58">
        <f t="shared" si="116"/>
        <v>-2888272.7282052184</v>
      </c>
    </row>
    <row r="59" spans="2:6" x14ac:dyDescent="0.2">
      <c r="B59" s="11"/>
      <c r="C59" t="s">
        <v>4</v>
      </c>
      <c r="D59">
        <f t="shared" si="117"/>
        <v>-356123.55050383293</v>
      </c>
      <c r="E59">
        <f t="shared" si="117"/>
        <v>-2888267.3672667057</v>
      </c>
      <c r="F59">
        <f t="shared" si="116"/>
        <v>-2888261.9300007056</v>
      </c>
    </row>
    <row r="60" spans="2:6" x14ac:dyDescent="0.2">
      <c r="B60" s="11"/>
      <c r="C60" t="s">
        <v>5</v>
      </c>
      <c r="D60">
        <f t="shared" si="117"/>
        <v>-356126.83092802978</v>
      </c>
      <c r="E60">
        <f t="shared" si="117"/>
        <v>-2888267.8780101538</v>
      </c>
      <c r="F60">
        <f t="shared" si="116"/>
        <v>-2888265.2826661537</v>
      </c>
    </row>
    <row r="61" spans="2:6" x14ac:dyDescent="0.2">
      <c r="B61" s="11"/>
      <c r="C61" t="s">
        <v>6</v>
      </c>
      <c r="D61">
        <f t="shared" si="117"/>
        <v>-356126.52115050709</v>
      </c>
      <c r="E61">
        <f t="shared" si="117"/>
        <v>-2888270.5957954372</v>
      </c>
      <c r="F61">
        <f t="shared" si="116"/>
        <v>-2888264.1140324371</v>
      </c>
    </row>
    <row r="62" spans="2:6" x14ac:dyDescent="0.2">
      <c r="B62" s="11"/>
      <c r="C62">
        <v>9</v>
      </c>
      <c r="D62">
        <f t="shared" si="117"/>
        <v>-356113.0204849799</v>
      </c>
      <c r="E62">
        <f t="shared" si="117"/>
        <v>-2888263.1952660396</v>
      </c>
      <c r="F62">
        <f t="shared" si="116"/>
        <v>-2888261.7748580398</v>
      </c>
    </row>
    <row r="63" spans="2:6" x14ac:dyDescent="0.2">
      <c r="B63" s="11"/>
      <c r="C63">
        <v>10</v>
      </c>
      <c r="D63">
        <f t="shared" si="117"/>
        <v>-356142.32690907543</v>
      </c>
      <c r="E63">
        <f t="shared" si="117"/>
        <v>-2888288.2423733328</v>
      </c>
      <c r="F63">
        <f t="shared" si="116"/>
        <v>-2888282.8318293327</v>
      </c>
    </row>
    <row r="64" spans="2:6" x14ac:dyDescent="0.2">
      <c r="B64" s="11"/>
      <c r="C64">
        <v>11</v>
      </c>
      <c r="D64">
        <f t="shared" si="117"/>
        <v>-356143.60947364144</v>
      </c>
      <c r="E64">
        <f t="shared" si="117"/>
        <v>-2888288.6664258833</v>
      </c>
      <c r="F64">
        <f t="shared" si="116"/>
        <v>-2888282.7150488831</v>
      </c>
    </row>
    <row r="65" spans="2:6" x14ac:dyDescent="0.2">
      <c r="B65" s="11"/>
      <c r="C65">
        <v>12</v>
      </c>
      <c r="D65">
        <f t="shared" si="117"/>
        <v>-356133.60642079107</v>
      </c>
      <c r="E65">
        <f t="shared" si="117"/>
        <v>-2888280.6697969777</v>
      </c>
      <c r="F65">
        <f t="shared" si="116"/>
        <v>-2888276.6053969776</v>
      </c>
    </row>
    <row r="66" spans="2:6" x14ac:dyDescent="0.2">
      <c r="B66" s="11"/>
      <c r="C66">
        <v>13</v>
      </c>
      <c r="D66">
        <f t="shared" si="117"/>
        <v>-356130.11674247129</v>
      </c>
      <c r="E66">
        <f t="shared" si="117"/>
        <v>-2888277.455535003</v>
      </c>
      <c r="F66">
        <f t="shared" si="116"/>
        <v>-2888274.2456320031</v>
      </c>
    </row>
    <row r="67" spans="2:6" x14ac:dyDescent="0.2">
      <c r="B67" s="11"/>
      <c r="C67">
        <v>14</v>
      </c>
      <c r="D67">
        <f t="shared" si="117"/>
        <v>-356135.56248508161</v>
      </c>
      <c r="E67">
        <f t="shared" si="117"/>
        <v>-2888282.876082337</v>
      </c>
      <c r="F67">
        <f t="shared" si="116"/>
        <v>-2888278.9057643372</v>
      </c>
    </row>
    <row r="68" spans="2:6" x14ac:dyDescent="0.2">
      <c r="B68" s="11"/>
      <c r="C68">
        <v>15</v>
      </c>
      <c r="D68">
        <f t="shared" si="117"/>
        <v>-356129.13956963766</v>
      </c>
      <c r="E68">
        <f t="shared" si="117"/>
        <v>-2888278.4701668345</v>
      </c>
      <c r="F68">
        <f t="shared" si="116"/>
        <v>-2888275.5619298345</v>
      </c>
    </row>
    <row r="69" spans="2:6" x14ac:dyDescent="0.2">
      <c r="B69" s="11"/>
      <c r="C69">
        <v>16</v>
      </c>
      <c r="D69">
        <f t="shared" si="117"/>
        <v>-356127.54988185188</v>
      </c>
      <c r="E69">
        <f t="shared" si="117"/>
        <v>-2888275.5239994102</v>
      </c>
      <c r="F69">
        <f t="shared" si="116"/>
        <v>-2888272.6717044101</v>
      </c>
    </row>
    <row r="70" spans="2:6" x14ac:dyDescent="0.2">
      <c r="B70" s="11"/>
      <c r="C70">
        <v>17</v>
      </c>
      <c r="D70">
        <f t="shared" ref="D70:E70" si="118">D113*627.509608030592</f>
        <v>-356139.40170997282</v>
      </c>
      <c r="E70">
        <f t="shared" si="118"/>
        <v>-2888286.9706606357</v>
      </c>
      <c r="F70">
        <f t="shared" ref="F70:F86" si="119">E70+F113</f>
        <v>-2888280.969069636</v>
      </c>
    </row>
    <row r="71" spans="2:6" x14ac:dyDescent="0.2">
      <c r="B71" s="11"/>
      <c r="C71">
        <v>18</v>
      </c>
      <c r="D71">
        <f t="shared" ref="D71:E71" si="120">D114*627.509608030592</f>
        <v>-356149.58895195345</v>
      </c>
      <c r="E71">
        <f t="shared" si="120"/>
        <v>-2888294.5153662148</v>
      </c>
      <c r="F71">
        <f t="shared" si="119"/>
        <v>-2888288.0288042147</v>
      </c>
    </row>
    <row r="72" spans="2:6" x14ac:dyDescent="0.2">
      <c r="B72" s="11"/>
      <c r="C72">
        <v>19</v>
      </c>
      <c r="D72">
        <f t="shared" ref="D72:E72" si="121">D115*627.509608030592</f>
        <v>-356125.20192055468</v>
      </c>
      <c r="E72">
        <f t="shared" si="121"/>
        <v>-2888272.9464265243</v>
      </c>
      <c r="F72">
        <f t="shared" si="119"/>
        <v>-2888270.3849735241</v>
      </c>
    </row>
    <row r="73" spans="2:6" x14ac:dyDescent="0.2">
      <c r="B73" s="11"/>
      <c r="C73" t="s">
        <v>43</v>
      </c>
      <c r="D73">
        <f t="shared" ref="D73:E73" si="122">D116*627.509608030592</f>
        <v>-356126.48436194059</v>
      </c>
      <c r="E73">
        <f t="shared" si="122"/>
        <v>-2888275.0263607409</v>
      </c>
      <c r="F73">
        <f t="shared" si="119"/>
        <v>-2888272.3034587409</v>
      </c>
    </row>
    <row r="74" spans="2:6" x14ac:dyDescent="0.2">
      <c r="B74" s="11"/>
      <c r="C74" t="s">
        <v>44</v>
      </c>
      <c r="D74">
        <f t="shared" ref="D74:E74" si="123">D117*627.509608030592</f>
        <v>-356124.61896412878</v>
      </c>
      <c r="E74">
        <f t="shared" si="123"/>
        <v>-2888268.7254495868</v>
      </c>
      <c r="F74">
        <f t="shared" si="119"/>
        <v>-2888262.3867025869</v>
      </c>
    </row>
    <row r="75" spans="2:6" x14ac:dyDescent="0.2">
      <c r="B75" s="11"/>
      <c r="C75">
        <v>21</v>
      </c>
      <c r="D75">
        <f>D118*627.509608030592</f>
        <v>-356138.32496623648</v>
      </c>
      <c r="E75">
        <f>E118*627.509608030592</f>
        <v>-2888284.8235387835</v>
      </c>
      <c r="F75">
        <f t="shared" si="119"/>
        <v>-2888279.9401667835</v>
      </c>
    </row>
    <row r="76" spans="2:6" x14ac:dyDescent="0.2">
      <c r="B76" s="11"/>
      <c r="C76" t="s">
        <v>45</v>
      </c>
      <c r="D76">
        <f t="shared" ref="D76:E76" si="124">D119*627.509608030592</f>
        <v>-356124.21704422485</v>
      </c>
      <c r="E76">
        <f t="shared" si="124"/>
        <v>-2888271.6750251791</v>
      </c>
      <c r="F76">
        <f>E76+F119</f>
        <v>-2888269.3860821789</v>
      </c>
    </row>
    <row r="77" spans="2:6" x14ac:dyDescent="0.2">
      <c r="B77" s="11"/>
      <c r="C77" t="s">
        <v>46</v>
      </c>
      <c r="D77">
        <f t="shared" ref="D77:E77" si="125">D120*627.509608030592</f>
        <v>-356121.45976700721</v>
      </c>
      <c r="E77">
        <f t="shared" si="125"/>
        <v>-2888266.1987300296</v>
      </c>
      <c r="F77">
        <f t="shared" si="119"/>
        <v>-2888260.8946940298</v>
      </c>
    </row>
    <row r="78" spans="2:6" x14ac:dyDescent="0.2">
      <c r="B78" s="11"/>
      <c r="C78" t="s">
        <v>47</v>
      </c>
      <c r="D78">
        <f t="shared" ref="D78:E78" si="126">D121*627.509608030592</f>
        <v>-356126.46472088981</v>
      </c>
      <c r="E78">
        <f t="shared" si="126"/>
        <v>-2888266.6082929377</v>
      </c>
      <c r="F78">
        <f t="shared" si="119"/>
        <v>-2888263.6311039375</v>
      </c>
    </row>
    <row r="79" spans="2:6" x14ac:dyDescent="0.2">
      <c r="B79" s="11"/>
      <c r="C79" t="s">
        <v>48</v>
      </c>
      <c r="D79">
        <f t="shared" ref="D79:E79" si="127">D122*627.509608030592</f>
        <v>-356127.90403967776</v>
      </c>
      <c r="E79">
        <f t="shared" si="127"/>
        <v>-2888269.6837125248</v>
      </c>
      <c r="F79">
        <f t="shared" si="119"/>
        <v>-2888262.8673735247</v>
      </c>
    </row>
    <row r="80" spans="2:6" x14ac:dyDescent="0.2">
      <c r="B80" s="11"/>
      <c r="C80">
        <v>24</v>
      </c>
      <c r="D80">
        <f t="shared" ref="D80:E80" si="128">D123*627.509608030592</f>
        <v>-356136.29189785739</v>
      </c>
      <c r="E80">
        <f t="shared" si="128"/>
        <v>-2888282.9885211964</v>
      </c>
      <c r="F80">
        <f t="shared" si="119"/>
        <v>-2888279.3588731964</v>
      </c>
    </row>
    <row r="81" spans="2:6" x14ac:dyDescent="0.2">
      <c r="B81" s="11"/>
      <c r="C81">
        <v>25</v>
      </c>
      <c r="D81">
        <f t="shared" ref="D81:E81" si="129">D124*627.509608030592</f>
        <v>-356143.65999017295</v>
      </c>
      <c r="E81">
        <f t="shared" si="129"/>
        <v>-2888289.9371544891</v>
      </c>
      <c r="F81">
        <f t="shared" si="119"/>
        <v>-2888284.3603334893</v>
      </c>
    </row>
    <row r="82" spans="2:6" x14ac:dyDescent="0.2">
      <c r="B82" s="11"/>
      <c r="C82">
        <v>26</v>
      </c>
      <c r="D82">
        <f t="shared" ref="D82:E82" si="130">D125*627.509608030592</f>
        <v>-356140.49445520423</v>
      </c>
      <c r="E82">
        <f t="shared" si="130"/>
        <v>-2888287.6267297054</v>
      </c>
      <c r="F82">
        <f t="shared" si="119"/>
        <v>-2888282.8108657054</v>
      </c>
    </row>
    <row r="83" spans="2:6" x14ac:dyDescent="0.2">
      <c r="B83" s="11"/>
      <c r="C83">
        <v>27</v>
      </c>
      <c r="D83">
        <f t="shared" ref="D83:E83" si="131">D126*627.509608030592</f>
        <v>-356140.55739441793</v>
      </c>
      <c r="E83">
        <f t="shared" si="131"/>
        <v>-2888287.9612834286</v>
      </c>
      <c r="F83">
        <f t="shared" si="119"/>
        <v>-2888283.1167284288</v>
      </c>
    </row>
    <row r="84" spans="2:6" x14ac:dyDescent="0.2">
      <c r="B84" s="11"/>
      <c r="C84">
        <v>28</v>
      </c>
      <c r="D84">
        <f t="shared" ref="D84:E84" si="132">D127*627.509608030592</f>
        <v>-356133.4000825797</v>
      </c>
      <c r="E84">
        <f t="shared" si="132"/>
        <v>-2888277.7959506074</v>
      </c>
      <c r="F84">
        <f t="shared" si="119"/>
        <v>-2888273.7695006076</v>
      </c>
    </row>
    <row r="85" spans="2:6" x14ac:dyDescent="0.2">
      <c r="B85" s="11"/>
      <c r="C85">
        <v>29</v>
      </c>
      <c r="D85">
        <f t="shared" ref="D85:E85" si="133">D128*627.509608030592</f>
        <v>-356138.04584996274</v>
      </c>
      <c r="E85">
        <f t="shared" si="133"/>
        <v>-2888284.3617644212</v>
      </c>
      <c r="F85">
        <f t="shared" si="119"/>
        <v>-2888280.5862864214</v>
      </c>
    </row>
    <row r="86" spans="2:6" x14ac:dyDescent="0.2">
      <c r="B86" s="11"/>
      <c r="C86">
        <v>30</v>
      </c>
      <c r="D86">
        <f t="shared" ref="D86:E86" si="134">D129*627.509608030592</f>
        <v>-356125.45003785368</v>
      </c>
      <c r="E86">
        <f t="shared" si="134"/>
        <v>-2888272.8971102433</v>
      </c>
      <c r="F86">
        <f t="shared" si="119"/>
        <v>-2888270.2796802432</v>
      </c>
    </row>
    <row r="88" spans="2:6" x14ac:dyDescent="0.2">
      <c r="B88" t="s">
        <v>22</v>
      </c>
      <c r="C88" s="11"/>
      <c r="D88" s="11" t="s">
        <v>23</v>
      </c>
      <c r="E88" t="s">
        <v>8</v>
      </c>
      <c r="F88" t="s">
        <v>9</v>
      </c>
    </row>
    <row r="89" spans="2:6" x14ac:dyDescent="0.2">
      <c r="B89" t="s">
        <v>25</v>
      </c>
      <c r="C89" s="11"/>
      <c r="D89" s="11"/>
      <c r="E89" t="s">
        <v>7</v>
      </c>
      <c r="F89" t="s">
        <v>7</v>
      </c>
    </row>
    <row r="90" spans="2:6" x14ac:dyDescent="0.2">
      <c r="B90" s="11" t="s">
        <v>11</v>
      </c>
      <c r="C90" t="s">
        <v>12</v>
      </c>
      <c r="D90">
        <v>-283.74645839900001</v>
      </c>
      <c r="E90" s="2">
        <v>-2301.36351132645</v>
      </c>
      <c r="F90" s="2">
        <v>0.527196</v>
      </c>
    </row>
    <row r="91" spans="2:6" x14ac:dyDescent="0.2">
      <c r="B91" s="11"/>
      <c r="C91" t="s">
        <v>13</v>
      </c>
      <c r="D91">
        <v>-283.74620200819999</v>
      </c>
      <c r="E91" s="2">
        <v>-2301.3633912031</v>
      </c>
      <c r="F91" s="2">
        <v>0.374801</v>
      </c>
    </row>
    <row r="92" spans="2:6" x14ac:dyDescent="0.2">
      <c r="B92" s="11"/>
      <c r="C92" t="s">
        <v>15</v>
      </c>
      <c r="D92">
        <v>-283.74499144999999</v>
      </c>
      <c r="E92" s="2">
        <v>-2301.3595695050299</v>
      </c>
      <c r="F92" s="2">
        <v>1.8955709999999999</v>
      </c>
    </row>
    <row r="93" spans="2:6" x14ac:dyDescent="0.2">
      <c r="B93" s="11"/>
      <c r="C93" t="s">
        <v>14</v>
      </c>
      <c r="D93">
        <v>-283.74574323270002</v>
      </c>
      <c r="E93" s="2">
        <v>-2301.3628847588302</v>
      </c>
      <c r="F93" s="2">
        <v>0.27360800000000002</v>
      </c>
    </row>
    <row r="94" spans="2:6" x14ac:dyDescent="0.2">
      <c r="B94" s="11" t="s">
        <v>0</v>
      </c>
      <c r="C94">
        <v>1</v>
      </c>
      <c r="D94">
        <v>-567.55993346380001</v>
      </c>
      <c r="E94" s="2">
        <v>-4602.78974381838</v>
      </c>
      <c r="F94" s="2">
        <v>6.4397270000000004</v>
      </c>
    </row>
    <row r="95" spans="2:6" x14ac:dyDescent="0.2">
      <c r="B95" s="11"/>
      <c r="C95">
        <v>2</v>
      </c>
      <c r="D95">
        <v>-567.53873362050001</v>
      </c>
      <c r="E95" s="2">
        <v>-4602.7709265391904</v>
      </c>
      <c r="F95" s="2">
        <v>3.4190879999999999</v>
      </c>
    </row>
    <row r="96" spans="2:6" x14ac:dyDescent="0.2">
      <c r="B96" s="11"/>
      <c r="C96">
        <v>3</v>
      </c>
      <c r="D96">
        <v>-567.53801890629995</v>
      </c>
      <c r="E96" s="2">
        <v>-4602.7753329144298</v>
      </c>
      <c r="F96" s="2">
        <v>4.5069119999999998</v>
      </c>
    </row>
    <row r="97" spans="2:6" x14ac:dyDescent="0.2">
      <c r="B97" s="11"/>
      <c r="C97">
        <v>4</v>
      </c>
      <c r="D97">
        <v>-567.52084167949999</v>
      </c>
      <c r="E97" s="2">
        <v>-4602.7576331852797</v>
      </c>
      <c r="F97" s="2">
        <v>2.3859870000000001</v>
      </c>
    </row>
    <row r="98" spans="2:6" x14ac:dyDescent="0.2">
      <c r="B98" s="11"/>
      <c r="C98" t="s">
        <v>1</v>
      </c>
      <c r="D98">
        <v>-567.52512341950001</v>
      </c>
      <c r="E98" s="2">
        <v>-4602.7560370143801</v>
      </c>
      <c r="F98" s="2">
        <v>2.8381240000000001</v>
      </c>
    </row>
    <row r="99" spans="2:6" x14ac:dyDescent="0.2">
      <c r="B99" s="11"/>
      <c r="C99" t="s">
        <v>2</v>
      </c>
      <c r="D99">
        <v>-567.52202687420004</v>
      </c>
      <c r="E99" s="2">
        <v>-4602.74844476202</v>
      </c>
      <c r="F99" s="2">
        <v>6.4513569999999998</v>
      </c>
    </row>
    <row r="100" spans="2:6" x14ac:dyDescent="0.2">
      <c r="B100" s="11"/>
      <c r="C100">
        <v>6</v>
      </c>
      <c r="D100">
        <v>-567.54047742019998</v>
      </c>
      <c r="E100" s="2">
        <v>-4602.7718456958901</v>
      </c>
      <c r="F100" s="2">
        <v>4.479565</v>
      </c>
    </row>
    <row r="101" spans="2:6" x14ac:dyDescent="0.2">
      <c r="B101" s="11"/>
      <c r="C101" t="s">
        <v>3</v>
      </c>
      <c r="D101">
        <v>-567.52473101279998</v>
      </c>
      <c r="E101" s="2">
        <v>-4602.7586410030099</v>
      </c>
      <c r="F101" s="2">
        <v>2.5424699999999998</v>
      </c>
    </row>
    <row r="102" spans="2:6" x14ac:dyDescent="0.2">
      <c r="B102" s="11"/>
      <c r="C102" t="s">
        <v>4</v>
      </c>
      <c r="D102">
        <v>-567.51888090049999</v>
      </c>
      <c r="E102" s="2">
        <v>-4602.7460461225301</v>
      </c>
      <c r="F102" s="2">
        <v>5.4372660000000002</v>
      </c>
    </row>
    <row r="103" spans="2:6" x14ac:dyDescent="0.2">
      <c r="B103" s="11"/>
      <c r="C103" t="s">
        <v>5</v>
      </c>
      <c r="D103">
        <v>-567.52410858810003</v>
      </c>
      <c r="E103" s="2">
        <v>-4602.7468600438497</v>
      </c>
      <c r="F103" s="2">
        <v>2.5953439999999999</v>
      </c>
    </row>
    <row r="104" spans="2:6" x14ac:dyDescent="0.2">
      <c r="B104" s="11"/>
      <c r="C104" t="s">
        <v>6</v>
      </c>
      <c r="D104">
        <v>-567.52361492629996</v>
      </c>
      <c r="E104" s="2">
        <v>-4602.7511911094598</v>
      </c>
      <c r="F104" s="2">
        <v>6.4817629999999999</v>
      </c>
    </row>
    <row r="105" spans="2:6" x14ac:dyDescent="0.2">
      <c r="B105" s="11"/>
      <c r="C105">
        <v>9</v>
      </c>
      <c r="D105">
        <v>-567.50210025089996</v>
      </c>
      <c r="E105" s="2">
        <v>-4602.73939761769</v>
      </c>
      <c r="F105" s="2">
        <v>1.4204079999999999</v>
      </c>
    </row>
    <row r="106" spans="2:6" x14ac:dyDescent="0.2">
      <c r="B106" s="11"/>
      <c r="C106">
        <v>10</v>
      </c>
      <c r="D106">
        <v>-567.54880300050002</v>
      </c>
      <c r="E106" s="2">
        <v>-4602.77931271536</v>
      </c>
      <c r="F106" s="2">
        <v>5.4105439999999998</v>
      </c>
    </row>
    <row r="107" spans="2:6" x14ac:dyDescent="0.2">
      <c r="B107" s="11"/>
      <c r="C107">
        <v>11</v>
      </c>
      <c r="D107">
        <v>-567.55084689679995</v>
      </c>
      <c r="E107" s="2">
        <v>-4602.7799884859696</v>
      </c>
      <c r="F107" s="2">
        <v>5.9513769999999999</v>
      </c>
    </row>
    <row r="108" spans="2:6" x14ac:dyDescent="0.2">
      <c r="B108" s="11"/>
      <c r="C108">
        <v>12</v>
      </c>
      <c r="D108">
        <v>-567.53490602080001</v>
      </c>
      <c r="E108" s="2">
        <v>-4602.7672450493701</v>
      </c>
      <c r="F108" s="2">
        <v>4.0644</v>
      </c>
    </row>
    <row r="109" spans="2:6" x14ac:dyDescent="0.2">
      <c r="B109" s="11"/>
      <c r="C109">
        <v>13</v>
      </c>
      <c r="D109">
        <v>-567.52934486560002</v>
      </c>
      <c r="E109" s="2">
        <v>-4602.7621227979598</v>
      </c>
      <c r="F109" s="2">
        <v>3.2099030000000002</v>
      </c>
    </row>
    <row r="110" spans="2:6" x14ac:dyDescent="0.2">
      <c r="B110" s="11"/>
      <c r="C110">
        <v>14</v>
      </c>
      <c r="D110">
        <v>-567.53802320700004</v>
      </c>
      <c r="E110" s="2">
        <v>-4602.77076098814</v>
      </c>
      <c r="F110" s="2">
        <v>3.9703179999999998</v>
      </c>
    </row>
    <row r="111" spans="2:6" x14ac:dyDescent="0.2">
      <c r="B111" s="11"/>
      <c r="C111">
        <v>15</v>
      </c>
      <c r="D111">
        <v>-567.52778764189998</v>
      </c>
      <c r="E111" s="2">
        <v>-4602.7637397163599</v>
      </c>
      <c r="F111" s="2">
        <v>2.9082370000000002</v>
      </c>
    </row>
    <row r="112" spans="2:6" x14ac:dyDescent="0.2">
      <c r="B112" s="11"/>
      <c r="C112">
        <v>16</v>
      </c>
      <c r="D112">
        <v>-567.52525431369997</v>
      </c>
      <c r="E112" s="2">
        <v>-4602.7590447007196</v>
      </c>
      <c r="F112" s="2">
        <v>2.8522949999999998</v>
      </c>
    </row>
    <row r="113" spans="2:6" x14ac:dyDescent="0.2">
      <c r="B113" s="11"/>
      <c r="C113">
        <v>17</v>
      </c>
      <c r="D113">
        <v>-567.54414139999994</v>
      </c>
      <c r="E113">
        <v>-4602.7772861126105</v>
      </c>
      <c r="F113">
        <v>6.0015910000000003</v>
      </c>
    </row>
    <row r="114" spans="2:6" x14ac:dyDescent="0.2">
      <c r="B114" s="11"/>
      <c r="C114">
        <v>18</v>
      </c>
      <c r="D114">
        <v>-567.56037579999997</v>
      </c>
      <c r="E114">
        <v>-4602.7893093637003</v>
      </c>
      <c r="F114">
        <v>6.4865620000000002</v>
      </c>
    </row>
    <row r="115" spans="2:6" x14ac:dyDescent="0.2">
      <c r="B115" s="11"/>
      <c r="C115">
        <v>19</v>
      </c>
      <c r="D115">
        <v>-567.52151260000005</v>
      </c>
      <c r="E115">
        <v>-4602.7549370777397</v>
      </c>
      <c r="F115">
        <v>2.5614530000000002</v>
      </c>
    </row>
    <row r="116" spans="2:6" x14ac:dyDescent="0.2">
      <c r="B116" s="11"/>
      <c r="C116" t="s">
        <v>43</v>
      </c>
      <c r="D116">
        <v>-567.5235563</v>
      </c>
      <c r="E116">
        <v>-4602.7582516631901</v>
      </c>
      <c r="F116">
        <v>2.7229019999999999</v>
      </c>
    </row>
    <row r="117" spans="2:6" x14ac:dyDescent="0.2">
      <c r="B117" s="11"/>
      <c r="C117" t="s">
        <v>44</v>
      </c>
      <c r="D117">
        <v>-567.52058360000001</v>
      </c>
      <c r="E117">
        <v>-4602.7482105242598</v>
      </c>
      <c r="F117">
        <v>6.3387469999999997</v>
      </c>
    </row>
    <row r="118" spans="2:6" x14ac:dyDescent="0.2">
      <c r="B118" s="11"/>
      <c r="C118">
        <v>21</v>
      </c>
      <c r="D118">
        <v>-567.54242550000004</v>
      </c>
      <c r="E118">
        <v>-4602.7738644568699</v>
      </c>
      <c r="F118">
        <v>4.8833719999999996</v>
      </c>
    </row>
    <row r="119" spans="2:6" x14ac:dyDescent="0.2">
      <c r="B119" s="11"/>
      <c r="C119" t="s">
        <v>45</v>
      </c>
      <c r="D119">
        <v>-567.51994309999998</v>
      </c>
      <c r="E119">
        <v>-4602.7529109711604</v>
      </c>
      <c r="F119">
        <v>2.2889430000000002</v>
      </c>
    </row>
    <row r="120" spans="2:6" x14ac:dyDescent="0.2">
      <c r="B120" s="11"/>
      <c r="C120" t="s">
        <v>46</v>
      </c>
      <c r="D120">
        <v>-567.51554910000004</v>
      </c>
      <c r="E120">
        <v>-4602.7441839412004</v>
      </c>
      <c r="F120">
        <v>5.304036</v>
      </c>
    </row>
    <row r="121" spans="2:6" x14ac:dyDescent="0.2">
      <c r="B121" s="11"/>
      <c r="C121" t="s">
        <v>47</v>
      </c>
      <c r="D121">
        <v>-567.52352499999995</v>
      </c>
      <c r="E121">
        <v>-4602.7448366211001</v>
      </c>
      <c r="F121">
        <v>2.9771890000000001</v>
      </c>
    </row>
    <row r="122" spans="2:6" x14ac:dyDescent="0.2">
      <c r="B122" s="11"/>
      <c r="C122" t="s">
        <v>48</v>
      </c>
      <c r="D122">
        <v>-567.52581869999995</v>
      </c>
      <c r="E122">
        <v>-4602.7497376131296</v>
      </c>
      <c r="F122">
        <v>6.8163390000000001</v>
      </c>
    </row>
    <row r="123" spans="2:6" x14ac:dyDescent="0.2">
      <c r="B123" s="11"/>
      <c r="C123">
        <v>24</v>
      </c>
      <c r="D123">
        <v>-567.5391856</v>
      </c>
      <c r="E123">
        <v>-4602.7709401708298</v>
      </c>
      <c r="F123">
        <v>3.629648</v>
      </c>
    </row>
    <row r="124" spans="2:6" x14ac:dyDescent="0.2">
      <c r="B124" s="11"/>
      <c r="C124">
        <v>25</v>
      </c>
      <c r="D124">
        <v>-567.55092739999998</v>
      </c>
      <c r="E124">
        <v>-4602.7820135204702</v>
      </c>
      <c r="F124">
        <v>5.5768209999999998</v>
      </c>
    </row>
    <row r="125" spans="2:6" x14ac:dyDescent="0.2">
      <c r="B125" s="11"/>
      <c r="C125">
        <v>26</v>
      </c>
      <c r="D125">
        <v>-567.54588279999996</v>
      </c>
      <c r="E125">
        <v>-4602.7783316249997</v>
      </c>
      <c r="F125">
        <v>4.8158640000000004</v>
      </c>
    </row>
    <row r="126" spans="2:6" x14ac:dyDescent="0.2">
      <c r="B126" s="11"/>
      <c r="C126">
        <v>27</v>
      </c>
      <c r="D126">
        <v>-567.54598309999994</v>
      </c>
      <c r="E126">
        <v>-4602.77886477018</v>
      </c>
      <c r="F126">
        <v>4.8445549999999997</v>
      </c>
    </row>
    <row r="127" spans="2:6" x14ac:dyDescent="0.2">
      <c r="B127" s="11"/>
      <c r="C127">
        <v>28</v>
      </c>
      <c r="D127">
        <v>-567.53457719999994</v>
      </c>
      <c r="E127">
        <v>-4602.7626652846402</v>
      </c>
      <c r="F127">
        <v>4.0264499999999996</v>
      </c>
    </row>
    <row r="128" spans="2:6" x14ac:dyDescent="0.2">
      <c r="B128" s="11"/>
      <c r="C128">
        <v>29</v>
      </c>
      <c r="D128">
        <v>-567.54198069999995</v>
      </c>
      <c r="E128">
        <v>-4602.7731285727396</v>
      </c>
      <c r="F128">
        <v>3.7754780000000001</v>
      </c>
    </row>
    <row r="129" spans="2:6" x14ac:dyDescent="0.2">
      <c r="B129" s="11"/>
      <c r="C129">
        <v>30</v>
      </c>
      <c r="D129">
        <v>-567.52190800000005</v>
      </c>
      <c r="E129">
        <v>-4602.7548584872602</v>
      </c>
      <c r="F129">
        <v>2.6174300000000001</v>
      </c>
    </row>
  </sheetData>
  <mergeCells count="35">
    <mergeCell ref="AI14:AI15"/>
    <mergeCell ref="AH19:AI19"/>
    <mergeCell ref="AI1:AK1"/>
    <mergeCell ref="AI2:AI3"/>
    <mergeCell ref="AI7:AK7"/>
    <mergeCell ref="AI8:AI9"/>
    <mergeCell ref="AI13:AK13"/>
    <mergeCell ref="X1:Z1"/>
    <mergeCell ref="X2:X3"/>
    <mergeCell ref="AD1:AF1"/>
    <mergeCell ref="AD2:AD3"/>
    <mergeCell ref="AA1:AC1"/>
    <mergeCell ref="AA2:AA3"/>
    <mergeCell ref="H2:H3"/>
    <mergeCell ref="H1:J1"/>
    <mergeCell ref="K1:M1"/>
    <mergeCell ref="K2:K3"/>
    <mergeCell ref="N1:N3"/>
    <mergeCell ref="R1:T1"/>
    <mergeCell ref="R2:R3"/>
    <mergeCell ref="U1:W1"/>
    <mergeCell ref="U2:U3"/>
    <mergeCell ref="O1:Q1"/>
    <mergeCell ref="O2:O3"/>
    <mergeCell ref="C88:C89"/>
    <mergeCell ref="D88:D89"/>
    <mergeCell ref="B90:B93"/>
    <mergeCell ref="B94:B129"/>
    <mergeCell ref="D1:G1"/>
    <mergeCell ref="B4:B7"/>
    <mergeCell ref="B47:B50"/>
    <mergeCell ref="D45:D46"/>
    <mergeCell ref="C45:C46"/>
    <mergeCell ref="B51:B86"/>
    <mergeCell ref="B8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Thermodynamics binding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Filipe Menezes</dc:creator>
  <cp:lastModifiedBy>Filipe Menezes</cp:lastModifiedBy>
  <dcterms:created xsi:type="dcterms:W3CDTF">2023-01-23T19:17:55Z</dcterms:created>
  <dcterms:modified xsi:type="dcterms:W3CDTF">2023-04-18T21:45:08Z</dcterms:modified>
</cp:coreProperties>
</file>