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rius/MolPhys/PaperCatcher/to finish/PCCP/Resubmit/"/>
    </mc:Choice>
  </mc:AlternateContent>
  <xr:revisionPtr revIDLastSave="0" documentId="13_ncr:1_{A408512B-B268-1C49-B732-83DCEC03AD59}" xr6:coauthVersionLast="47" xr6:coauthVersionMax="47" xr10:uidLastSave="{00000000-0000-0000-0000-000000000000}"/>
  <bookViews>
    <workbookView xWindow="460" yWindow="500" windowWidth="25060" windowHeight="19400" activeTab="2" xr2:uid="{0BE5F076-D477-1341-AA84-B22170566899}"/>
  </bookViews>
  <sheets>
    <sheet name="Gas" sheetId="3" r:id="rId1"/>
    <sheet name="Toluene" sheetId="11" r:id="rId2"/>
    <sheet name="Thermodynamics binding" sheetId="13" r:id="rId3"/>
  </sheets>
  <definedNames>
    <definedName name="solver_adj" localSheetId="0" hidden="1">Gas!$BS$4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1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opt" localSheetId="0" hidden="1">Gas!$CF$5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8" i="11" l="1"/>
  <c r="V68" i="11"/>
  <c r="U68" i="11"/>
  <c r="T68" i="11"/>
  <c r="S68" i="11"/>
  <c r="R68" i="11"/>
  <c r="Q68" i="11"/>
  <c r="W67" i="11"/>
  <c r="V67" i="11"/>
  <c r="U67" i="11"/>
  <c r="T67" i="11"/>
  <c r="S67" i="11"/>
  <c r="R67" i="11"/>
  <c r="Q67" i="11"/>
  <c r="W66" i="11"/>
  <c r="V66" i="11"/>
  <c r="U66" i="11"/>
  <c r="T66" i="11"/>
  <c r="S66" i="11"/>
  <c r="R66" i="11"/>
  <c r="Q66" i="11"/>
  <c r="W65" i="11"/>
  <c r="V65" i="11"/>
  <c r="U65" i="11"/>
  <c r="T65" i="11"/>
  <c r="S65" i="11"/>
  <c r="R65" i="11"/>
  <c r="Q65" i="11"/>
  <c r="W64" i="11"/>
  <c r="V64" i="11"/>
  <c r="U64" i="11"/>
  <c r="T64" i="11"/>
  <c r="S64" i="11"/>
  <c r="R64" i="11"/>
  <c r="Q64" i="11"/>
  <c r="W63" i="11"/>
  <c r="V63" i="11"/>
  <c r="U63" i="11"/>
  <c r="T63" i="11"/>
  <c r="S63" i="11"/>
  <c r="R63" i="11"/>
  <c r="Q63" i="11"/>
  <c r="W62" i="11"/>
  <c r="V62" i="11"/>
  <c r="U62" i="11"/>
  <c r="T62" i="11"/>
  <c r="S62" i="11"/>
  <c r="R62" i="11"/>
  <c r="Q62" i="11"/>
  <c r="W61" i="11"/>
  <c r="V61" i="11"/>
  <c r="U61" i="11"/>
  <c r="T61" i="11"/>
  <c r="S61" i="11"/>
  <c r="R61" i="11"/>
  <c r="Q61" i="11"/>
  <c r="W60" i="11"/>
  <c r="V60" i="11"/>
  <c r="U60" i="11"/>
  <c r="T60" i="11"/>
  <c r="S60" i="11"/>
  <c r="R60" i="11"/>
  <c r="Q60" i="11"/>
  <c r="W59" i="11"/>
  <c r="V59" i="11"/>
  <c r="U59" i="11"/>
  <c r="T59" i="11"/>
  <c r="S59" i="11"/>
  <c r="R59" i="11"/>
  <c r="Q59" i="11"/>
  <c r="W58" i="11"/>
  <c r="V58" i="11"/>
  <c r="U58" i="11"/>
  <c r="T58" i="11"/>
  <c r="S58" i="11"/>
  <c r="R58" i="11"/>
  <c r="Q58" i="11"/>
  <c r="W57" i="11"/>
  <c r="V57" i="11"/>
  <c r="U57" i="11"/>
  <c r="T57" i="11"/>
  <c r="S57" i="11"/>
  <c r="R57" i="11"/>
  <c r="Q57" i="11"/>
  <c r="W56" i="11"/>
  <c r="V56" i="11"/>
  <c r="U56" i="11"/>
  <c r="T56" i="11"/>
  <c r="S56" i="11"/>
  <c r="R56" i="11"/>
  <c r="Q56" i="11"/>
  <c r="W55" i="11"/>
  <c r="V55" i="11"/>
  <c r="U55" i="11"/>
  <c r="T55" i="11"/>
  <c r="S55" i="11"/>
  <c r="R55" i="11"/>
  <c r="Q55" i="11"/>
  <c r="W54" i="11"/>
  <c r="V54" i="11"/>
  <c r="U54" i="11"/>
  <c r="T54" i="11"/>
  <c r="S54" i="11"/>
  <c r="R54" i="11"/>
  <c r="Q54" i="11"/>
  <c r="W53" i="11"/>
  <c r="V53" i="11"/>
  <c r="U53" i="11"/>
  <c r="T53" i="11"/>
  <c r="S53" i="11"/>
  <c r="R53" i="11"/>
  <c r="Q53" i="11"/>
  <c r="W52" i="11"/>
  <c r="V52" i="11"/>
  <c r="U52" i="11"/>
  <c r="T52" i="11"/>
  <c r="S52" i="11"/>
  <c r="R52" i="11"/>
  <c r="Q52" i="11"/>
  <c r="W51" i="11"/>
  <c r="V51" i="11"/>
  <c r="U51" i="11"/>
  <c r="T51" i="11"/>
  <c r="S51" i="11"/>
  <c r="R51" i="11"/>
  <c r="Q51" i="11"/>
  <c r="Q50" i="11"/>
  <c r="W50" i="11"/>
  <c r="V50" i="11"/>
  <c r="U50" i="11"/>
  <c r="T50" i="11"/>
  <c r="U27" i="11"/>
  <c r="U28" i="11"/>
  <c r="S50" i="11"/>
  <c r="R50" i="11"/>
  <c r="AL18" i="13"/>
  <c r="AK18" i="13"/>
  <c r="AJ18" i="13"/>
  <c r="AI18" i="13"/>
  <c r="AH18" i="13"/>
  <c r="AG18" i="13"/>
  <c r="AG17" i="13"/>
  <c r="AL17" i="13"/>
  <c r="AK17" i="13"/>
  <c r="AJ17" i="13"/>
  <c r="AI17" i="13"/>
  <c r="AH17" i="13"/>
  <c r="AL9" i="13"/>
  <c r="AK9" i="13"/>
  <c r="AJ9" i="13"/>
  <c r="AI9" i="13"/>
  <c r="AH9" i="13"/>
  <c r="AG9" i="13"/>
  <c r="AL6" i="13"/>
  <c r="AK6" i="13"/>
  <c r="AJ6" i="13"/>
  <c r="AI7" i="13"/>
  <c r="AI6" i="13"/>
  <c r="AH6" i="13"/>
  <c r="AG6" i="13"/>
  <c r="AL5" i="13"/>
  <c r="AJ5" i="13"/>
  <c r="AK5" i="13"/>
  <c r="AI5" i="13"/>
  <c r="AH5" i="13"/>
  <c r="AG5" i="13"/>
  <c r="D30" i="13" l="1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7" i="13"/>
  <c r="T6" i="13"/>
  <c r="T5" i="13"/>
  <c r="T4" i="13"/>
  <c r="E30" i="13"/>
  <c r="F30" i="13"/>
  <c r="G30" i="13"/>
  <c r="H30" i="13"/>
  <c r="I30" i="13" s="1"/>
  <c r="E31" i="13"/>
  <c r="F31" i="13"/>
  <c r="G31" i="13"/>
  <c r="H31" i="13"/>
  <c r="I31" i="13" s="1"/>
  <c r="E32" i="13"/>
  <c r="F32" i="13"/>
  <c r="G32" i="13"/>
  <c r="H32" i="13"/>
  <c r="I32" i="13" s="1"/>
  <c r="E33" i="13"/>
  <c r="F33" i="13"/>
  <c r="G33" i="13"/>
  <c r="H33" i="13"/>
  <c r="I33" i="13" s="1"/>
  <c r="E34" i="13"/>
  <c r="F34" i="13"/>
  <c r="G34" i="13"/>
  <c r="H34" i="13"/>
  <c r="I34" i="13" s="1"/>
  <c r="E35" i="13"/>
  <c r="F35" i="13"/>
  <c r="G35" i="13"/>
  <c r="H35" i="13"/>
  <c r="I35" i="13" s="1"/>
  <c r="E36" i="13"/>
  <c r="F36" i="13"/>
  <c r="G36" i="13"/>
  <c r="H36" i="13"/>
  <c r="I36" i="13" s="1"/>
  <c r="E37" i="13"/>
  <c r="F37" i="13"/>
  <c r="G37" i="13"/>
  <c r="H37" i="13"/>
  <c r="I37" i="13" s="1"/>
  <c r="E38" i="13"/>
  <c r="F38" i="13"/>
  <c r="G38" i="13"/>
  <c r="H38" i="13"/>
  <c r="I38" i="13" s="1"/>
  <c r="E39" i="13"/>
  <c r="F39" i="13"/>
  <c r="G39" i="13"/>
  <c r="H39" i="13"/>
  <c r="I39" i="13" s="1"/>
  <c r="E40" i="13"/>
  <c r="F40" i="13"/>
  <c r="G40" i="13"/>
  <c r="H40" i="13"/>
  <c r="I40" i="13" s="1"/>
  <c r="E41" i="13"/>
  <c r="F41" i="13"/>
  <c r="G41" i="13"/>
  <c r="H41" i="13"/>
  <c r="I41" i="13" s="1"/>
  <c r="E42" i="13"/>
  <c r="F42" i="13"/>
  <c r="G42" i="13"/>
  <c r="H42" i="13"/>
  <c r="I42" i="13" s="1"/>
  <c r="E43" i="13"/>
  <c r="F43" i="13"/>
  <c r="G43" i="13"/>
  <c r="H43" i="13"/>
  <c r="I43" i="13" s="1"/>
  <c r="E44" i="13"/>
  <c r="F44" i="13"/>
  <c r="G44" i="13"/>
  <c r="H44" i="13"/>
  <c r="I44" i="13" s="1"/>
  <c r="E45" i="13"/>
  <c r="F45" i="13"/>
  <c r="G45" i="13"/>
  <c r="H45" i="13"/>
  <c r="I45" i="13" s="1"/>
  <c r="E46" i="13"/>
  <c r="F46" i="13"/>
  <c r="G46" i="13"/>
  <c r="H46" i="13"/>
  <c r="I46" i="13" s="1"/>
  <c r="E47" i="13"/>
  <c r="F47" i="13"/>
  <c r="G47" i="13"/>
  <c r="H47" i="13"/>
  <c r="I47" i="13" s="1"/>
  <c r="E48" i="13"/>
  <c r="F48" i="13"/>
  <c r="G48" i="13"/>
  <c r="H48" i="13"/>
  <c r="I48" i="13" s="1"/>
  <c r="E49" i="13"/>
  <c r="F49" i="13"/>
  <c r="G49" i="13"/>
  <c r="H49" i="13"/>
  <c r="I49" i="13" s="1"/>
  <c r="E50" i="13"/>
  <c r="F50" i="13"/>
  <c r="G50" i="13"/>
  <c r="H50" i="13"/>
  <c r="I50" i="13" s="1"/>
  <c r="E51" i="13"/>
  <c r="F51" i="13"/>
  <c r="G51" i="13"/>
  <c r="H51" i="13"/>
  <c r="I51" i="13" s="1"/>
  <c r="E52" i="13"/>
  <c r="F52" i="13"/>
  <c r="G52" i="13"/>
  <c r="H52" i="13"/>
  <c r="I52" i="13" s="1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F5" i="13" l="1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4" i="13"/>
  <c r="G4" i="13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AO8" i="3"/>
  <c r="W45" i="11"/>
  <c r="V45" i="11"/>
  <c r="U45" i="11"/>
  <c r="T45" i="11"/>
  <c r="S45" i="11"/>
  <c r="R45" i="11"/>
  <c r="Q45" i="11"/>
  <c r="W44" i="11"/>
  <c r="V44" i="11"/>
  <c r="U44" i="11"/>
  <c r="T44" i="11"/>
  <c r="S44" i="11"/>
  <c r="R44" i="11"/>
  <c r="Q44" i="11"/>
  <c r="W43" i="11"/>
  <c r="V43" i="11"/>
  <c r="U43" i="11"/>
  <c r="T43" i="11"/>
  <c r="S43" i="11"/>
  <c r="R43" i="11"/>
  <c r="Q43" i="11"/>
  <c r="W42" i="11"/>
  <c r="V42" i="11"/>
  <c r="U42" i="11"/>
  <c r="T42" i="11"/>
  <c r="S42" i="11"/>
  <c r="R42" i="11"/>
  <c r="Q42" i="11"/>
  <c r="W41" i="11"/>
  <c r="V41" i="11"/>
  <c r="U41" i="11"/>
  <c r="T41" i="11"/>
  <c r="S41" i="11"/>
  <c r="R41" i="11"/>
  <c r="Q41" i="11"/>
  <c r="W40" i="11"/>
  <c r="V40" i="11"/>
  <c r="U40" i="11"/>
  <c r="T40" i="11"/>
  <c r="S40" i="11"/>
  <c r="R40" i="11"/>
  <c r="Q40" i="11"/>
  <c r="W39" i="11"/>
  <c r="V39" i="11"/>
  <c r="U39" i="11"/>
  <c r="T39" i="11"/>
  <c r="S39" i="11"/>
  <c r="R39" i="11"/>
  <c r="Q39" i="11"/>
  <c r="W38" i="11"/>
  <c r="V38" i="11"/>
  <c r="U38" i="11"/>
  <c r="T38" i="11"/>
  <c r="S38" i="11"/>
  <c r="R38" i="11"/>
  <c r="Q38" i="11"/>
  <c r="W37" i="11"/>
  <c r="V37" i="11"/>
  <c r="U37" i="11"/>
  <c r="T37" i="11"/>
  <c r="S37" i="11"/>
  <c r="R37" i="11"/>
  <c r="Q37" i="11"/>
  <c r="W36" i="11"/>
  <c r="V36" i="11"/>
  <c r="U36" i="11"/>
  <c r="T36" i="11"/>
  <c r="S36" i="11"/>
  <c r="R36" i="11"/>
  <c r="Q36" i="11"/>
  <c r="W35" i="11"/>
  <c r="V35" i="11"/>
  <c r="U35" i="11"/>
  <c r="T35" i="11"/>
  <c r="S35" i="11"/>
  <c r="R35" i="11"/>
  <c r="Q35" i="11"/>
  <c r="W34" i="11"/>
  <c r="V34" i="11"/>
  <c r="U34" i="11"/>
  <c r="T34" i="11"/>
  <c r="S34" i="11"/>
  <c r="R34" i="11"/>
  <c r="Q34" i="11"/>
  <c r="W33" i="11"/>
  <c r="V33" i="11"/>
  <c r="U33" i="11"/>
  <c r="T33" i="11"/>
  <c r="S33" i="11"/>
  <c r="R33" i="11"/>
  <c r="Q33" i="11"/>
  <c r="W32" i="11"/>
  <c r="V32" i="11"/>
  <c r="U32" i="11"/>
  <c r="T32" i="11"/>
  <c r="S32" i="11"/>
  <c r="R32" i="11"/>
  <c r="Q32" i="11"/>
  <c r="W31" i="11"/>
  <c r="V31" i="11"/>
  <c r="U31" i="11"/>
  <c r="T31" i="11"/>
  <c r="S31" i="11"/>
  <c r="R31" i="11"/>
  <c r="Q31" i="11"/>
  <c r="W30" i="11"/>
  <c r="V30" i="11"/>
  <c r="U30" i="11"/>
  <c r="T30" i="11"/>
  <c r="S30" i="11"/>
  <c r="R30" i="11"/>
  <c r="Q30" i="11"/>
  <c r="W29" i="11"/>
  <c r="V29" i="11"/>
  <c r="U29" i="11"/>
  <c r="T29" i="11"/>
  <c r="S29" i="11"/>
  <c r="R29" i="11"/>
  <c r="Q29" i="11"/>
  <c r="W28" i="11"/>
  <c r="V28" i="11"/>
  <c r="T28" i="11"/>
  <c r="S28" i="11"/>
  <c r="R28" i="11"/>
  <c r="Q28" i="11"/>
  <c r="W27" i="11"/>
  <c r="V27" i="11"/>
  <c r="T27" i="11"/>
  <c r="S27" i="11"/>
  <c r="R27" i="11"/>
  <c r="Q27" i="11"/>
  <c r="W22" i="11"/>
  <c r="V22" i="11"/>
  <c r="U22" i="11"/>
  <c r="T22" i="11"/>
  <c r="S22" i="11"/>
  <c r="R22" i="11"/>
  <c r="W21" i="11"/>
  <c r="V21" i="11"/>
  <c r="U21" i="11"/>
  <c r="T21" i="11"/>
  <c r="S21" i="11"/>
  <c r="R21" i="11"/>
  <c r="W20" i="11"/>
  <c r="V20" i="11"/>
  <c r="U20" i="11"/>
  <c r="T20" i="11"/>
  <c r="S20" i="11"/>
  <c r="R20" i="11"/>
  <c r="W19" i="11"/>
  <c r="V19" i="11"/>
  <c r="U19" i="11"/>
  <c r="T19" i="11"/>
  <c r="S19" i="11"/>
  <c r="R19" i="11"/>
  <c r="W18" i="11"/>
  <c r="V18" i="11"/>
  <c r="U18" i="11"/>
  <c r="T18" i="11"/>
  <c r="S18" i="11"/>
  <c r="R18" i="11"/>
  <c r="W17" i="11"/>
  <c r="V17" i="11"/>
  <c r="U17" i="11"/>
  <c r="T17" i="11"/>
  <c r="S17" i="11"/>
  <c r="R17" i="11"/>
  <c r="W16" i="11"/>
  <c r="V16" i="11"/>
  <c r="U16" i="11"/>
  <c r="T16" i="11"/>
  <c r="S16" i="11"/>
  <c r="R16" i="11"/>
  <c r="W15" i="11"/>
  <c r="V15" i="11"/>
  <c r="U15" i="11"/>
  <c r="T15" i="11"/>
  <c r="S15" i="11"/>
  <c r="R15" i="11"/>
  <c r="W14" i="11"/>
  <c r="V14" i="11"/>
  <c r="U14" i="11"/>
  <c r="T14" i="11"/>
  <c r="S14" i="11"/>
  <c r="R14" i="11"/>
  <c r="W13" i="11"/>
  <c r="V13" i="11"/>
  <c r="U13" i="11"/>
  <c r="T13" i="11"/>
  <c r="S13" i="11"/>
  <c r="R13" i="11"/>
  <c r="W12" i="11"/>
  <c r="V12" i="11"/>
  <c r="U12" i="11"/>
  <c r="T12" i="11"/>
  <c r="S12" i="11"/>
  <c r="R12" i="11"/>
  <c r="W11" i="11"/>
  <c r="V11" i="11"/>
  <c r="U11" i="11"/>
  <c r="T11" i="11"/>
  <c r="S11" i="11"/>
  <c r="R11" i="11"/>
  <c r="W10" i="11"/>
  <c r="V10" i="11"/>
  <c r="U10" i="11"/>
  <c r="T10" i="11"/>
  <c r="S10" i="11"/>
  <c r="R10" i="11"/>
  <c r="W9" i="11"/>
  <c r="V9" i="11"/>
  <c r="U9" i="11"/>
  <c r="T9" i="11"/>
  <c r="S9" i="11"/>
  <c r="R9" i="11"/>
  <c r="W8" i="11"/>
  <c r="V8" i="11"/>
  <c r="U8" i="11"/>
  <c r="T8" i="11"/>
  <c r="S8" i="11"/>
  <c r="R8" i="11"/>
  <c r="W7" i="11"/>
  <c r="V7" i="11"/>
  <c r="U7" i="11"/>
  <c r="T7" i="11"/>
  <c r="S7" i="11"/>
  <c r="R7" i="11"/>
  <c r="W6" i="11"/>
  <c r="V6" i="11"/>
  <c r="U6" i="11"/>
  <c r="T6" i="11"/>
  <c r="S6" i="11"/>
  <c r="R6" i="11"/>
  <c r="W5" i="11"/>
  <c r="V5" i="11"/>
  <c r="U5" i="11"/>
  <c r="T5" i="11"/>
  <c r="S5" i="11"/>
  <c r="R5" i="11"/>
  <c r="W4" i="11"/>
  <c r="V4" i="11"/>
  <c r="U4" i="11"/>
  <c r="T4" i="11"/>
  <c r="S4" i="11"/>
  <c r="R4" i="11"/>
  <c r="AO23" i="3"/>
  <c r="AN23" i="3"/>
  <c r="AM23" i="3"/>
  <c r="AL23" i="3"/>
  <c r="AK23" i="3"/>
  <c r="AJ23" i="3"/>
  <c r="BS23" i="3" s="1"/>
  <c r="AO22" i="3"/>
  <c r="AN22" i="3"/>
  <c r="AM22" i="3"/>
  <c r="AL22" i="3"/>
  <c r="AK22" i="3"/>
  <c r="AJ22" i="3"/>
  <c r="AO21" i="3"/>
  <c r="AN21" i="3"/>
  <c r="AM21" i="3"/>
  <c r="AL21" i="3"/>
  <c r="AK21" i="3"/>
  <c r="AJ21" i="3"/>
  <c r="AO20" i="3"/>
  <c r="AN20" i="3"/>
  <c r="AM20" i="3"/>
  <c r="AL20" i="3"/>
  <c r="AK20" i="3"/>
  <c r="AJ20" i="3"/>
  <c r="BS20" i="3" s="1"/>
  <c r="AO19" i="3"/>
  <c r="AN19" i="3"/>
  <c r="AM19" i="3"/>
  <c r="AL19" i="3"/>
  <c r="AK19" i="3"/>
  <c r="AJ19" i="3"/>
  <c r="BS19" i="3" s="1"/>
  <c r="AO18" i="3"/>
  <c r="AN18" i="3"/>
  <c r="AM18" i="3"/>
  <c r="AL18" i="3"/>
  <c r="AK18" i="3"/>
  <c r="AJ18" i="3"/>
  <c r="AO17" i="3"/>
  <c r="AN17" i="3"/>
  <c r="AM17" i="3"/>
  <c r="AL17" i="3"/>
  <c r="AK17" i="3"/>
  <c r="AJ17" i="3"/>
  <c r="AO16" i="3"/>
  <c r="AN16" i="3"/>
  <c r="AM16" i="3"/>
  <c r="AL16" i="3"/>
  <c r="AK16" i="3"/>
  <c r="AJ16" i="3"/>
  <c r="BS16" i="3" s="1"/>
  <c r="AO15" i="3"/>
  <c r="AN15" i="3"/>
  <c r="AM15" i="3"/>
  <c r="AL15" i="3"/>
  <c r="AK15" i="3"/>
  <c r="AJ15" i="3"/>
  <c r="BS15" i="3" s="1"/>
  <c r="AO14" i="3"/>
  <c r="AN14" i="3"/>
  <c r="AM14" i="3"/>
  <c r="AL14" i="3"/>
  <c r="AK14" i="3"/>
  <c r="AJ14" i="3"/>
  <c r="AO13" i="3"/>
  <c r="AN13" i="3"/>
  <c r="AM13" i="3"/>
  <c r="AL13" i="3"/>
  <c r="AK13" i="3"/>
  <c r="AJ13" i="3"/>
  <c r="AO12" i="3"/>
  <c r="AN12" i="3"/>
  <c r="AM12" i="3"/>
  <c r="AL12" i="3"/>
  <c r="AK12" i="3"/>
  <c r="AJ12" i="3"/>
  <c r="BS12" i="3" s="1"/>
  <c r="AO11" i="3"/>
  <c r="AN11" i="3"/>
  <c r="AM11" i="3"/>
  <c r="AL11" i="3"/>
  <c r="AK11" i="3"/>
  <c r="AJ11" i="3"/>
  <c r="BS11" i="3" s="1"/>
  <c r="AO10" i="3"/>
  <c r="AN10" i="3"/>
  <c r="AM10" i="3"/>
  <c r="AL10" i="3"/>
  <c r="AK10" i="3"/>
  <c r="AJ10" i="3"/>
  <c r="AO9" i="3"/>
  <c r="AN9" i="3"/>
  <c r="AM9" i="3"/>
  <c r="AL9" i="3"/>
  <c r="AK9" i="3"/>
  <c r="AJ9" i="3"/>
  <c r="AN8" i="3"/>
  <c r="AM8" i="3"/>
  <c r="AL8" i="3"/>
  <c r="AK8" i="3"/>
  <c r="AJ8" i="3"/>
  <c r="BS8" i="3" s="1"/>
  <c r="AO7" i="3"/>
  <c r="AN7" i="3"/>
  <c r="AM7" i="3"/>
  <c r="AL7" i="3"/>
  <c r="AK7" i="3"/>
  <c r="AJ7" i="3"/>
  <c r="BS7" i="3" s="1"/>
  <c r="AO6" i="3"/>
  <c r="AN6" i="3"/>
  <c r="AM6" i="3"/>
  <c r="AL6" i="3"/>
  <c r="AK6" i="3"/>
  <c r="AJ6" i="3"/>
  <c r="AO5" i="3"/>
  <c r="AM5" i="3"/>
  <c r="AN5" i="3"/>
  <c r="AL5" i="3"/>
  <c r="AK5" i="3"/>
  <c r="AJ5" i="3"/>
  <c r="BS5" i="3" s="1"/>
  <c r="AI23" i="3"/>
  <c r="AH23" i="3"/>
  <c r="AG23" i="3"/>
  <c r="AF23" i="3"/>
  <c r="AE23" i="3"/>
  <c r="AD23" i="3"/>
  <c r="AI22" i="3"/>
  <c r="AH22" i="3"/>
  <c r="AG22" i="3"/>
  <c r="AF22" i="3"/>
  <c r="AE22" i="3"/>
  <c r="AD22" i="3"/>
  <c r="AI21" i="3"/>
  <c r="AH21" i="3"/>
  <c r="AG21" i="3"/>
  <c r="AF21" i="3"/>
  <c r="AE21" i="3"/>
  <c r="AD21" i="3"/>
  <c r="AI20" i="3"/>
  <c r="AH20" i="3"/>
  <c r="AG20" i="3"/>
  <c r="AF20" i="3"/>
  <c r="AE20" i="3"/>
  <c r="AD20" i="3"/>
  <c r="AI19" i="3"/>
  <c r="AH19" i="3"/>
  <c r="AG19" i="3"/>
  <c r="AF19" i="3"/>
  <c r="AE19" i="3"/>
  <c r="AD19" i="3"/>
  <c r="AI18" i="3"/>
  <c r="AH18" i="3"/>
  <c r="AG18" i="3"/>
  <c r="AF18" i="3"/>
  <c r="AE18" i="3"/>
  <c r="AD18" i="3"/>
  <c r="AI17" i="3"/>
  <c r="AH17" i="3"/>
  <c r="AG17" i="3"/>
  <c r="AF17" i="3"/>
  <c r="AE17" i="3"/>
  <c r="AD17" i="3"/>
  <c r="AI16" i="3"/>
  <c r="AH16" i="3"/>
  <c r="AG16" i="3"/>
  <c r="AF16" i="3"/>
  <c r="AE16" i="3"/>
  <c r="AD16" i="3"/>
  <c r="AI15" i="3"/>
  <c r="AH15" i="3"/>
  <c r="AG15" i="3"/>
  <c r="AF15" i="3"/>
  <c r="AE15" i="3"/>
  <c r="AD15" i="3"/>
  <c r="AI14" i="3"/>
  <c r="AH14" i="3"/>
  <c r="AG14" i="3"/>
  <c r="AF14" i="3"/>
  <c r="AE14" i="3"/>
  <c r="AD14" i="3"/>
  <c r="AI13" i="3"/>
  <c r="AH13" i="3"/>
  <c r="AG13" i="3"/>
  <c r="AF13" i="3"/>
  <c r="AE13" i="3"/>
  <c r="AD13" i="3"/>
  <c r="AI12" i="3"/>
  <c r="AH12" i="3"/>
  <c r="AG12" i="3"/>
  <c r="AF12" i="3"/>
  <c r="AE12" i="3"/>
  <c r="AD12" i="3"/>
  <c r="AI11" i="3"/>
  <c r="AH11" i="3"/>
  <c r="AG11" i="3"/>
  <c r="AF11" i="3"/>
  <c r="AE11" i="3"/>
  <c r="AD11" i="3"/>
  <c r="AI10" i="3"/>
  <c r="AH10" i="3"/>
  <c r="AG10" i="3"/>
  <c r="AF10" i="3"/>
  <c r="AE10" i="3"/>
  <c r="AD10" i="3"/>
  <c r="AI9" i="3"/>
  <c r="AH9" i="3"/>
  <c r="AG9" i="3"/>
  <c r="AF9" i="3"/>
  <c r="AE9" i="3"/>
  <c r="AD9" i="3"/>
  <c r="AI8" i="3"/>
  <c r="AH8" i="3"/>
  <c r="AG8" i="3"/>
  <c r="AF8" i="3"/>
  <c r="AE8" i="3"/>
  <c r="AD8" i="3"/>
  <c r="AI7" i="3"/>
  <c r="AH7" i="3"/>
  <c r="AG7" i="3"/>
  <c r="AF7" i="3"/>
  <c r="AE7" i="3"/>
  <c r="AD7" i="3"/>
  <c r="AI6" i="3"/>
  <c r="AH6" i="3"/>
  <c r="AG6" i="3"/>
  <c r="AF6" i="3"/>
  <c r="AE6" i="3"/>
  <c r="AD6" i="3"/>
  <c r="AI5" i="3"/>
  <c r="AH5" i="3"/>
  <c r="AG5" i="3"/>
  <c r="AF5" i="3"/>
  <c r="AE5" i="3"/>
  <c r="AD5" i="3"/>
  <c r="AC5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BP10" i="3" s="1"/>
  <c r="AC9" i="3"/>
  <c r="AC8" i="3"/>
  <c r="BP8" i="3" s="1"/>
  <c r="AC7" i="3"/>
  <c r="AC6" i="3"/>
  <c r="BP5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BP9" i="3"/>
  <c r="BP18" i="3"/>
  <c r="BS6" i="3"/>
  <c r="BS9" i="3"/>
  <c r="BS10" i="3"/>
  <c r="BS13" i="3"/>
  <c r="BS14" i="3"/>
  <c r="BS17" i="3"/>
  <c r="BS18" i="3"/>
  <c r="BS21" i="3"/>
  <c r="BS22" i="3"/>
  <c r="BP6" i="3"/>
  <c r="BQ6" i="3"/>
  <c r="BR6" i="3"/>
  <c r="BT6" i="3"/>
  <c r="BP7" i="3"/>
  <c r="BQ7" i="3"/>
  <c r="BR7" i="3"/>
  <c r="BT7" i="3"/>
  <c r="BQ8" i="3"/>
  <c r="BR8" i="3"/>
  <c r="BT8" i="3"/>
  <c r="BQ9" i="3"/>
  <c r="BR9" i="3"/>
  <c r="BT9" i="3"/>
  <c r="BQ10" i="3"/>
  <c r="BR10" i="3"/>
  <c r="BT10" i="3"/>
  <c r="BQ11" i="3"/>
  <c r="BR11" i="3"/>
  <c r="BT11" i="3"/>
  <c r="BQ12" i="3"/>
  <c r="BR12" i="3"/>
  <c r="BT12" i="3"/>
  <c r="BQ13" i="3"/>
  <c r="BR13" i="3"/>
  <c r="BT13" i="3"/>
  <c r="BP14" i="3"/>
  <c r="BQ14" i="3"/>
  <c r="BR14" i="3"/>
  <c r="BT14" i="3"/>
  <c r="BP15" i="3"/>
  <c r="BQ15" i="3"/>
  <c r="BR15" i="3"/>
  <c r="BT15" i="3"/>
  <c r="BP16" i="3"/>
  <c r="BQ16" i="3"/>
  <c r="BR16" i="3"/>
  <c r="BT16" i="3"/>
  <c r="BQ17" i="3"/>
  <c r="BR17" i="3"/>
  <c r="BT17" i="3"/>
  <c r="BQ18" i="3"/>
  <c r="BR18" i="3"/>
  <c r="BT18" i="3"/>
  <c r="BQ19" i="3"/>
  <c r="BR19" i="3"/>
  <c r="BT19" i="3"/>
  <c r="BQ20" i="3"/>
  <c r="BR20" i="3"/>
  <c r="BT20" i="3"/>
  <c r="BQ21" i="3"/>
  <c r="BR21" i="3"/>
  <c r="BT21" i="3"/>
  <c r="BP22" i="3"/>
  <c r="BQ22" i="3"/>
  <c r="BR22" i="3"/>
  <c r="BT22" i="3"/>
  <c r="BP23" i="3"/>
  <c r="BQ23" i="3"/>
  <c r="BR23" i="3"/>
  <c r="BT23" i="3"/>
  <c r="BT5" i="3"/>
  <c r="BR5" i="3"/>
  <c r="BQ5" i="3"/>
  <c r="M4" i="13" l="1"/>
  <c r="S4" i="13" s="1"/>
  <c r="Z4" i="13" s="1"/>
  <c r="J4" i="13"/>
  <c r="P4" i="13" s="1"/>
  <c r="W4" i="13" s="1"/>
  <c r="K4" i="13"/>
  <c r="Q4" i="13" s="1"/>
  <c r="X4" i="13" s="1"/>
  <c r="H4" i="13"/>
  <c r="N4" i="13" s="1"/>
  <c r="U4" i="13" s="1"/>
  <c r="L4" i="13"/>
  <c r="R4" i="13" s="1"/>
  <c r="Y4" i="13" s="1"/>
  <c r="I4" i="13"/>
  <c r="O4" i="13" s="1"/>
  <c r="V4" i="13" s="1"/>
  <c r="M23" i="13"/>
  <c r="S23" i="13" s="1"/>
  <c r="Z23" i="13" s="1"/>
  <c r="I23" i="13"/>
  <c r="O23" i="13" s="1"/>
  <c r="V23" i="13" s="1"/>
  <c r="J23" i="13"/>
  <c r="P23" i="13" s="1"/>
  <c r="W23" i="13" s="1"/>
  <c r="K23" i="13"/>
  <c r="Q23" i="13" s="1"/>
  <c r="X23" i="13" s="1"/>
  <c r="L23" i="13"/>
  <c r="R23" i="13" s="1"/>
  <c r="Y23" i="13" s="1"/>
  <c r="H23" i="13"/>
  <c r="N23" i="13" s="1"/>
  <c r="U23" i="13" s="1"/>
  <c r="H19" i="13"/>
  <c r="N19" i="13" s="1"/>
  <c r="U19" i="13" s="1"/>
  <c r="I19" i="13"/>
  <c r="O19" i="13" s="1"/>
  <c r="V19" i="13" s="1"/>
  <c r="J19" i="13"/>
  <c r="P19" i="13" s="1"/>
  <c r="W19" i="13" s="1"/>
  <c r="K19" i="13"/>
  <c r="Q19" i="13" s="1"/>
  <c r="X19" i="13" s="1"/>
  <c r="L19" i="13"/>
  <c r="R19" i="13" s="1"/>
  <c r="Y19" i="13" s="1"/>
  <c r="M19" i="13"/>
  <c r="S19" i="13" s="1"/>
  <c r="Z19" i="13" s="1"/>
  <c r="M15" i="13"/>
  <c r="S15" i="13" s="1"/>
  <c r="Z15" i="13" s="1"/>
  <c r="I15" i="13"/>
  <c r="O15" i="13" s="1"/>
  <c r="V15" i="13" s="1"/>
  <c r="J15" i="13"/>
  <c r="P15" i="13" s="1"/>
  <c r="W15" i="13" s="1"/>
  <c r="K15" i="13"/>
  <c r="Q15" i="13" s="1"/>
  <c r="X15" i="13" s="1"/>
  <c r="L15" i="13"/>
  <c r="R15" i="13" s="1"/>
  <c r="Y15" i="13" s="1"/>
  <c r="H15" i="13"/>
  <c r="N15" i="13" s="1"/>
  <c r="U15" i="13" s="1"/>
  <c r="H11" i="13"/>
  <c r="N11" i="13" s="1"/>
  <c r="U11" i="13" s="1"/>
  <c r="I11" i="13"/>
  <c r="O11" i="13" s="1"/>
  <c r="V11" i="13" s="1"/>
  <c r="J11" i="13"/>
  <c r="P11" i="13" s="1"/>
  <c r="W11" i="13" s="1"/>
  <c r="K11" i="13"/>
  <c r="Q11" i="13" s="1"/>
  <c r="X11" i="13" s="1"/>
  <c r="L11" i="13"/>
  <c r="R11" i="13" s="1"/>
  <c r="Y11" i="13" s="1"/>
  <c r="M11" i="13"/>
  <c r="S11" i="13" s="1"/>
  <c r="Z11" i="13" s="1"/>
  <c r="M7" i="13"/>
  <c r="S7" i="13" s="1"/>
  <c r="Z7" i="13" s="1"/>
  <c r="I7" i="13"/>
  <c r="O7" i="13" s="1"/>
  <c r="V7" i="13" s="1"/>
  <c r="J7" i="13"/>
  <c r="P7" i="13" s="1"/>
  <c r="W7" i="13" s="1"/>
  <c r="K7" i="13"/>
  <c r="Q7" i="13" s="1"/>
  <c r="X7" i="13" s="1"/>
  <c r="L7" i="13"/>
  <c r="R7" i="13" s="1"/>
  <c r="Y7" i="13" s="1"/>
  <c r="H7" i="13"/>
  <c r="N7" i="13" s="1"/>
  <c r="U7" i="13" s="1"/>
  <c r="J18" i="13"/>
  <c r="P18" i="13" s="1"/>
  <c r="W18" i="13" s="1"/>
  <c r="K18" i="13"/>
  <c r="Q18" i="13" s="1"/>
  <c r="X18" i="13" s="1"/>
  <c r="L18" i="13"/>
  <c r="R18" i="13" s="1"/>
  <c r="Y18" i="13" s="1"/>
  <c r="H18" i="13"/>
  <c r="N18" i="13" s="1"/>
  <c r="U18" i="13" s="1"/>
  <c r="M18" i="13"/>
  <c r="S18" i="13" s="1"/>
  <c r="Z18" i="13" s="1"/>
  <c r="I18" i="13"/>
  <c r="O18" i="13" s="1"/>
  <c r="V18" i="13" s="1"/>
  <c r="J14" i="13"/>
  <c r="P14" i="13" s="1"/>
  <c r="W14" i="13" s="1"/>
  <c r="K14" i="13"/>
  <c r="Q14" i="13" s="1"/>
  <c r="X14" i="13" s="1"/>
  <c r="M14" i="13"/>
  <c r="S14" i="13" s="1"/>
  <c r="Z14" i="13" s="1"/>
  <c r="L14" i="13"/>
  <c r="R14" i="13" s="1"/>
  <c r="Y14" i="13" s="1"/>
  <c r="I14" i="13"/>
  <c r="O14" i="13" s="1"/>
  <c r="V14" i="13" s="1"/>
  <c r="H14" i="13"/>
  <c r="N14" i="13" s="1"/>
  <c r="U14" i="13" s="1"/>
  <c r="J10" i="13"/>
  <c r="P10" i="13" s="1"/>
  <c r="W10" i="13" s="1"/>
  <c r="K10" i="13"/>
  <c r="Q10" i="13" s="1"/>
  <c r="X10" i="13" s="1"/>
  <c r="L10" i="13"/>
  <c r="R10" i="13" s="1"/>
  <c r="Y10" i="13" s="1"/>
  <c r="H10" i="13"/>
  <c r="N10" i="13" s="1"/>
  <c r="U10" i="13" s="1"/>
  <c r="M10" i="13"/>
  <c r="S10" i="13" s="1"/>
  <c r="Z10" i="13" s="1"/>
  <c r="I10" i="13"/>
  <c r="O10" i="13" s="1"/>
  <c r="V10" i="13" s="1"/>
  <c r="J6" i="13"/>
  <c r="P6" i="13" s="1"/>
  <c r="W6" i="13" s="1"/>
  <c r="K6" i="13"/>
  <c r="Q6" i="13" s="1"/>
  <c r="X6" i="13" s="1"/>
  <c r="M6" i="13"/>
  <c r="S6" i="13" s="1"/>
  <c r="Z6" i="13" s="1"/>
  <c r="L6" i="13"/>
  <c r="R6" i="13" s="1"/>
  <c r="Y6" i="13" s="1"/>
  <c r="I6" i="13"/>
  <c r="O6" i="13" s="1"/>
  <c r="V6" i="13" s="1"/>
  <c r="H6" i="13"/>
  <c r="N6" i="13" s="1"/>
  <c r="U6" i="13" s="1"/>
  <c r="J22" i="13"/>
  <c r="P22" i="13" s="1"/>
  <c r="W22" i="13" s="1"/>
  <c r="K22" i="13"/>
  <c r="Q22" i="13" s="1"/>
  <c r="X22" i="13" s="1"/>
  <c r="M22" i="13"/>
  <c r="S22" i="13" s="1"/>
  <c r="Z22" i="13" s="1"/>
  <c r="L22" i="13"/>
  <c r="R22" i="13" s="1"/>
  <c r="Y22" i="13" s="1"/>
  <c r="I22" i="13"/>
  <c r="O22" i="13" s="1"/>
  <c r="V22" i="13" s="1"/>
  <c r="H22" i="13"/>
  <c r="N22" i="13" s="1"/>
  <c r="U22" i="13" s="1"/>
  <c r="I25" i="13"/>
  <c r="O25" i="13" s="1"/>
  <c r="V25" i="13" s="1"/>
  <c r="J25" i="13"/>
  <c r="P25" i="13" s="1"/>
  <c r="W25" i="13" s="1"/>
  <c r="H25" i="13"/>
  <c r="N25" i="13" s="1"/>
  <c r="U25" i="13" s="1"/>
  <c r="M25" i="13"/>
  <c r="S25" i="13" s="1"/>
  <c r="Z25" i="13" s="1"/>
  <c r="K25" i="13"/>
  <c r="Q25" i="13" s="1"/>
  <c r="X25" i="13" s="1"/>
  <c r="L25" i="13"/>
  <c r="R25" i="13" s="1"/>
  <c r="Y25" i="13" s="1"/>
  <c r="H21" i="13"/>
  <c r="N21" i="13" s="1"/>
  <c r="U21" i="13" s="1"/>
  <c r="M21" i="13"/>
  <c r="S21" i="13" s="1"/>
  <c r="Z21" i="13" s="1"/>
  <c r="I21" i="13"/>
  <c r="O21" i="13" s="1"/>
  <c r="V21" i="13" s="1"/>
  <c r="J21" i="13"/>
  <c r="P21" i="13" s="1"/>
  <c r="W21" i="13" s="1"/>
  <c r="K21" i="13"/>
  <c r="Q21" i="13" s="1"/>
  <c r="X21" i="13" s="1"/>
  <c r="L21" i="13"/>
  <c r="R21" i="13" s="1"/>
  <c r="Y21" i="13" s="1"/>
  <c r="I17" i="13"/>
  <c r="O17" i="13" s="1"/>
  <c r="V17" i="13" s="1"/>
  <c r="J17" i="13"/>
  <c r="P17" i="13" s="1"/>
  <c r="W17" i="13" s="1"/>
  <c r="H17" i="13"/>
  <c r="N17" i="13" s="1"/>
  <c r="U17" i="13" s="1"/>
  <c r="M17" i="13"/>
  <c r="S17" i="13" s="1"/>
  <c r="Z17" i="13" s="1"/>
  <c r="K17" i="13"/>
  <c r="Q17" i="13" s="1"/>
  <c r="X17" i="13" s="1"/>
  <c r="L17" i="13"/>
  <c r="R17" i="13" s="1"/>
  <c r="Y17" i="13" s="1"/>
  <c r="H13" i="13"/>
  <c r="N13" i="13" s="1"/>
  <c r="U13" i="13" s="1"/>
  <c r="M13" i="13"/>
  <c r="S13" i="13" s="1"/>
  <c r="Z13" i="13" s="1"/>
  <c r="I13" i="13"/>
  <c r="O13" i="13" s="1"/>
  <c r="V13" i="13" s="1"/>
  <c r="J13" i="13"/>
  <c r="P13" i="13" s="1"/>
  <c r="W13" i="13" s="1"/>
  <c r="K13" i="13"/>
  <c r="Q13" i="13" s="1"/>
  <c r="X13" i="13" s="1"/>
  <c r="L13" i="13"/>
  <c r="R13" i="13" s="1"/>
  <c r="Y13" i="13" s="1"/>
  <c r="I9" i="13"/>
  <c r="O9" i="13" s="1"/>
  <c r="V9" i="13" s="1"/>
  <c r="J9" i="13"/>
  <c r="P9" i="13" s="1"/>
  <c r="W9" i="13" s="1"/>
  <c r="H9" i="13"/>
  <c r="N9" i="13" s="1"/>
  <c r="U9" i="13" s="1"/>
  <c r="M9" i="13"/>
  <c r="S9" i="13" s="1"/>
  <c r="Z9" i="13" s="1"/>
  <c r="K9" i="13"/>
  <c r="Q9" i="13" s="1"/>
  <c r="X9" i="13" s="1"/>
  <c r="L9" i="13"/>
  <c r="R9" i="13" s="1"/>
  <c r="Y9" i="13" s="1"/>
  <c r="H5" i="13"/>
  <c r="N5" i="13" s="1"/>
  <c r="U5" i="13" s="1"/>
  <c r="M5" i="13"/>
  <c r="S5" i="13" s="1"/>
  <c r="Z5" i="13" s="1"/>
  <c r="I5" i="13"/>
  <c r="O5" i="13" s="1"/>
  <c r="V5" i="13" s="1"/>
  <c r="J5" i="13"/>
  <c r="P5" i="13" s="1"/>
  <c r="W5" i="13" s="1"/>
  <c r="K5" i="13"/>
  <c r="Q5" i="13" s="1"/>
  <c r="X5" i="13" s="1"/>
  <c r="L5" i="13"/>
  <c r="R5" i="13" s="1"/>
  <c r="Y5" i="13" s="1"/>
  <c r="J26" i="13"/>
  <c r="P26" i="13" s="1"/>
  <c r="W26" i="13" s="1"/>
  <c r="K26" i="13"/>
  <c r="Q26" i="13" s="1"/>
  <c r="X26" i="13" s="1"/>
  <c r="L26" i="13"/>
  <c r="R26" i="13" s="1"/>
  <c r="Y26" i="13" s="1"/>
  <c r="H26" i="13"/>
  <c r="N26" i="13" s="1"/>
  <c r="U26" i="13" s="1"/>
  <c r="M26" i="13"/>
  <c r="S26" i="13" s="1"/>
  <c r="Z26" i="13" s="1"/>
  <c r="I26" i="13"/>
  <c r="O26" i="13" s="1"/>
  <c r="V26" i="13" s="1"/>
  <c r="J24" i="13"/>
  <c r="P24" i="13" s="1"/>
  <c r="W24" i="13" s="1"/>
  <c r="K24" i="13"/>
  <c r="Q24" i="13" s="1"/>
  <c r="X24" i="13" s="1"/>
  <c r="L24" i="13"/>
  <c r="R24" i="13" s="1"/>
  <c r="Y24" i="13" s="1"/>
  <c r="M24" i="13"/>
  <c r="S24" i="13" s="1"/>
  <c r="Z24" i="13" s="1"/>
  <c r="H24" i="13"/>
  <c r="N24" i="13" s="1"/>
  <c r="U24" i="13" s="1"/>
  <c r="I24" i="13"/>
  <c r="O24" i="13" s="1"/>
  <c r="V24" i="13" s="1"/>
  <c r="M20" i="13"/>
  <c r="S20" i="13" s="1"/>
  <c r="Z20" i="13" s="1"/>
  <c r="J20" i="13"/>
  <c r="P20" i="13" s="1"/>
  <c r="W20" i="13" s="1"/>
  <c r="K20" i="13"/>
  <c r="Q20" i="13" s="1"/>
  <c r="X20" i="13" s="1"/>
  <c r="H20" i="13"/>
  <c r="N20" i="13" s="1"/>
  <c r="U20" i="13" s="1"/>
  <c r="L20" i="13"/>
  <c r="R20" i="13" s="1"/>
  <c r="Y20" i="13" s="1"/>
  <c r="I20" i="13"/>
  <c r="O20" i="13" s="1"/>
  <c r="V20" i="13" s="1"/>
  <c r="J16" i="13"/>
  <c r="P16" i="13" s="1"/>
  <c r="W16" i="13" s="1"/>
  <c r="K16" i="13"/>
  <c r="Q16" i="13" s="1"/>
  <c r="X16" i="13" s="1"/>
  <c r="L16" i="13"/>
  <c r="R16" i="13" s="1"/>
  <c r="Y16" i="13" s="1"/>
  <c r="M16" i="13"/>
  <c r="S16" i="13" s="1"/>
  <c r="Z16" i="13" s="1"/>
  <c r="H16" i="13"/>
  <c r="N16" i="13" s="1"/>
  <c r="U16" i="13" s="1"/>
  <c r="I16" i="13"/>
  <c r="O16" i="13" s="1"/>
  <c r="V16" i="13" s="1"/>
  <c r="M12" i="13"/>
  <c r="S12" i="13" s="1"/>
  <c r="Z12" i="13" s="1"/>
  <c r="J12" i="13"/>
  <c r="P12" i="13" s="1"/>
  <c r="W12" i="13" s="1"/>
  <c r="K12" i="13"/>
  <c r="Q12" i="13" s="1"/>
  <c r="X12" i="13" s="1"/>
  <c r="H12" i="13"/>
  <c r="N12" i="13" s="1"/>
  <c r="U12" i="13" s="1"/>
  <c r="L12" i="13"/>
  <c r="R12" i="13" s="1"/>
  <c r="Y12" i="13" s="1"/>
  <c r="I12" i="13"/>
  <c r="O12" i="13" s="1"/>
  <c r="V12" i="13" s="1"/>
  <c r="J8" i="13"/>
  <c r="P8" i="13" s="1"/>
  <c r="W8" i="13" s="1"/>
  <c r="K8" i="13"/>
  <c r="Q8" i="13" s="1"/>
  <c r="X8" i="13" s="1"/>
  <c r="L8" i="13"/>
  <c r="R8" i="13" s="1"/>
  <c r="Y8" i="13" s="1"/>
  <c r="M8" i="13"/>
  <c r="S8" i="13" s="1"/>
  <c r="Z8" i="13" s="1"/>
  <c r="H8" i="13"/>
  <c r="N8" i="13" s="1"/>
  <c r="U8" i="13" s="1"/>
  <c r="I8" i="13"/>
  <c r="O8" i="13" s="1"/>
  <c r="V8" i="13" s="1"/>
  <c r="BY15" i="3"/>
  <c r="CC15" i="3" s="1"/>
  <c r="BY5" i="3"/>
  <c r="CC5" i="3" s="1"/>
  <c r="BY22" i="3"/>
  <c r="CC22" i="3" s="1"/>
  <c r="BX10" i="3"/>
  <c r="CB10" i="3" s="1"/>
  <c r="BY6" i="3"/>
  <c r="CC6" i="3" s="1"/>
  <c r="BY8" i="3"/>
  <c r="CC8" i="3" s="1"/>
  <c r="BY16" i="3"/>
  <c r="CC16" i="3" s="1"/>
  <c r="BX14" i="3"/>
  <c r="CB14" i="3" s="1"/>
  <c r="BY7" i="3"/>
  <c r="CC7" i="3" s="1"/>
  <c r="BY23" i="3"/>
  <c r="CC23" i="3" s="1"/>
  <c r="BY9" i="3"/>
  <c r="CC9" i="3" s="1"/>
  <c r="BY18" i="3"/>
  <c r="CC18" i="3" s="1"/>
  <c r="BW6" i="3"/>
  <c r="CA6" i="3" s="1"/>
  <c r="BP17" i="3"/>
  <c r="BY17" i="3" s="1"/>
  <c r="CC17" i="3" s="1"/>
  <c r="BV16" i="3"/>
  <c r="BZ16" i="3" s="1"/>
  <c r="BW10" i="3"/>
  <c r="CA10" i="3" s="1"/>
  <c r="BX8" i="3"/>
  <c r="CB8" i="3" s="1"/>
  <c r="BV10" i="3"/>
  <c r="BZ10" i="3" s="1"/>
  <c r="BW8" i="3"/>
  <c r="CA8" i="3" s="1"/>
  <c r="BX6" i="3"/>
  <c r="CB6" i="3" s="1"/>
  <c r="BX22" i="3"/>
  <c r="CB22" i="3" s="1"/>
  <c r="BX9" i="3"/>
  <c r="CB9" i="3" s="1"/>
  <c r="BW18" i="3"/>
  <c r="CA18" i="3" s="1"/>
  <c r="BW22" i="3"/>
  <c r="CA22" i="3" s="1"/>
  <c r="BP13" i="3"/>
  <c r="BY13" i="3" s="1"/>
  <c r="CC13" i="3" s="1"/>
  <c r="BV14" i="3"/>
  <c r="BZ14" i="3" s="1"/>
  <c r="BP12" i="3"/>
  <c r="BY12" i="3" s="1"/>
  <c r="CC12" i="3" s="1"/>
  <c r="BX15" i="3"/>
  <c r="CB15" i="3" s="1"/>
  <c r="BP21" i="3"/>
  <c r="BY21" i="3" s="1"/>
  <c r="CC21" i="3" s="1"/>
  <c r="BV23" i="3"/>
  <c r="BZ23" i="3" s="1"/>
  <c r="BP19" i="3"/>
  <c r="BY19" i="3" s="1"/>
  <c r="CC19" i="3" s="1"/>
  <c r="BW15" i="3"/>
  <c r="CA15" i="3" s="1"/>
  <c r="BV9" i="3"/>
  <c r="BZ9" i="3" s="1"/>
  <c r="BV7" i="3"/>
  <c r="BZ7" i="3" s="1"/>
  <c r="BY14" i="3"/>
  <c r="CC14" i="3" s="1"/>
  <c r="BV15" i="3"/>
  <c r="BZ15" i="3" s="1"/>
  <c r="BV8" i="3"/>
  <c r="BZ8" i="3" s="1"/>
  <c r="BY10" i="3"/>
  <c r="CC10" i="3" s="1"/>
  <c r="BV22" i="3"/>
  <c r="BZ22" i="3" s="1"/>
  <c r="BV18" i="3"/>
  <c r="BZ18" i="3" s="1"/>
  <c r="BW16" i="3"/>
  <c r="CA16" i="3" s="1"/>
  <c r="BP11" i="3"/>
  <c r="BY11" i="3" s="1"/>
  <c r="CC11" i="3" s="1"/>
  <c r="BW9" i="3"/>
  <c r="CA9" i="3" s="1"/>
  <c r="BV6" i="3"/>
  <c r="BZ6" i="3" s="1"/>
  <c r="BX18" i="3"/>
  <c r="CB18" i="3" s="1"/>
  <c r="BX23" i="3"/>
  <c r="CB23" i="3" s="1"/>
  <c r="BP20" i="3"/>
  <c r="BY20" i="3" s="1"/>
  <c r="CC20" i="3" s="1"/>
  <c r="BX7" i="3"/>
  <c r="CB7" i="3" s="1"/>
  <c r="BW23" i="3"/>
  <c r="CA23" i="3" s="1"/>
  <c r="BW14" i="3"/>
  <c r="CA14" i="3" s="1"/>
  <c r="BW7" i="3"/>
  <c r="CA7" i="3" s="1"/>
  <c r="BX16" i="3"/>
  <c r="CB16" i="3" s="1"/>
  <c r="BV5" i="3"/>
  <c r="BZ5" i="3" s="1"/>
  <c r="BX5" i="3"/>
  <c r="CB5" i="3" s="1"/>
  <c r="BW5" i="3"/>
  <c r="CA5" i="3" s="1"/>
  <c r="V28" i="13" l="1"/>
  <c r="AB5" i="13" s="1"/>
  <c r="Y28" i="13"/>
  <c r="AE4" i="13" s="1"/>
  <c r="W28" i="13"/>
  <c r="AC5" i="13" s="1"/>
  <c r="U28" i="13"/>
  <c r="AA7" i="13" s="1"/>
  <c r="X28" i="13"/>
  <c r="AD4" i="13" s="1"/>
  <c r="AJ4" i="13" s="1"/>
  <c r="Y29" i="13"/>
  <c r="AE12" i="13" s="1"/>
  <c r="X29" i="13"/>
  <c r="AD26" i="13" s="1"/>
  <c r="AD8" i="13"/>
  <c r="V29" i="13"/>
  <c r="AB25" i="13" s="1"/>
  <c r="AB8" i="13"/>
  <c r="Z29" i="13"/>
  <c r="AF14" i="13" s="1"/>
  <c r="AF9" i="13"/>
  <c r="U29" i="13"/>
  <c r="AA19" i="13" s="1"/>
  <c r="AA8" i="13"/>
  <c r="W29" i="13"/>
  <c r="AC9" i="13" s="1"/>
  <c r="AC10" i="13"/>
  <c r="Z28" i="13"/>
  <c r="AF7" i="13" s="1"/>
  <c r="R28" i="13"/>
  <c r="S29" i="13"/>
  <c r="R29" i="13"/>
  <c r="Q29" i="13"/>
  <c r="N28" i="13"/>
  <c r="Q28" i="13"/>
  <c r="O28" i="13"/>
  <c r="P28" i="13"/>
  <c r="P29" i="13"/>
  <c r="O29" i="13"/>
  <c r="N29" i="13"/>
  <c r="S28" i="13"/>
  <c r="BX17" i="3"/>
  <c r="CB17" i="3" s="1"/>
  <c r="BV17" i="3"/>
  <c r="BZ17" i="3" s="1"/>
  <c r="BW17" i="3"/>
  <c r="CA17" i="3" s="1"/>
  <c r="BV13" i="3"/>
  <c r="BZ13" i="3" s="1"/>
  <c r="BW13" i="3"/>
  <c r="CA13" i="3" s="1"/>
  <c r="BX13" i="3"/>
  <c r="CB13" i="3" s="1"/>
  <c r="BX21" i="3"/>
  <c r="CB21" i="3" s="1"/>
  <c r="BV11" i="3"/>
  <c r="BZ11" i="3" s="1"/>
  <c r="BW11" i="3"/>
  <c r="CA11" i="3" s="1"/>
  <c r="BV19" i="3"/>
  <c r="BZ19" i="3" s="1"/>
  <c r="BW19" i="3"/>
  <c r="CA19" i="3" s="1"/>
  <c r="BW21" i="3"/>
  <c r="CA21" i="3" s="1"/>
  <c r="BV12" i="3"/>
  <c r="BZ12" i="3" s="1"/>
  <c r="BV21" i="3"/>
  <c r="BZ21" i="3" s="1"/>
  <c r="CG5" i="3"/>
  <c r="BX19" i="3"/>
  <c r="CB19" i="3" s="1"/>
  <c r="BW12" i="3"/>
  <c r="CA12" i="3" s="1"/>
  <c r="BX12" i="3"/>
  <c r="CB12" i="3" s="1"/>
  <c r="BW20" i="3"/>
  <c r="CA20" i="3" s="1"/>
  <c r="BX20" i="3"/>
  <c r="CB20" i="3" s="1"/>
  <c r="BX11" i="3"/>
  <c r="CB11" i="3" s="1"/>
  <c r="BV20" i="3"/>
  <c r="BZ20" i="3" s="1"/>
  <c r="AD5" i="13" l="1"/>
  <c r="AA4" i="13"/>
  <c r="AC24" i="13"/>
  <c r="AC22" i="13"/>
  <c r="AF15" i="13"/>
  <c r="AD14" i="13"/>
  <c r="AD17" i="13"/>
  <c r="AF18" i="13"/>
  <c r="AF17" i="13"/>
  <c r="AF25" i="13"/>
  <c r="AL25" i="13" s="1"/>
  <c r="AF24" i="13"/>
  <c r="AE19" i="13"/>
  <c r="AK19" i="13" s="1"/>
  <c r="AE13" i="13"/>
  <c r="AK13" i="13" s="1"/>
  <c r="AA11" i="13"/>
  <c r="AE7" i="13"/>
  <c r="AK7" i="13" s="1"/>
  <c r="AF26" i="13"/>
  <c r="AF23" i="13"/>
  <c r="AL23" i="13" s="1"/>
  <c r="AE6" i="13"/>
  <c r="AB7" i="13"/>
  <c r="AE24" i="13"/>
  <c r="AK24" i="13" s="1"/>
  <c r="AE21" i="13"/>
  <c r="AK21" i="13" s="1"/>
  <c r="AA10" i="13"/>
  <c r="AF19" i="13"/>
  <c r="AL19" i="13" s="1"/>
  <c r="AA6" i="13"/>
  <c r="AE18" i="13"/>
  <c r="AA5" i="13"/>
  <c r="AF4" i="13"/>
  <c r="AL4" i="13" s="1"/>
  <c r="AA24" i="13"/>
  <c r="AG24" i="13" s="1"/>
  <c r="AF21" i="13"/>
  <c r="AE8" i="13"/>
  <c r="AK8" i="13" s="1"/>
  <c r="AE20" i="13"/>
  <c r="AF16" i="13"/>
  <c r="AL16" i="13" s="1"/>
  <c r="AA22" i="13"/>
  <c r="AG22" i="13" s="1"/>
  <c r="AB21" i="13"/>
  <c r="AA16" i="13"/>
  <c r="AB14" i="13"/>
  <c r="AH14" i="13" s="1"/>
  <c r="AA15" i="13"/>
  <c r="AG15" i="13" s="1"/>
  <c r="AA9" i="13"/>
  <c r="AB9" i="13"/>
  <c r="AB26" i="13"/>
  <c r="AA20" i="13"/>
  <c r="AG20" i="13" s="1"/>
  <c r="AA21" i="13"/>
  <c r="AG21" i="13" s="1"/>
  <c r="AD22" i="13"/>
  <c r="AJ22" i="13" s="1"/>
  <c r="AD16" i="13"/>
  <c r="AC18" i="13"/>
  <c r="AD18" i="13"/>
  <c r="AD24" i="13"/>
  <c r="AA18" i="13"/>
  <c r="AE26" i="13"/>
  <c r="AE25" i="13"/>
  <c r="AK25" i="13" s="1"/>
  <c r="AA12" i="13"/>
  <c r="AE23" i="13"/>
  <c r="AK23" i="13" s="1"/>
  <c r="AD21" i="13"/>
  <c r="AJ21" i="13" s="1"/>
  <c r="AA23" i="13"/>
  <c r="AE5" i="13"/>
  <c r="AF12" i="13"/>
  <c r="AA14" i="13"/>
  <c r="AG14" i="13" s="1"/>
  <c r="AK4" i="13"/>
  <c r="AD25" i="13"/>
  <c r="AJ25" i="13" s="1"/>
  <c r="AC26" i="13"/>
  <c r="AI26" i="13" s="1"/>
  <c r="AC23" i="13"/>
  <c r="AI23" i="13" s="1"/>
  <c r="AB12" i="13"/>
  <c r="AH12" i="13" s="1"/>
  <c r="AC13" i="13"/>
  <c r="AD7" i="13"/>
  <c r="AJ7" i="13" s="1"/>
  <c r="AF5" i="13"/>
  <c r="AF10" i="13"/>
  <c r="AL10" i="13" s="1"/>
  <c r="AE10" i="13"/>
  <c r="AK10" i="13" s="1"/>
  <c r="AF20" i="13"/>
  <c r="AL20" i="13" s="1"/>
  <c r="AE14" i="13"/>
  <c r="AK14" i="13" s="1"/>
  <c r="AB15" i="13"/>
  <c r="AH15" i="13" s="1"/>
  <c r="AE17" i="13"/>
  <c r="AE11" i="13"/>
  <c r="AK11" i="13" s="1"/>
  <c r="AB4" i="13"/>
  <c r="AH4" i="13" s="1"/>
  <c r="AC19" i="13"/>
  <c r="AI19" i="13" s="1"/>
  <c r="AF8" i="13"/>
  <c r="AL8" i="13" s="1"/>
  <c r="AD6" i="13"/>
  <c r="AC4" i="13"/>
  <c r="AI4" i="13" s="1"/>
  <c r="AC8" i="13"/>
  <c r="AI8" i="13" s="1"/>
  <c r="AC20" i="13"/>
  <c r="AI20" i="13" s="1"/>
  <c r="AF6" i="13"/>
  <c r="AB10" i="13"/>
  <c r="AH10" i="13" s="1"/>
  <c r="AC12" i="13"/>
  <c r="AI12" i="13" s="1"/>
  <c r="AB22" i="13"/>
  <c r="AH22" i="13" s="1"/>
  <c r="AB11" i="13"/>
  <c r="AH11" i="13" s="1"/>
  <c r="AC15" i="13"/>
  <c r="AI15" i="13" s="1"/>
  <c r="AC21" i="13"/>
  <c r="AI21" i="13" s="1"/>
  <c r="AB20" i="13"/>
  <c r="AH20" i="13" s="1"/>
  <c r="AA17" i="13"/>
  <c r="AB18" i="13"/>
  <c r="AB6" i="13"/>
  <c r="AE15" i="13"/>
  <c r="AK15" i="13" s="1"/>
  <c r="AB23" i="13"/>
  <c r="AH23" i="13" s="1"/>
  <c r="AE22" i="13"/>
  <c r="AK22" i="13" s="1"/>
  <c r="AD23" i="13"/>
  <c r="AJ23" i="13" s="1"/>
  <c r="AC11" i="13"/>
  <c r="AI11" i="13" s="1"/>
  <c r="AC6" i="13"/>
  <c r="AC16" i="13"/>
  <c r="AI16" i="13" s="1"/>
  <c r="AB13" i="13"/>
  <c r="AH13" i="13" s="1"/>
  <c r="AC25" i="13"/>
  <c r="AI25" i="13" s="1"/>
  <c r="AB17" i="13"/>
  <c r="AD12" i="13"/>
  <c r="AC14" i="13"/>
  <c r="AC17" i="13"/>
  <c r="AB16" i="13"/>
  <c r="AH16" i="13" s="1"/>
  <c r="AA26" i="13"/>
  <c r="AG26" i="13" s="1"/>
  <c r="AA13" i="13"/>
  <c r="AG13" i="13" s="1"/>
  <c r="AE9" i="13"/>
  <c r="AE16" i="13"/>
  <c r="AK16" i="13" s="1"/>
  <c r="AF13" i="13"/>
  <c r="AD11" i="13"/>
  <c r="AJ11" i="13" s="1"/>
  <c r="AA25" i="13"/>
  <c r="AG25" i="13" s="1"/>
  <c r="AB19" i="13"/>
  <c r="AH19" i="13" s="1"/>
  <c r="AC7" i="13"/>
  <c r="AD13" i="13"/>
  <c r="AJ13" i="13" s="1"/>
  <c r="AD9" i="13"/>
  <c r="AD10" i="13"/>
  <c r="AJ10" i="13" s="1"/>
  <c r="AB24" i="13"/>
  <c r="AH24" i="13" s="1"/>
  <c r="AF11" i="13"/>
  <c r="AF22" i="13"/>
  <c r="AL22" i="13" s="1"/>
  <c r="AD20" i="13"/>
  <c r="AJ20" i="13" s="1"/>
  <c r="AD15" i="13"/>
  <c r="AJ15" i="13" s="1"/>
  <c r="AD19" i="13"/>
  <c r="AJ19" i="13" s="1"/>
  <c r="AJ14" i="13"/>
  <c r="AJ24" i="13"/>
  <c r="AJ16" i="13"/>
  <c r="AJ26" i="13"/>
  <c r="AJ8" i="13"/>
  <c r="AG11" i="13"/>
  <c r="AG16" i="13"/>
  <c r="AG12" i="13"/>
  <c r="AG23" i="13"/>
  <c r="AG19" i="13"/>
  <c r="AH21" i="13"/>
  <c r="AH26" i="13"/>
  <c r="AI10" i="13"/>
  <c r="AI24" i="13"/>
  <c r="AI22" i="13"/>
  <c r="AI13" i="13"/>
  <c r="AI14" i="13"/>
  <c r="AH8" i="13"/>
  <c r="AH7" i="13"/>
  <c r="AL7" i="13"/>
  <c r="AG8" i="13"/>
  <c r="AG10" i="13"/>
  <c r="AL11" i="13"/>
  <c r="AL12" i="13"/>
  <c r="AL15" i="13"/>
  <c r="AL13" i="13"/>
  <c r="AL14" i="13"/>
  <c r="AL26" i="13"/>
  <c r="AL24" i="13"/>
  <c r="AL21" i="13"/>
  <c r="AH25" i="13"/>
  <c r="AK26" i="13"/>
  <c r="AG4" i="13"/>
  <c r="AK12" i="13"/>
  <c r="AJ12" i="13"/>
  <c r="AG7" i="13"/>
  <c r="AK20" i="13"/>
  <c r="CD5" i="3"/>
  <c r="CF5" i="3"/>
  <c r="CE5" i="3"/>
  <c r="AI28" i="13" l="1"/>
  <c r="AO5" i="13" s="1"/>
  <c r="AK28" i="13"/>
  <c r="AQ6" i="13" s="1"/>
  <c r="AJ28" i="13"/>
  <c r="AP7" i="13" s="1"/>
  <c r="AN14" i="13"/>
  <c r="AJ29" i="13"/>
  <c r="AP8" i="13" s="1"/>
  <c r="AV8" i="13" s="1"/>
  <c r="AK29" i="13"/>
  <c r="AQ9" i="13" s="1"/>
  <c r="AI29" i="13"/>
  <c r="AO10" i="13" s="1"/>
  <c r="AG29" i="13"/>
  <c r="AM16" i="13" s="1"/>
  <c r="AH29" i="13"/>
  <c r="AN17" i="13" s="1"/>
  <c r="AL29" i="13"/>
  <c r="AR13" i="13" s="1"/>
  <c r="AL28" i="13"/>
  <c r="AR7" i="13" s="1"/>
  <c r="AG28" i="13"/>
  <c r="AM4" i="13" s="1"/>
  <c r="AS4" i="13" s="1"/>
  <c r="AH28" i="13"/>
  <c r="AN6" i="13" s="1"/>
  <c r="AO16" i="13" l="1"/>
  <c r="BA16" i="13" s="1"/>
  <c r="AZ6" i="13"/>
  <c r="AT6" i="13"/>
  <c r="AZ14" i="13"/>
  <c r="AT14" i="13"/>
  <c r="BD7" i="13"/>
  <c r="AX7" i="13"/>
  <c r="BB7" i="13"/>
  <c r="AV7" i="13"/>
  <c r="BD13" i="13"/>
  <c r="AX13" i="13"/>
  <c r="AZ17" i="13"/>
  <c r="AT17" i="13"/>
  <c r="BC6" i="13"/>
  <c r="AW6" i="13"/>
  <c r="AY16" i="13"/>
  <c r="AS16" i="13"/>
  <c r="BA10" i="13"/>
  <c r="AU10" i="13"/>
  <c r="BA5" i="13"/>
  <c r="AU5" i="13"/>
  <c r="BC9" i="13"/>
  <c r="AW9" i="13"/>
  <c r="AN16" i="13"/>
  <c r="AQ4" i="13"/>
  <c r="AW4" i="13" s="1"/>
  <c r="AR5" i="13"/>
  <c r="AN20" i="13"/>
  <c r="AQ10" i="13"/>
  <c r="AQ22" i="13"/>
  <c r="AQ5" i="13"/>
  <c r="AQ15" i="13"/>
  <c r="AR16" i="13"/>
  <c r="AR4" i="13"/>
  <c r="AX4" i="13" s="1"/>
  <c r="AN11" i="13"/>
  <c r="AR25" i="13"/>
  <c r="AR22" i="13"/>
  <c r="AN21" i="13"/>
  <c r="AN13" i="13"/>
  <c r="AN8" i="13"/>
  <c r="AN5" i="13"/>
  <c r="AP25" i="13"/>
  <c r="AM7" i="13"/>
  <c r="AR23" i="13"/>
  <c r="AR24" i="13"/>
  <c r="AN26" i="13"/>
  <c r="AN22" i="13"/>
  <c r="AR18" i="13"/>
  <c r="AR17" i="13"/>
  <c r="AP13" i="13"/>
  <c r="AP23" i="13"/>
  <c r="AR21" i="13"/>
  <c r="AN12" i="13"/>
  <c r="AP20" i="13"/>
  <c r="AM6" i="13"/>
  <c r="AP18" i="13"/>
  <c r="AR6" i="13"/>
  <c r="AR19" i="13"/>
  <c r="AN23" i="13"/>
  <c r="AR14" i="13"/>
  <c r="AQ7" i="13"/>
  <c r="AN9" i="13"/>
  <c r="AR8" i="13"/>
  <c r="AN25" i="13"/>
  <c r="AN10" i="13"/>
  <c r="AR9" i="13"/>
  <c r="AN24" i="13"/>
  <c r="AN19" i="13"/>
  <c r="AM5" i="13"/>
  <c r="AR10" i="13"/>
  <c r="AN18" i="13"/>
  <c r="AN15" i="13"/>
  <c r="BB8" i="13"/>
  <c r="AY4" i="13"/>
  <c r="AO11" i="13"/>
  <c r="AO22" i="13"/>
  <c r="BD4" i="13"/>
  <c r="AM17" i="13"/>
  <c r="AM26" i="13"/>
  <c r="AO25" i="13"/>
  <c r="AM24" i="13"/>
  <c r="AQ19" i="13"/>
  <c r="AQ24" i="13"/>
  <c r="AQ21" i="13"/>
  <c r="AQ8" i="13"/>
  <c r="AW8" i="13" s="1"/>
  <c r="AQ25" i="13"/>
  <c r="AQ13" i="13"/>
  <c r="AM10" i="13"/>
  <c r="AM9" i="13"/>
  <c r="AO7" i="13"/>
  <c r="AP4" i="13"/>
  <c r="AV4" i="13" s="1"/>
  <c r="AP5" i="13"/>
  <c r="AP19" i="13"/>
  <c r="AM8" i="13"/>
  <c r="AS8" i="13" s="1"/>
  <c r="AO23" i="13"/>
  <c r="AM20" i="13"/>
  <c r="AM14" i="13"/>
  <c r="AO6" i="13"/>
  <c r="AO8" i="13"/>
  <c r="AU8" i="13" s="1"/>
  <c r="AN7" i="13"/>
  <c r="AP24" i="13"/>
  <c r="AP26" i="13"/>
  <c r="AQ18" i="13"/>
  <c r="AM19" i="13"/>
  <c r="AP21" i="13"/>
  <c r="AM13" i="13"/>
  <c r="AO21" i="13"/>
  <c r="BC4" i="13"/>
  <c r="AM11" i="13"/>
  <c r="AQ20" i="13"/>
  <c r="AP22" i="13"/>
  <c r="AQ26" i="13"/>
  <c r="AM18" i="13"/>
  <c r="AP11" i="13"/>
  <c r="AO20" i="13"/>
  <c r="AO18" i="13"/>
  <c r="AN4" i="13"/>
  <c r="AT4" i="13" s="1"/>
  <c r="AP15" i="13"/>
  <c r="AP10" i="13"/>
  <c r="AQ16" i="13"/>
  <c r="AM15" i="13"/>
  <c r="AP14" i="13"/>
  <c r="AM12" i="13"/>
  <c r="AO13" i="13"/>
  <c r="AQ14" i="13"/>
  <c r="AO14" i="13"/>
  <c r="AQ12" i="13"/>
  <c r="AM21" i="13"/>
  <c r="AO26" i="13"/>
  <c r="AO4" i="13"/>
  <c r="AU4" i="13" s="1"/>
  <c r="AO17" i="13"/>
  <c r="AP9" i="13"/>
  <c r="AR26" i="13"/>
  <c r="AO9" i="13"/>
  <c r="AP16" i="13"/>
  <c r="AO24" i="13"/>
  <c r="AM23" i="13"/>
  <c r="AR12" i="13"/>
  <c r="AO19" i="13"/>
  <c r="AQ23" i="13"/>
  <c r="AO12" i="13"/>
  <c r="AQ17" i="13"/>
  <c r="AR20" i="13"/>
  <c r="AO15" i="13"/>
  <c r="AM25" i="13"/>
  <c r="AP17" i="13"/>
  <c r="AM22" i="13"/>
  <c r="AR15" i="13"/>
  <c r="AR11" i="13"/>
  <c r="AP12" i="13"/>
  <c r="AP6" i="13"/>
  <c r="AQ11" i="13"/>
  <c r="AU16" i="13" l="1"/>
  <c r="BB12" i="13"/>
  <c r="AV12" i="13"/>
  <c r="BC17" i="13"/>
  <c r="AW17" i="13"/>
  <c r="BA9" i="13"/>
  <c r="AU9" i="13"/>
  <c r="BA14" i="13"/>
  <c r="AU14" i="13"/>
  <c r="BB15" i="13"/>
  <c r="AV15" i="13"/>
  <c r="BC20" i="13"/>
  <c r="AW20" i="13"/>
  <c r="BB26" i="13"/>
  <c r="AV26" i="13"/>
  <c r="BC25" i="13"/>
  <c r="AW25" i="13"/>
  <c r="AY17" i="13"/>
  <c r="AS17" i="13"/>
  <c r="BD10" i="13"/>
  <c r="AX10" i="13"/>
  <c r="AZ9" i="13"/>
  <c r="AT9" i="13"/>
  <c r="BB20" i="13"/>
  <c r="AV20" i="13"/>
  <c r="AZ26" i="13"/>
  <c r="AT26" i="13"/>
  <c r="AZ21" i="13"/>
  <c r="AT21" i="13"/>
  <c r="BC22" i="13"/>
  <c r="AW22" i="13"/>
  <c r="BD11" i="13"/>
  <c r="AX11" i="13"/>
  <c r="BA12" i="13"/>
  <c r="AU12" i="13"/>
  <c r="BD26" i="13"/>
  <c r="AX26" i="13"/>
  <c r="BC14" i="13"/>
  <c r="AW14" i="13"/>
  <c r="AY11" i="13"/>
  <c r="AS11" i="13"/>
  <c r="BB24" i="13"/>
  <c r="AV24" i="13"/>
  <c r="BB19" i="13"/>
  <c r="AV19" i="13"/>
  <c r="AY5" i="13"/>
  <c r="AS5" i="13"/>
  <c r="BC7" i="13"/>
  <c r="AW7" i="13"/>
  <c r="AZ12" i="13"/>
  <c r="AT12" i="13"/>
  <c r="BD24" i="13"/>
  <c r="AX24" i="13"/>
  <c r="BD22" i="13"/>
  <c r="AX22" i="13"/>
  <c r="BC10" i="13"/>
  <c r="AW10" i="13"/>
  <c r="BD15" i="13"/>
  <c r="AX15" i="13"/>
  <c r="BC23" i="13"/>
  <c r="AW23" i="13"/>
  <c r="BB9" i="13"/>
  <c r="AV9" i="13"/>
  <c r="BA13" i="13"/>
  <c r="AU13" i="13"/>
  <c r="BA18" i="13"/>
  <c r="AU18" i="13"/>
  <c r="AZ7" i="13"/>
  <c r="AT7" i="13"/>
  <c r="BB5" i="13"/>
  <c r="AV5" i="13"/>
  <c r="BJ10" i="13" s="1"/>
  <c r="BC21" i="13"/>
  <c r="AW21" i="13"/>
  <c r="BA22" i="13"/>
  <c r="AU22" i="13"/>
  <c r="AZ19" i="13"/>
  <c r="AT19" i="13"/>
  <c r="BD14" i="13"/>
  <c r="AX14" i="13"/>
  <c r="BD21" i="13"/>
  <c r="AX21" i="13"/>
  <c r="BD23" i="13"/>
  <c r="AX23" i="13"/>
  <c r="BD25" i="13"/>
  <c r="AX25" i="13"/>
  <c r="AZ20" i="13"/>
  <c r="AT20" i="13"/>
  <c r="AY22" i="13"/>
  <c r="AS22" i="13"/>
  <c r="BA19" i="13"/>
  <c r="AU19" i="13"/>
  <c r="BA17" i="13"/>
  <c r="AU17" i="13"/>
  <c r="AY12" i="13"/>
  <c r="AS12" i="13"/>
  <c r="BA20" i="13"/>
  <c r="AU20" i="13"/>
  <c r="BA21" i="13"/>
  <c r="AU21" i="13"/>
  <c r="BC24" i="13"/>
  <c r="AW24" i="13"/>
  <c r="BA11" i="13"/>
  <c r="AU11" i="13"/>
  <c r="AZ24" i="13"/>
  <c r="AT24" i="13"/>
  <c r="AZ23" i="13"/>
  <c r="AT23" i="13"/>
  <c r="BB23" i="13"/>
  <c r="AV23" i="13"/>
  <c r="AY7" i="13"/>
  <c r="AS7" i="13"/>
  <c r="AZ11" i="13"/>
  <c r="AT11" i="13"/>
  <c r="BD5" i="13"/>
  <c r="AX5" i="13"/>
  <c r="BB17" i="13"/>
  <c r="AV17" i="13"/>
  <c r="BD12" i="13"/>
  <c r="AX12" i="13"/>
  <c r="BB14" i="13"/>
  <c r="AV14" i="13"/>
  <c r="BB11" i="13"/>
  <c r="AV11" i="13"/>
  <c r="AY13" i="13"/>
  <c r="AS13" i="13"/>
  <c r="BA6" i="13"/>
  <c r="AU6" i="13"/>
  <c r="BA7" i="13"/>
  <c r="AU7" i="13"/>
  <c r="BC19" i="13"/>
  <c r="AW19" i="13"/>
  <c r="BD9" i="13"/>
  <c r="AX9" i="13"/>
  <c r="BD19" i="13"/>
  <c r="AX19" i="13"/>
  <c r="BB13" i="13"/>
  <c r="AV13" i="13"/>
  <c r="BB25" i="13"/>
  <c r="AV25" i="13"/>
  <c r="AY25" i="13"/>
  <c r="AS25" i="13"/>
  <c r="AY23" i="13"/>
  <c r="AS23" i="13"/>
  <c r="BA26" i="13"/>
  <c r="AU26" i="13"/>
  <c r="AY15" i="13"/>
  <c r="AS15" i="13"/>
  <c r="AY18" i="13"/>
  <c r="AS18" i="13"/>
  <c r="BB21" i="13"/>
  <c r="AV21" i="13"/>
  <c r="AY14" i="13"/>
  <c r="AS14" i="13"/>
  <c r="AY9" i="13"/>
  <c r="AS9" i="13"/>
  <c r="AY24" i="13"/>
  <c r="AS24" i="13"/>
  <c r="AZ10" i="13"/>
  <c r="AT10" i="13"/>
  <c r="BD6" i="13"/>
  <c r="BL4" i="13" s="1"/>
  <c r="AX6" i="13"/>
  <c r="BD17" i="13"/>
  <c r="AX17" i="13"/>
  <c r="AZ5" i="13"/>
  <c r="AT5" i="13"/>
  <c r="BD16" i="13"/>
  <c r="AX16" i="13"/>
  <c r="AZ16" i="13"/>
  <c r="AT16" i="13"/>
  <c r="BC11" i="13"/>
  <c r="AW11" i="13"/>
  <c r="BA15" i="13"/>
  <c r="AU15" i="13"/>
  <c r="BA24" i="13"/>
  <c r="AU24" i="13"/>
  <c r="AY21" i="13"/>
  <c r="AS21" i="13"/>
  <c r="BC16" i="13"/>
  <c r="AW16" i="13"/>
  <c r="BC26" i="13"/>
  <c r="AW26" i="13"/>
  <c r="AY19" i="13"/>
  <c r="AS19" i="13"/>
  <c r="AY20" i="13"/>
  <c r="AS20" i="13"/>
  <c r="AY10" i="13"/>
  <c r="AS10" i="13"/>
  <c r="BA25" i="13"/>
  <c r="AU25" i="13"/>
  <c r="AZ15" i="13"/>
  <c r="AT15" i="13"/>
  <c r="AZ25" i="13"/>
  <c r="AT25" i="13"/>
  <c r="BB18" i="13"/>
  <c r="AV18" i="13"/>
  <c r="BD18" i="13"/>
  <c r="AX18" i="13"/>
  <c r="AZ8" i="13"/>
  <c r="AT8" i="13"/>
  <c r="BC15" i="13"/>
  <c r="AW15" i="13"/>
  <c r="BB6" i="13"/>
  <c r="AV6" i="13"/>
  <c r="BD20" i="13"/>
  <c r="AX20" i="13"/>
  <c r="BB16" i="13"/>
  <c r="AV16" i="13"/>
  <c r="BC12" i="13"/>
  <c r="AW12" i="13"/>
  <c r="BB10" i="13"/>
  <c r="AV10" i="13"/>
  <c r="BB22" i="13"/>
  <c r="AV22" i="13"/>
  <c r="BC18" i="13"/>
  <c r="AW18" i="13"/>
  <c r="BA23" i="13"/>
  <c r="AU23" i="13"/>
  <c r="BC13" i="13"/>
  <c r="AW13" i="13"/>
  <c r="AY26" i="13"/>
  <c r="AS26" i="13"/>
  <c r="AZ18" i="13"/>
  <c r="AT18" i="13"/>
  <c r="BD8" i="13"/>
  <c r="BL5" i="13" s="1"/>
  <c r="AX8" i="13"/>
  <c r="AY6" i="13"/>
  <c r="AS6" i="13"/>
  <c r="AZ22" i="13"/>
  <c r="AT22" i="13"/>
  <c r="AZ13" i="13"/>
  <c r="AT13" i="13"/>
  <c r="BC5" i="13"/>
  <c r="BK4" i="13" s="1"/>
  <c r="AW5" i="13"/>
  <c r="AN29" i="13"/>
  <c r="AQ28" i="13"/>
  <c r="AM28" i="13"/>
  <c r="AR28" i="13"/>
  <c r="AZ4" i="13"/>
  <c r="AN28" i="13"/>
  <c r="AM29" i="13"/>
  <c r="AY8" i="13"/>
  <c r="AQ29" i="13"/>
  <c r="BC8" i="13"/>
  <c r="BA4" i="13"/>
  <c r="AO28" i="13"/>
  <c r="BA8" i="13"/>
  <c r="AO29" i="13"/>
  <c r="BB4" i="13"/>
  <c r="AP28" i="13"/>
  <c r="AR29" i="13"/>
  <c r="AP29" i="13"/>
  <c r="BJ5" i="13" l="1"/>
  <c r="BK11" i="13"/>
  <c r="BI11" i="13"/>
  <c r="BH5" i="13"/>
  <c r="BG11" i="13"/>
  <c r="BG4" i="13"/>
  <c r="BL6" i="13"/>
  <c r="BL10" i="13"/>
  <c r="BK10" i="13"/>
  <c r="BI4" i="13"/>
  <c r="BH10" i="13"/>
  <c r="BJ4" i="13"/>
  <c r="BJ6" i="13" s="1"/>
  <c r="BI10" i="13"/>
  <c r="BH11" i="13"/>
  <c r="BK5" i="13"/>
  <c r="BK6" i="13" s="1"/>
  <c r="BG5" i="13"/>
  <c r="BJ11" i="13"/>
  <c r="BJ12" i="13" s="1"/>
  <c r="BG10" i="13"/>
  <c r="BI5" i="13"/>
  <c r="BH4" i="13"/>
  <c r="BL11" i="13"/>
  <c r="BL12" i="13" s="1"/>
  <c r="BI12" i="13" l="1"/>
  <c r="BH6" i="13"/>
  <c r="BG12" i="13"/>
  <c r="BL16" i="13"/>
  <c r="BK12" i="13"/>
  <c r="BK16" i="13" s="1"/>
  <c r="BJ16" i="13"/>
  <c r="BI6" i="13"/>
  <c r="BI16" i="13" s="1"/>
  <c r="BG6" i="13"/>
  <c r="BG16" i="13" s="1"/>
  <c r="BH12" i="13"/>
  <c r="BH16" i="13" s="1"/>
</calcChain>
</file>

<file path=xl/sharedStrings.xml><?xml version="1.0" encoding="utf-8"?>
<sst xmlns="http://schemas.openxmlformats.org/spreadsheetml/2006/main" count="407" uniqueCount="67">
  <si>
    <t>Dimer</t>
  </si>
  <si>
    <t>5A</t>
  </si>
  <si>
    <t>5B</t>
  </si>
  <si>
    <t>7A</t>
  </si>
  <si>
    <t>7B</t>
  </si>
  <si>
    <t>8A</t>
  </si>
  <si>
    <t>8B</t>
  </si>
  <si>
    <t>M06-2X</t>
  </si>
  <si>
    <t>def2-TZVP</t>
  </si>
  <si>
    <t>GFN2-xTB</t>
  </si>
  <si>
    <t>PM6-D3H4X</t>
  </si>
  <si>
    <t>PM6-D3H+</t>
  </si>
  <si>
    <t>6-31G*</t>
  </si>
  <si>
    <t>R2SCAN-3C</t>
  </si>
  <si>
    <t>cc-pVTZ</t>
  </si>
  <si>
    <t>PBE-D3BJ</t>
  </si>
  <si>
    <t>PBE-D3BJ (ATM)</t>
  </si>
  <si>
    <t>GFN1-xTB</t>
  </si>
  <si>
    <t>GFN0-xTB</t>
  </si>
  <si>
    <t>shift</t>
  </si>
  <si>
    <t>residues</t>
  </si>
  <si>
    <t>residues2</t>
  </si>
  <si>
    <t>sumr2</t>
  </si>
  <si>
    <t>Binding Energies</t>
  </si>
  <si>
    <t>Thermodynamics</t>
  </si>
  <si>
    <t>Thermodynamic Correction</t>
  </si>
  <si>
    <t>Thermdynamics</t>
  </si>
  <si>
    <t>ALPB</t>
  </si>
  <si>
    <t>COSMO</t>
  </si>
  <si>
    <t>Thermdynamics gas</t>
  </si>
  <si>
    <t>Thermdynamics Toluene (ALPB)</t>
  </si>
  <si>
    <t>Thermdynamics Toluene (COSMO)</t>
  </si>
  <si>
    <t>ALPBG</t>
  </si>
  <si>
    <t>Catcher</t>
  </si>
  <si>
    <t>ii</t>
  </si>
  <si>
    <t>ie</t>
  </si>
  <si>
    <t>ee</t>
  </si>
  <si>
    <t>iet</t>
  </si>
  <si>
    <t>H(PM6-D3H4)</t>
  </si>
  <si>
    <t>S</t>
  </si>
  <si>
    <t>J/mol</t>
  </si>
  <si>
    <t>J/K/mol</t>
  </si>
  <si>
    <t>kcal/mol</t>
  </si>
  <si>
    <t>kcal/K/mol</t>
  </si>
  <si>
    <t>Energies</t>
  </si>
  <si>
    <t>PM6-D3H4</t>
  </si>
  <si>
    <t>(kcal/mol)</t>
  </si>
  <si>
    <t>(Eh)</t>
  </si>
  <si>
    <t>r2SCAN-3c</t>
  </si>
  <si>
    <t>ENTHALPY</t>
  </si>
  <si>
    <t>BASE DATA</t>
  </si>
  <si>
    <t>REDUCED GIBBS FREE ENERGY</t>
  </si>
  <si>
    <t>T</t>
  </si>
  <si>
    <t>BOLTZMANN FACTORS</t>
  </si>
  <si>
    <t>GIBBS FREE ENERGY (GAS)</t>
  </si>
  <si>
    <t>GIBBS FREE ENERGY (TOLUENE)</t>
  </si>
  <si>
    <t>WEIGHTS</t>
  </si>
  <si>
    <t>WEIGHTED GIBBS FREE ENERGY (TOLUENE)</t>
  </si>
  <si>
    <t>AVERAGED GIBBS FREE ENERGY (TOLUENE)</t>
  </si>
  <si>
    <t>catcher</t>
  </si>
  <si>
    <t>dimer</t>
  </si>
  <si>
    <t>dimerization</t>
  </si>
  <si>
    <t>CONFORMATIONAL ENTROPY</t>
  </si>
  <si>
    <t>∆Gsimple</t>
  </si>
  <si>
    <t>Sconf</t>
  </si>
  <si>
    <t>Gfull</t>
  </si>
  <si>
    <t>Thermdynamics Toluene (COSMO 2.38)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</si>
</sst>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1"/>
      <color rgb="FF000000"/>
      <name val="Menlo"/>
      <family val="2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righ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" xfId="0" applyBorder="1"/>
    <xf numFmtId="0" fontId="0" fillId="0" borderId="22" xfId="0" applyBorder="1"/>
    <xf numFmtId="0" fontId="2" fillId="0" borderId="0" xfId="0" applyFont="1"/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7233378372083"/>
          <c:y val="3.5313001605136438E-2"/>
          <c:w val="0.89385764649241328"/>
          <c:h val="0.89021422883937262"/>
        </c:manualLayout>
      </c:layout>
      <c:lineChart>
        <c:grouping val="standard"/>
        <c:varyColors val="0"/>
        <c:ser>
          <c:idx val="0"/>
          <c:order val="0"/>
          <c:tx>
            <c:v>PM6-D3H4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Gas!$AJ$5:$AJ$23</c:f>
              <c:numCache>
                <c:formatCode>0.0</c:formatCode>
                <c:ptCount val="19"/>
                <c:pt idx="0">
                  <c:v>-23.327999999999999</c:v>
                </c:pt>
                <c:pt idx="1">
                  <c:v>-11.862000000000002</c:v>
                </c:pt>
                <c:pt idx="2">
                  <c:v>-10.156000000000002</c:v>
                </c:pt>
                <c:pt idx="3">
                  <c:v>-2.5339999999999989</c:v>
                </c:pt>
                <c:pt idx="4">
                  <c:v>-4.1550000000000011</c:v>
                </c:pt>
                <c:pt idx="5">
                  <c:v>-4.6140000000000008</c:v>
                </c:pt>
                <c:pt idx="6">
                  <c:v>-12.402999999999999</c:v>
                </c:pt>
                <c:pt idx="7">
                  <c:v>-3.6589999999999989</c:v>
                </c:pt>
                <c:pt idx="8">
                  <c:v>-2.0060000000000002</c:v>
                </c:pt>
                <c:pt idx="9">
                  <c:v>-3.0659999999999989</c:v>
                </c:pt>
                <c:pt idx="10">
                  <c:v>-5.391</c:v>
                </c:pt>
                <c:pt idx="11">
                  <c:v>8.5719999999999992</c:v>
                </c:pt>
                <c:pt idx="12">
                  <c:v>-17.512</c:v>
                </c:pt>
                <c:pt idx="13">
                  <c:v>-17.725000000000001</c:v>
                </c:pt>
                <c:pt idx="14">
                  <c:v>-10.502000000000002</c:v>
                </c:pt>
                <c:pt idx="15">
                  <c:v>-7.5229999999999997</c:v>
                </c:pt>
                <c:pt idx="16">
                  <c:v>-11.861000000000001</c:v>
                </c:pt>
                <c:pt idx="17">
                  <c:v>-7.2059999999999995</c:v>
                </c:pt>
                <c:pt idx="18">
                  <c:v>-4.5210000000000008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4-3747-B40B-B48668F18BEB}"/>
            </c:ext>
          </c:extLst>
        </c:ser>
        <c:ser>
          <c:idx val="1"/>
          <c:order val="1"/>
          <c:tx>
            <c:v>M06-2X(P)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Gas!$AK$5:$AK$23</c:f>
              <c:numCache>
                <c:formatCode>0.0</c:formatCode>
                <c:ptCount val="19"/>
                <c:pt idx="0">
                  <c:v>-20.084825544827321</c:v>
                </c:pt>
                <c:pt idx="1">
                  <c:v>-7.1135281505776788</c:v>
                </c:pt>
                <c:pt idx="2">
                  <c:v>-6.7005151213540302</c:v>
                </c:pt>
                <c:pt idx="3">
                  <c:v>2.1193914145046602</c:v>
                </c:pt>
                <c:pt idx="4">
                  <c:v>1.0950448862414799</c:v>
                </c:pt>
                <c:pt idx="5">
                  <c:v>1.8399987478693056</c:v>
                </c:pt>
                <c:pt idx="6">
                  <c:v>-7.5169654719365653</c:v>
                </c:pt>
                <c:pt idx="7">
                  <c:v>-0.86186628217230421</c:v>
                </c:pt>
                <c:pt idx="8">
                  <c:v>3.0908552566226781</c:v>
                </c:pt>
                <c:pt idx="9">
                  <c:v>7.9484396934730999</c:v>
                </c:pt>
                <c:pt idx="10">
                  <c:v>-1.8593400890109475</c:v>
                </c:pt>
                <c:pt idx="11">
                  <c:v>9.3924346812356951</c:v>
                </c:pt>
                <c:pt idx="12">
                  <c:v>-13.243790086358921</c:v>
                </c:pt>
                <c:pt idx="13">
                  <c:v>-12.941195381704247</c:v>
                </c:pt>
                <c:pt idx="14">
                  <c:v>-6.945750343981512</c:v>
                </c:pt>
                <c:pt idx="15">
                  <c:v>-4.6284158708655525</c:v>
                </c:pt>
                <c:pt idx="16">
                  <c:v>-6.1859884560908789</c:v>
                </c:pt>
                <c:pt idx="17">
                  <c:v>-6.0147718934355154</c:v>
                </c:pt>
                <c:pt idx="18">
                  <c:v>-1.4464125098230554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4-3747-B40B-B48668F18BEB}"/>
            </c:ext>
          </c:extLst>
        </c:ser>
        <c:ser>
          <c:idx val="2"/>
          <c:order val="2"/>
          <c:tx>
            <c:v>R2SCAN-3C(P)</c:v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Gas!$AL$5:$AL$23</c:f>
              <c:numCache>
                <c:formatCode>0.0</c:formatCode>
                <c:ptCount val="19"/>
                <c:pt idx="0">
                  <c:v>-17.107370993780069</c:v>
                </c:pt>
                <c:pt idx="1">
                  <c:v>-10.788524835173959</c:v>
                </c:pt>
                <c:pt idx="2">
                  <c:v>-9.4763358631626247</c:v>
                </c:pt>
                <c:pt idx="3">
                  <c:v>-2.2713626586419267</c:v>
                </c:pt>
                <c:pt idx="4">
                  <c:v>-2.5435029466600945</c:v>
                </c:pt>
                <c:pt idx="5">
                  <c:v>-2.0546749190491589</c:v>
                </c:pt>
                <c:pt idx="6">
                  <c:v>-7.1008135560906496</c:v>
                </c:pt>
                <c:pt idx="7">
                  <c:v>-2.1510695295895204</c:v>
                </c:pt>
                <c:pt idx="8">
                  <c:v>2.1357102007083579</c:v>
                </c:pt>
                <c:pt idx="9">
                  <c:v>-0.70171913980836109</c:v>
                </c:pt>
                <c:pt idx="10">
                  <c:v>-3.1446951589011736</c:v>
                </c:pt>
                <c:pt idx="11">
                  <c:v>8.0038765637541083</c:v>
                </c:pt>
                <c:pt idx="12">
                  <c:v>-10.553166437489313</c:v>
                </c:pt>
                <c:pt idx="13">
                  <c:v>-6.6384783168951387</c:v>
                </c:pt>
                <c:pt idx="14">
                  <c:v>-7.8896593202672847</c:v>
                </c:pt>
                <c:pt idx="15">
                  <c:v>-2.7976197919295061</c:v>
                </c:pt>
                <c:pt idx="16">
                  <c:v>-10.930846471538011</c:v>
                </c:pt>
                <c:pt idx="17">
                  <c:v>-6.7197510518107855</c:v>
                </c:pt>
                <c:pt idx="18">
                  <c:v>-2.5648460078373709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C4-3747-B40B-B48668F18BEB}"/>
            </c:ext>
          </c:extLst>
        </c:ser>
        <c:ser>
          <c:idx val="3"/>
          <c:order val="3"/>
          <c:tx>
            <c:v>R2SCAN-3C(D)</c:v>
          </c:tx>
          <c:spPr>
            <a:ln w="1270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Gas!$AM$5:$AM$23</c:f>
              <c:numCache>
                <c:formatCode>0.0</c:formatCode>
                <c:ptCount val="19"/>
                <c:pt idx="0">
                  <c:v>-17.519705542808804</c:v>
                </c:pt>
                <c:pt idx="1">
                  <c:v>-7.9279462265390706</c:v>
                </c:pt>
                <c:pt idx="2">
                  <c:v>-8.4036782366753364</c:v>
                </c:pt>
                <c:pt idx="3">
                  <c:v>-2.640658375695665</c:v>
                </c:pt>
                <c:pt idx="4">
                  <c:v>0.81529089380916631</c:v>
                </c:pt>
                <c:pt idx="5">
                  <c:v>0.827455412416775</c:v>
                </c:pt>
                <c:pt idx="6">
                  <c:v>-7.9664133426623422</c:v>
                </c:pt>
                <c:pt idx="7">
                  <c:v>-1.9935167950973209</c:v>
                </c:pt>
                <c:pt idx="8">
                  <c:v>1.0823246241273043</c:v>
                </c:pt>
                <c:pt idx="9">
                  <c:v>8.1684124211704727</c:v>
                </c:pt>
                <c:pt idx="10">
                  <c:v>-1.0466787508510773</c:v>
                </c:pt>
                <c:pt idx="11">
                  <c:v>6.9718609909647586</c:v>
                </c:pt>
                <c:pt idx="12">
                  <c:v>-12.293873897995102</c:v>
                </c:pt>
                <c:pt idx="13">
                  <c:v>-10.740644022684165</c:v>
                </c:pt>
                <c:pt idx="14">
                  <c:v>-7.0205970482021556</c:v>
                </c:pt>
                <c:pt idx="15">
                  <c:v>-4.2960450277200408</c:v>
                </c:pt>
                <c:pt idx="16">
                  <c:v>-6.7376776594724603</c:v>
                </c:pt>
                <c:pt idx="17">
                  <c:v>-6.6206988105352913</c:v>
                </c:pt>
                <c:pt idx="18">
                  <c:v>-2.9763365251334299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C4-3747-B40B-B48668F18BEB}"/>
            </c:ext>
          </c:extLst>
        </c:ser>
        <c:ser>
          <c:idx val="4"/>
          <c:order val="4"/>
          <c:tx>
            <c:v>PBE-D3BJ(K)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Gas!$AN$5:$AN$23</c:f>
              <c:numCache>
                <c:formatCode>0.0</c:formatCode>
                <c:ptCount val="19"/>
                <c:pt idx="0">
                  <c:v>-20.632133965620827</c:v>
                </c:pt>
                <c:pt idx="1">
                  <c:v>-10.662110477194126</c:v>
                </c:pt>
                <c:pt idx="2">
                  <c:v>-12.057507679413366</c:v>
                </c:pt>
                <c:pt idx="3">
                  <c:v>-4.1077575781983207</c:v>
                </c:pt>
                <c:pt idx="4">
                  <c:v>-1.9805477121540882</c:v>
                </c:pt>
                <c:pt idx="5">
                  <c:v>-2.8956409256101381</c:v>
                </c:pt>
                <c:pt idx="6">
                  <c:v>-10.513647249944714</c:v>
                </c:pt>
                <c:pt idx="7">
                  <c:v>-3.3645755965208473</c:v>
                </c:pt>
                <c:pt idx="8">
                  <c:v>-0.75647159948929144</c:v>
                </c:pt>
                <c:pt idx="9">
                  <c:v>4.2300894683240422</c:v>
                </c:pt>
                <c:pt idx="10">
                  <c:v>-4.4000003310902951</c:v>
                </c:pt>
                <c:pt idx="11">
                  <c:v>6.680236292246633</c:v>
                </c:pt>
                <c:pt idx="12">
                  <c:v>-15.169895154446039</c:v>
                </c:pt>
                <c:pt idx="13">
                  <c:v>-14.523947704815001</c:v>
                </c:pt>
                <c:pt idx="14">
                  <c:v>-9.2524960007588888</c:v>
                </c:pt>
                <c:pt idx="15">
                  <c:v>-6.5482340260570062</c:v>
                </c:pt>
                <c:pt idx="16">
                  <c:v>-10.94740280386678</c:v>
                </c:pt>
                <c:pt idx="17">
                  <c:v>-8.2536645027296096</c:v>
                </c:pt>
                <c:pt idx="18">
                  <c:v>-4.323142675700069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C4-3747-B40B-B48668F18BEB}"/>
            </c:ext>
          </c:extLst>
        </c:ser>
        <c:ser>
          <c:idx val="5"/>
          <c:order val="5"/>
          <c:tx>
            <c:v>PBE-D3BJ-ATM(K)</c:v>
          </c:tx>
          <c:spPr>
            <a:ln w="127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Gas!$AO$5:$AO$23</c:f>
              <c:numCache>
                <c:formatCode>0.0</c:formatCode>
                <c:ptCount val="19"/>
                <c:pt idx="0">
                  <c:v>-15.24679896562083</c:v>
                </c:pt>
                <c:pt idx="1">
                  <c:v>-8.2974144771941276</c:v>
                </c:pt>
                <c:pt idx="2">
                  <c:v>-8.0978116794133648</c:v>
                </c:pt>
                <c:pt idx="3">
                  <c:v>-2.2689865781983194</c:v>
                </c:pt>
                <c:pt idx="4">
                  <c:v>0.1079742878459129</c:v>
                </c:pt>
                <c:pt idx="5">
                  <c:v>-0.23542592561013898</c:v>
                </c:pt>
                <c:pt idx="6">
                  <c:v>-6.783684249944713</c:v>
                </c:pt>
                <c:pt idx="7">
                  <c:v>-1.5717075965208487</c:v>
                </c:pt>
                <c:pt idx="8">
                  <c:v>0.88965240051070893</c:v>
                </c:pt>
                <c:pt idx="9">
                  <c:v>6.0758314683240418</c:v>
                </c:pt>
                <c:pt idx="10">
                  <c:v>-1.7093793310902949</c:v>
                </c:pt>
                <c:pt idx="11">
                  <c:v>7.5534282922466325</c:v>
                </c:pt>
                <c:pt idx="12">
                  <c:v>-10.661348154446038</c:v>
                </c:pt>
                <c:pt idx="13">
                  <c:v>-9.4745677048150014</c:v>
                </c:pt>
                <c:pt idx="14">
                  <c:v>-5.8365050007588906</c:v>
                </c:pt>
                <c:pt idx="15">
                  <c:v>-3.9867400260570065</c:v>
                </c:pt>
                <c:pt idx="16">
                  <c:v>-7.7778888038667802</c:v>
                </c:pt>
                <c:pt idx="17">
                  <c:v>-5.8926435027296087</c:v>
                </c:pt>
                <c:pt idx="18">
                  <c:v>-2.525239675700071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C4-3747-B40B-B48668F18BEB}"/>
            </c:ext>
          </c:extLst>
        </c:ser>
        <c:ser>
          <c:idx val="6"/>
          <c:order val="6"/>
          <c:tx>
            <c:v>GFN2-xTB</c:v>
          </c:tx>
          <c:spPr>
            <a:ln w="127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Gas!$AC$5:$AC$23</c:f>
              <c:numCache>
                <c:formatCode>0.0</c:formatCode>
                <c:ptCount val="19"/>
                <c:pt idx="0">
                  <c:v>-26.283000000000001</c:v>
                </c:pt>
                <c:pt idx="1">
                  <c:v>-8.5670000000000002</c:v>
                </c:pt>
                <c:pt idx="2">
                  <c:v>-15.09</c:v>
                </c:pt>
                <c:pt idx="3">
                  <c:v>-8.7129999999999992</c:v>
                </c:pt>
                <c:pt idx="4">
                  <c:v>-9.070999999999998</c:v>
                </c:pt>
                <c:pt idx="5">
                  <c:v>-7.7669999999999995</c:v>
                </c:pt>
                <c:pt idx="6">
                  <c:v>-16.920000000000002</c:v>
                </c:pt>
                <c:pt idx="7">
                  <c:v>-8.1449999999999996</c:v>
                </c:pt>
                <c:pt idx="8">
                  <c:v>-6.6509999999999998</c:v>
                </c:pt>
                <c:pt idx="9">
                  <c:v>-1.6600000000000001</c:v>
                </c:pt>
                <c:pt idx="10">
                  <c:v>-2.3990000000000009</c:v>
                </c:pt>
                <c:pt idx="11">
                  <c:v>-0.2710000000000008</c:v>
                </c:pt>
                <c:pt idx="12">
                  <c:v>-19.286000000000001</c:v>
                </c:pt>
                <c:pt idx="13">
                  <c:v>-17.533000000000001</c:v>
                </c:pt>
                <c:pt idx="14">
                  <c:v>-15.952999999999999</c:v>
                </c:pt>
                <c:pt idx="15">
                  <c:v>-7.4819999999999993</c:v>
                </c:pt>
                <c:pt idx="16">
                  <c:v>-6.0429999999999993</c:v>
                </c:pt>
                <c:pt idx="17">
                  <c:v>-12.356999999999999</c:v>
                </c:pt>
                <c:pt idx="18">
                  <c:v>-9.4169999999999998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2-9841-952D-DDB9812D2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616559"/>
        <c:axId val="1190630063"/>
      </c:lineChart>
      <c:catAx>
        <c:axId val="119061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30063"/>
        <c:crosses val="autoZero"/>
        <c:auto val="1"/>
        <c:lblAlgn val="ctr"/>
        <c:lblOffset val="100"/>
        <c:noMultiLvlLbl val="0"/>
      </c:catAx>
      <c:valAx>
        <c:axId val="119063006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Times" pitchFamily="2" charset="0"/>
                  </a:rPr>
                  <a:t>∆Gbind [gas] (kcal/mol)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1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886533414092471"/>
          <c:y val="0.5618619582664528"/>
          <c:w val="0.22287036605631397"/>
          <c:h val="0.335056179775280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" pitchFamily="2" charset="0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7233378372083"/>
          <c:y val="3.5313001605136438E-2"/>
          <c:w val="0.89385764649241328"/>
          <c:h val="0.89021422883937262"/>
        </c:manualLayout>
      </c:layout>
      <c:lineChart>
        <c:grouping val="standard"/>
        <c:varyColors val="0"/>
        <c:ser>
          <c:idx val="0"/>
          <c:order val="0"/>
          <c:tx>
            <c:v>GFN2-xTB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Gas!$AC$5:$AC$23</c:f>
              <c:numCache>
                <c:formatCode>0.0</c:formatCode>
                <c:ptCount val="19"/>
                <c:pt idx="0">
                  <c:v>-26.283000000000001</c:v>
                </c:pt>
                <c:pt idx="1">
                  <c:v>-8.5670000000000002</c:v>
                </c:pt>
                <c:pt idx="2">
                  <c:v>-15.09</c:v>
                </c:pt>
                <c:pt idx="3">
                  <c:v>-8.7129999999999992</c:v>
                </c:pt>
                <c:pt idx="4">
                  <c:v>-9.070999999999998</c:v>
                </c:pt>
                <c:pt idx="5">
                  <c:v>-7.7669999999999995</c:v>
                </c:pt>
                <c:pt idx="6">
                  <c:v>-16.920000000000002</c:v>
                </c:pt>
                <c:pt idx="7">
                  <c:v>-8.1449999999999996</c:v>
                </c:pt>
                <c:pt idx="8">
                  <c:v>-6.6509999999999998</c:v>
                </c:pt>
                <c:pt idx="9">
                  <c:v>-1.6600000000000001</c:v>
                </c:pt>
                <c:pt idx="10">
                  <c:v>-2.3990000000000009</c:v>
                </c:pt>
                <c:pt idx="11">
                  <c:v>-0.2710000000000008</c:v>
                </c:pt>
                <c:pt idx="12">
                  <c:v>-19.286000000000001</c:v>
                </c:pt>
                <c:pt idx="13">
                  <c:v>-17.533000000000001</c:v>
                </c:pt>
                <c:pt idx="14">
                  <c:v>-15.952999999999999</c:v>
                </c:pt>
                <c:pt idx="15">
                  <c:v>-7.4819999999999993</c:v>
                </c:pt>
                <c:pt idx="16">
                  <c:v>-6.0429999999999993</c:v>
                </c:pt>
                <c:pt idx="17">
                  <c:v>-12.356999999999999</c:v>
                </c:pt>
                <c:pt idx="18">
                  <c:v>-9.4169999999999998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0-E243-8D6F-02BEBEA3938A}"/>
            </c:ext>
          </c:extLst>
        </c:ser>
        <c:ser>
          <c:idx val="1"/>
          <c:order val="1"/>
          <c:tx>
            <c:v>M06-2X(P)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Gas!$AE$5:$AE$23</c:f>
              <c:numCache>
                <c:formatCode>0.0</c:formatCode>
                <c:ptCount val="19"/>
                <c:pt idx="0">
                  <c:v>-16.245472087789857</c:v>
                </c:pt>
                <c:pt idx="1">
                  <c:v>-6.3209788530882562</c:v>
                </c:pt>
                <c:pt idx="2">
                  <c:v>-3.0340226733492059</c:v>
                </c:pt>
                <c:pt idx="3">
                  <c:v>3.7498357264765652</c:v>
                </c:pt>
                <c:pt idx="4">
                  <c:v>-1.7686236157736701</c:v>
                </c:pt>
                <c:pt idx="5">
                  <c:v>1.2818357875791193</c:v>
                </c:pt>
                <c:pt idx="6">
                  <c:v>-4.1639692926234773</c:v>
                </c:pt>
                <c:pt idx="7">
                  <c:v>0.86605739504148005</c:v>
                </c:pt>
                <c:pt idx="8">
                  <c:v>5.078970833513484</c:v>
                </c:pt>
                <c:pt idx="9">
                  <c:v>0.9121840144160771</c:v>
                </c:pt>
                <c:pt idx="10">
                  <c:v>-0.66993711858707528</c:v>
                </c:pt>
                <c:pt idx="11">
                  <c:v>13.533591161728065</c:v>
                </c:pt>
                <c:pt idx="12">
                  <c:v>-7.1364342850031193</c:v>
                </c:pt>
                <c:pt idx="13">
                  <c:v>-5.8855332855723539</c:v>
                </c:pt>
                <c:pt idx="14">
                  <c:v>-6.4196232048299571</c:v>
                </c:pt>
                <c:pt idx="15">
                  <c:v>4.4526009017918646</c:v>
                </c:pt>
                <c:pt idx="16">
                  <c:v>-4.9587153883346176</c:v>
                </c:pt>
                <c:pt idx="17">
                  <c:v>-3.8516450765668608</c:v>
                </c:pt>
                <c:pt idx="18">
                  <c:v>0.24666692306744764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0-E243-8D6F-02BEBEA3938A}"/>
            </c:ext>
          </c:extLst>
        </c:ser>
        <c:ser>
          <c:idx val="6"/>
          <c:order val="2"/>
          <c:tx>
            <c:v>M06-2X(K)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Gas!$AD$5:$AD$23</c:f>
              <c:numCache>
                <c:formatCode>0.0</c:formatCode>
                <c:ptCount val="19"/>
                <c:pt idx="0">
                  <c:v>-9.5009488203821526</c:v>
                </c:pt>
                <c:pt idx="1">
                  <c:v>-2.8123808354925828</c:v>
                </c:pt>
                <c:pt idx="2">
                  <c:v>3.5944021549373097</c:v>
                </c:pt>
                <c:pt idx="3">
                  <c:v>6.4986145886909252</c:v>
                </c:pt>
                <c:pt idx="4">
                  <c:v>1.5388237556037616</c:v>
                </c:pt>
                <c:pt idx="5">
                  <c:v>4.7550627068130851</c:v>
                </c:pt>
                <c:pt idx="6">
                  <c:v>0.59624524464404161</c:v>
                </c:pt>
                <c:pt idx="7">
                  <c:v>3.8424571846472535</c:v>
                </c:pt>
                <c:pt idx="8">
                  <c:v>8.1064222816697935</c:v>
                </c:pt>
                <c:pt idx="9">
                  <c:v>4.1217509936195249</c:v>
                </c:pt>
                <c:pt idx="10">
                  <c:v>3.2442451260517764</c:v>
                </c:pt>
                <c:pt idx="11">
                  <c:v>16.162210178987895</c:v>
                </c:pt>
                <c:pt idx="12">
                  <c:v>-1.4028344808070834</c:v>
                </c:pt>
                <c:pt idx="13">
                  <c:v>-0.97793090420589124</c:v>
                </c:pt>
                <c:pt idx="14">
                  <c:v>-1.5600810375190726</c:v>
                </c:pt>
                <c:pt idx="15">
                  <c:v>7.9457727501590796</c:v>
                </c:pt>
                <c:pt idx="16">
                  <c:v>-0.63819339451370993</c:v>
                </c:pt>
                <c:pt idx="17">
                  <c:v>1.8544101385042921E-3</c:v>
                </c:pt>
                <c:pt idx="18">
                  <c:v>3.2025352314862463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70-E243-8D6F-02BEBEA3938A}"/>
            </c:ext>
          </c:extLst>
        </c:ser>
        <c:ser>
          <c:idx val="2"/>
          <c:order val="3"/>
          <c:tx>
            <c:v>R2SCAN-3C(P)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Gas!$AF$5:$AF$23</c:f>
              <c:numCache>
                <c:formatCode>0.0</c:formatCode>
                <c:ptCount val="19"/>
                <c:pt idx="0">
                  <c:v>-16.96837099378007</c:v>
                </c:pt>
                <c:pt idx="1">
                  <c:v>-11.617524835173956</c:v>
                </c:pt>
                <c:pt idx="2">
                  <c:v>-7.1993358631626201</c:v>
                </c:pt>
                <c:pt idx="3">
                  <c:v>-3.1963626586419256</c:v>
                </c:pt>
                <c:pt idx="4">
                  <c:v>-2.7415029466600913</c:v>
                </c:pt>
                <c:pt idx="5">
                  <c:v>-2.6246749190491592</c:v>
                </c:pt>
                <c:pt idx="6">
                  <c:v>-6.6438135560906559</c:v>
                </c:pt>
                <c:pt idx="7">
                  <c:v>-2.7990695295895236</c:v>
                </c:pt>
                <c:pt idx="8">
                  <c:v>0.46371020070835733</c:v>
                </c:pt>
                <c:pt idx="9">
                  <c:v>-1.1317191398083608</c:v>
                </c:pt>
                <c:pt idx="10">
                  <c:v>-3.0906951589011733</c:v>
                </c:pt>
                <c:pt idx="11">
                  <c:v>8.7438765637541067</c:v>
                </c:pt>
                <c:pt idx="12">
                  <c:v>-9.9721664374893102</c:v>
                </c:pt>
                <c:pt idx="13">
                  <c:v>-8.1794783168951355</c:v>
                </c:pt>
                <c:pt idx="14">
                  <c:v>-6.8356593202672791</c:v>
                </c:pt>
                <c:pt idx="15">
                  <c:v>-2.0556197919295052</c:v>
                </c:pt>
                <c:pt idx="16">
                  <c:v>-10.558846471538011</c:v>
                </c:pt>
                <c:pt idx="17">
                  <c:v>-6.5197510518107862</c:v>
                </c:pt>
                <c:pt idx="18">
                  <c:v>-3.8388460078373701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0-E243-8D6F-02BEBEA3938A}"/>
            </c:ext>
          </c:extLst>
        </c:ser>
        <c:ser>
          <c:idx val="3"/>
          <c:order val="4"/>
          <c:tx>
            <c:v>R2SCAN-3C(D)</c:v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Gas!$AG$5:$AG$23</c:f>
              <c:numCache>
                <c:formatCode>0.0</c:formatCode>
                <c:ptCount val="19"/>
                <c:pt idx="0">
                  <c:v>-10.254626094242482</c:v>
                </c:pt>
                <c:pt idx="1">
                  <c:v>-8.0172233609134906</c:v>
                </c:pt>
                <c:pt idx="2">
                  <c:v>-1.10272286143163</c:v>
                </c:pt>
                <c:pt idx="3">
                  <c:v>-0.97988181194326351</c:v>
                </c:pt>
                <c:pt idx="4">
                  <c:v>0.34567312716800735</c:v>
                </c:pt>
                <c:pt idx="5">
                  <c:v>0.3166585531563193</c:v>
                </c:pt>
                <c:pt idx="6">
                  <c:v>-1.8364898835420043</c:v>
                </c:pt>
                <c:pt idx="7">
                  <c:v>-0.16722329393730107</c:v>
                </c:pt>
                <c:pt idx="8">
                  <c:v>2.9897183191635222</c:v>
                </c:pt>
                <c:pt idx="9">
                  <c:v>1.7867605394726578</c:v>
                </c:pt>
                <c:pt idx="10">
                  <c:v>0.29338042246019747</c:v>
                </c:pt>
                <c:pt idx="11">
                  <c:v>10.555502449728344</c:v>
                </c:pt>
                <c:pt idx="12">
                  <c:v>-4.5236853312613938</c:v>
                </c:pt>
                <c:pt idx="13">
                  <c:v>-3.3261960042321732</c:v>
                </c:pt>
                <c:pt idx="14">
                  <c:v>-2.0736000558126655</c:v>
                </c:pt>
                <c:pt idx="15">
                  <c:v>1.0332141752836037</c:v>
                </c:pt>
                <c:pt idx="16">
                  <c:v>-6.4395273767555743</c:v>
                </c:pt>
                <c:pt idx="17">
                  <c:v>-2.9178848385366898</c:v>
                </c:pt>
                <c:pt idx="18">
                  <c:v>-1.2475987207949011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70-E243-8D6F-02BEBEA3938A}"/>
            </c:ext>
          </c:extLst>
        </c:ser>
        <c:ser>
          <c:idx val="4"/>
          <c:order val="5"/>
          <c:tx>
            <c:v>PBE-D3BJ(K)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Gas!$AH$5:$AH$23</c:f>
              <c:numCache>
                <c:formatCode>0.0</c:formatCode>
                <c:ptCount val="19"/>
                <c:pt idx="0">
                  <c:v>-13.733528505339763</c:v>
                </c:pt>
                <c:pt idx="1">
                  <c:v>-11.078032623928848</c:v>
                </c:pt>
                <c:pt idx="2">
                  <c:v>-4.2922381221386381</c:v>
                </c:pt>
                <c:pt idx="3">
                  <c:v>-1.7779123296198609</c:v>
                </c:pt>
                <c:pt idx="4">
                  <c:v>-0.45639470011366967</c:v>
                </c:pt>
                <c:pt idx="5">
                  <c:v>-2.5693101549193393</c:v>
                </c:pt>
                <c:pt idx="6">
                  <c:v>-4.2448562285908267</c:v>
                </c:pt>
                <c:pt idx="7">
                  <c:v>-1.0866234765910114</c:v>
                </c:pt>
                <c:pt idx="8">
                  <c:v>1.1252903923379947</c:v>
                </c:pt>
                <c:pt idx="9">
                  <c:v>-0.11023284544884149</c:v>
                </c:pt>
                <c:pt idx="10">
                  <c:v>-3.2327460588349872</c:v>
                </c:pt>
                <c:pt idx="11">
                  <c:v>10.367916070974905</c:v>
                </c:pt>
                <c:pt idx="12">
                  <c:v>-7.7783715564900824</c:v>
                </c:pt>
                <c:pt idx="13">
                  <c:v>-6.2533291355488458</c:v>
                </c:pt>
                <c:pt idx="14">
                  <c:v>-3.5989722544530025</c:v>
                </c:pt>
                <c:pt idx="15">
                  <c:v>-0.19123695799829932</c:v>
                </c:pt>
                <c:pt idx="16">
                  <c:v>-11.213756857318302</c:v>
                </c:pt>
                <c:pt idx="17">
                  <c:v>-4.2248517967793795</c:v>
                </c:pt>
                <c:pt idx="18">
                  <c:v>-2.2611450485510556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70-E243-8D6F-02BEBEA3938A}"/>
            </c:ext>
          </c:extLst>
        </c:ser>
        <c:ser>
          <c:idx val="5"/>
          <c:order val="6"/>
          <c:tx>
            <c:v>PBE-D3BJ-ATM(K)</c:v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Gas!$AI$5:$AI$23</c:f>
              <c:numCache>
                <c:formatCode>0.0</c:formatCode>
                <c:ptCount val="19"/>
                <c:pt idx="0">
                  <c:v>-7.672035505339764</c:v>
                </c:pt>
                <c:pt idx="1">
                  <c:v>-8.473502623928848</c:v>
                </c:pt>
                <c:pt idx="2">
                  <c:v>0.27649187786136054</c:v>
                </c:pt>
                <c:pt idx="3">
                  <c:v>0.21743067038013919</c:v>
                </c:pt>
                <c:pt idx="4">
                  <c:v>1.4850272998863296</c:v>
                </c:pt>
                <c:pt idx="5">
                  <c:v>0.31360384508066197</c:v>
                </c:pt>
                <c:pt idx="6">
                  <c:v>-0.2121902285908277</c:v>
                </c:pt>
                <c:pt idx="7">
                  <c:v>0.73685152340898874</c:v>
                </c:pt>
                <c:pt idx="8">
                  <c:v>3.2289273923379955</c:v>
                </c:pt>
                <c:pt idx="9">
                  <c:v>1.618903154551159</c:v>
                </c:pt>
                <c:pt idx="10">
                  <c:v>-0.35980305883498787</c:v>
                </c:pt>
                <c:pt idx="11">
                  <c:v>11.756364070974906</c:v>
                </c:pt>
                <c:pt idx="12">
                  <c:v>-2.6318345564900838</c:v>
                </c:pt>
                <c:pt idx="13">
                  <c:v>-1.8801681355488462</c:v>
                </c:pt>
                <c:pt idx="14">
                  <c:v>0.14688374554699735</c:v>
                </c:pt>
                <c:pt idx="15">
                  <c:v>2.1749970420016993</c:v>
                </c:pt>
                <c:pt idx="16">
                  <c:v>-7.728101857318304</c:v>
                </c:pt>
                <c:pt idx="17">
                  <c:v>-1.8370717967793802</c:v>
                </c:pt>
                <c:pt idx="18">
                  <c:v>-0.40807404855105567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70-E243-8D6F-02BEBEA39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616559"/>
        <c:axId val="1190630063"/>
      </c:lineChart>
      <c:catAx>
        <c:axId val="119061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30063"/>
        <c:crosses val="autoZero"/>
        <c:auto val="1"/>
        <c:lblAlgn val="ctr"/>
        <c:lblOffset val="100"/>
        <c:noMultiLvlLbl val="0"/>
      </c:catAx>
      <c:valAx>
        <c:axId val="119063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Times" pitchFamily="2" charset="0"/>
                  </a:rPr>
                  <a:t>Ebind (kcal/mol)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1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083772072869587"/>
          <c:y val="0.6196468699839488"/>
          <c:w val="0.22287036605631397"/>
          <c:h val="0.335056179775280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" pitchFamily="2" charset="0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Gas!$BP$3</c:f>
              <c:strCache>
                <c:ptCount val="1"/>
                <c:pt idx="0">
                  <c:v>GFN2-xTB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Gas!$BP$5:$BP$23</c:f>
              <c:numCache>
                <c:formatCode>0.0</c:formatCode>
                <c:ptCount val="19"/>
                <c:pt idx="0">
                  <c:v>-26.283000000000001</c:v>
                </c:pt>
                <c:pt idx="1">
                  <c:v>-8.5670000000000002</c:v>
                </c:pt>
                <c:pt idx="2">
                  <c:v>-15.09</c:v>
                </c:pt>
                <c:pt idx="3">
                  <c:v>-8.7129999999999992</c:v>
                </c:pt>
                <c:pt idx="4">
                  <c:v>-9.070999999999998</c:v>
                </c:pt>
                <c:pt idx="5">
                  <c:v>-7.7669999999999995</c:v>
                </c:pt>
                <c:pt idx="6">
                  <c:v>-16.920000000000002</c:v>
                </c:pt>
                <c:pt idx="7">
                  <c:v>-8.1449999999999996</c:v>
                </c:pt>
                <c:pt idx="8">
                  <c:v>-6.6509999999999998</c:v>
                </c:pt>
                <c:pt idx="9">
                  <c:v>-1.6600000000000001</c:v>
                </c:pt>
                <c:pt idx="10">
                  <c:v>-2.3990000000000009</c:v>
                </c:pt>
                <c:pt idx="11">
                  <c:v>-0.2710000000000008</c:v>
                </c:pt>
                <c:pt idx="12">
                  <c:v>-19.286000000000001</c:v>
                </c:pt>
                <c:pt idx="13">
                  <c:v>-17.533000000000001</c:v>
                </c:pt>
                <c:pt idx="14">
                  <c:v>-15.952999999999999</c:v>
                </c:pt>
                <c:pt idx="15">
                  <c:v>-7.4819999999999993</c:v>
                </c:pt>
                <c:pt idx="16">
                  <c:v>-6.0429999999999993</c:v>
                </c:pt>
                <c:pt idx="17">
                  <c:v>-12.356999999999999</c:v>
                </c:pt>
                <c:pt idx="18">
                  <c:v>-9.4169999999999998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21-B54C-824A-57CF7C9F13C8}"/>
            </c:ext>
          </c:extLst>
        </c:ser>
        <c:ser>
          <c:idx val="4"/>
          <c:order val="1"/>
          <c:tx>
            <c:strRef>
              <c:f>Gas!$BS$3</c:f>
              <c:strCache>
                <c:ptCount val="1"/>
                <c:pt idx="0">
                  <c:v>PM6-D3H4X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Gas!$BS$5:$BS$23</c:f>
              <c:numCache>
                <c:formatCode>0.0</c:formatCode>
                <c:ptCount val="19"/>
                <c:pt idx="0">
                  <c:v>-20.327999999999999</c:v>
                </c:pt>
                <c:pt idx="1">
                  <c:v>-8.8620000000000019</c:v>
                </c:pt>
                <c:pt idx="2">
                  <c:v>-7.1560000000000024</c:v>
                </c:pt>
                <c:pt idx="3">
                  <c:v>0.46600000000000108</c:v>
                </c:pt>
                <c:pt idx="4">
                  <c:v>-1.1550000000000011</c:v>
                </c:pt>
                <c:pt idx="5">
                  <c:v>-1.6140000000000008</c:v>
                </c:pt>
                <c:pt idx="6">
                  <c:v>-9.4029999999999987</c:v>
                </c:pt>
                <c:pt idx="7">
                  <c:v>-0.65899999999999892</c:v>
                </c:pt>
                <c:pt idx="8">
                  <c:v>0.99399999999999977</c:v>
                </c:pt>
                <c:pt idx="9">
                  <c:v>-6.5999999999998948E-2</c:v>
                </c:pt>
                <c:pt idx="10">
                  <c:v>-2.391</c:v>
                </c:pt>
                <c:pt idx="11">
                  <c:v>11.571999999999999</c:v>
                </c:pt>
                <c:pt idx="12">
                  <c:v>-14.512</c:v>
                </c:pt>
                <c:pt idx="13">
                  <c:v>-14.725000000000001</c:v>
                </c:pt>
                <c:pt idx="14">
                  <c:v>-7.5020000000000024</c:v>
                </c:pt>
                <c:pt idx="15">
                  <c:v>-4.5229999999999997</c:v>
                </c:pt>
                <c:pt idx="16">
                  <c:v>-8.8610000000000007</c:v>
                </c:pt>
                <c:pt idx="17">
                  <c:v>-4.2059999999999995</c:v>
                </c:pt>
                <c:pt idx="18">
                  <c:v>-1.5210000000000008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21-B54C-824A-57CF7C9F1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581711"/>
        <c:axId val="1190583359"/>
      </c:lineChart>
      <c:catAx>
        <c:axId val="11905817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190583359"/>
        <c:crosses val="autoZero"/>
        <c:auto val="1"/>
        <c:lblAlgn val="ctr"/>
        <c:lblOffset val="100"/>
        <c:noMultiLvlLbl val="0"/>
      </c:catAx>
      <c:valAx>
        <c:axId val="119058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190581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7233378372083"/>
          <c:y val="3.5313001605136438E-2"/>
          <c:w val="0.89385764649241328"/>
          <c:h val="0.89021422883937262"/>
        </c:manualLayout>
      </c:layout>
      <c:lineChart>
        <c:grouping val="standard"/>
        <c:varyColors val="0"/>
        <c:ser>
          <c:idx val="0"/>
          <c:order val="0"/>
          <c:tx>
            <c:v>GFN2-xTB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Gas!$AC$5:$AC$23</c:f>
              <c:numCache>
                <c:formatCode>0.0</c:formatCode>
                <c:ptCount val="19"/>
                <c:pt idx="0">
                  <c:v>-26.283000000000001</c:v>
                </c:pt>
                <c:pt idx="1">
                  <c:v>-8.5670000000000002</c:v>
                </c:pt>
                <c:pt idx="2">
                  <c:v>-15.09</c:v>
                </c:pt>
                <c:pt idx="3">
                  <c:v>-8.7129999999999992</c:v>
                </c:pt>
                <c:pt idx="4">
                  <c:v>-9.070999999999998</c:v>
                </c:pt>
                <c:pt idx="5">
                  <c:v>-7.7669999999999995</c:v>
                </c:pt>
                <c:pt idx="6">
                  <c:v>-16.920000000000002</c:v>
                </c:pt>
                <c:pt idx="7">
                  <c:v>-8.1449999999999996</c:v>
                </c:pt>
                <c:pt idx="8">
                  <c:v>-6.6509999999999998</c:v>
                </c:pt>
                <c:pt idx="9">
                  <c:v>-1.6600000000000001</c:v>
                </c:pt>
                <c:pt idx="10">
                  <c:v>-2.3990000000000009</c:v>
                </c:pt>
                <c:pt idx="11">
                  <c:v>-0.2710000000000008</c:v>
                </c:pt>
                <c:pt idx="12">
                  <c:v>-19.286000000000001</c:v>
                </c:pt>
                <c:pt idx="13">
                  <c:v>-17.533000000000001</c:v>
                </c:pt>
                <c:pt idx="14">
                  <c:v>-15.952999999999999</c:v>
                </c:pt>
                <c:pt idx="15">
                  <c:v>-7.4819999999999993</c:v>
                </c:pt>
                <c:pt idx="16">
                  <c:v>-6.0429999999999993</c:v>
                </c:pt>
                <c:pt idx="17">
                  <c:v>-12.356999999999999</c:v>
                </c:pt>
                <c:pt idx="18">
                  <c:v>-9.4169999999999998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2A-4B43-BFF2-8D559775BF4C}"/>
            </c:ext>
          </c:extLst>
        </c:ser>
        <c:ser>
          <c:idx val="1"/>
          <c:order val="1"/>
          <c:tx>
            <c:v>M06-2X(P)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Gas!$AK$5:$AK$23</c:f>
              <c:numCache>
                <c:formatCode>0.0</c:formatCode>
                <c:ptCount val="19"/>
                <c:pt idx="0">
                  <c:v>-20.084825544827321</c:v>
                </c:pt>
                <c:pt idx="1">
                  <c:v>-7.1135281505776788</c:v>
                </c:pt>
                <c:pt idx="2">
                  <c:v>-6.7005151213540302</c:v>
                </c:pt>
                <c:pt idx="3">
                  <c:v>2.1193914145046602</c:v>
                </c:pt>
                <c:pt idx="4">
                  <c:v>1.0950448862414799</c:v>
                </c:pt>
                <c:pt idx="5">
                  <c:v>1.8399987478693056</c:v>
                </c:pt>
                <c:pt idx="6">
                  <c:v>-7.5169654719365653</c:v>
                </c:pt>
                <c:pt idx="7">
                  <c:v>-0.86186628217230421</c:v>
                </c:pt>
                <c:pt idx="8">
                  <c:v>3.0908552566226781</c:v>
                </c:pt>
                <c:pt idx="9">
                  <c:v>7.9484396934730999</c:v>
                </c:pt>
                <c:pt idx="10">
                  <c:v>-1.8593400890109475</c:v>
                </c:pt>
                <c:pt idx="11">
                  <c:v>9.3924346812356951</c:v>
                </c:pt>
                <c:pt idx="12">
                  <c:v>-13.243790086358921</c:v>
                </c:pt>
                <c:pt idx="13">
                  <c:v>-12.941195381704247</c:v>
                </c:pt>
                <c:pt idx="14">
                  <c:v>-6.945750343981512</c:v>
                </c:pt>
                <c:pt idx="15">
                  <c:v>-4.6284158708655525</c:v>
                </c:pt>
                <c:pt idx="16">
                  <c:v>-6.1859884560908789</c:v>
                </c:pt>
                <c:pt idx="17">
                  <c:v>-6.0147718934355154</c:v>
                </c:pt>
                <c:pt idx="18">
                  <c:v>-1.4464125098230554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A-4B43-BFF2-8D559775BF4C}"/>
            </c:ext>
          </c:extLst>
        </c:ser>
        <c:ser>
          <c:idx val="2"/>
          <c:order val="2"/>
          <c:tx>
            <c:v>R2SCAN-3C(P)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Gas!$AL$5:$AL$23</c:f>
              <c:numCache>
                <c:formatCode>0.0</c:formatCode>
                <c:ptCount val="19"/>
                <c:pt idx="0">
                  <c:v>-17.107370993780069</c:v>
                </c:pt>
                <c:pt idx="1">
                  <c:v>-10.788524835173959</c:v>
                </c:pt>
                <c:pt idx="2">
                  <c:v>-9.4763358631626247</c:v>
                </c:pt>
                <c:pt idx="3">
                  <c:v>-2.2713626586419267</c:v>
                </c:pt>
                <c:pt idx="4">
                  <c:v>-2.5435029466600945</c:v>
                </c:pt>
                <c:pt idx="5">
                  <c:v>-2.0546749190491589</c:v>
                </c:pt>
                <c:pt idx="6">
                  <c:v>-7.1008135560906496</c:v>
                </c:pt>
                <c:pt idx="7">
                  <c:v>-2.1510695295895204</c:v>
                </c:pt>
                <c:pt idx="8">
                  <c:v>2.1357102007083579</c:v>
                </c:pt>
                <c:pt idx="9">
                  <c:v>-0.70171913980836109</c:v>
                </c:pt>
                <c:pt idx="10">
                  <c:v>-3.1446951589011736</c:v>
                </c:pt>
                <c:pt idx="11">
                  <c:v>8.0038765637541083</c:v>
                </c:pt>
                <c:pt idx="12">
                  <c:v>-10.553166437489313</c:v>
                </c:pt>
                <c:pt idx="13">
                  <c:v>-6.6384783168951387</c:v>
                </c:pt>
                <c:pt idx="14">
                  <c:v>-7.8896593202672847</c:v>
                </c:pt>
                <c:pt idx="15">
                  <c:v>-2.7976197919295061</c:v>
                </c:pt>
                <c:pt idx="16">
                  <c:v>-10.930846471538011</c:v>
                </c:pt>
                <c:pt idx="17">
                  <c:v>-6.7197510518107855</c:v>
                </c:pt>
                <c:pt idx="18">
                  <c:v>-2.5648460078373709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2A-4B43-BFF2-8D559775BF4C}"/>
            </c:ext>
          </c:extLst>
        </c:ser>
        <c:ser>
          <c:idx val="3"/>
          <c:order val="3"/>
          <c:tx>
            <c:v>R2SCAN-3C(D)</c:v>
          </c:tx>
          <c:spPr>
            <a:ln w="28575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Gas!$AM$5:$AM$23</c:f>
              <c:numCache>
                <c:formatCode>0.0</c:formatCode>
                <c:ptCount val="19"/>
                <c:pt idx="0">
                  <c:v>-17.519705542808804</c:v>
                </c:pt>
                <c:pt idx="1">
                  <c:v>-7.9279462265390706</c:v>
                </c:pt>
                <c:pt idx="2">
                  <c:v>-8.4036782366753364</c:v>
                </c:pt>
                <c:pt idx="3">
                  <c:v>-2.640658375695665</c:v>
                </c:pt>
                <c:pt idx="4">
                  <c:v>0.81529089380916631</c:v>
                </c:pt>
                <c:pt idx="5">
                  <c:v>0.827455412416775</c:v>
                </c:pt>
                <c:pt idx="6">
                  <c:v>-7.9664133426623422</c:v>
                </c:pt>
                <c:pt idx="7">
                  <c:v>-1.9935167950973209</c:v>
                </c:pt>
                <c:pt idx="8">
                  <c:v>1.0823246241273043</c:v>
                </c:pt>
                <c:pt idx="9">
                  <c:v>8.1684124211704727</c:v>
                </c:pt>
                <c:pt idx="10">
                  <c:v>-1.0466787508510773</c:v>
                </c:pt>
                <c:pt idx="11">
                  <c:v>6.9718609909647586</c:v>
                </c:pt>
                <c:pt idx="12">
                  <c:v>-12.293873897995102</c:v>
                </c:pt>
                <c:pt idx="13">
                  <c:v>-10.740644022684165</c:v>
                </c:pt>
                <c:pt idx="14">
                  <c:v>-7.0205970482021556</c:v>
                </c:pt>
                <c:pt idx="15">
                  <c:v>-4.2960450277200408</c:v>
                </c:pt>
                <c:pt idx="16">
                  <c:v>-6.7376776594724603</c:v>
                </c:pt>
                <c:pt idx="17">
                  <c:v>-6.6206988105352913</c:v>
                </c:pt>
                <c:pt idx="18">
                  <c:v>-2.9763365251334299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2A-4B43-BFF2-8D559775BF4C}"/>
            </c:ext>
          </c:extLst>
        </c:ser>
        <c:ser>
          <c:idx val="4"/>
          <c:order val="4"/>
          <c:tx>
            <c:v>PBE-D3BJ(K)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Gas!$AN$5:$AN$23</c:f>
              <c:numCache>
                <c:formatCode>0.0</c:formatCode>
                <c:ptCount val="19"/>
                <c:pt idx="0">
                  <c:v>-20.632133965620827</c:v>
                </c:pt>
                <c:pt idx="1">
                  <c:v>-10.662110477194126</c:v>
                </c:pt>
                <c:pt idx="2">
                  <c:v>-12.057507679413366</c:v>
                </c:pt>
                <c:pt idx="3">
                  <c:v>-4.1077575781983207</c:v>
                </c:pt>
                <c:pt idx="4">
                  <c:v>-1.9805477121540882</c:v>
                </c:pt>
                <c:pt idx="5">
                  <c:v>-2.8956409256101381</c:v>
                </c:pt>
                <c:pt idx="6">
                  <c:v>-10.513647249944714</c:v>
                </c:pt>
                <c:pt idx="7">
                  <c:v>-3.3645755965208473</c:v>
                </c:pt>
                <c:pt idx="8">
                  <c:v>-0.75647159948929144</c:v>
                </c:pt>
                <c:pt idx="9">
                  <c:v>4.2300894683240422</c:v>
                </c:pt>
                <c:pt idx="10">
                  <c:v>-4.4000003310902951</c:v>
                </c:pt>
                <c:pt idx="11">
                  <c:v>6.680236292246633</c:v>
                </c:pt>
                <c:pt idx="12">
                  <c:v>-15.169895154446039</c:v>
                </c:pt>
                <c:pt idx="13">
                  <c:v>-14.523947704815001</c:v>
                </c:pt>
                <c:pt idx="14">
                  <c:v>-9.2524960007588888</c:v>
                </c:pt>
                <c:pt idx="15">
                  <c:v>-6.5482340260570062</c:v>
                </c:pt>
                <c:pt idx="16">
                  <c:v>-10.94740280386678</c:v>
                </c:pt>
                <c:pt idx="17">
                  <c:v>-8.2536645027296096</c:v>
                </c:pt>
                <c:pt idx="18">
                  <c:v>-4.323142675700069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2A-4B43-BFF2-8D559775BF4C}"/>
            </c:ext>
          </c:extLst>
        </c:ser>
        <c:ser>
          <c:idx val="5"/>
          <c:order val="5"/>
          <c:tx>
            <c:v>PBE-D3BJ-ATM(K)</c:v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Gas!$AB$5:$AB$23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Gas!$AO$5:$AO$23</c:f>
              <c:numCache>
                <c:formatCode>0.0</c:formatCode>
                <c:ptCount val="19"/>
                <c:pt idx="0">
                  <c:v>-15.24679896562083</c:v>
                </c:pt>
                <c:pt idx="1">
                  <c:v>-8.2974144771941276</c:v>
                </c:pt>
                <c:pt idx="2">
                  <c:v>-8.0978116794133648</c:v>
                </c:pt>
                <c:pt idx="3">
                  <c:v>-2.2689865781983194</c:v>
                </c:pt>
                <c:pt idx="4">
                  <c:v>0.1079742878459129</c:v>
                </c:pt>
                <c:pt idx="5">
                  <c:v>-0.23542592561013898</c:v>
                </c:pt>
                <c:pt idx="6">
                  <c:v>-6.783684249944713</c:v>
                </c:pt>
                <c:pt idx="7">
                  <c:v>-1.5717075965208487</c:v>
                </c:pt>
                <c:pt idx="8">
                  <c:v>0.88965240051070893</c:v>
                </c:pt>
                <c:pt idx="9">
                  <c:v>6.0758314683240418</c:v>
                </c:pt>
                <c:pt idx="10">
                  <c:v>-1.7093793310902949</c:v>
                </c:pt>
                <c:pt idx="11">
                  <c:v>7.5534282922466325</c:v>
                </c:pt>
                <c:pt idx="12">
                  <c:v>-10.661348154446038</c:v>
                </c:pt>
                <c:pt idx="13">
                  <c:v>-9.4745677048150014</c:v>
                </c:pt>
                <c:pt idx="14">
                  <c:v>-5.8365050007588906</c:v>
                </c:pt>
                <c:pt idx="15">
                  <c:v>-3.9867400260570065</c:v>
                </c:pt>
                <c:pt idx="16">
                  <c:v>-7.7778888038667802</c:v>
                </c:pt>
                <c:pt idx="17">
                  <c:v>-5.8926435027296087</c:v>
                </c:pt>
                <c:pt idx="18">
                  <c:v>-2.525239675700071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2A-4B43-BFF2-8D559775B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616559"/>
        <c:axId val="1190630063"/>
      </c:lineChart>
      <c:catAx>
        <c:axId val="119061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30063"/>
        <c:crosses val="autoZero"/>
        <c:auto val="1"/>
        <c:lblAlgn val="ctr"/>
        <c:lblOffset val="100"/>
        <c:noMultiLvlLbl val="0"/>
      </c:catAx>
      <c:valAx>
        <c:axId val="119063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Times" pitchFamily="2" charset="0"/>
                  </a:rPr>
                  <a:t>Ebind (kcal/mol)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1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36434794763086"/>
          <c:y val="0.61001605136436599"/>
          <c:w val="0.22287036605631397"/>
          <c:h val="0.2871910112359550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" pitchFamily="2" charset="0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7233378372083"/>
          <c:y val="3.5313001605136438E-2"/>
          <c:w val="0.89385764649241328"/>
          <c:h val="0.89021422883937262"/>
        </c:manualLayout>
      </c:layout>
      <c:lineChart>
        <c:grouping val="standard"/>
        <c:varyColors val="0"/>
        <c:ser>
          <c:idx val="0"/>
          <c:order val="0"/>
          <c:tx>
            <c:v>PM6-D3H4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Toluene!$R$4:$R$22</c:f>
              <c:numCache>
                <c:formatCode>0.0</c:formatCode>
                <c:ptCount val="19"/>
                <c:pt idx="0">
                  <c:v>-6.1712876835744979</c:v>
                </c:pt>
                <c:pt idx="1">
                  <c:v>-4.303834829045992</c:v>
                </c:pt>
                <c:pt idx="2">
                  <c:v>2.819562956414698</c:v>
                </c:pt>
                <c:pt idx="3">
                  <c:v>1.0413169533437809</c:v>
                </c:pt>
                <c:pt idx="4">
                  <c:v>2.1457001106072591</c:v>
                </c:pt>
                <c:pt idx="5">
                  <c:v>1.5605029937597292</c:v>
                </c:pt>
                <c:pt idx="6">
                  <c:v>-5.3887223754488991</c:v>
                </c:pt>
                <c:pt idx="7">
                  <c:v>0.98089186354770064</c:v>
                </c:pt>
                <c:pt idx="8">
                  <c:v>2.3702174606865594</c:v>
                </c:pt>
                <c:pt idx="9">
                  <c:v>2.6195578304758813</c:v>
                </c:pt>
                <c:pt idx="10">
                  <c:v>0.76010178576123977</c:v>
                </c:pt>
                <c:pt idx="11">
                  <c:v>10.036770059173708</c:v>
                </c:pt>
                <c:pt idx="12">
                  <c:v>-4.0925735026424004</c:v>
                </c:pt>
                <c:pt idx="13">
                  <c:v>-2.6710314032537017</c:v>
                </c:pt>
                <c:pt idx="14">
                  <c:v>6.1092048651971709E-3</c:v>
                </c:pt>
                <c:pt idx="15">
                  <c:v>-0.39576750232386004</c:v>
                </c:pt>
                <c:pt idx="16">
                  <c:v>-3.5780267334258298</c:v>
                </c:pt>
                <c:pt idx="17">
                  <c:v>-0.15475749018471952</c:v>
                </c:pt>
                <c:pt idx="18">
                  <c:v>0.18078017159441906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73-8444-9360-03147A26447F}"/>
            </c:ext>
          </c:extLst>
        </c:ser>
        <c:ser>
          <c:idx val="1"/>
          <c:order val="1"/>
          <c:tx>
            <c:v>M06-2X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Toluene!$S$4:$S$22</c:f>
              <c:numCache>
                <c:formatCode>0.0</c:formatCode>
                <c:ptCount val="19"/>
                <c:pt idx="0">
                  <c:v>-2.9281132284018199</c:v>
                </c:pt>
                <c:pt idx="1">
                  <c:v>0.44463702037633102</c:v>
                </c:pt>
                <c:pt idx="2">
                  <c:v>6.2750478350606702</c:v>
                </c:pt>
                <c:pt idx="3">
                  <c:v>5.69470836784844</c:v>
                </c:pt>
                <c:pt idx="4">
                  <c:v>7.3957449968487401</c:v>
                </c:pt>
                <c:pt idx="5">
                  <c:v>8.0145017416290365</c:v>
                </c:pt>
                <c:pt idx="6">
                  <c:v>-0.50268784738546568</c:v>
                </c:pt>
                <c:pt idx="7">
                  <c:v>3.7780255813753953</c:v>
                </c:pt>
                <c:pt idx="8">
                  <c:v>7.4670727173092377</c:v>
                </c:pt>
                <c:pt idx="9">
                  <c:v>13.633997523948981</c:v>
                </c:pt>
                <c:pt idx="10">
                  <c:v>4.2917616967502923</c:v>
                </c:pt>
                <c:pt idx="11">
                  <c:v>10.857204740409404</c:v>
                </c:pt>
                <c:pt idx="12">
                  <c:v>0.17563641099867944</c:v>
                </c:pt>
                <c:pt idx="13">
                  <c:v>2.1127732150420524</c:v>
                </c:pt>
                <c:pt idx="14">
                  <c:v>3.5623588608836876</c:v>
                </c:pt>
                <c:pt idx="15">
                  <c:v>2.4988166268105871</c:v>
                </c:pt>
                <c:pt idx="16">
                  <c:v>2.096984810483292</c:v>
                </c:pt>
                <c:pt idx="17">
                  <c:v>1.0364706163797646</c:v>
                </c:pt>
                <c:pt idx="18">
                  <c:v>3.2553676617713645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73-8444-9360-03147A26447F}"/>
            </c:ext>
          </c:extLst>
        </c:ser>
        <c:ser>
          <c:idx val="2"/>
          <c:order val="2"/>
          <c:tx>
            <c:v>R2SCAN-3C(P)</c:v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Toluene!$T$4:$T$22</c:f>
              <c:numCache>
                <c:formatCode>0.0</c:formatCode>
                <c:ptCount val="19"/>
                <c:pt idx="0">
                  <c:v>4.9341322645432228E-2</c:v>
                </c:pt>
                <c:pt idx="1">
                  <c:v>-3.2303596642199492</c:v>
                </c:pt>
                <c:pt idx="2">
                  <c:v>3.4992270932520757</c:v>
                </c:pt>
                <c:pt idx="3">
                  <c:v>1.3039542947018532</c:v>
                </c:pt>
                <c:pt idx="4">
                  <c:v>3.7571971639471657</c:v>
                </c:pt>
                <c:pt idx="5">
                  <c:v>4.1198280747105711</c:v>
                </c:pt>
                <c:pt idx="6">
                  <c:v>-8.6535931539549971E-2</c:v>
                </c:pt>
                <c:pt idx="7">
                  <c:v>2.4888223339581792</c:v>
                </c:pt>
                <c:pt idx="8">
                  <c:v>6.5119276613949175</c:v>
                </c:pt>
                <c:pt idx="9">
                  <c:v>4.9838386906675192</c:v>
                </c:pt>
                <c:pt idx="10">
                  <c:v>3.0064066268600662</c:v>
                </c:pt>
                <c:pt idx="11">
                  <c:v>9.4686466229278174</c:v>
                </c:pt>
                <c:pt idx="12">
                  <c:v>2.8662600598682868</c:v>
                </c:pt>
                <c:pt idx="13">
                  <c:v>8.415490279851161</c:v>
                </c:pt>
                <c:pt idx="14">
                  <c:v>2.6184498845979149</c:v>
                </c:pt>
                <c:pt idx="15">
                  <c:v>4.3296127057466336</c:v>
                </c:pt>
                <c:pt idx="16">
                  <c:v>-2.6478732049638403</c:v>
                </c:pt>
                <c:pt idx="17">
                  <c:v>0.33149145800449453</c:v>
                </c:pt>
                <c:pt idx="18">
                  <c:v>2.1369341637570489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73-8444-9360-03147A26447F}"/>
            </c:ext>
          </c:extLst>
        </c:ser>
        <c:ser>
          <c:idx val="3"/>
          <c:order val="3"/>
          <c:tx>
            <c:v>R2SCAN-3C(D)</c:v>
          </c:tx>
          <c:spPr>
            <a:ln w="1270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Toluene!$U$4:$U$22</c:f>
              <c:numCache>
                <c:formatCode>0.0</c:formatCode>
                <c:ptCount val="19"/>
                <c:pt idx="0">
                  <c:v>-0.36299322638330267</c:v>
                </c:pt>
                <c:pt idx="1">
                  <c:v>-0.36978105558506069</c:v>
                </c:pt>
                <c:pt idx="2">
                  <c:v>4.5718847197393639</c:v>
                </c:pt>
                <c:pt idx="3">
                  <c:v>0.93465857764811489</c:v>
                </c:pt>
                <c:pt idx="4">
                  <c:v>7.1159910044164265</c:v>
                </c:pt>
                <c:pt idx="5">
                  <c:v>7.001958406176505</c:v>
                </c:pt>
                <c:pt idx="6">
                  <c:v>-0.95213571811124265</c:v>
                </c:pt>
                <c:pt idx="7">
                  <c:v>2.6463750684503786</c:v>
                </c:pt>
                <c:pt idx="8">
                  <c:v>5.4585420848138639</c:v>
                </c:pt>
                <c:pt idx="9">
                  <c:v>13.853970251646352</c:v>
                </c:pt>
                <c:pt idx="10">
                  <c:v>5.1044230349101625</c:v>
                </c:pt>
                <c:pt idx="11">
                  <c:v>8.4366310501384696</c:v>
                </c:pt>
                <c:pt idx="12">
                  <c:v>1.1255525993624982</c:v>
                </c:pt>
                <c:pt idx="13">
                  <c:v>4.3133245740621344</c:v>
                </c:pt>
                <c:pt idx="14">
                  <c:v>3.487512156663044</c:v>
                </c:pt>
                <c:pt idx="15">
                  <c:v>2.8311874699560988</c:v>
                </c:pt>
                <c:pt idx="16">
                  <c:v>1.5452956071017105</c:v>
                </c:pt>
                <c:pt idx="17">
                  <c:v>0.4305436992799887</c:v>
                </c:pt>
                <c:pt idx="18">
                  <c:v>1.7254436464609899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73-8444-9360-03147A26447F}"/>
            </c:ext>
          </c:extLst>
        </c:ser>
        <c:ser>
          <c:idx val="4"/>
          <c:order val="4"/>
          <c:tx>
            <c:v>PBE-D3BJ(K)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Toluene!$V$4:$V$22</c:f>
              <c:numCache>
                <c:formatCode>0.0</c:formatCode>
                <c:ptCount val="19"/>
                <c:pt idx="0">
                  <c:v>-3.4754216491953258</c:v>
                </c:pt>
                <c:pt idx="1">
                  <c:v>-3.1039453062401163</c:v>
                </c:pt>
                <c:pt idx="2">
                  <c:v>0.9180552770013346</c:v>
                </c:pt>
                <c:pt idx="3">
                  <c:v>-0.5324406248545408</c:v>
                </c:pt>
                <c:pt idx="4">
                  <c:v>4.320152398453172</c:v>
                </c:pt>
                <c:pt idx="5">
                  <c:v>3.2788620681495919</c:v>
                </c:pt>
                <c:pt idx="6">
                  <c:v>-3.4993696253936148</c:v>
                </c:pt>
                <c:pt idx="7">
                  <c:v>1.2753162670268523</c:v>
                </c:pt>
                <c:pt idx="8">
                  <c:v>3.6197458611972682</c:v>
                </c:pt>
                <c:pt idx="9">
                  <c:v>9.9156472987999216</c:v>
                </c:pt>
                <c:pt idx="10">
                  <c:v>1.7511014546709447</c:v>
                </c:pt>
                <c:pt idx="11">
                  <c:v>8.1450063514203421</c:v>
                </c:pt>
                <c:pt idx="12">
                  <c:v>-1.7504686570884385</c:v>
                </c:pt>
                <c:pt idx="13">
                  <c:v>0.53002089193129898</c:v>
                </c:pt>
                <c:pt idx="14">
                  <c:v>1.2556132041063108</c:v>
                </c:pt>
                <c:pt idx="15">
                  <c:v>0.57899847161913343</c:v>
                </c:pt>
                <c:pt idx="16">
                  <c:v>-2.6644295372926088</c:v>
                </c:pt>
                <c:pt idx="17">
                  <c:v>-1.2024219929143296</c:v>
                </c:pt>
                <c:pt idx="18">
                  <c:v>0.37863749589435081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73-8444-9360-03147A26447F}"/>
            </c:ext>
          </c:extLst>
        </c:ser>
        <c:ser>
          <c:idx val="5"/>
          <c:order val="5"/>
          <c:tx>
            <c:v>PBE-D3BJ-ATM(K)</c:v>
          </c:tx>
          <c:spPr>
            <a:ln w="127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Toluene!$W$4:$W$22</c:f>
              <c:numCache>
                <c:formatCode>0.0</c:formatCode>
                <c:ptCount val="19"/>
                <c:pt idx="0">
                  <c:v>1.9099133508046719</c:v>
                </c:pt>
                <c:pt idx="1">
                  <c:v>-0.73924930624011775</c:v>
                </c:pt>
                <c:pt idx="2">
                  <c:v>4.8777512770013356</c:v>
                </c:pt>
                <c:pt idx="3">
                  <c:v>1.3063303751454605</c:v>
                </c:pt>
                <c:pt idx="4">
                  <c:v>6.4086743984531731</c:v>
                </c:pt>
                <c:pt idx="5">
                  <c:v>5.939077068149591</c:v>
                </c:pt>
                <c:pt idx="6">
                  <c:v>0.23059337460638663</c:v>
                </c:pt>
                <c:pt idx="7">
                  <c:v>3.0681842670268509</c:v>
                </c:pt>
                <c:pt idx="8">
                  <c:v>5.2658698611972685</c:v>
                </c:pt>
                <c:pt idx="9">
                  <c:v>11.761389298799923</c:v>
                </c:pt>
                <c:pt idx="10">
                  <c:v>4.4417224546709448</c:v>
                </c:pt>
                <c:pt idx="11">
                  <c:v>9.0181983514203417</c:v>
                </c:pt>
                <c:pt idx="12">
                  <c:v>2.7580783429115616</c:v>
                </c:pt>
                <c:pt idx="13">
                  <c:v>5.5794008919312983</c:v>
                </c:pt>
                <c:pt idx="14">
                  <c:v>4.6716042041063091</c:v>
                </c:pt>
                <c:pt idx="15">
                  <c:v>3.1404924716191331</c:v>
                </c:pt>
                <c:pt idx="16">
                  <c:v>0.50508446270739071</c:v>
                </c:pt>
                <c:pt idx="17">
                  <c:v>1.1585990070856713</c:v>
                </c:pt>
                <c:pt idx="18">
                  <c:v>2.1765404958943488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73-8444-9360-03147A26447F}"/>
            </c:ext>
          </c:extLst>
        </c:ser>
        <c:ser>
          <c:idx val="6"/>
          <c:order val="6"/>
          <c:tx>
            <c:v>GFN2-xTB</c:v>
          </c:tx>
          <c:spPr>
            <a:ln w="127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Toluene!$Q$4:$Q$22</c:f>
              <c:numCache>
                <c:formatCode>0.0</c:formatCode>
                <c:ptCount val="19"/>
                <c:pt idx="0">
                  <c:v>-6.7286734960667012</c:v>
                </c:pt>
                <c:pt idx="1">
                  <c:v>-1.4232493442687701</c:v>
                </c:pt>
                <c:pt idx="2">
                  <c:v>2.1349834487113988</c:v>
                </c:pt>
                <c:pt idx="3">
                  <c:v>-3.5698638380465688</c:v>
                </c:pt>
                <c:pt idx="4">
                  <c:v>-1.3167853862650283</c:v>
                </c:pt>
                <c:pt idx="5">
                  <c:v>-1.3231064664873795</c:v>
                </c:pt>
                <c:pt idx="6">
                  <c:v>-10.006609670682611</c:v>
                </c:pt>
                <c:pt idx="7">
                  <c:v>-2.7925586361391694</c:v>
                </c:pt>
                <c:pt idx="8">
                  <c:v>-1.6725438055025394</c:v>
                </c:pt>
                <c:pt idx="9">
                  <c:v>3.8023792810339998</c:v>
                </c:pt>
                <c:pt idx="10">
                  <c:v>3.8279395001289487</c:v>
                </c:pt>
                <c:pt idx="11">
                  <c:v>3.8620461484548789</c:v>
                </c:pt>
                <c:pt idx="12">
                  <c:v>-3.7599554841223011</c:v>
                </c:pt>
                <c:pt idx="13">
                  <c:v>-3.5374305198061009</c:v>
                </c:pt>
                <c:pt idx="14">
                  <c:v>-2.4437012688407993</c:v>
                </c:pt>
                <c:pt idx="15">
                  <c:v>-0.48922982057523967</c:v>
                </c:pt>
                <c:pt idx="16">
                  <c:v>1.96847396261429</c:v>
                </c:pt>
                <c:pt idx="17">
                  <c:v>-4.1680018408922592</c:v>
                </c:pt>
                <c:pt idx="18">
                  <c:v>-3.9731993567204498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73-8444-9360-03147A264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616559"/>
        <c:axId val="1190630063"/>
      </c:lineChart>
      <c:catAx>
        <c:axId val="119061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30063"/>
        <c:crossesAt val="-10"/>
        <c:auto val="1"/>
        <c:lblAlgn val="ctr"/>
        <c:lblOffset val="100"/>
        <c:noMultiLvlLbl val="0"/>
      </c:catAx>
      <c:valAx>
        <c:axId val="1190630063"/>
        <c:scaling>
          <c:orientation val="minMax"/>
          <c:max val="17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Times" pitchFamily="2" charset="0"/>
                  </a:rPr>
                  <a:t>∆Gbind [PhMe;ALPB] (kcal/mol)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1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17105406202924"/>
          <c:y val="1.6115569823435025E-2"/>
          <c:w val="0.22287036605631397"/>
          <c:h val="0.335056179775280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" pitchFamily="2" charset="0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7233378372083"/>
          <c:y val="3.5313001605136438E-2"/>
          <c:w val="0.89385764649241328"/>
          <c:h val="0.89021422883937262"/>
        </c:manualLayout>
      </c:layout>
      <c:lineChart>
        <c:grouping val="standard"/>
        <c:varyColors val="0"/>
        <c:ser>
          <c:idx val="0"/>
          <c:order val="0"/>
          <c:tx>
            <c:v>PM6-D3H4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Toluene!$R$27:$R$45</c:f>
              <c:numCache>
                <c:formatCode>0.0</c:formatCode>
                <c:ptCount val="19"/>
                <c:pt idx="0">
                  <c:v>-16.274190000000011</c:v>
                </c:pt>
                <c:pt idx="1">
                  <c:v>-8.3433400000000013</c:v>
                </c:pt>
                <c:pt idx="2">
                  <c:v>-4.5997600000000123</c:v>
                </c:pt>
                <c:pt idx="3">
                  <c:v>1.9806899999999912</c:v>
                </c:pt>
                <c:pt idx="4">
                  <c:v>-1.7205400000000011</c:v>
                </c:pt>
                <c:pt idx="5">
                  <c:v>-0.78842000000000079</c:v>
                </c:pt>
                <c:pt idx="6">
                  <c:v>-9.4072099999999992</c:v>
                </c:pt>
                <c:pt idx="7">
                  <c:v>-0.69887999999999906</c:v>
                </c:pt>
                <c:pt idx="8">
                  <c:v>1.3101399999999996</c:v>
                </c:pt>
                <c:pt idx="9">
                  <c:v>-0.64700999999999897</c:v>
                </c:pt>
                <c:pt idx="10">
                  <c:v>-2.37442000000001</c:v>
                </c:pt>
                <c:pt idx="11">
                  <c:v>9.0399999999999974</c:v>
                </c:pt>
                <c:pt idx="12">
                  <c:v>-11.975470000000001</c:v>
                </c:pt>
                <c:pt idx="13">
                  <c:v>-10.987310000000001</c:v>
                </c:pt>
                <c:pt idx="14">
                  <c:v>-5.5821800000000028</c:v>
                </c:pt>
                <c:pt idx="15">
                  <c:v>-4.8379700000000003</c:v>
                </c:pt>
                <c:pt idx="16">
                  <c:v>-8.4468300000000003</c:v>
                </c:pt>
                <c:pt idx="17">
                  <c:v>-4.760349999999999</c:v>
                </c:pt>
                <c:pt idx="18">
                  <c:v>-1.398230000000011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D0-6E44-860A-CB9F39578177}"/>
            </c:ext>
          </c:extLst>
        </c:ser>
        <c:ser>
          <c:idx val="1"/>
          <c:order val="1"/>
          <c:tx>
            <c:v>M06-2X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Toluene!$S$27:$S$45</c:f>
              <c:numCache>
                <c:formatCode>0.0</c:formatCode>
                <c:ptCount val="19"/>
                <c:pt idx="0">
                  <c:v>-13.031015544827332</c:v>
                </c:pt>
                <c:pt idx="1">
                  <c:v>-3.5948681505776787</c:v>
                </c:pt>
                <c:pt idx="2">
                  <c:v>-1.1442751213540401</c:v>
                </c:pt>
                <c:pt idx="3">
                  <c:v>6.6340814145046503</c:v>
                </c:pt>
                <c:pt idx="4">
                  <c:v>3.52950488624148</c:v>
                </c:pt>
                <c:pt idx="5">
                  <c:v>5.665578747869306</c:v>
                </c:pt>
                <c:pt idx="6">
                  <c:v>-4.5211754719365658</c:v>
                </c:pt>
                <c:pt idx="7">
                  <c:v>2.0982537178276957</c:v>
                </c:pt>
                <c:pt idx="8">
                  <c:v>6.406995256622678</c:v>
                </c:pt>
                <c:pt idx="9">
                  <c:v>10.367429693473099</c:v>
                </c:pt>
                <c:pt idx="10">
                  <c:v>1.1572399109890426</c:v>
                </c:pt>
                <c:pt idx="11">
                  <c:v>9.8604346812356933</c:v>
                </c:pt>
                <c:pt idx="12">
                  <c:v>-7.7072600863589207</c:v>
                </c:pt>
                <c:pt idx="13">
                  <c:v>-6.2035053817042476</c:v>
                </c:pt>
                <c:pt idx="14">
                  <c:v>-2.0259303439815124</c:v>
                </c:pt>
                <c:pt idx="15">
                  <c:v>-1.9433858708655527</c:v>
                </c:pt>
                <c:pt idx="16">
                  <c:v>-2.771818456090879</c:v>
                </c:pt>
                <c:pt idx="17">
                  <c:v>-3.5691218934355153</c:v>
                </c:pt>
                <c:pt idx="18">
                  <c:v>1.6763574901769345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0-6E44-860A-CB9F39578177}"/>
            </c:ext>
          </c:extLst>
        </c:ser>
        <c:ser>
          <c:idx val="2"/>
          <c:order val="2"/>
          <c:tx>
            <c:v>R2SCAN-3C(P)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Toluene!$T$27:$T$45</c:f>
              <c:numCache>
                <c:formatCode>0.0</c:formatCode>
                <c:ptCount val="19"/>
                <c:pt idx="0">
                  <c:v>-10.05356099378008</c:v>
                </c:pt>
                <c:pt idx="1">
                  <c:v>-7.2698648351739585</c:v>
                </c:pt>
                <c:pt idx="2">
                  <c:v>-3.9200958631626346</c:v>
                </c:pt>
                <c:pt idx="3">
                  <c:v>2.2433273413580634</c:v>
                </c:pt>
                <c:pt idx="4">
                  <c:v>-0.1090429466600944</c:v>
                </c:pt>
                <c:pt idx="5">
                  <c:v>1.7709050809508411</c:v>
                </c:pt>
                <c:pt idx="6">
                  <c:v>-4.1050235560906501</c:v>
                </c:pt>
                <c:pt idx="7">
                  <c:v>0.80905047041047951</c:v>
                </c:pt>
                <c:pt idx="8">
                  <c:v>5.4518502007083578</c:v>
                </c:pt>
                <c:pt idx="9">
                  <c:v>1.7172708601916389</c:v>
                </c:pt>
                <c:pt idx="10">
                  <c:v>-0.12811515890118352</c:v>
                </c:pt>
                <c:pt idx="11">
                  <c:v>8.4718765637541065</c:v>
                </c:pt>
                <c:pt idx="12">
                  <c:v>-5.0166364374893133</c:v>
                </c:pt>
                <c:pt idx="13">
                  <c:v>9.9211683104861059E-2</c:v>
                </c:pt>
                <c:pt idx="14">
                  <c:v>-2.969839320267285</c:v>
                </c:pt>
                <c:pt idx="15">
                  <c:v>-0.11258979192950624</c:v>
                </c:pt>
                <c:pt idx="16">
                  <c:v>-7.5166764715380108</c:v>
                </c:pt>
                <c:pt idx="17">
                  <c:v>-4.2741010518107849</c:v>
                </c:pt>
                <c:pt idx="18">
                  <c:v>0.5579239921626189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D0-6E44-860A-CB9F39578177}"/>
            </c:ext>
          </c:extLst>
        </c:ser>
        <c:ser>
          <c:idx val="3"/>
          <c:order val="3"/>
          <c:tx>
            <c:v>R2SCAN-3C(D)</c:v>
          </c:tx>
          <c:spPr>
            <a:ln w="1270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Toluene!$U$27:$U$45</c:f>
              <c:numCache>
                <c:formatCode>0.0</c:formatCode>
                <c:ptCount val="19"/>
                <c:pt idx="0">
                  <c:v>-10.465895542808815</c:v>
                </c:pt>
                <c:pt idx="1">
                  <c:v>-4.40928622653907</c:v>
                </c:pt>
                <c:pt idx="2">
                  <c:v>-2.8474382366753463</c:v>
                </c:pt>
                <c:pt idx="3">
                  <c:v>1.8740316243043251</c:v>
                </c:pt>
                <c:pt idx="4">
                  <c:v>3.2497508938091664</c:v>
                </c:pt>
                <c:pt idx="5">
                  <c:v>4.6530354124167754</c:v>
                </c:pt>
                <c:pt idx="6">
                  <c:v>-4.9706233426623427</c:v>
                </c:pt>
                <c:pt idx="7">
                  <c:v>0.96660320490267893</c:v>
                </c:pt>
                <c:pt idx="8">
                  <c:v>4.3984646241273042</c:v>
                </c:pt>
                <c:pt idx="9">
                  <c:v>10.587402421170474</c:v>
                </c:pt>
                <c:pt idx="10">
                  <c:v>1.9699012491489127</c:v>
                </c:pt>
                <c:pt idx="11">
                  <c:v>7.4398609909647577</c:v>
                </c:pt>
                <c:pt idx="12">
                  <c:v>-6.7573438979951019</c:v>
                </c:pt>
                <c:pt idx="13">
                  <c:v>-4.0029540226841656</c:v>
                </c:pt>
                <c:pt idx="14">
                  <c:v>-2.1007770482021559</c:v>
                </c:pt>
                <c:pt idx="15">
                  <c:v>-1.611015027720041</c:v>
                </c:pt>
                <c:pt idx="16">
                  <c:v>-3.3235076594724604</c:v>
                </c:pt>
                <c:pt idx="17">
                  <c:v>-4.1750488105352908</c:v>
                </c:pt>
                <c:pt idx="18">
                  <c:v>0.14643347486655989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D0-6E44-860A-CB9F39578177}"/>
            </c:ext>
          </c:extLst>
        </c:ser>
        <c:ser>
          <c:idx val="4"/>
          <c:order val="4"/>
          <c:tx>
            <c:v>PBE-D3BJ(K)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Toluene!$V$27:$V$45</c:f>
              <c:numCache>
                <c:formatCode>0.0</c:formatCode>
                <c:ptCount val="19"/>
                <c:pt idx="0">
                  <c:v>-13.578323965620838</c:v>
                </c:pt>
                <c:pt idx="1">
                  <c:v>-7.1434504771941256</c:v>
                </c:pt>
                <c:pt idx="2">
                  <c:v>-6.5012676794133757</c:v>
                </c:pt>
                <c:pt idx="3">
                  <c:v>0.40693242180166944</c:v>
                </c:pt>
                <c:pt idx="4">
                  <c:v>0.45391228784591187</c:v>
                </c:pt>
                <c:pt idx="5">
                  <c:v>0.9299390743898619</c:v>
                </c:pt>
                <c:pt idx="6">
                  <c:v>-7.5178572499447149</c:v>
                </c:pt>
                <c:pt idx="7">
                  <c:v>-0.40445559652084739</c:v>
                </c:pt>
                <c:pt idx="8">
                  <c:v>2.5596684005107084</c:v>
                </c:pt>
                <c:pt idx="9">
                  <c:v>6.6490794683240422</c:v>
                </c:pt>
                <c:pt idx="10">
                  <c:v>-1.383420331090305</c:v>
                </c:pt>
                <c:pt idx="11">
                  <c:v>7.148236292246632</c:v>
                </c:pt>
                <c:pt idx="12">
                  <c:v>-9.6333651544460395</c:v>
                </c:pt>
                <c:pt idx="13">
                  <c:v>-7.786257704815001</c:v>
                </c:pt>
                <c:pt idx="14">
                  <c:v>-4.3326760007588891</c:v>
                </c:pt>
                <c:pt idx="15">
                  <c:v>-3.8632040260570064</c:v>
                </c:pt>
                <c:pt idx="16">
                  <c:v>-7.5332328038667793</c:v>
                </c:pt>
                <c:pt idx="17">
                  <c:v>-5.8080145027296091</c:v>
                </c:pt>
                <c:pt idx="18">
                  <c:v>-1.2003726757000792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D0-6E44-860A-CB9F39578177}"/>
            </c:ext>
          </c:extLst>
        </c:ser>
        <c:ser>
          <c:idx val="5"/>
          <c:order val="5"/>
          <c:tx>
            <c:v>PBE-D3BJ-ATM(K)</c:v>
          </c:tx>
          <c:spPr>
            <a:ln w="127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Toluene!$W$27:$W$45</c:f>
              <c:numCache>
                <c:formatCode>0.0</c:formatCode>
                <c:ptCount val="19"/>
                <c:pt idx="0">
                  <c:v>-8.1929889656208399</c:v>
                </c:pt>
                <c:pt idx="1">
                  <c:v>-4.778754477194127</c:v>
                </c:pt>
                <c:pt idx="2">
                  <c:v>-2.5415716794133747</c:v>
                </c:pt>
                <c:pt idx="3">
                  <c:v>2.2457034218016707</c:v>
                </c:pt>
                <c:pt idx="4">
                  <c:v>2.542434287845913</c:v>
                </c:pt>
                <c:pt idx="5">
                  <c:v>3.590154074389861</c:v>
                </c:pt>
                <c:pt idx="6">
                  <c:v>-3.787894249944713</c:v>
                </c:pt>
                <c:pt idx="7">
                  <c:v>1.3884124034791512</c:v>
                </c:pt>
                <c:pt idx="8">
                  <c:v>4.2057924005107088</c:v>
                </c:pt>
                <c:pt idx="9">
                  <c:v>8.4948214683240408</c:v>
                </c:pt>
                <c:pt idx="10">
                  <c:v>1.3072006689096951</c:v>
                </c:pt>
                <c:pt idx="11">
                  <c:v>8.0214282922466307</c:v>
                </c:pt>
                <c:pt idx="12">
                  <c:v>-5.1248181544460385</c:v>
                </c:pt>
                <c:pt idx="13">
                  <c:v>-2.7368777048150017</c:v>
                </c:pt>
                <c:pt idx="14">
                  <c:v>-0.91668500075889092</c:v>
                </c:pt>
                <c:pt idx="15">
                  <c:v>-1.3017100260570067</c:v>
                </c:pt>
                <c:pt idx="16">
                  <c:v>-4.3637188038667798</c:v>
                </c:pt>
                <c:pt idx="17">
                  <c:v>-3.4469935027296086</c:v>
                </c:pt>
                <c:pt idx="18">
                  <c:v>0.59753032429991881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D0-6E44-860A-CB9F39578177}"/>
            </c:ext>
          </c:extLst>
        </c:ser>
        <c:ser>
          <c:idx val="6"/>
          <c:order val="6"/>
          <c:tx>
            <c:v>GFN2-xTB</c:v>
          </c:tx>
          <c:spPr>
            <a:ln w="127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Toluene!$Q$27:$Q$45</c:f>
              <c:numCache>
                <c:formatCode>0.0</c:formatCode>
                <c:ptCount val="19"/>
                <c:pt idx="0">
                  <c:v>-19.22919000000001</c:v>
                </c:pt>
                <c:pt idx="1">
                  <c:v>-5.0483399999999996</c:v>
                </c:pt>
                <c:pt idx="2">
                  <c:v>-9.5337600000000098</c:v>
                </c:pt>
                <c:pt idx="3">
                  <c:v>-4.1983100000000091</c:v>
                </c:pt>
                <c:pt idx="4">
                  <c:v>-6.6365399999999983</c:v>
                </c:pt>
                <c:pt idx="5">
                  <c:v>-3.9414199999999995</c:v>
                </c:pt>
                <c:pt idx="6">
                  <c:v>-13.924210000000002</c:v>
                </c:pt>
                <c:pt idx="7">
                  <c:v>-5.1848799999999997</c:v>
                </c:pt>
                <c:pt idx="8">
                  <c:v>-3.3348599999999999</c:v>
                </c:pt>
                <c:pt idx="9">
                  <c:v>0.75898999999999983</c:v>
                </c:pt>
                <c:pt idx="10">
                  <c:v>0.61757999999998914</c:v>
                </c:pt>
                <c:pt idx="11">
                  <c:v>0.19699999999999818</c:v>
                </c:pt>
                <c:pt idx="12">
                  <c:v>-13.749470000000002</c:v>
                </c:pt>
                <c:pt idx="13">
                  <c:v>-10.795310000000001</c:v>
                </c:pt>
                <c:pt idx="14">
                  <c:v>-11.03318</c:v>
                </c:pt>
                <c:pt idx="15">
                  <c:v>-4.79697</c:v>
                </c:pt>
                <c:pt idx="16">
                  <c:v>-2.6288299999999993</c:v>
                </c:pt>
                <c:pt idx="17">
                  <c:v>-9.9113499999999988</c:v>
                </c:pt>
                <c:pt idx="18">
                  <c:v>-6.2942300000000095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D0-6E44-860A-CB9F3957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616559"/>
        <c:axId val="1190630063"/>
      </c:lineChart>
      <c:catAx>
        <c:axId val="119061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30063"/>
        <c:crossesAt val="-23"/>
        <c:auto val="1"/>
        <c:lblAlgn val="ctr"/>
        <c:lblOffset val="100"/>
        <c:noMultiLvlLbl val="0"/>
      </c:catAx>
      <c:valAx>
        <c:axId val="1190630063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Times" pitchFamily="2" charset="0"/>
                  </a:rPr>
                  <a:t>∆Gbind [PhMe;COSMO] (kcal/mol)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1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083772072869587"/>
          <c:y val="0.57470304975922959"/>
          <c:w val="0.22287036605631397"/>
          <c:h val="0.335056179775280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" pitchFamily="2" charset="0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7233378372083"/>
          <c:y val="3.5313001605136438E-2"/>
          <c:w val="0.89385764649241328"/>
          <c:h val="0.89021422883937262"/>
        </c:manualLayout>
      </c:layout>
      <c:lineChart>
        <c:grouping val="standard"/>
        <c:varyColors val="0"/>
        <c:ser>
          <c:idx val="0"/>
          <c:order val="0"/>
          <c:tx>
            <c:v>PM6-D3H4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Toluene!$R$4:$R$22</c:f>
              <c:numCache>
                <c:formatCode>0.0</c:formatCode>
                <c:ptCount val="19"/>
                <c:pt idx="0">
                  <c:v>-6.1712876835744979</c:v>
                </c:pt>
                <c:pt idx="1">
                  <c:v>-4.303834829045992</c:v>
                </c:pt>
                <c:pt idx="2">
                  <c:v>2.819562956414698</c:v>
                </c:pt>
                <c:pt idx="3">
                  <c:v>1.0413169533437809</c:v>
                </c:pt>
                <c:pt idx="4">
                  <c:v>2.1457001106072591</c:v>
                </c:pt>
                <c:pt idx="5">
                  <c:v>1.5605029937597292</c:v>
                </c:pt>
                <c:pt idx="6">
                  <c:v>-5.3887223754488991</c:v>
                </c:pt>
                <c:pt idx="7">
                  <c:v>0.98089186354770064</c:v>
                </c:pt>
                <c:pt idx="8">
                  <c:v>2.3702174606865594</c:v>
                </c:pt>
                <c:pt idx="9">
                  <c:v>2.6195578304758813</c:v>
                </c:pt>
                <c:pt idx="10">
                  <c:v>0.76010178576123977</c:v>
                </c:pt>
                <c:pt idx="11">
                  <c:v>10.036770059173708</c:v>
                </c:pt>
                <c:pt idx="12">
                  <c:v>-4.0925735026424004</c:v>
                </c:pt>
                <c:pt idx="13">
                  <c:v>-2.6710314032537017</c:v>
                </c:pt>
                <c:pt idx="14">
                  <c:v>6.1092048651971709E-3</c:v>
                </c:pt>
                <c:pt idx="15">
                  <c:v>-0.39576750232386004</c:v>
                </c:pt>
                <c:pt idx="16">
                  <c:v>-3.5780267334258298</c:v>
                </c:pt>
                <c:pt idx="17">
                  <c:v>-0.15475749018471952</c:v>
                </c:pt>
                <c:pt idx="18">
                  <c:v>0.18078017159441906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1-9241-AF10-613BA6BCE72D}"/>
            </c:ext>
          </c:extLst>
        </c:ser>
        <c:ser>
          <c:idx val="5"/>
          <c:order val="1"/>
          <c:tx>
            <c:v>PBE-D3BJ-ATM(K)</c:v>
          </c:tx>
          <c:spPr>
            <a:ln w="127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Toluene!$P$4:$P$22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5A</c:v>
                </c:pt>
                <c:pt idx="5">
                  <c:v>5B</c:v>
                </c:pt>
                <c:pt idx="6">
                  <c:v>6</c:v>
                </c:pt>
                <c:pt idx="7">
                  <c:v>7A</c:v>
                </c:pt>
                <c:pt idx="8">
                  <c:v>7B</c:v>
                </c:pt>
                <c:pt idx="9">
                  <c:v>8A</c:v>
                </c:pt>
                <c:pt idx="10">
                  <c:v>8B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</c:strCache>
            </c:strRef>
          </c:cat>
          <c:val>
            <c:numRef>
              <c:f>Toluene!$W$4:$W$22</c:f>
              <c:numCache>
                <c:formatCode>0.0</c:formatCode>
                <c:ptCount val="19"/>
                <c:pt idx="0">
                  <c:v>1.9099133508046719</c:v>
                </c:pt>
                <c:pt idx="1">
                  <c:v>-0.73924930624011775</c:v>
                </c:pt>
                <c:pt idx="2">
                  <c:v>4.8777512770013356</c:v>
                </c:pt>
                <c:pt idx="3">
                  <c:v>1.3063303751454605</c:v>
                </c:pt>
                <c:pt idx="4">
                  <c:v>6.4086743984531731</c:v>
                </c:pt>
                <c:pt idx="5">
                  <c:v>5.939077068149591</c:v>
                </c:pt>
                <c:pt idx="6">
                  <c:v>0.23059337460638663</c:v>
                </c:pt>
                <c:pt idx="7">
                  <c:v>3.0681842670268509</c:v>
                </c:pt>
                <c:pt idx="8">
                  <c:v>5.2658698611972685</c:v>
                </c:pt>
                <c:pt idx="9">
                  <c:v>11.761389298799923</c:v>
                </c:pt>
                <c:pt idx="10">
                  <c:v>4.4417224546709448</c:v>
                </c:pt>
                <c:pt idx="11">
                  <c:v>9.0181983514203417</c:v>
                </c:pt>
                <c:pt idx="12">
                  <c:v>2.7580783429115616</c:v>
                </c:pt>
                <c:pt idx="13">
                  <c:v>5.5794008919312983</c:v>
                </c:pt>
                <c:pt idx="14">
                  <c:v>4.6716042041063091</c:v>
                </c:pt>
                <c:pt idx="15">
                  <c:v>3.1404924716191331</c:v>
                </c:pt>
                <c:pt idx="16">
                  <c:v>0.50508446270739071</c:v>
                </c:pt>
                <c:pt idx="17">
                  <c:v>1.1585990070856713</c:v>
                </c:pt>
                <c:pt idx="18">
                  <c:v>2.1765404958943488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1-9241-AF10-613BA6BCE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616559"/>
        <c:axId val="1190630063"/>
      </c:lineChart>
      <c:catAx>
        <c:axId val="119061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30063"/>
        <c:crossesAt val="-10"/>
        <c:auto val="1"/>
        <c:lblAlgn val="ctr"/>
        <c:lblOffset val="100"/>
        <c:noMultiLvlLbl val="0"/>
      </c:catAx>
      <c:valAx>
        <c:axId val="1190630063"/>
        <c:scaling>
          <c:orientation val="minMax"/>
          <c:max val="17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Times" pitchFamily="2" charset="0"/>
                  </a:rPr>
                  <a:t>∆Gbind [PhMe;ALPB] (kcal/mol)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" pitchFamily="2" charset="0"/>
                <a:ea typeface="+mn-ea"/>
                <a:cs typeface="+mn-cs"/>
              </a:defRPr>
            </a:pPr>
            <a:endParaRPr lang="en-DE"/>
          </a:p>
        </c:txPr>
        <c:crossAx val="119061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17105406202924"/>
          <c:y val="1.6115569823435025E-2"/>
          <c:w val="0.22287036605631397"/>
          <c:h val="0.335056179775280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" pitchFamily="2" charset="0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38100</xdr:colOff>
      <xdr:row>1</xdr:row>
      <xdr:rowOff>209550</xdr:rowOff>
    </xdr:from>
    <xdr:to>
      <xdr:col>48</xdr:col>
      <xdr:colOff>698500</xdr:colOff>
      <xdr:row>21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61AB7D-A5CA-2F45-8732-9A9F1270B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762000</xdr:colOff>
      <xdr:row>1</xdr:row>
      <xdr:rowOff>190500</xdr:rowOff>
    </xdr:from>
    <xdr:to>
      <xdr:col>56</xdr:col>
      <xdr:colOff>596900</xdr:colOff>
      <xdr:row>21</xdr:row>
      <xdr:rowOff>69850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FF351A-8708-A344-9402-F7229EA2B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66</xdr:col>
      <xdr:colOff>184150</xdr:colOff>
      <xdr:row>17</xdr:row>
      <xdr:rowOff>19050</xdr:rowOff>
    </xdr:from>
    <xdr:to>
      <xdr:col>75</xdr:col>
      <xdr:colOff>381000</xdr:colOff>
      <xdr:row>24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8174532-9112-9E40-991A-98DAF8019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65</xdr:col>
      <xdr:colOff>520700</xdr:colOff>
      <xdr:row>1</xdr:row>
      <xdr:rowOff>63500</xdr:rowOff>
    </xdr:from>
    <xdr:to>
      <xdr:col>73</xdr:col>
      <xdr:colOff>711200</xdr:colOff>
      <xdr:row>20</xdr:row>
      <xdr:rowOff>146050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2E1CC31-EDE8-3244-9E81-848E9801B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</xdr:row>
      <xdr:rowOff>0</xdr:rowOff>
    </xdr:from>
    <xdr:to>
      <xdr:col>31</xdr:col>
      <xdr:colOff>660400</xdr:colOff>
      <xdr:row>20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8E0F0A-1A1A-B444-921A-F861B5248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22</xdr:row>
      <xdr:rowOff>0</xdr:rowOff>
    </xdr:from>
    <xdr:to>
      <xdr:col>31</xdr:col>
      <xdr:colOff>660400</xdr:colOff>
      <xdr:row>41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DAEDC2-39A6-F449-B62B-50D581E1B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9</xdr:row>
      <xdr:rowOff>0</xdr:rowOff>
    </xdr:from>
    <xdr:to>
      <xdr:col>40</xdr:col>
      <xdr:colOff>660400</xdr:colOff>
      <xdr:row>28</xdr:row>
      <xdr:rowOff>69850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84487C-CAC8-E141-8510-33915D655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19B7-508D-3047-BA36-FA58AE74EDF2}">
  <dimension ref="A2:CG47"/>
  <sheetViews>
    <sheetView topLeftCell="AB1" workbookViewId="0">
      <selection activeCell="AI25" sqref="AI25:AO31"/>
    </sheetView>
  </sheetViews>
  <sheetFormatPr baseColWidth="10" defaultRowHeight="16" x14ac:dyDescent="0.2"/>
  <cols>
    <col min="2" max="2" width="6.1640625" bestFit="1" customWidth="1"/>
    <col min="3" max="3" width="9.5" bestFit="1" customWidth="1"/>
    <col min="4" max="4" width="9.6640625" bestFit="1" customWidth="1"/>
    <col min="5" max="6" width="7.1640625" bestFit="1" customWidth="1"/>
    <col min="7" max="7" width="7.6640625" bestFit="1" customWidth="1"/>
    <col min="8" max="8" width="9.6640625" bestFit="1" customWidth="1"/>
    <col min="9" max="9" width="14.6640625" bestFit="1" customWidth="1"/>
    <col min="11" max="11" width="7.5" bestFit="1" customWidth="1"/>
    <col min="12" max="12" width="7.1640625" bestFit="1" customWidth="1"/>
    <col min="13" max="13" width="7.6640625" bestFit="1" customWidth="1"/>
    <col min="14" max="14" width="9.6640625" bestFit="1" customWidth="1"/>
    <col min="15" max="15" width="14.6640625" bestFit="1" customWidth="1"/>
    <col min="28" max="28" width="6.1640625" bestFit="1" customWidth="1"/>
    <col min="29" max="29" width="9.5" bestFit="1" customWidth="1"/>
    <col min="30" max="30" width="9.6640625" bestFit="1" customWidth="1"/>
    <col min="31" max="31" width="7.1640625" bestFit="1" customWidth="1"/>
    <col min="32" max="33" width="7.1640625" customWidth="1"/>
    <col min="34" max="34" width="9.6640625" bestFit="1" customWidth="1"/>
    <col min="35" max="35" width="14.6640625" bestFit="1" customWidth="1"/>
    <col min="37" max="37" width="7.5" bestFit="1" customWidth="1"/>
    <col min="38" max="38" width="7.1640625" bestFit="1" customWidth="1"/>
    <col min="39" max="39" width="7.6640625" bestFit="1" customWidth="1"/>
    <col min="40" max="40" width="9.6640625" bestFit="1" customWidth="1"/>
    <col min="41" max="41" width="14.6640625" bestFit="1" customWidth="1"/>
    <col min="67" max="67" width="6.1640625" bestFit="1" customWidth="1"/>
  </cols>
  <sheetData>
    <row r="2" spans="1:85" ht="17" thickBot="1" x14ac:dyDescent="0.25">
      <c r="B2" s="29" t="s">
        <v>23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29" t="s">
        <v>24</v>
      </c>
      <c r="S2" s="29"/>
      <c r="T2" s="29"/>
      <c r="U2" s="29"/>
      <c r="V2" s="15"/>
      <c r="W2" s="29" t="s">
        <v>25</v>
      </c>
      <c r="X2" s="29"/>
      <c r="Y2" s="29"/>
      <c r="Z2" s="29"/>
      <c r="AB2" s="29" t="s">
        <v>26</v>
      </c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</row>
    <row r="3" spans="1:85" x14ac:dyDescent="0.2">
      <c r="A3" s="2"/>
      <c r="B3" s="30" t="s">
        <v>0</v>
      </c>
      <c r="C3" s="32" t="s">
        <v>9</v>
      </c>
      <c r="D3" s="36" t="s">
        <v>7</v>
      </c>
      <c r="E3" s="36"/>
      <c r="F3" s="36" t="s">
        <v>13</v>
      </c>
      <c r="G3" s="36"/>
      <c r="H3" s="5" t="s">
        <v>15</v>
      </c>
      <c r="I3" s="6" t="s">
        <v>16</v>
      </c>
      <c r="J3" s="32" t="s">
        <v>10</v>
      </c>
      <c r="K3" s="5" t="s">
        <v>7</v>
      </c>
      <c r="L3" s="36" t="s">
        <v>13</v>
      </c>
      <c r="M3" s="36"/>
      <c r="N3" s="5" t="s">
        <v>15</v>
      </c>
      <c r="O3" s="6" t="s">
        <v>16</v>
      </c>
      <c r="P3" s="30" t="s">
        <v>11</v>
      </c>
      <c r="Q3" s="16"/>
      <c r="R3" s="30" t="s">
        <v>0</v>
      </c>
      <c r="S3" s="32" t="s">
        <v>9</v>
      </c>
      <c r="T3" s="30" t="s">
        <v>10</v>
      </c>
      <c r="U3" s="34" t="s">
        <v>11</v>
      </c>
      <c r="V3" s="16"/>
      <c r="W3" s="30" t="s">
        <v>0</v>
      </c>
      <c r="X3" s="32" t="s">
        <v>9</v>
      </c>
      <c r="Y3" s="30" t="s">
        <v>10</v>
      </c>
      <c r="Z3" s="34" t="s">
        <v>11</v>
      </c>
      <c r="AA3" s="2"/>
      <c r="AB3" s="30" t="s">
        <v>0</v>
      </c>
      <c r="AC3" s="32" t="s">
        <v>9</v>
      </c>
      <c r="AD3" s="36" t="s">
        <v>7</v>
      </c>
      <c r="AE3" s="36"/>
      <c r="AF3" s="36" t="s">
        <v>13</v>
      </c>
      <c r="AG3" s="36"/>
      <c r="AH3" s="5" t="s">
        <v>15</v>
      </c>
      <c r="AI3" s="6" t="s">
        <v>16</v>
      </c>
      <c r="AJ3" s="32" t="s">
        <v>10</v>
      </c>
      <c r="AK3" s="5" t="s">
        <v>7</v>
      </c>
      <c r="AL3" s="36" t="s">
        <v>13</v>
      </c>
      <c r="AM3" s="36"/>
      <c r="AN3" s="5" t="s">
        <v>15</v>
      </c>
      <c r="AO3" s="6" t="s">
        <v>16</v>
      </c>
      <c r="BO3" t="s">
        <v>0</v>
      </c>
      <c r="BP3" t="s">
        <v>9</v>
      </c>
      <c r="BQ3" t="s">
        <v>17</v>
      </c>
      <c r="BR3" t="s">
        <v>18</v>
      </c>
      <c r="BS3" t="s">
        <v>10</v>
      </c>
      <c r="BT3" t="s">
        <v>11</v>
      </c>
      <c r="BV3" s="37" t="s">
        <v>20</v>
      </c>
      <c r="BW3" s="37"/>
      <c r="BX3" s="37"/>
      <c r="BY3" s="37"/>
      <c r="BZ3" s="37" t="s">
        <v>21</v>
      </c>
      <c r="CA3" s="37"/>
      <c r="CB3" s="37"/>
      <c r="CC3" s="37"/>
      <c r="CD3" s="37" t="s">
        <v>22</v>
      </c>
      <c r="CE3" s="37"/>
      <c r="CF3" s="37"/>
      <c r="CG3" s="37"/>
    </row>
    <row r="4" spans="1:85" x14ac:dyDescent="0.2">
      <c r="A4" s="2"/>
      <c r="B4" s="31"/>
      <c r="C4" s="33"/>
      <c r="D4" s="1" t="s">
        <v>8</v>
      </c>
      <c r="E4" s="1" t="s">
        <v>12</v>
      </c>
      <c r="F4" s="1" t="s">
        <v>12</v>
      </c>
      <c r="G4" s="1" t="s">
        <v>14</v>
      </c>
      <c r="H4" s="1" t="s">
        <v>8</v>
      </c>
      <c r="I4" s="7" t="s">
        <v>8</v>
      </c>
      <c r="J4" s="33"/>
      <c r="K4" s="1" t="s">
        <v>12</v>
      </c>
      <c r="L4" s="1" t="s">
        <v>12</v>
      </c>
      <c r="M4" s="1" t="s">
        <v>14</v>
      </c>
      <c r="N4" s="1" t="s">
        <v>8</v>
      </c>
      <c r="O4" s="7" t="s">
        <v>8</v>
      </c>
      <c r="P4" s="31"/>
      <c r="Q4" s="16"/>
      <c r="R4" s="31"/>
      <c r="S4" s="33"/>
      <c r="T4" s="31"/>
      <c r="U4" s="35"/>
      <c r="V4" s="16"/>
      <c r="W4" s="31"/>
      <c r="X4" s="33"/>
      <c r="Y4" s="31"/>
      <c r="Z4" s="35"/>
      <c r="AA4" s="2"/>
      <c r="AB4" s="31"/>
      <c r="AC4" s="33"/>
      <c r="AD4" s="1" t="s">
        <v>8</v>
      </c>
      <c r="AE4" s="1" t="s">
        <v>12</v>
      </c>
      <c r="AF4" s="1" t="s">
        <v>12</v>
      </c>
      <c r="AG4" s="1" t="s">
        <v>14</v>
      </c>
      <c r="AH4" s="1" t="s">
        <v>8</v>
      </c>
      <c r="AI4" s="7" t="s">
        <v>8</v>
      </c>
      <c r="AJ4" s="33"/>
      <c r="AK4" s="1" t="s">
        <v>12</v>
      </c>
      <c r="AL4" s="1" t="s">
        <v>12</v>
      </c>
      <c r="AM4" s="1" t="s">
        <v>14</v>
      </c>
      <c r="AN4" s="1" t="s">
        <v>8</v>
      </c>
      <c r="AO4" s="7" t="s">
        <v>8</v>
      </c>
      <c r="BO4" t="s">
        <v>19</v>
      </c>
      <c r="BP4">
        <v>0</v>
      </c>
      <c r="BQ4">
        <v>0.70950366821394573</v>
      </c>
      <c r="BR4">
        <v>3.7439509455058673</v>
      </c>
      <c r="BS4">
        <v>3</v>
      </c>
      <c r="BT4">
        <v>1</v>
      </c>
      <c r="BV4" t="s">
        <v>17</v>
      </c>
      <c r="BW4" t="s">
        <v>18</v>
      </c>
      <c r="BX4" t="s">
        <v>10</v>
      </c>
      <c r="BY4" t="s">
        <v>11</v>
      </c>
      <c r="BZ4" t="s">
        <v>17</v>
      </c>
      <c r="CA4" t="s">
        <v>18</v>
      </c>
      <c r="CB4" t="s">
        <v>10</v>
      </c>
      <c r="CC4" t="s">
        <v>11</v>
      </c>
      <c r="CD4" t="s">
        <v>17</v>
      </c>
      <c r="CE4" t="s">
        <v>18</v>
      </c>
      <c r="CF4" t="s">
        <v>10</v>
      </c>
      <c r="CG4" t="s">
        <v>11</v>
      </c>
    </row>
    <row r="5" spans="1:85" x14ac:dyDescent="0.2">
      <c r="A5" s="2"/>
      <c r="B5" s="3">
        <v>1</v>
      </c>
      <c r="C5" s="8">
        <v>45.148000000000003</v>
      </c>
      <c r="D5" s="2">
        <v>28.365948820382155</v>
      </c>
      <c r="E5" s="2">
        <v>35.110472087789859</v>
      </c>
      <c r="F5" s="2">
        <v>35.833370993780072</v>
      </c>
      <c r="G5" s="2">
        <v>29.119626094242484</v>
      </c>
      <c r="H5" s="2">
        <v>32.598528505339765</v>
      </c>
      <c r="I5" s="9">
        <v>26.537035505339766</v>
      </c>
      <c r="J5" s="8">
        <v>42.054000000000002</v>
      </c>
      <c r="K5" s="2">
        <v>38.810825544827324</v>
      </c>
      <c r="L5" s="2">
        <v>42.100203130032483</v>
      </c>
      <c r="M5" s="2">
        <v>36.245705542808807</v>
      </c>
      <c r="N5" s="2">
        <v>39.35813396562083</v>
      </c>
      <c r="O5" s="9">
        <v>33.972798965620832</v>
      </c>
      <c r="P5" s="13">
        <v>45.776000000000003</v>
      </c>
      <c r="Q5" s="2"/>
      <c r="R5" s="3">
        <v>1</v>
      </c>
      <c r="S5" s="8">
        <v>-26.283000000000001</v>
      </c>
      <c r="T5" s="13">
        <v>-23.327999999999999</v>
      </c>
      <c r="U5" s="9">
        <v>-25.303000000000001</v>
      </c>
      <c r="V5" s="2"/>
      <c r="W5" s="3">
        <v>1</v>
      </c>
      <c r="X5" s="8">
        <f>S5+C5</f>
        <v>18.865000000000002</v>
      </c>
      <c r="Y5" s="13">
        <f>T5+J5</f>
        <v>18.726000000000003</v>
      </c>
      <c r="Z5" s="9">
        <f>U5+P5</f>
        <v>20.473000000000003</v>
      </c>
      <c r="AA5" s="2"/>
      <c r="AB5" s="3">
        <v>1</v>
      </c>
      <c r="AC5" s="8">
        <f>X5-C5</f>
        <v>-26.283000000000001</v>
      </c>
      <c r="AD5" s="2">
        <f>X5-D5</f>
        <v>-9.5009488203821526</v>
      </c>
      <c r="AE5" s="2">
        <f>X5-E5</f>
        <v>-16.245472087789857</v>
      </c>
      <c r="AF5" s="2">
        <f>X5-F5</f>
        <v>-16.96837099378007</v>
      </c>
      <c r="AG5" s="2">
        <f>X5-G5</f>
        <v>-10.254626094242482</v>
      </c>
      <c r="AH5" s="2">
        <f>X5-H5</f>
        <v>-13.733528505339763</v>
      </c>
      <c r="AI5" s="9">
        <f>X5-I5</f>
        <v>-7.672035505339764</v>
      </c>
      <c r="AJ5" s="8">
        <f>Y5-J5</f>
        <v>-23.327999999999999</v>
      </c>
      <c r="AK5" s="2">
        <f>Y5-K5</f>
        <v>-20.084825544827321</v>
      </c>
      <c r="AL5" s="2">
        <f>Y5-F5</f>
        <v>-17.107370993780069</v>
      </c>
      <c r="AM5" s="2">
        <f>Y5-M5</f>
        <v>-17.519705542808804</v>
      </c>
      <c r="AN5" s="2">
        <f>Y5-N5</f>
        <v>-20.632133965620827</v>
      </c>
      <c r="AO5" s="9">
        <f>Y5-O5</f>
        <v>-15.24679896562083</v>
      </c>
      <c r="BO5">
        <v>1</v>
      </c>
      <c r="BP5" s="2">
        <f t="shared" ref="BP5:BP23" si="0">AC5-$BP$4</f>
        <v>-26.283000000000001</v>
      </c>
      <c r="BQ5" s="2" t="e">
        <f>#REF!-$BQ$4</f>
        <v>#REF!</v>
      </c>
      <c r="BR5" s="2" t="e">
        <f>#REF!-$BR$4</f>
        <v>#REF!</v>
      </c>
      <c r="BS5" s="2">
        <f t="shared" ref="BS5:BS23" si="1">AJ5+$BS$4</f>
        <v>-20.327999999999999</v>
      </c>
      <c r="BT5" s="2" t="e">
        <f>#REF!-$BT$4</f>
        <v>#REF!</v>
      </c>
      <c r="BV5" s="2" t="e">
        <f>BP5-BQ5</f>
        <v>#REF!</v>
      </c>
      <c r="BW5" s="2" t="e">
        <f>BP5-BR5</f>
        <v>#REF!</v>
      </c>
      <c r="BX5" s="2">
        <f>BP5-BS5</f>
        <v>-5.9550000000000018</v>
      </c>
      <c r="BY5" s="2" t="e">
        <f>BP5-BT5</f>
        <v>#REF!</v>
      </c>
      <c r="BZ5" t="e">
        <f>BV5*BV5</f>
        <v>#REF!</v>
      </c>
      <c r="CA5" t="e">
        <f t="shared" ref="CA5:CC5" si="2">BW5*BW5</f>
        <v>#REF!</v>
      </c>
      <c r="CB5">
        <f t="shared" si="2"/>
        <v>35.462025000000025</v>
      </c>
      <c r="CC5" t="e">
        <f t="shared" si="2"/>
        <v>#REF!</v>
      </c>
      <c r="CD5" t="e">
        <f>SUM(BZ5:BZ23)</f>
        <v>#REF!</v>
      </c>
      <c r="CE5" t="e">
        <f t="shared" ref="CE5:CG5" si="3">SUM(CA5:CA23)</f>
        <v>#REF!</v>
      </c>
      <c r="CF5">
        <f t="shared" si="3"/>
        <v>844.64073399999995</v>
      </c>
      <c r="CG5" t="e">
        <f t="shared" si="3"/>
        <v>#REF!</v>
      </c>
    </row>
    <row r="6" spans="1:85" x14ac:dyDescent="0.2">
      <c r="A6" s="2"/>
      <c r="B6" s="3">
        <v>2</v>
      </c>
      <c r="C6" s="8">
        <v>24.626000000000001</v>
      </c>
      <c r="D6" s="2">
        <v>18.871380835492584</v>
      </c>
      <c r="E6" s="2">
        <v>22.379978853088257</v>
      </c>
      <c r="F6" s="2">
        <v>27.676524835173957</v>
      </c>
      <c r="G6" s="2">
        <v>24.076223360913492</v>
      </c>
      <c r="H6" s="2">
        <v>27.13703262392885</v>
      </c>
      <c r="I6" s="9">
        <v>24.532502623928849</v>
      </c>
      <c r="J6" s="8">
        <v>28.75</v>
      </c>
      <c r="K6" s="2">
        <v>24.001528150577677</v>
      </c>
      <c r="L6" s="2">
        <v>28.772318746207812</v>
      </c>
      <c r="M6" s="2">
        <v>24.815946226539069</v>
      </c>
      <c r="N6" s="2">
        <v>27.550110477194124</v>
      </c>
      <c r="O6" s="9">
        <v>25.185414477194126</v>
      </c>
      <c r="P6" s="13">
        <v>30.856000000000002</v>
      </c>
      <c r="Q6" s="2"/>
      <c r="R6" s="3">
        <v>2</v>
      </c>
      <c r="S6" s="8">
        <v>-8.5670000000000002</v>
      </c>
      <c r="T6" s="13">
        <v>-11.862</v>
      </c>
      <c r="U6" s="9">
        <v>-13.154999999999999</v>
      </c>
      <c r="V6" s="2"/>
      <c r="W6" s="3">
        <v>2</v>
      </c>
      <c r="X6" s="8">
        <f t="shared" ref="X6:X23" si="4">S6+C6</f>
        <v>16.059000000000001</v>
      </c>
      <c r="Y6" s="13">
        <f t="shared" ref="Y6:Y23" si="5">T6+J6</f>
        <v>16.887999999999998</v>
      </c>
      <c r="Z6" s="9">
        <f t="shared" ref="Z6:Z23" si="6">U6+P6</f>
        <v>17.701000000000001</v>
      </c>
      <c r="AA6" s="2"/>
      <c r="AB6" s="3">
        <v>2</v>
      </c>
      <c r="AC6" s="8">
        <f t="shared" ref="AC6:AC23" si="7">X6-C6</f>
        <v>-8.5670000000000002</v>
      </c>
      <c r="AD6" s="2">
        <f t="shared" ref="AD6:AD23" si="8">X6-D6</f>
        <v>-2.8123808354925828</v>
      </c>
      <c r="AE6" s="2">
        <f t="shared" ref="AE6:AE23" si="9">X6-E6</f>
        <v>-6.3209788530882562</v>
      </c>
      <c r="AF6" s="2">
        <f t="shared" ref="AF6:AF23" si="10">X6-F6</f>
        <v>-11.617524835173956</v>
      </c>
      <c r="AG6" s="2">
        <f t="shared" ref="AG6:AG23" si="11">X6-G6</f>
        <v>-8.0172233609134906</v>
      </c>
      <c r="AH6" s="2">
        <f t="shared" ref="AH6:AH23" si="12">X6-H6</f>
        <v>-11.078032623928848</v>
      </c>
      <c r="AI6" s="9">
        <f t="shared" ref="AI6:AI23" si="13">X6-I6</f>
        <v>-8.473502623928848</v>
      </c>
      <c r="AJ6" s="8">
        <f t="shared" ref="AJ6:AJ23" si="14">Y6-J6</f>
        <v>-11.862000000000002</v>
      </c>
      <c r="AK6" s="2">
        <f t="shared" ref="AK6:AK23" si="15">Y6-K6</f>
        <v>-7.1135281505776788</v>
      </c>
      <c r="AL6" s="2">
        <f t="shared" ref="AL6:AL23" si="16">Y6-F6</f>
        <v>-10.788524835173959</v>
      </c>
      <c r="AM6" s="2">
        <f t="shared" ref="AM6:AM23" si="17">Y6-M6</f>
        <v>-7.9279462265390706</v>
      </c>
      <c r="AN6" s="2">
        <f t="shared" ref="AN6:AN23" si="18">Y6-N6</f>
        <v>-10.662110477194126</v>
      </c>
      <c r="AO6" s="9">
        <f t="shared" ref="AO6:AO23" si="19">Y6-O6</f>
        <v>-8.2974144771941276</v>
      </c>
      <c r="BO6">
        <v>2</v>
      </c>
      <c r="BP6" s="2">
        <f t="shared" si="0"/>
        <v>-8.5670000000000002</v>
      </c>
      <c r="BQ6" s="2" t="e">
        <f>#REF!-$BQ$4</f>
        <v>#REF!</v>
      </c>
      <c r="BR6" s="2" t="e">
        <f>#REF!-$BR$4</f>
        <v>#REF!</v>
      </c>
      <c r="BS6" s="2">
        <f t="shared" si="1"/>
        <v>-8.8620000000000019</v>
      </c>
      <c r="BT6" s="2" t="e">
        <f>#REF!-$BT$4</f>
        <v>#REF!</v>
      </c>
      <c r="BV6" s="2" t="e">
        <f t="shared" ref="BV6:BV23" si="20">BP6-BQ6</f>
        <v>#REF!</v>
      </c>
      <c r="BW6" s="2" t="e">
        <f t="shared" ref="BW6:BW23" si="21">BP6-BR6</f>
        <v>#REF!</v>
      </c>
      <c r="BX6" s="2">
        <f t="shared" ref="BX6:BX23" si="22">BP6-BS6</f>
        <v>0.29500000000000171</v>
      </c>
      <c r="BY6" s="2" t="e">
        <f t="shared" ref="BY6:BY23" si="23">BP6-BT6</f>
        <v>#REF!</v>
      </c>
      <c r="BZ6" t="e">
        <f t="shared" ref="BZ6:BZ23" si="24">BV6*BV6</f>
        <v>#REF!</v>
      </c>
      <c r="CA6" t="e">
        <f t="shared" ref="CA6:CA23" si="25">BW6*BW6</f>
        <v>#REF!</v>
      </c>
      <c r="CB6">
        <f t="shared" ref="CB6:CB23" si="26">BX6*BX6</f>
        <v>8.7025000000001004E-2</v>
      </c>
      <c r="CC6" t="e">
        <f t="shared" ref="CC6:CC23" si="27">BY6*BY6</f>
        <v>#REF!</v>
      </c>
    </row>
    <row r="7" spans="1:85" x14ac:dyDescent="0.2">
      <c r="A7" s="2"/>
      <c r="B7" s="3">
        <v>3</v>
      </c>
      <c r="C7" s="8">
        <v>36.411000000000001</v>
      </c>
      <c r="D7" s="2">
        <v>17.726597845062692</v>
      </c>
      <c r="E7" s="2">
        <v>24.355022673349207</v>
      </c>
      <c r="F7" s="2">
        <v>28.520335863162622</v>
      </c>
      <c r="G7" s="2">
        <v>22.423722861431632</v>
      </c>
      <c r="H7" s="2">
        <v>25.61323812213864</v>
      </c>
      <c r="I7" s="9">
        <v>21.044508122138641</v>
      </c>
      <c r="J7" s="8">
        <v>29.2</v>
      </c>
      <c r="K7" s="2">
        <v>25.744515121354027</v>
      </c>
      <c r="L7" s="2">
        <v>32.331144872500964</v>
      </c>
      <c r="M7" s="2">
        <v>27.447678236675333</v>
      </c>
      <c r="N7" s="2">
        <v>31.101507679413363</v>
      </c>
      <c r="O7" s="9">
        <v>27.141811679413362</v>
      </c>
      <c r="P7" s="13">
        <v>30.568000000000001</v>
      </c>
      <c r="Q7" s="2"/>
      <c r="R7" s="3">
        <v>3</v>
      </c>
      <c r="S7" s="8">
        <v>-15.09</v>
      </c>
      <c r="T7" s="13">
        <v>-10.156000000000001</v>
      </c>
      <c r="U7" s="9">
        <v>-11.117000000000001</v>
      </c>
      <c r="V7" s="2"/>
      <c r="W7" s="3">
        <v>3</v>
      </c>
      <c r="X7" s="8">
        <f t="shared" si="4"/>
        <v>21.321000000000002</v>
      </c>
      <c r="Y7" s="13">
        <f t="shared" si="5"/>
        <v>19.043999999999997</v>
      </c>
      <c r="Z7" s="9">
        <f t="shared" si="6"/>
        <v>19.451000000000001</v>
      </c>
      <c r="AA7" s="2"/>
      <c r="AB7" s="3">
        <v>3</v>
      </c>
      <c r="AC7" s="8">
        <f t="shared" si="7"/>
        <v>-15.09</v>
      </c>
      <c r="AD7" s="2">
        <f t="shared" si="8"/>
        <v>3.5944021549373097</v>
      </c>
      <c r="AE7" s="2">
        <f t="shared" si="9"/>
        <v>-3.0340226733492059</v>
      </c>
      <c r="AF7" s="2">
        <f t="shared" si="10"/>
        <v>-7.1993358631626201</v>
      </c>
      <c r="AG7" s="2">
        <f t="shared" si="11"/>
        <v>-1.10272286143163</v>
      </c>
      <c r="AH7" s="2">
        <f t="shared" si="12"/>
        <v>-4.2922381221386381</v>
      </c>
      <c r="AI7" s="9">
        <f t="shared" si="13"/>
        <v>0.27649187786136054</v>
      </c>
      <c r="AJ7" s="8">
        <f t="shared" si="14"/>
        <v>-10.156000000000002</v>
      </c>
      <c r="AK7" s="2">
        <f t="shared" si="15"/>
        <v>-6.7005151213540302</v>
      </c>
      <c r="AL7" s="2">
        <f t="shared" si="16"/>
        <v>-9.4763358631626247</v>
      </c>
      <c r="AM7" s="2">
        <f t="shared" si="17"/>
        <v>-8.4036782366753364</v>
      </c>
      <c r="AN7" s="2">
        <f t="shared" si="18"/>
        <v>-12.057507679413366</v>
      </c>
      <c r="AO7" s="9">
        <f t="shared" si="19"/>
        <v>-8.0978116794133648</v>
      </c>
      <c r="BO7">
        <v>3</v>
      </c>
      <c r="BP7" s="2">
        <f t="shared" si="0"/>
        <v>-15.09</v>
      </c>
      <c r="BQ7" s="2" t="e">
        <f>#REF!-$BQ$4</f>
        <v>#REF!</v>
      </c>
      <c r="BR7" s="2" t="e">
        <f>#REF!-$BR$4</f>
        <v>#REF!</v>
      </c>
      <c r="BS7" s="2">
        <f t="shared" si="1"/>
        <v>-7.1560000000000024</v>
      </c>
      <c r="BT7" s="2" t="e">
        <f>#REF!-$BT$4</f>
        <v>#REF!</v>
      </c>
      <c r="BV7" s="2" t="e">
        <f t="shared" si="20"/>
        <v>#REF!</v>
      </c>
      <c r="BW7" s="2" t="e">
        <f t="shared" si="21"/>
        <v>#REF!</v>
      </c>
      <c r="BX7" s="2">
        <f t="shared" si="22"/>
        <v>-7.9339999999999975</v>
      </c>
      <c r="BY7" s="2" t="e">
        <f t="shared" si="23"/>
        <v>#REF!</v>
      </c>
      <c r="BZ7" t="e">
        <f t="shared" si="24"/>
        <v>#REF!</v>
      </c>
      <c r="CA7" t="e">
        <f t="shared" si="25"/>
        <v>#REF!</v>
      </c>
      <c r="CB7">
        <f t="shared" si="26"/>
        <v>62.948355999999961</v>
      </c>
      <c r="CC7" t="e">
        <f t="shared" si="27"/>
        <v>#REF!</v>
      </c>
    </row>
    <row r="8" spans="1:85" x14ac:dyDescent="0.2">
      <c r="A8" s="2"/>
      <c r="B8" s="3">
        <v>4</v>
      </c>
      <c r="C8" s="8">
        <v>23.675000000000001</v>
      </c>
      <c r="D8" s="2">
        <v>8.4633854113090763</v>
      </c>
      <c r="E8" s="2">
        <v>11.212164273523436</v>
      </c>
      <c r="F8" s="2">
        <v>18.158362658641927</v>
      </c>
      <c r="G8" s="2">
        <v>15.941881811943265</v>
      </c>
      <c r="H8" s="2">
        <v>16.739912329619862</v>
      </c>
      <c r="I8" s="9">
        <v>14.744569329619862</v>
      </c>
      <c r="J8" s="8">
        <v>18.420999999999999</v>
      </c>
      <c r="K8" s="2">
        <v>13.76760858549534</v>
      </c>
      <c r="L8" s="2">
        <v>19.925849863441808</v>
      </c>
      <c r="M8" s="2">
        <v>18.527658375695665</v>
      </c>
      <c r="N8" s="2">
        <v>19.994757578198321</v>
      </c>
      <c r="O8" s="9">
        <v>18.15598657819832</v>
      </c>
      <c r="P8" s="13">
        <v>20.048999999999999</v>
      </c>
      <c r="Q8" s="2"/>
      <c r="R8" s="3">
        <v>4</v>
      </c>
      <c r="S8" s="8">
        <v>-8.7129999999999992</v>
      </c>
      <c r="T8" s="13">
        <v>-2.5339999999999998</v>
      </c>
      <c r="U8" s="9">
        <v>-2.649</v>
      </c>
      <c r="V8" s="2"/>
      <c r="W8" s="3">
        <v>4</v>
      </c>
      <c r="X8" s="8">
        <f t="shared" si="4"/>
        <v>14.962000000000002</v>
      </c>
      <c r="Y8" s="13">
        <f t="shared" si="5"/>
        <v>15.887</v>
      </c>
      <c r="Z8" s="9">
        <f t="shared" si="6"/>
        <v>17.399999999999999</v>
      </c>
      <c r="AA8" s="2"/>
      <c r="AB8" s="3">
        <v>4</v>
      </c>
      <c r="AC8" s="8">
        <f t="shared" si="7"/>
        <v>-8.7129999999999992</v>
      </c>
      <c r="AD8" s="2">
        <f t="shared" si="8"/>
        <v>6.4986145886909252</v>
      </c>
      <c r="AE8" s="2">
        <f t="shared" si="9"/>
        <v>3.7498357264765652</v>
      </c>
      <c r="AF8" s="2">
        <f t="shared" si="10"/>
        <v>-3.1963626586419256</v>
      </c>
      <c r="AG8" s="2">
        <f t="shared" si="11"/>
        <v>-0.97988181194326351</v>
      </c>
      <c r="AH8" s="2">
        <f t="shared" si="12"/>
        <v>-1.7779123296198609</v>
      </c>
      <c r="AI8" s="9">
        <f t="shared" si="13"/>
        <v>0.21743067038013919</v>
      </c>
      <c r="AJ8" s="8">
        <f t="shared" si="14"/>
        <v>-2.5339999999999989</v>
      </c>
      <c r="AK8" s="2">
        <f t="shared" si="15"/>
        <v>2.1193914145046602</v>
      </c>
      <c r="AL8" s="2">
        <f t="shared" si="16"/>
        <v>-2.2713626586419267</v>
      </c>
      <c r="AM8" s="2">
        <f t="shared" si="17"/>
        <v>-2.640658375695665</v>
      </c>
      <c r="AN8" s="2">
        <f t="shared" si="18"/>
        <v>-4.1077575781983207</v>
      </c>
      <c r="AO8" s="9">
        <f>Y8-O8</f>
        <v>-2.2689865781983194</v>
      </c>
      <c r="BO8">
        <v>4</v>
      </c>
      <c r="BP8" s="2">
        <f t="shared" si="0"/>
        <v>-8.7129999999999992</v>
      </c>
      <c r="BQ8" s="2" t="e">
        <f>#REF!-$BQ$4</f>
        <v>#REF!</v>
      </c>
      <c r="BR8" s="2" t="e">
        <f>#REF!-$BR$4</f>
        <v>#REF!</v>
      </c>
      <c r="BS8" s="2">
        <f t="shared" si="1"/>
        <v>0.46600000000000108</v>
      </c>
      <c r="BT8" s="2" t="e">
        <f>#REF!-$BT$4</f>
        <v>#REF!</v>
      </c>
      <c r="BV8" s="2" t="e">
        <f t="shared" si="20"/>
        <v>#REF!</v>
      </c>
      <c r="BW8" s="2" t="e">
        <f t="shared" si="21"/>
        <v>#REF!</v>
      </c>
      <c r="BX8" s="2">
        <f t="shared" si="22"/>
        <v>-9.1790000000000003</v>
      </c>
      <c r="BY8" s="2" t="e">
        <f t="shared" si="23"/>
        <v>#REF!</v>
      </c>
      <c r="BZ8" t="e">
        <f t="shared" si="24"/>
        <v>#REF!</v>
      </c>
      <c r="CA8" t="e">
        <f t="shared" si="25"/>
        <v>#REF!</v>
      </c>
      <c r="CB8">
        <f t="shared" si="26"/>
        <v>84.254041000000001</v>
      </c>
      <c r="CC8" t="e">
        <f t="shared" si="27"/>
        <v>#REF!</v>
      </c>
    </row>
    <row r="9" spans="1:85" x14ac:dyDescent="0.2">
      <c r="A9" s="2"/>
      <c r="B9" s="3" t="s">
        <v>1</v>
      </c>
      <c r="C9" s="8">
        <v>25.25</v>
      </c>
      <c r="D9" s="2">
        <v>14.64017624439624</v>
      </c>
      <c r="E9" s="2">
        <v>17.947623615773672</v>
      </c>
      <c r="F9" s="2">
        <v>18.920502946660093</v>
      </c>
      <c r="G9" s="2">
        <v>15.833326872831995</v>
      </c>
      <c r="H9" s="2">
        <v>16.635394700113672</v>
      </c>
      <c r="I9" s="9">
        <v>14.693972700113672</v>
      </c>
      <c r="J9" s="8">
        <v>20.532</v>
      </c>
      <c r="K9" s="2">
        <v>15.281955113758519</v>
      </c>
      <c r="L9" s="2">
        <v>18.05593464770433</v>
      </c>
      <c r="M9" s="2">
        <v>15.561709106190833</v>
      </c>
      <c r="N9" s="2">
        <v>18.357547712154087</v>
      </c>
      <c r="O9" s="9">
        <v>16.269025712154086</v>
      </c>
      <c r="P9" s="13">
        <v>22.669</v>
      </c>
      <c r="Q9" s="2"/>
      <c r="R9" s="3" t="s">
        <v>1</v>
      </c>
      <c r="S9" s="8">
        <v>-9.0709999999999997</v>
      </c>
      <c r="T9" s="13">
        <v>-4.1550000000000002</v>
      </c>
      <c r="U9" s="9">
        <v>-4.9690000000000003</v>
      </c>
      <c r="V9" s="2"/>
      <c r="W9" s="3" t="s">
        <v>1</v>
      </c>
      <c r="X9" s="8">
        <f t="shared" si="4"/>
        <v>16.179000000000002</v>
      </c>
      <c r="Y9" s="13">
        <f t="shared" si="5"/>
        <v>16.376999999999999</v>
      </c>
      <c r="Z9" s="9">
        <f t="shared" si="6"/>
        <v>17.7</v>
      </c>
      <c r="AA9" s="2"/>
      <c r="AB9" s="3" t="s">
        <v>1</v>
      </c>
      <c r="AC9" s="8">
        <f t="shared" si="7"/>
        <v>-9.070999999999998</v>
      </c>
      <c r="AD9" s="2">
        <f t="shared" si="8"/>
        <v>1.5388237556037616</v>
      </c>
      <c r="AE9" s="2">
        <f t="shared" si="9"/>
        <v>-1.7686236157736701</v>
      </c>
      <c r="AF9" s="2">
        <f t="shared" si="10"/>
        <v>-2.7415029466600913</v>
      </c>
      <c r="AG9" s="2">
        <f t="shared" si="11"/>
        <v>0.34567312716800735</v>
      </c>
      <c r="AH9" s="2">
        <f t="shared" si="12"/>
        <v>-0.45639470011366967</v>
      </c>
      <c r="AI9" s="9">
        <f t="shared" si="13"/>
        <v>1.4850272998863296</v>
      </c>
      <c r="AJ9" s="8">
        <f t="shared" si="14"/>
        <v>-4.1550000000000011</v>
      </c>
      <c r="AK9" s="2">
        <f t="shared" si="15"/>
        <v>1.0950448862414799</v>
      </c>
      <c r="AL9" s="2">
        <f t="shared" si="16"/>
        <v>-2.5435029466600945</v>
      </c>
      <c r="AM9" s="2">
        <f t="shared" si="17"/>
        <v>0.81529089380916631</v>
      </c>
      <c r="AN9" s="2">
        <f t="shared" si="18"/>
        <v>-1.9805477121540882</v>
      </c>
      <c r="AO9" s="9">
        <f t="shared" si="19"/>
        <v>0.1079742878459129</v>
      </c>
      <c r="BO9" t="s">
        <v>1</v>
      </c>
      <c r="BP9" s="2">
        <f t="shared" si="0"/>
        <v>-9.070999999999998</v>
      </c>
      <c r="BQ9" s="2" t="e">
        <f>#REF!-$BQ$4</f>
        <v>#REF!</v>
      </c>
      <c r="BR9" s="2" t="e">
        <f>#REF!-$BR$4</f>
        <v>#REF!</v>
      </c>
      <c r="BS9" s="2">
        <f t="shared" si="1"/>
        <v>-1.1550000000000011</v>
      </c>
      <c r="BT9" s="2" t="e">
        <f>#REF!-$BT$4</f>
        <v>#REF!</v>
      </c>
      <c r="BV9" s="2" t="e">
        <f t="shared" si="20"/>
        <v>#REF!</v>
      </c>
      <c r="BW9" s="2" t="e">
        <f t="shared" si="21"/>
        <v>#REF!</v>
      </c>
      <c r="BX9" s="2">
        <f t="shared" si="22"/>
        <v>-7.9159999999999968</v>
      </c>
      <c r="BY9" s="2" t="e">
        <f t="shared" si="23"/>
        <v>#REF!</v>
      </c>
      <c r="BZ9" t="e">
        <f t="shared" si="24"/>
        <v>#REF!</v>
      </c>
      <c r="CA9" t="e">
        <f t="shared" si="25"/>
        <v>#REF!</v>
      </c>
      <c r="CB9">
        <f t="shared" si="26"/>
        <v>62.663055999999948</v>
      </c>
      <c r="CC9" t="e">
        <f t="shared" si="27"/>
        <v>#REF!</v>
      </c>
    </row>
    <row r="10" spans="1:85" x14ac:dyDescent="0.2">
      <c r="A10" s="2"/>
      <c r="B10" s="3" t="s">
        <v>2</v>
      </c>
      <c r="C10" s="8">
        <v>22.690999999999999</v>
      </c>
      <c r="D10" s="2">
        <v>10.168937293186914</v>
      </c>
      <c r="E10" s="2">
        <v>13.64216421242088</v>
      </c>
      <c r="F10" s="2">
        <v>17.548674919049159</v>
      </c>
      <c r="G10" s="2">
        <v>14.60734144684368</v>
      </c>
      <c r="H10" s="2">
        <v>17.493310154919339</v>
      </c>
      <c r="I10" s="9">
        <v>14.610396154919338</v>
      </c>
      <c r="J10" s="8">
        <v>20.108000000000001</v>
      </c>
      <c r="K10" s="2">
        <v>13.654001252130694</v>
      </c>
      <c r="L10" s="2">
        <v>17.468700665180549</v>
      </c>
      <c r="M10" s="2">
        <v>14.666544587583225</v>
      </c>
      <c r="N10" s="2">
        <v>18.389640925610138</v>
      </c>
      <c r="O10" s="9">
        <v>15.729425925610139</v>
      </c>
      <c r="P10" s="13">
        <v>22.387</v>
      </c>
      <c r="Q10" s="2"/>
      <c r="R10" s="3" t="s">
        <v>2</v>
      </c>
      <c r="S10" s="8">
        <v>-7.7670000000000003</v>
      </c>
      <c r="T10" s="13">
        <v>-4.6139999999999999</v>
      </c>
      <c r="U10" s="9">
        <v>-5.7729999999999997</v>
      </c>
      <c r="V10" s="2"/>
      <c r="W10" s="3" t="s">
        <v>2</v>
      </c>
      <c r="X10" s="8">
        <f t="shared" si="4"/>
        <v>14.923999999999999</v>
      </c>
      <c r="Y10" s="13">
        <f t="shared" si="5"/>
        <v>15.494</v>
      </c>
      <c r="Z10" s="9">
        <f t="shared" si="6"/>
        <v>16.614000000000001</v>
      </c>
      <c r="AA10" s="2"/>
      <c r="AB10" s="3" t="s">
        <v>2</v>
      </c>
      <c r="AC10" s="8">
        <f t="shared" si="7"/>
        <v>-7.7669999999999995</v>
      </c>
      <c r="AD10" s="2">
        <f t="shared" si="8"/>
        <v>4.7550627068130851</v>
      </c>
      <c r="AE10" s="2">
        <f t="shared" si="9"/>
        <v>1.2818357875791193</v>
      </c>
      <c r="AF10" s="2">
        <f t="shared" si="10"/>
        <v>-2.6246749190491592</v>
      </c>
      <c r="AG10" s="2">
        <f t="shared" si="11"/>
        <v>0.3166585531563193</v>
      </c>
      <c r="AH10" s="2">
        <f t="shared" si="12"/>
        <v>-2.5693101549193393</v>
      </c>
      <c r="AI10" s="9">
        <f t="shared" si="13"/>
        <v>0.31360384508066197</v>
      </c>
      <c r="AJ10" s="8">
        <f t="shared" si="14"/>
        <v>-4.6140000000000008</v>
      </c>
      <c r="AK10" s="2">
        <f t="shared" si="15"/>
        <v>1.8399987478693056</v>
      </c>
      <c r="AL10" s="2">
        <f t="shared" si="16"/>
        <v>-2.0546749190491589</v>
      </c>
      <c r="AM10" s="2">
        <f t="shared" si="17"/>
        <v>0.827455412416775</v>
      </c>
      <c r="AN10" s="2">
        <f t="shared" si="18"/>
        <v>-2.8956409256101381</v>
      </c>
      <c r="AO10" s="9">
        <f t="shared" si="19"/>
        <v>-0.23542592561013898</v>
      </c>
      <c r="BO10" t="s">
        <v>2</v>
      </c>
      <c r="BP10" s="2">
        <f t="shared" si="0"/>
        <v>-7.7669999999999995</v>
      </c>
      <c r="BQ10" s="2" t="e">
        <f>#REF!-$BQ$4</f>
        <v>#REF!</v>
      </c>
      <c r="BR10" s="2" t="e">
        <f>#REF!-$BR$4</f>
        <v>#REF!</v>
      </c>
      <c r="BS10" s="2">
        <f t="shared" si="1"/>
        <v>-1.6140000000000008</v>
      </c>
      <c r="BT10" s="2" t="e">
        <f>#REF!-$BT$4</f>
        <v>#REF!</v>
      </c>
      <c r="BV10" s="2" t="e">
        <f t="shared" si="20"/>
        <v>#REF!</v>
      </c>
      <c r="BW10" s="2" t="e">
        <f t="shared" si="21"/>
        <v>#REF!</v>
      </c>
      <c r="BX10" s="2">
        <f t="shared" si="22"/>
        <v>-6.1529999999999987</v>
      </c>
      <c r="BY10" s="2" t="e">
        <f t="shared" si="23"/>
        <v>#REF!</v>
      </c>
      <c r="BZ10" t="e">
        <f t="shared" si="24"/>
        <v>#REF!</v>
      </c>
      <c r="CA10" t="e">
        <f t="shared" si="25"/>
        <v>#REF!</v>
      </c>
      <c r="CB10">
        <f t="shared" si="26"/>
        <v>37.859408999999985</v>
      </c>
      <c r="CC10" t="e">
        <f t="shared" si="27"/>
        <v>#REF!</v>
      </c>
    </row>
    <row r="11" spans="1:85" x14ac:dyDescent="0.2">
      <c r="A11" s="2"/>
      <c r="B11" s="3">
        <v>6</v>
      </c>
      <c r="C11" s="8">
        <v>35.140999999999998</v>
      </c>
      <c r="D11" s="2">
        <v>17.624754755355955</v>
      </c>
      <c r="E11" s="2">
        <v>22.384969292623474</v>
      </c>
      <c r="F11" s="2">
        <v>24.864813556090652</v>
      </c>
      <c r="G11" s="2">
        <v>20.057489883542001</v>
      </c>
      <c r="H11" s="2">
        <v>22.465856228590823</v>
      </c>
      <c r="I11" s="9">
        <v>18.433190228590824</v>
      </c>
      <c r="J11" s="8">
        <v>30.167000000000002</v>
      </c>
      <c r="K11" s="2">
        <v>25.280965471936568</v>
      </c>
      <c r="L11" s="2">
        <v>29.454622311659016</v>
      </c>
      <c r="M11" s="2">
        <v>25.730413342662345</v>
      </c>
      <c r="N11" s="2">
        <v>28.277647249944717</v>
      </c>
      <c r="O11" s="9">
        <v>24.547684249944716</v>
      </c>
      <c r="P11" s="13">
        <v>32.165999999999997</v>
      </c>
      <c r="Q11" s="2"/>
      <c r="R11" s="3">
        <v>6</v>
      </c>
      <c r="S11" s="8">
        <v>-16.920000000000002</v>
      </c>
      <c r="T11" s="13">
        <v>-12.403</v>
      </c>
      <c r="U11" s="9">
        <v>-12.92</v>
      </c>
      <c r="V11" s="2"/>
      <c r="W11" s="3">
        <v>6</v>
      </c>
      <c r="X11" s="8">
        <f t="shared" si="4"/>
        <v>18.220999999999997</v>
      </c>
      <c r="Y11" s="13">
        <f t="shared" si="5"/>
        <v>17.764000000000003</v>
      </c>
      <c r="Z11" s="9">
        <f t="shared" si="6"/>
        <v>19.245999999999995</v>
      </c>
      <c r="AA11" s="2"/>
      <c r="AB11" s="3">
        <v>6</v>
      </c>
      <c r="AC11" s="8">
        <f t="shared" si="7"/>
        <v>-16.920000000000002</v>
      </c>
      <c r="AD11" s="2">
        <f t="shared" si="8"/>
        <v>0.59624524464404161</v>
      </c>
      <c r="AE11" s="2">
        <f t="shared" si="9"/>
        <v>-4.1639692926234773</v>
      </c>
      <c r="AF11" s="2">
        <f t="shared" si="10"/>
        <v>-6.6438135560906559</v>
      </c>
      <c r="AG11" s="2">
        <f t="shared" si="11"/>
        <v>-1.8364898835420043</v>
      </c>
      <c r="AH11" s="2">
        <f t="shared" si="12"/>
        <v>-4.2448562285908267</v>
      </c>
      <c r="AI11" s="9">
        <f t="shared" si="13"/>
        <v>-0.2121902285908277</v>
      </c>
      <c r="AJ11" s="8">
        <f t="shared" si="14"/>
        <v>-12.402999999999999</v>
      </c>
      <c r="AK11" s="2">
        <f t="shared" si="15"/>
        <v>-7.5169654719365653</v>
      </c>
      <c r="AL11" s="2">
        <f t="shared" si="16"/>
        <v>-7.1008135560906496</v>
      </c>
      <c r="AM11" s="2">
        <f t="shared" si="17"/>
        <v>-7.9664133426623422</v>
      </c>
      <c r="AN11" s="2">
        <f t="shared" si="18"/>
        <v>-10.513647249944714</v>
      </c>
      <c r="AO11" s="9">
        <f t="shared" si="19"/>
        <v>-6.783684249944713</v>
      </c>
      <c r="BO11">
        <v>6</v>
      </c>
      <c r="BP11" s="2">
        <f t="shared" si="0"/>
        <v>-16.920000000000002</v>
      </c>
      <c r="BQ11" s="2" t="e">
        <f>#REF!-$BQ$4</f>
        <v>#REF!</v>
      </c>
      <c r="BR11" s="2" t="e">
        <f>#REF!-$BR$4</f>
        <v>#REF!</v>
      </c>
      <c r="BS11" s="2">
        <f t="shared" si="1"/>
        <v>-9.4029999999999987</v>
      </c>
      <c r="BT11" s="2" t="e">
        <f>#REF!-$BT$4</f>
        <v>#REF!</v>
      </c>
      <c r="BV11" s="2" t="e">
        <f t="shared" si="20"/>
        <v>#REF!</v>
      </c>
      <c r="BW11" s="2" t="e">
        <f t="shared" si="21"/>
        <v>#REF!</v>
      </c>
      <c r="BX11" s="2">
        <f t="shared" si="22"/>
        <v>-7.517000000000003</v>
      </c>
      <c r="BY11" s="2" t="e">
        <f t="shared" si="23"/>
        <v>#REF!</v>
      </c>
      <c r="BZ11" t="e">
        <f t="shared" si="24"/>
        <v>#REF!</v>
      </c>
      <c r="CA11" t="e">
        <f t="shared" si="25"/>
        <v>#REF!</v>
      </c>
      <c r="CB11">
        <f t="shared" si="26"/>
        <v>56.505289000000047</v>
      </c>
      <c r="CC11" t="e">
        <f t="shared" si="27"/>
        <v>#REF!</v>
      </c>
    </row>
    <row r="12" spans="1:85" x14ac:dyDescent="0.2">
      <c r="A12" s="2"/>
      <c r="B12" s="3" t="s">
        <v>3</v>
      </c>
      <c r="C12" s="8">
        <v>24.123999999999999</v>
      </c>
      <c r="D12" s="2">
        <v>12.136542815352746</v>
      </c>
      <c r="E12" s="2">
        <v>15.112942604958519</v>
      </c>
      <c r="F12" s="2">
        <v>18.778069529589523</v>
      </c>
      <c r="G12" s="2">
        <v>16.1462232939373</v>
      </c>
      <c r="H12" s="2">
        <v>17.065623476591011</v>
      </c>
      <c r="I12" s="9">
        <v>15.24214847659101</v>
      </c>
      <c r="J12" s="8">
        <v>20.286000000000001</v>
      </c>
      <c r="K12" s="2">
        <v>17.488866282172307</v>
      </c>
      <c r="L12" s="2">
        <v>20.959227415023488</v>
      </c>
      <c r="M12" s="2">
        <v>18.620516795097323</v>
      </c>
      <c r="N12" s="2">
        <v>19.99157559652085</v>
      </c>
      <c r="O12" s="9">
        <v>18.198707596520851</v>
      </c>
      <c r="P12" s="13">
        <v>21.702000000000002</v>
      </c>
      <c r="Q12" s="2"/>
      <c r="R12" s="3" t="s">
        <v>3</v>
      </c>
      <c r="S12" s="8">
        <v>-8.1449999999999996</v>
      </c>
      <c r="T12" s="13">
        <v>-3.6589999999999998</v>
      </c>
      <c r="U12" s="9">
        <v>-4.6980000000000004</v>
      </c>
      <c r="V12" s="2"/>
      <c r="W12" s="3" t="s">
        <v>3</v>
      </c>
      <c r="X12" s="8">
        <f t="shared" si="4"/>
        <v>15.978999999999999</v>
      </c>
      <c r="Y12" s="13">
        <f t="shared" si="5"/>
        <v>16.627000000000002</v>
      </c>
      <c r="Z12" s="9">
        <f t="shared" si="6"/>
        <v>17.004000000000001</v>
      </c>
      <c r="AA12" s="2"/>
      <c r="AB12" s="3" t="s">
        <v>3</v>
      </c>
      <c r="AC12" s="8">
        <f t="shared" si="7"/>
        <v>-8.1449999999999996</v>
      </c>
      <c r="AD12" s="2">
        <f t="shared" si="8"/>
        <v>3.8424571846472535</v>
      </c>
      <c r="AE12" s="2">
        <f t="shared" si="9"/>
        <v>0.86605739504148005</v>
      </c>
      <c r="AF12" s="2">
        <f t="shared" si="10"/>
        <v>-2.7990695295895236</v>
      </c>
      <c r="AG12" s="2">
        <f t="shared" si="11"/>
        <v>-0.16722329393730107</v>
      </c>
      <c r="AH12" s="2">
        <f t="shared" si="12"/>
        <v>-1.0866234765910114</v>
      </c>
      <c r="AI12" s="9">
        <f t="shared" si="13"/>
        <v>0.73685152340898874</v>
      </c>
      <c r="AJ12" s="8">
        <f t="shared" si="14"/>
        <v>-3.6589999999999989</v>
      </c>
      <c r="AK12" s="2">
        <f t="shared" si="15"/>
        <v>-0.86186628217230421</v>
      </c>
      <c r="AL12" s="2">
        <f t="shared" si="16"/>
        <v>-2.1510695295895204</v>
      </c>
      <c r="AM12" s="2">
        <f t="shared" si="17"/>
        <v>-1.9935167950973209</v>
      </c>
      <c r="AN12" s="2">
        <f t="shared" si="18"/>
        <v>-3.3645755965208473</v>
      </c>
      <c r="AO12" s="9">
        <f t="shared" si="19"/>
        <v>-1.5717075965208487</v>
      </c>
      <c r="BO12" t="s">
        <v>3</v>
      </c>
      <c r="BP12" s="2">
        <f t="shared" si="0"/>
        <v>-8.1449999999999996</v>
      </c>
      <c r="BQ12" s="2" t="e">
        <f>#REF!-$BQ$4</f>
        <v>#REF!</v>
      </c>
      <c r="BR12" s="2" t="e">
        <f>#REF!-$BR$4</f>
        <v>#REF!</v>
      </c>
      <c r="BS12" s="2">
        <f t="shared" si="1"/>
        <v>-0.65899999999999892</v>
      </c>
      <c r="BT12" s="2" t="e">
        <f>#REF!-$BT$4</f>
        <v>#REF!</v>
      </c>
      <c r="BV12" s="2" t="e">
        <f t="shared" si="20"/>
        <v>#REF!</v>
      </c>
      <c r="BW12" s="2" t="e">
        <f t="shared" si="21"/>
        <v>#REF!</v>
      </c>
      <c r="BX12" s="2">
        <f t="shared" si="22"/>
        <v>-7.4860000000000007</v>
      </c>
      <c r="BY12" s="2" t="e">
        <f t="shared" si="23"/>
        <v>#REF!</v>
      </c>
      <c r="BZ12" t="e">
        <f t="shared" si="24"/>
        <v>#REF!</v>
      </c>
      <c r="CA12" t="e">
        <f t="shared" si="25"/>
        <v>#REF!</v>
      </c>
      <c r="CB12">
        <f t="shared" si="26"/>
        <v>56.040196000000009</v>
      </c>
      <c r="CC12" t="e">
        <f t="shared" si="27"/>
        <v>#REF!</v>
      </c>
    </row>
    <row r="13" spans="1:85" x14ac:dyDescent="0.2">
      <c r="A13" s="2"/>
      <c r="B13" s="3" t="s">
        <v>4</v>
      </c>
      <c r="C13" s="8">
        <v>21.106999999999999</v>
      </c>
      <c r="D13" s="2">
        <v>6.349577718330206</v>
      </c>
      <c r="E13" s="2">
        <v>9.3770291664865155</v>
      </c>
      <c r="F13" s="2">
        <v>13.992289799291642</v>
      </c>
      <c r="G13" s="2">
        <v>11.466281680836477</v>
      </c>
      <c r="H13" s="2">
        <v>13.330709607662005</v>
      </c>
      <c r="I13" s="9">
        <v>11.227072607662004</v>
      </c>
      <c r="J13" s="8">
        <v>18.134</v>
      </c>
      <c r="K13" s="2">
        <v>13.037144743377322</v>
      </c>
      <c r="L13" s="2">
        <v>17.461124816950132</v>
      </c>
      <c r="M13" s="2">
        <v>15.045675375872696</v>
      </c>
      <c r="N13" s="2">
        <v>16.884471599489292</v>
      </c>
      <c r="O13" s="9">
        <v>15.238347599489291</v>
      </c>
      <c r="P13" s="13">
        <v>16.302</v>
      </c>
      <c r="Q13" s="2"/>
      <c r="R13" s="3" t="s">
        <v>4</v>
      </c>
      <c r="S13" s="8">
        <v>-6.6509999999999998</v>
      </c>
      <c r="T13" s="13">
        <v>-2.0059999999999998</v>
      </c>
      <c r="U13" s="9">
        <v>0.152</v>
      </c>
      <c r="V13" s="2"/>
      <c r="W13" s="3" t="s">
        <v>4</v>
      </c>
      <c r="X13" s="8">
        <f t="shared" si="4"/>
        <v>14.456</v>
      </c>
      <c r="Y13" s="13">
        <f t="shared" si="5"/>
        <v>16.128</v>
      </c>
      <c r="Z13" s="9">
        <f t="shared" si="6"/>
        <v>16.454000000000001</v>
      </c>
      <c r="AA13" s="2"/>
      <c r="AB13" s="3" t="s">
        <v>4</v>
      </c>
      <c r="AC13" s="8">
        <f t="shared" si="7"/>
        <v>-6.6509999999999998</v>
      </c>
      <c r="AD13" s="2">
        <f t="shared" si="8"/>
        <v>8.1064222816697935</v>
      </c>
      <c r="AE13" s="2">
        <f t="shared" si="9"/>
        <v>5.078970833513484</v>
      </c>
      <c r="AF13" s="2">
        <f t="shared" si="10"/>
        <v>0.46371020070835733</v>
      </c>
      <c r="AG13" s="2">
        <f t="shared" si="11"/>
        <v>2.9897183191635222</v>
      </c>
      <c r="AH13" s="2">
        <f t="shared" si="12"/>
        <v>1.1252903923379947</v>
      </c>
      <c r="AI13" s="9">
        <f t="shared" si="13"/>
        <v>3.2289273923379955</v>
      </c>
      <c r="AJ13" s="8">
        <f t="shared" si="14"/>
        <v>-2.0060000000000002</v>
      </c>
      <c r="AK13" s="2">
        <f t="shared" si="15"/>
        <v>3.0908552566226781</v>
      </c>
      <c r="AL13" s="2">
        <f t="shared" si="16"/>
        <v>2.1357102007083579</v>
      </c>
      <c r="AM13" s="2">
        <f t="shared" si="17"/>
        <v>1.0823246241273043</v>
      </c>
      <c r="AN13" s="2">
        <f t="shared" si="18"/>
        <v>-0.75647159948929144</v>
      </c>
      <c r="AO13" s="9">
        <f t="shared" si="19"/>
        <v>0.88965240051070893</v>
      </c>
      <c r="BO13" t="s">
        <v>4</v>
      </c>
      <c r="BP13" s="2">
        <f t="shared" si="0"/>
        <v>-6.6509999999999998</v>
      </c>
      <c r="BQ13" s="2" t="e">
        <f>#REF!-$BQ$4</f>
        <v>#REF!</v>
      </c>
      <c r="BR13" s="2" t="e">
        <f>#REF!-$BR$4</f>
        <v>#REF!</v>
      </c>
      <c r="BS13" s="2">
        <f t="shared" si="1"/>
        <v>0.99399999999999977</v>
      </c>
      <c r="BT13" s="2" t="e">
        <f>#REF!-$BT$4</f>
        <v>#REF!</v>
      </c>
      <c r="BV13" s="2" t="e">
        <f t="shared" si="20"/>
        <v>#REF!</v>
      </c>
      <c r="BW13" s="2" t="e">
        <f t="shared" si="21"/>
        <v>#REF!</v>
      </c>
      <c r="BX13" s="2">
        <f t="shared" si="22"/>
        <v>-7.6449999999999996</v>
      </c>
      <c r="BY13" s="2" t="e">
        <f t="shared" si="23"/>
        <v>#REF!</v>
      </c>
      <c r="BZ13" t="e">
        <f t="shared" si="24"/>
        <v>#REF!</v>
      </c>
      <c r="CA13" t="e">
        <f t="shared" si="25"/>
        <v>#REF!</v>
      </c>
      <c r="CB13">
        <f t="shared" si="26"/>
        <v>58.446024999999992</v>
      </c>
      <c r="CC13" t="e">
        <f t="shared" si="27"/>
        <v>#REF!</v>
      </c>
    </row>
    <row r="14" spans="1:85" x14ac:dyDescent="0.2">
      <c r="A14" s="2"/>
      <c r="B14" s="3" t="s">
        <v>5</v>
      </c>
      <c r="C14" s="8">
        <v>18.059000000000001</v>
      </c>
      <c r="D14" s="2">
        <v>12.277249006380476</v>
      </c>
      <c r="E14" s="2">
        <v>15.486815985583924</v>
      </c>
      <c r="F14" s="2">
        <v>17.530719139808362</v>
      </c>
      <c r="G14" s="2">
        <v>14.612239460527343</v>
      </c>
      <c r="H14" s="2">
        <v>16.509232845448842</v>
      </c>
      <c r="I14" s="9">
        <v>14.780096845448842</v>
      </c>
      <c r="J14" s="8">
        <v>19.895</v>
      </c>
      <c r="K14" s="2">
        <v>8.8805603065269008</v>
      </c>
      <c r="L14" s="2">
        <v>11.350193149927293</v>
      </c>
      <c r="M14" s="2">
        <v>8.6605875788295279</v>
      </c>
      <c r="N14" s="2">
        <v>12.598910531675958</v>
      </c>
      <c r="O14" s="9">
        <v>10.753168531675959</v>
      </c>
      <c r="P14" s="13">
        <v>22.24</v>
      </c>
      <c r="Q14" s="2"/>
      <c r="R14" s="3" t="s">
        <v>5</v>
      </c>
      <c r="S14" s="8">
        <v>-1.66</v>
      </c>
      <c r="T14" s="13">
        <v>-3.0659999999999998</v>
      </c>
      <c r="U14" s="9">
        <v>-4.9619999999999997</v>
      </c>
      <c r="V14" s="2"/>
      <c r="W14" s="3" t="s">
        <v>5</v>
      </c>
      <c r="X14" s="8">
        <f t="shared" si="4"/>
        <v>16.399000000000001</v>
      </c>
      <c r="Y14" s="13">
        <f t="shared" si="5"/>
        <v>16.829000000000001</v>
      </c>
      <c r="Z14" s="9">
        <f t="shared" si="6"/>
        <v>17.277999999999999</v>
      </c>
      <c r="AA14" s="2"/>
      <c r="AB14" s="3" t="s">
        <v>5</v>
      </c>
      <c r="AC14" s="8">
        <f t="shared" si="7"/>
        <v>-1.6600000000000001</v>
      </c>
      <c r="AD14" s="2">
        <f t="shared" si="8"/>
        <v>4.1217509936195249</v>
      </c>
      <c r="AE14" s="2">
        <f t="shared" si="9"/>
        <v>0.9121840144160771</v>
      </c>
      <c r="AF14" s="2">
        <f t="shared" si="10"/>
        <v>-1.1317191398083608</v>
      </c>
      <c r="AG14" s="2">
        <f t="shared" si="11"/>
        <v>1.7867605394726578</v>
      </c>
      <c r="AH14" s="2">
        <f t="shared" si="12"/>
        <v>-0.11023284544884149</v>
      </c>
      <c r="AI14" s="9">
        <f t="shared" si="13"/>
        <v>1.618903154551159</v>
      </c>
      <c r="AJ14" s="8">
        <f t="shared" si="14"/>
        <v>-3.0659999999999989</v>
      </c>
      <c r="AK14" s="2">
        <f t="shared" si="15"/>
        <v>7.9484396934730999</v>
      </c>
      <c r="AL14" s="2">
        <f t="shared" si="16"/>
        <v>-0.70171913980836109</v>
      </c>
      <c r="AM14" s="2">
        <f t="shared" si="17"/>
        <v>8.1684124211704727</v>
      </c>
      <c r="AN14" s="2">
        <f t="shared" si="18"/>
        <v>4.2300894683240422</v>
      </c>
      <c r="AO14" s="9">
        <f t="shared" si="19"/>
        <v>6.0758314683240418</v>
      </c>
      <c r="BO14" t="s">
        <v>5</v>
      </c>
      <c r="BP14" s="2">
        <f t="shared" si="0"/>
        <v>-1.6600000000000001</v>
      </c>
      <c r="BQ14" s="2" t="e">
        <f>#REF!-$BQ$4</f>
        <v>#REF!</v>
      </c>
      <c r="BR14" s="2" t="e">
        <f>#REF!-$BR$4</f>
        <v>#REF!</v>
      </c>
      <c r="BS14" s="2">
        <f t="shared" si="1"/>
        <v>-6.5999999999998948E-2</v>
      </c>
      <c r="BT14" s="2" t="e">
        <f>#REF!-$BT$4</f>
        <v>#REF!</v>
      </c>
      <c r="BV14" s="2" t="e">
        <f t="shared" si="20"/>
        <v>#REF!</v>
      </c>
      <c r="BW14" s="2" t="e">
        <f t="shared" si="21"/>
        <v>#REF!</v>
      </c>
      <c r="BX14" s="2">
        <f t="shared" si="22"/>
        <v>-1.5940000000000012</v>
      </c>
      <c r="BY14" s="2" t="e">
        <f t="shared" si="23"/>
        <v>#REF!</v>
      </c>
      <c r="BZ14" t="e">
        <f t="shared" si="24"/>
        <v>#REF!</v>
      </c>
      <c r="CA14" t="e">
        <f t="shared" si="25"/>
        <v>#REF!</v>
      </c>
      <c r="CB14">
        <f t="shared" si="26"/>
        <v>2.5408360000000036</v>
      </c>
      <c r="CC14" t="e">
        <f t="shared" si="27"/>
        <v>#REF!</v>
      </c>
    </row>
    <row r="15" spans="1:85" x14ac:dyDescent="0.2">
      <c r="A15" s="2"/>
      <c r="B15" s="3" t="s">
        <v>6</v>
      </c>
      <c r="C15" s="8">
        <v>18.166</v>
      </c>
      <c r="D15" s="2">
        <v>12.522754873948223</v>
      </c>
      <c r="E15" s="2">
        <v>16.436937118587075</v>
      </c>
      <c r="F15" s="2">
        <v>18.857695158901173</v>
      </c>
      <c r="G15" s="2">
        <v>15.473619577539802</v>
      </c>
      <c r="H15" s="2">
        <v>18.999746058834987</v>
      </c>
      <c r="I15" s="9">
        <v>16.126803058834987</v>
      </c>
      <c r="J15" s="8">
        <v>21.103999999999999</v>
      </c>
      <c r="K15" s="2">
        <v>17.572340089010947</v>
      </c>
      <c r="L15" s="2">
        <v>19.93326609877214</v>
      </c>
      <c r="M15" s="2">
        <v>16.759678750851077</v>
      </c>
      <c r="N15" s="2">
        <v>20.113000331090294</v>
      </c>
      <c r="O15" s="9">
        <v>17.422379331090294</v>
      </c>
      <c r="P15" s="13">
        <v>23.815000000000001</v>
      </c>
      <c r="Q15" s="2"/>
      <c r="R15" s="3" t="s">
        <v>6</v>
      </c>
      <c r="S15" s="8">
        <v>-2.399</v>
      </c>
      <c r="T15" s="13">
        <v>-5.391</v>
      </c>
      <c r="U15" s="9">
        <v>-8.1069999999999993</v>
      </c>
      <c r="V15" s="2"/>
      <c r="W15" s="3" t="s">
        <v>6</v>
      </c>
      <c r="X15" s="8">
        <f t="shared" si="4"/>
        <v>15.766999999999999</v>
      </c>
      <c r="Y15" s="13">
        <f t="shared" si="5"/>
        <v>15.712999999999999</v>
      </c>
      <c r="Z15" s="9">
        <f t="shared" si="6"/>
        <v>15.708000000000002</v>
      </c>
      <c r="AA15" s="2"/>
      <c r="AB15" s="3" t="s">
        <v>6</v>
      </c>
      <c r="AC15" s="8">
        <f t="shared" si="7"/>
        <v>-2.3990000000000009</v>
      </c>
      <c r="AD15" s="2">
        <f t="shared" si="8"/>
        <v>3.2442451260517764</v>
      </c>
      <c r="AE15" s="2">
        <f t="shared" si="9"/>
        <v>-0.66993711858707528</v>
      </c>
      <c r="AF15" s="2">
        <f t="shared" si="10"/>
        <v>-3.0906951589011733</v>
      </c>
      <c r="AG15" s="2">
        <f t="shared" si="11"/>
        <v>0.29338042246019747</v>
      </c>
      <c r="AH15" s="2">
        <f t="shared" si="12"/>
        <v>-3.2327460588349872</v>
      </c>
      <c r="AI15" s="9">
        <f t="shared" si="13"/>
        <v>-0.35980305883498787</v>
      </c>
      <c r="AJ15" s="8">
        <f t="shared" si="14"/>
        <v>-5.391</v>
      </c>
      <c r="AK15" s="2">
        <f t="shared" si="15"/>
        <v>-1.8593400890109475</v>
      </c>
      <c r="AL15" s="2">
        <f t="shared" si="16"/>
        <v>-3.1446951589011736</v>
      </c>
      <c r="AM15" s="2">
        <f t="shared" si="17"/>
        <v>-1.0466787508510773</v>
      </c>
      <c r="AN15" s="2">
        <f t="shared" si="18"/>
        <v>-4.4000003310902951</v>
      </c>
      <c r="AO15" s="9">
        <f t="shared" si="19"/>
        <v>-1.7093793310902949</v>
      </c>
      <c r="BO15" t="s">
        <v>6</v>
      </c>
      <c r="BP15" s="2">
        <f t="shared" si="0"/>
        <v>-2.3990000000000009</v>
      </c>
      <c r="BQ15" s="2" t="e">
        <f>#REF!-$BQ$4</f>
        <v>#REF!</v>
      </c>
      <c r="BR15" s="2" t="e">
        <f>#REF!-$BR$4</f>
        <v>#REF!</v>
      </c>
      <c r="BS15" s="2">
        <f t="shared" si="1"/>
        <v>-2.391</v>
      </c>
      <c r="BT15" s="2" t="e">
        <f>#REF!-$BT$4</f>
        <v>#REF!</v>
      </c>
      <c r="BV15" s="2" t="e">
        <f t="shared" si="20"/>
        <v>#REF!</v>
      </c>
      <c r="BW15" s="2" t="e">
        <f t="shared" si="21"/>
        <v>#REF!</v>
      </c>
      <c r="BX15" s="2">
        <f t="shared" si="22"/>
        <v>-8.0000000000008953E-3</v>
      </c>
      <c r="BY15" s="2" t="e">
        <f t="shared" si="23"/>
        <v>#REF!</v>
      </c>
      <c r="BZ15" t="e">
        <f t="shared" si="24"/>
        <v>#REF!</v>
      </c>
      <c r="CA15" t="e">
        <f t="shared" si="25"/>
        <v>#REF!</v>
      </c>
      <c r="CB15">
        <f t="shared" si="26"/>
        <v>6.4000000000014322E-5</v>
      </c>
      <c r="CC15" t="e">
        <f t="shared" si="27"/>
        <v>#REF!</v>
      </c>
    </row>
    <row r="16" spans="1:85" x14ac:dyDescent="0.2">
      <c r="A16" s="2"/>
      <c r="B16" s="3">
        <v>9</v>
      </c>
      <c r="C16" s="8">
        <v>16.242999999999999</v>
      </c>
      <c r="D16" s="2">
        <v>-0.19021017898789797</v>
      </c>
      <c r="E16" s="2">
        <v>2.4384088382719336</v>
      </c>
      <c r="F16" s="2">
        <v>7.2281234362458902</v>
      </c>
      <c r="G16" s="2">
        <v>5.4164975502716537</v>
      </c>
      <c r="H16" s="2">
        <v>5.6040839290250926</v>
      </c>
      <c r="I16" s="9">
        <v>4.2156359290250922</v>
      </c>
      <c r="J16" s="8">
        <v>6.66</v>
      </c>
      <c r="K16" s="2">
        <v>5.8395653187643042</v>
      </c>
      <c r="L16" s="2">
        <v>9.1428986545298052</v>
      </c>
      <c r="M16" s="2">
        <v>8.2601390090352407</v>
      </c>
      <c r="N16" s="2">
        <v>8.5517637077533664</v>
      </c>
      <c r="O16" s="9">
        <v>7.6785717077533668</v>
      </c>
      <c r="P16" s="13">
        <v>7.6269999999999998</v>
      </c>
      <c r="Q16" s="2"/>
      <c r="R16" s="3">
        <v>9</v>
      </c>
      <c r="S16" s="8">
        <v>-0.27100000000000002</v>
      </c>
      <c r="T16" s="13">
        <v>8.5719999999999992</v>
      </c>
      <c r="U16" s="9">
        <v>8.0299999999999994</v>
      </c>
      <c r="V16" s="2"/>
      <c r="W16" s="3">
        <v>9</v>
      </c>
      <c r="X16" s="8">
        <f t="shared" si="4"/>
        <v>15.971999999999998</v>
      </c>
      <c r="Y16" s="13">
        <f t="shared" si="5"/>
        <v>15.231999999999999</v>
      </c>
      <c r="Z16" s="9">
        <f t="shared" si="6"/>
        <v>15.657</v>
      </c>
      <c r="AA16" s="2"/>
      <c r="AB16" s="3">
        <v>9</v>
      </c>
      <c r="AC16" s="8">
        <f t="shared" si="7"/>
        <v>-0.2710000000000008</v>
      </c>
      <c r="AD16" s="2">
        <f t="shared" si="8"/>
        <v>16.162210178987895</v>
      </c>
      <c r="AE16" s="2">
        <f t="shared" si="9"/>
        <v>13.533591161728065</v>
      </c>
      <c r="AF16" s="2">
        <f t="shared" si="10"/>
        <v>8.7438765637541067</v>
      </c>
      <c r="AG16" s="2">
        <f t="shared" si="11"/>
        <v>10.555502449728344</v>
      </c>
      <c r="AH16" s="2">
        <f t="shared" si="12"/>
        <v>10.367916070974905</v>
      </c>
      <c r="AI16" s="9">
        <f t="shared" si="13"/>
        <v>11.756364070974906</v>
      </c>
      <c r="AJ16" s="8">
        <f t="shared" si="14"/>
        <v>8.5719999999999992</v>
      </c>
      <c r="AK16" s="2">
        <f t="shared" si="15"/>
        <v>9.3924346812356951</v>
      </c>
      <c r="AL16" s="2">
        <f t="shared" si="16"/>
        <v>8.0038765637541083</v>
      </c>
      <c r="AM16" s="2">
        <f t="shared" si="17"/>
        <v>6.9718609909647586</v>
      </c>
      <c r="AN16" s="2">
        <f t="shared" si="18"/>
        <v>6.680236292246633</v>
      </c>
      <c r="AO16" s="9">
        <f t="shared" si="19"/>
        <v>7.5534282922466325</v>
      </c>
      <c r="BO16">
        <v>9</v>
      </c>
      <c r="BP16" s="2">
        <f t="shared" si="0"/>
        <v>-0.2710000000000008</v>
      </c>
      <c r="BQ16" s="2" t="e">
        <f>#REF!-$BQ$4</f>
        <v>#REF!</v>
      </c>
      <c r="BR16" s="2" t="e">
        <f>#REF!-$BR$4</f>
        <v>#REF!</v>
      </c>
      <c r="BS16" s="2">
        <f t="shared" si="1"/>
        <v>11.571999999999999</v>
      </c>
      <c r="BT16" s="2" t="e">
        <f>#REF!-$BT$4</f>
        <v>#REF!</v>
      </c>
      <c r="BV16" s="2" t="e">
        <f t="shared" si="20"/>
        <v>#REF!</v>
      </c>
      <c r="BW16" s="2" t="e">
        <f t="shared" si="21"/>
        <v>#REF!</v>
      </c>
      <c r="BX16" s="2">
        <f t="shared" si="22"/>
        <v>-11.843</v>
      </c>
      <c r="BY16" s="2" t="e">
        <f t="shared" si="23"/>
        <v>#REF!</v>
      </c>
      <c r="BZ16" t="e">
        <f t="shared" si="24"/>
        <v>#REF!</v>
      </c>
      <c r="CA16" t="e">
        <f t="shared" si="25"/>
        <v>#REF!</v>
      </c>
      <c r="CB16">
        <f t="shared" si="26"/>
        <v>140.25664900000001</v>
      </c>
      <c r="CC16" t="e">
        <f t="shared" si="27"/>
        <v>#REF!</v>
      </c>
    </row>
    <row r="17" spans="1:81" x14ac:dyDescent="0.2">
      <c r="A17" s="2"/>
      <c r="B17" s="3">
        <v>10</v>
      </c>
      <c r="C17" s="8">
        <v>37.585000000000001</v>
      </c>
      <c r="D17" s="2">
        <v>19.701834480807083</v>
      </c>
      <c r="E17" s="2">
        <v>25.435434285003119</v>
      </c>
      <c r="F17" s="2">
        <v>28.27116643748931</v>
      </c>
      <c r="G17" s="2">
        <v>22.822685331261393</v>
      </c>
      <c r="H17" s="2">
        <v>26.077371556490082</v>
      </c>
      <c r="I17" s="9">
        <v>20.930834556490083</v>
      </c>
      <c r="J17" s="8">
        <v>35.229999999999997</v>
      </c>
      <c r="K17" s="2">
        <v>30.961790086358917</v>
      </c>
      <c r="L17" s="2">
        <v>34.766780582237992</v>
      </c>
      <c r="M17" s="2">
        <v>30.011873897995098</v>
      </c>
      <c r="N17" s="2">
        <v>32.887895154446035</v>
      </c>
      <c r="O17" s="9">
        <v>28.379348154446035</v>
      </c>
      <c r="P17" s="13">
        <v>38.619</v>
      </c>
      <c r="Q17" s="2"/>
      <c r="R17" s="3">
        <v>10</v>
      </c>
      <c r="S17" s="8">
        <v>-19.286000000000001</v>
      </c>
      <c r="T17" s="13">
        <v>-17.512</v>
      </c>
      <c r="U17" s="9">
        <v>-18.628</v>
      </c>
      <c r="V17" s="2"/>
      <c r="W17" s="3">
        <v>10</v>
      </c>
      <c r="X17" s="8">
        <f t="shared" si="4"/>
        <v>18.298999999999999</v>
      </c>
      <c r="Y17" s="13">
        <f t="shared" si="5"/>
        <v>17.717999999999996</v>
      </c>
      <c r="Z17" s="9">
        <f t="shared" si="6"/>
        <v>19.991</v>
      </c>
      <c r="AA17" s="2"/>
      <c r="AB17" s="3">
        <v>10</v>
      </c>
      <c r="AC17" s="8">
        <f t="shared" si="7"/>
        <v>-19.286000000000001</v>
      </c>
      <c r="AD17" s="2">
        <f t="shared" si="8"/>
        <v>-1.4028344808070834</v>
      </c>
      <c r="AE17" s="2">
        <f t="shared" si="9"/>
        <v>-7.1364342850031193</v>
      </c>
      <c r="AF17" s="2">
        <f t="shared" si="10"/>
        <v>-9.9721664374893102</v>
      </c>
      <c r="AG17" s="2">
        <f t="shared" si="11"/>
        <v>-4.5236853312613938</v>
      </c>
      <c r="AH17" s="2">
        <f t="shared" si="12"/>
        <v>-7.7783715564900824</v>
      </c>
      <c r="AI17" s="9">
        <f t="shared" si="13"/>
        <v>-2.6318345564900838</v>
      </c>
      <c r="AJ17" s="8">
        <f t="shared" si="14"/>
        <v>-17.512</v>
      </c>
      <c r="AK17" s="2">
        <f t="shared" si="15"/>
        <v>-13.243790086358921</v>
      </c>
      <c r="AL17" s="2">
        <f t="shared" si="16"/>
        <v>-10.553166437489313</v>
      </c>
      <c r="AM17" s="2">
        <f t="shared" si="17"/>
        <v>-12.293873897995102</v>
      </c>
      <c r="AN17" s="2">
        <f t="shared" si="18"/>
        <v>-15.169895154446039</v>
      </c>
      <c r="AO17" s="9">
        <f t="shared" si="19"/>
        <v>-10.661348154446038</v>
      </c>
      <c r="BO17">
        <v>10</v>
      </c>
      <c r="BP17" s="2">
        <f t="shared" si="0"/>
        <v>-19.286000000000001</v>
      </c>
      <c r="BQ17" s="2" t="e">
        <f>#REF!-$BQ$4</f>
        <v>#REF!</v>
      </c>
      <c r="BR17" s="2" t="e">
        <f>#REF!-$BR$4</f>
        <v>#REF!</v>
      </c>
      <c r="BS17" s="2">
        <f t="shared" si="1"/>
        <v>-14.512</v>
      </c>
      <c r="BT17" s="2" t="e">
        <f>#REF!-$BT$4</f>
        <v>#REF!</v>
      </c>
      <c r="BV17" s="2" t="e">
        <f t="shared" si="20"/>
        <v>#REF!</v>
      </c>
      <c r="BW17" s="2" t="e">
        <f t="shared" si="21"/>
        <v>#REF!</v>
      </c>
      <c r="BX17" s="2">
        <f t="shared" si="22"/>
        <v>-4.7740000000000009</v>
      </c>
      <c r="BY17" s="2" t="e">
        <f t="shared" si="23"/>
        <v>#REF!</v>
      </c>
      <c r="BZ17" t="e">
        <f t="shared" si="24"/>
        <v>#REF!</v>
      </c>
      <c r="CA17" t="e">
        <f t="shared" si="25"/>
        <v>#REF!</v>
      </c>
      <c r="CB17">
        <f t="shared" si="26"/>
        <v>22.791076000000007</v>
      </c>
      <c r="CC17" t="e">
        <f t="shared" si="27"/>
        <v>#REF!</v>
      </c>
    </row>
    <row r="18" spans="1:81" x14ac:dyDescent="0.2">
      <c r="A18" s="2"/>
      <c r="B18" s="3">
        <v>11</v>
      </c>
      <c r="C18" s="8">
        <v>34.78</v>
      </c>
      <c r="D18" s="2">
        <v>18.224930904205891</v>
      </c>
      <c r="E18" s="2">
        <v>23.132533285572354</v>
      </c>
      <c r="F18" s="2">
        <v>25.426478316895135</v>
      </c>
      <c r="G18" s="2">
        <v>20.573196004232173</v>
      </c>
      <c r="H18" s="2">
        <v>23.500329135548846</v>
      </c>
      <c r="I18" s="9">
        <v>19.127168135548846</v>
      </c>
      <c r="J18" s="8">
        <v>36.512999999999998</v>
      </c>
      <c r="K18" s="2">
        <v>31.729195381704244</v>
      </c>
      <c r="L18" s="2">
        <v>35.093328857553061</v>
      </c>
      <c r="M18" s="2">
        <v>29.528644022684162</v>
      </c>
      <c r="N18" s="2">
        <v>33.311947704814997</v>
      </c>
      <c r="O18" s="9">
        <v>28.262567704814998</v>
      </c>
      <c r="P18" s="13">
        <v>40.137999999999998</v>
      </c>
      <c r="Q18" s="2"/>
      <c r="R18" s="3">
        <v>11</v>
      </c>
      <c r="S18" s="8">
        <v>-17.533000000000001</v>
      </c>
      <c r="T18" s="13">
        <v>-17.725000000000001</v>
      </c>
      <c r="U18" s="9">
        <v>-20.067</v>
      </c>
      <c r="V18" s="2"/>
      <c r="W18" s="3">
        <v>11</v>
      </c>
      <c r="X18" s="8">
        <f t="shared" si="4"/>
        <v>17.247</v>
      </c>
      <c r="Y18" s="13">
        <f t="shared" si="5"/>
        <v>18.787999999999997</v>
      </c>
      <c r="Z18" s="9">
        <f t="shared" si="6"/>
        <v>20.070999999999998</v>
      </c>
      <c r="AA18" s="2"/>
      <c r="AB18" s="3">
        <v>11</v>
      </c>
      <c r="AC18" s="8">
        <f t="shared" si="7"/>
        <v>-17.533000000000001</v>
      </c>
      <c r="AD18" s="2">
        <f t="shared" si="8"/>
        <v>-0.97793090420589124</v>
      </c>
      <c r="AE18" s="2">
        <f t="shared" si="9"/>
        <v>-5.8855332855723539</v>
      </c>
      <c r="AF18" s="2">
        <f t="shared" si="10"/>
        <v>-8.1794783168951355</v>
      </c>
      <c r="AG18" s="2">
        <f t="shared" si="11"/>
        <v>-3.3261960042321732</v>
      </c>
      <c r="AH18" s="2">
        <f t="shared" si="12"/>
        <v>-6.2533291355488458</v>
      </c>
      <c r="AI18" s="9">
        <f t="shared" si="13"/>
        <v>-1.8801681355488462</v>
      </c>
      <c r="AJ18" s="8">
        <f t="shared" si="14"/>
        <v>-17.725000000000001</v>
      </c>
      <c r="AK18" s="2">
        <f t="shared" si="15"/>
        <v>-12.941195381704247</v>
      </c>
      <c r="AL18" s="2">
        <f t="shared" si="16"/>
        <v>-6.6384783168951387</v>
      </c>
      <c r="AM18" s="2">
        <f t="shared" si="17"/>
        <v>-10.740644022684165</v>
      </c>
      <c r="AN18" s="2">
        <f t="shared" si="18"/>
        <v>-14.523947704815001</v>
      </c>
      <c r="AO18" s="9">
        <f t="shared" si="19"/>
        <v>-9.4745677048150014</v>
      </c>
      <c r="BO18">
        <v>11</v>
      </c>
      <c r="BP18" s="2">
        <f t="shared" si="0"/>
        <v>-17.533000000000001</v>
      </c>
      <c r="BQ18" s="2" t="e">
        <f>#REF!-$BQ$4</f>
        <v>#REF!</v>
      </c>
      <c r="BR18" s="2" t="e">
        <f>#REF!-$BR$4</f>
        <v>#REF!</v>
      </c>
      <c r="BS18" s="2">
        <f t="shared" si="1"/>
        <v>-14.725000000000001</v>
      </c>
      <c r="BT18" s="2" t="e">
        <f>#REF!-$BT$4</f>
        <v>#REF!</v>
      </c>
      <c r="BV18" s="2" t="e">
        <f t="shared" si="20"/>
        <v>#REF!</v>
      </c>
      <c r="BW18" s="2" t="e">
        <f t="shared" si="21"/>
        <v>#REF!</v>
      </c>
      <c r="BX18" s="2">
        <f t="shared" si="22"/>
        <v>-2.8079999999999998</v>
      </c>
      <c r="BY18" s="2" t="e">
        <f t="shared" si="23"/>
        <v>#REF!</v>
      </c>
      <c r="BZ18" t="e">
        <f t="shared" si="24"/>
        <v>#REF!</v>
      </c>
      <c r="CA18" t="e">
        <f t="shared" si="25"/>
        <v>#REF!</v>
      </c>
      <c r="CB18">
        <f t="shared" si="26"/>
        <v>7.8848639999999994</v>
      </c>
      <c r="CC18" t="e">
        <f t="shared" si="27"/>
        <v>#REF!</v>
      </c>
    </row>
    <row r="19" spans="1:81" x14ac:dyDescent="0.2">
      <c r="A19" s="2"/>
      <c r="B19" s="3">
        <v>12</v>
      </c>
      <c r="C19" s="8">
        <v>33.463000000000001</v>
      </c>
      <c r="D19" s="2">
        <v>19.070081037519074</v>
      </c>
      <c r="E19" s="2">
        <v>23.929623204829959</v>
      </c>
      <c r="F19" s="2">
        <v>24.345659320267281</v>
      </c>
      <c r="G19" s="2">
        <v>19.583600055812667</v>
      </c>
      <c r="H19" s="2">
        <v>21.108972254453004</v>
      </c>
      <c r="I19" s="9">
        <v>17.363116254453004</v>
      </c>
      <c r="J19" s="8">
        <v>26.957999999999998</v>
      </c>
      <c r="K19" s="2">
        <v>23.401750343981508</v>
      </c>
      <c r="L19" s="2">
        <v>27.062863152647292</v>
      </c>
      <c r="M19" s="2">
        <v>23.476597048202152</v>
      </c>
      <c r="N19" s="2">
        <v>25.708496000758885</v>
      </c>
      <c r="O19" s="9">
        <v>22.292505000758887</v>
      </c>
      <c r="P19" s="13">
        <v>29.677</v>
      </c>
      <c r="Q19" s="2"/>
      <c r="R19" s="3">
        <v>12</v>
      </c>
      <c r="S19" s="8">
        <v>-15.952999999999999</v>
      </c>
      <c r="T19" s="13">
        <v>-10.502000000000001</v>
      </c>
      <c r="U19" s="9">
        <v>-11.595000000000001</v>
      </c>
      <c r="V19" s="2"/>
      <c r="W19" s="3">
        <v>12</v>
      </c>
      <c r="X19" s="8">
        <f t="shared" si="4"/>
        <v>17.510000000000002</v>
      </c>
      <c r="Y19" s="13">
        <f t="shared" si="5"/>
        <v>16.455999999999996</v>
      </c>
      <c r="Z19" s="9">
        <f t="shared" si="6"/>
        <v>18.082000000000001</v>
      </c>
      <c r="AA19" s="2"/>
      <c r="AB19" s="3">
        <v>12</v>
      </c>
      <c r="AC19" s="8">
        <f t="shared" si="7"/>
        <v>-15.952999999999999</v>
      </c>
      <c r="AD19" s="2">
        <f t="shared" si="8"/>
        <v>-1.5600810375190726</v>
      </c>
      <c r="AE19" s="2">
        <f t="shared" si="9"/>
        <v>-6.4196232048299571</v>
      </c>
      <c r="AF19" s="2">
        <f t="shared" si="10"/>
        <v>-6.8356593202672791</v>
      </c>
      <c r="AG19" s="2">
        <f t="shared" si="11"/>
        <v>-2.0736000558126655</v>
      </c>
      <c r="AH19" s="2">
        <f t="shared" si="12"/>
        <v>-3.5989722544530025</v>
      </c>
      <c r="AI19" s="9">
        <f t="shared" si="13"/>
        <v>0.14688374554699735</v>
      </c>
      <c r="AJ19" s="8">
        <f t="shared" si="14"/>
        <v>-10.502000000000002</v>
      </c>
      <c r="AK19" s="2">
        <f t="shared" si="15"/>
        <v>-6.945750343981512</v>
      </c>
      <c r="AL19" s="2">
        <f t="shared" si="16"/>
        <v>-7.8896593202672847</v>
      </c>
      <c r="AM19" s="2">
        <f t="shared" si="17"/>
        <v>-7.0205970482021556</v>
      </c>
      <c r="AN19" s="2">
        <f t="shared" si="18"/>
        <v>-9.2524960007588888</v>
      </c>
      <c r="AO19" s="9">
        <f t="shared" si="19"/>
        <v>-5.8365050007588906</v>
      </c>
      <c r="BO19">
        <v>12</v>
      </c>
      <c r="BP19" s="2">
        <f t="shared" si="0"/>
        <v>-15.952999999999999</v>
      </c>
      <c r="BQ19" s="2" t="e">
        <f>#REF!-$BQ$4</f>
        <v>#REF!</v>
      </c>
      <c r="BR19" s="2" t="e">
        <f>#REF!-$BR$4</f>
        <v>#REF!</v>
      </c>
      <c r="BS19" s="2">
        <f t="shared" si="1"/>
        <v>-7.5020000000000024</v>
      </c>
      <c r="BT19" s="2" t="e">
        <f>#REF!-$BT$4</f>
        <v>#REF!</v>
      </c>
      <c r="BV19" s="2" t="e">
        <f t="shared" si="20"/>
        <v>#REF!</v>
      </c>
      <c r="BW19" s="2" t="e">
        <f t="shared" si="21"/>
        <v>#REF!</v>
      </c>
      <c r="BX19" s="2">
        <f t="shared" si="22"/>
        <v>-8.450999999999997</v>
      </c>
      <c r="BY19" s="2" t="e">
        <f t="shared" si="23"/>
        <v>#REF!</v>
      </c>
      <c r="BZ19" t="e">
        <f t="shared" si="24"/>
        <v>#REF!</v>
      </c>
      <c r="CA19" t="e">
        <f t="shared" si="25"/>
        <v>#REF!</v>
      </c>
      <c r="CB19">
        <f t="shared" si="26"/>
        <v>71.419400999999951</v>
      </c>
      <c r="CC19" t="e">
        <f t="shared" si="27"/>
        <v>#REF!</v>
      </c>
    </row>
    <row r="20" spans="1:81" x14ac:dyDescent="0.2">
      <c r="A20" s="2"/>
      <c r="B20" s="3">
        <v>13</v>
      </c>
      <c r="C20" s="8">
        <v>24.17</v>
      </c>
      <c r="D20" s="2">
        <v>8.7422272498409228</v>
      </c>
      <c r="E20" s="2">
        <v>12.235399098208138</v>
      </c>
      <c r="F20" s="2">
        <v>18.743619791929508</v>
      </c>
      <c r="G20" s="2">
        <v>15.654785824716399</v>
      </c>
      <c r="H20" s="2">
        <v>16.879236957998302</v>
      </c>
      <c r="I20" s="9">
        <v>14.513002957998303</v>
      </c>
      <c r="J20" s="8">
        <v>23.469000000000001</v>
      </c>
      <c r="K20" s="2">
        <v>20.574415870865554</v>
      </c>
      <c r="L20" s="2">
        <v>23.529350425470309</v>
      </c>
      <c r="M20" s="2">
        <v>20.242045027720042</v>
      </c>
      <c r="N20" s="2">
        <v>22.494234026057008</v>
      </c>
      <c r="O20" s="9">
        <v>19.932740026057008</v>
      </c>
      <c r="P20" s="13">
        <v>26.271000000000001</v>
      </c>
      <c r="Q20" s="2"/>
      <c r="R20" s="3">
        <v>13</v>
      </c>
      <c r="S20" s="8">
        <v>-7.4820000000000002</v>
      </c>
      <c r="T20" s="13">
        <v>-7.5229999999999997</v>
      </c>
      <c r="U20" s="9">
        <v>-9.0250000000000004</v>
      </c>
      <c r="V20" s="2"/>
      <c r="W20" s="3">
        <v>13</v>
      </c>
      <c r="X20" s="8">
        <f t="shared" si="4"/>
        <v>16.688000000000002</v>
      </c>
      <c r="Y20" s="13">
        <f t="shared" si="5"/>
        <v>15.946000000000002</v>
      </c>
      <c r="Z20" s="9">
        <f t="shared" si="6"/>
        <v>17.246000000000002</v>
      </c>
      <c r="AA20" s="2"/>
      <c r="AB20" s="3">
        <v>13</v>
      </c>
      <c r="AC20" s="8">
        <f t="shared" si="7"/>
        <v>-7.4819999999999993</v>
      </c>
      <c r="AD20" s="2">
        <f t="shared" si="8"/>
        <v>7.9457727501590796</v>
      </c>
      <c r="AE20" s="2">
        <f t="shared" si="9"/>
        <v>4.4526009017918646</v>
      </c>
      <c r="AF20" s="2">
        <f t="shared" si="10"/>
        <v>-2.0556197919295052</v>
      </c>
      <c r="AG20" s="2">
        <f t="shared" si="11"/>
        <v>1.0332141752836037</v>
      </c>
      <c r="AH20" s="2">
        <f t="shared" si="12"/>
        <v>-0.19123695799829932</v>
      </c>
      <c r="AI20" s="9">
        <f t="shared" si="13"/>
        <v>2.1749970420016993</v>
      </c>
      <c r="AJ20" s="8">
        <f t="shared" si="14"/>
        <v>-7.5229999999999997</v>
      </c>
      <c r="AK20" s="2">
        <f t="shared" si="15"/>
        <v>-4.6284158708655525</v>
      </c>
      <c r="AL20" s="2">
        <f t="shared" si="16"/>
        <v>-2.7976197919295061</v>
      </c>
      <c r="AM20" s="2">
        <f t="shared" si="17"/>
        <v>-4.2960450277200408</v>
      </c>
      <c r="AN20" s="2">
        <f t="shared" si="18"/>
        <v>-6.5482340260570062</v>
      </c>
      <c r="AO20" s="9">
        <f t="shared" si="19"/>
        <v>-3.9867400260570065</v>
      </c>
      <c r="BO20">
        <v>13</v>
      </c>
      <c r="BP20" s="2">
        <f t="shared" si="0"/>
        <v>-7.4819999999999993</v>
      </c>
      <c r="BQ20" s="2" t="e">
        <f>#REF!-$BQ$4</f>
        <v>#REF!</v>
      </c>
      <c r="BR20" s="2" t="e">
        <f>#REF!-$BR$4</f>
        <v>#REF!</v>
      </c>
      <c r="BS20" s="2">
        <f t="shared" si="1"/>
        <v>-4.5229999999999997</v>
      </c>
      <c r="BT20" s="2" t="e">
        <f>#REF!-$BT$4</f>
        <v>#REF!</v>
      </c>
      <c r="BV20" s="2" t="e">
        <f t="shared" si="20"/>
        <v>#REF!</v>
      </c>
      <c r="BW20" s="2" t="e">
        <f t="shared" si="21"/>
        <v>#REF!</v>
      </c>
      <c r="BX20" s="2">
        <f t="shared" si="22"/>
        <v>-2.9589999999999996</v>
      </c>
      <c r="BY20" s="2" t="e">
        <f t="shared" si="23"/>
        <v>#REF!</v>
      </c>
      <c r="BZ20" t="e">
        <f t="shared" si="24"/>
        <v>#REF!</v>
      </c>
      <c r="CA20" t="e">
        <f t="shared" si="25"/>
        <v>#REF!</v>
      </c>
      <c r="CB20">
        <f t="shared" si="26"/>
        <v>8.7556809999999974</v>
      </c>
      <c r="CC20" t="e">
        <f t="shared" si="27"/>
        <v>#REF!</v>
      </c>
    </row>
    <row r="21" spans="1:81" x14ac:dyDescent="0.2">
      <c r="A21" s="2"/>
      <c r="B21" s="3">
        <v>14</v>
      </c>
      <c r="C21" s="8">
        <v>23.306999999999999</v>
      </c>
      <c r="D21" s="2">
        <v>17.902193394513709</v>
      </c>
      <c r="E21" s="2">
        <v>22.222715388334617</v>
      </c>
      <c r="F21" s="2">
        <v>27.822846471538011</v>
      </c>
      <c r="G21" s="2">
        <v>23.703527376755574</v>
      </c>
      <c r="H21" s="2">
        <v>28.477756857318301</v>
      </c>
      <c r="I21" s="9">
        <v>24.992101857318303</v>
      </c>
      <c r="J21" s="8">
        <v>28.753</v>
      </c>
      <c r="K21" s="2">
        <v>23.077988456090878</v>
      </c>
      <c r="L21" s="2">
        <v>27.956776342723995</v>
      </c>
      <c r="M21" s="2">
        <v>23.62967765947246</v>
      </c>
      <c r="N21" s="2">
        <v>27.839402803866779</v>
      </c>
      <c r="O21" s="9">
        <v>24.66988880386678</v>
      </c>
      <c r="P21" s="13">
        <v>31.922999999999998</v>
      </c>
      <c r="Q21" s="2"/>
      <c r="R21" s="3">
        <v>14</v>
      </c>
      <c r="S21" s="8">
        <v>-6.0430000000000001</v>
      </c>
      <c r="T21" s="13">
        <v>-11.861000000000001</v>
      </c>
      <c r="U21" s="9">
        <v>-13.413</v>
      </c>
      <c r="V21" s="2"/>
      <c r="W21" s="3">
        <v>14</v>
      </c>
      <c r="X21" s="8">
        <f t="shared" si="4"/>
        <v>17.263999999999999</v>
      </c>
      <c r="Y21" s="13">
        <f t="shared" si="5"/>
        <v>16.891999999999999</v>
      </c>
      <c r="Z21" s="9">
        <f t="shared" si="6"/>
        <v>18.509999999999998</v>
      </c>
      <c r="AA21" s="2"/>
      <c r="AB21" s="3">
        <v>14</v>
      </c>
      <c r="AC21" s="8">
        <f t="shared" si="7"/>
        <v>-6.0429999999999993</v>
      </c>
      <c r="AD21" s="2">
        <f t="shared" si="8"/>
        <v>-0.63819339451370993</v>
      </c>
      <c r="AE21" s="2">
        <f t="shared" si="9"/>
        <v>-4.9587153883346176</v>
      </c>
      <c r="AF21" s="2">
        <f t="shared" si="10"/>
        <v>-10.558846471538011</v>
      </c>
      <c r="AG21" s="2">
        <f t="shared" si="11"/>
        <v>-6.4395273767555743</v>
      </c>
      <c r="AH21" s="2">
        <f t="shared" si="12"/>
        <v>-11.213756857318302</v>
      </c>
      <c r="AI21" s="9">
        <f t="shared" si="13"/>
        <v>-7.728101857318304</v>
      </c>
      <c r="AJ21" s="8">
        <f t="shared" si="14"/>
        <v>-11.861000000000001</v>
      </c>
      <c r="AK21" s="2">
        <f t="shared" si="15"/>
        <v>-6.1859884560908789</v>
      </c>
      <c r="AL21" s="2">
        <f t="shared" si="16"/>
        <v>-10.930846471538011</v>
      </c>
      <c r="AM21" s="2">
        <f t="shared" si="17"/>
        <v>-6.7376776594724603</v>
      </c>
      <c r="AN21" s="2">
        <f t="shared" si="18"/>
        <v>-10.94740280386678</v>
      </c>
      <c r="AO21" s="9">
        <f t="shared" si="19"/>
        <v>-7.7778888038667802</v>
      </c>
      <c r="BO21">
        <v>14</v>
      </c>
      <c r="BP21" s="2">
        <f t="shared" si="0"/>
        <v>-6.0429999999999993</v>
      </c>
      <c r="BQ21" s="2" t="e">
        <f>#REF!-$BQ$4</f>
        <v>#REF!</v>
      </c>
      <c r="BR21" s="2" t="e">
        <f>#REF!-$BR$4</f>
        <v>#REF!</v>
      </c>
      <c r="BS21" s="2">
        <f t="shared" si="1"/>
        <v>-8.8610000000000007</v>
      </c>
      <c r="BT21" s="2" t="e">
        <f>#REF!-$BT$4</f>
        <v>#REF!</v>
      </c>
      <c r="BV21" s="2" t="e">
        <f t="shared" si="20"/>
        <v>#REF!</v>
      </c>
      <c r="BW21" s="2" t="e">
        <f t="shared" si="21"/>
        <v>#REF!</v>
      </c>
      <c r="BX21" s="2">
        <f t="shared" si="22"/>
        <v>2.8180000000000014</v>
      </c>
      <c r="BY21" s="2" t="e">
        <f t="shared" si="23"/>
        <v>#REF!</v>
      </c>
      <c r="BZ21" t="e">
        <f t="shared" si="24"/>
        <v>#REF!</v>
      </c>
      <c r="CA21" t="e">
        <f t="shared" si="25"/>
        <v>#REF!</v>
      </c>
      <c r="CB21">
        <f t="shared" si="26"/>
        <v>7.9411240000000083</v>
      </c>
      <c r="CC21" t="e">
        <f t="shared" si="27"/>
        <v>#REF!</v>
      </c>
    </row>
    <row r="22" spans="1:81" x14ac:dyDescent="0.2">
      <c r="B22" s="3">
        <v>15</v>
      </c>
      <c r="C22" s="8">
        <v>28.13</v>
      </c>
      <c r="D22" s="2">
        <v>15.771145589861495</v>
      </c>
      <c r="E22" s="2">
        <v>19.624645076566861</v>
      </c>
      <c r="F22" s="2">
        <v>22.292751051810786</v>
      </c>
      <c r="G22" s="2">
        <v>18.690884838536689</v>
      </c>
      <c r="H22" s="2">
        <v>19.997851796779379</v>
      </c>
      <c r="I22" s="9">
        <v>17.61007179677938</v>
      </c>
      <c r="J22" s="8">
        <v>22.779</v>
      </c>
      <c r="K22" s="2">
        <v>21.587771893435516</v>
      </c>
      <c r="L22" s="2">
        <v>25.126100223380625</v>
      </c>
      <c r="M22" s="2">
        <v>22.193698810535292</v>
      </c>
      <c r="N22" s="2">
        <v>23.82666450272961</v>
      </c>
      <c r="O22" s="9">
        <v>21.465643502729609</v>
      </c>
      <c r="P22" s="13">
        <v>24.957000000000001</v>
      </c>
      <c r="Q22" s="2"/>
      <c r="R22" s="3">
        <v>15</v>
      </c>
      <c r="S22" s="8">
        <v>-12.356999999999999</v>
      </c>
      <c r="T22" s="13">
        <v>-7.2060000000000004</v>
      </c>
      <c r="U22" s="9">
        <v>-7.883</v>
      </c>
      <c r="V22" s="2"/>
      <c r="W22" s="3">
        <v>15</v>
      </c>
      <c r="X22" s="8">
        <f t="shared" si="4"/>
        <v>15.773</v>
      </c>
      <c r="Y22" s="13">
        <f t="shared" si="5"/>
        <v>15.573</v>
      </c>
      <c r="Z22" s="9">
        <f t="shared" si="6"/>
        <v>17.074000000000002</v>
      </c>
      <c r="AB22" s="3">
        <v>15</v>
      </c>
      <c r="AC22" s="8">
        <f t="shared" si="7"/>
        <v>-12.356999999999999</v>
      </c>
      <c r="AD22" s="2">
        <f t="shared" si="8"/>
        <v>1.8544101385042921E-3</v>
      </c>
      <c r="AE22" s="2">
        <f t="shared" si="9"/>
        <v>-3.8516450765668608</v>
      </c>
      <c r="AF22" s="2">
        <f t="shared" si="10"/>
        <v>-6.5197510518107862</v>
      </c>
      <c r="AG22" s="2">
        <f t="shared" si="11"/>
        <v>-2.9178848385366898</v>
      </c>
      <c r="AH22" s="2">
        <f t="shared" si="12"/>
        <v>-4.2248517967793795</v>
      </c>
      <c r="AI22" s="9">
        <f t="shared" si="13"/>
        <v>-1.8370717967793802</v>
      </c>
      <c r="AJ22" s="8">
        <f t="shared" si="14"/>
        <v>-7.2059999999999995</v>
      </c>
      <c r="AK22" s="2">
        <f t="shared" si="15"/>
        <v>-6.0147718934355154</v>
      </c>
      <c r="AL22" s="2">
        <f t="shared" si="16"/>
        <v>-6.7197510518107855</v>
      </c>
      <c r="AM22" s="2">
        <f t="shared" si="17"/>
        <v>-6.6206988105352913</v>
      </c>
      <c r="AN22" s="2">
        <f t="shared" si="18"/>
        <v>-8.2536645027296096</v>
      </c>
      <c r="AO22" s="9">
        <f t="shared" si="19"/>
        <v>-5.8926435027296087</v>
      </c>
      <c r="BO22">
        <v>15</v>
      </c>
      <c r="BP22" s="2">
        <f t="shared" si="0"/>
        <v>-12.356999999999999</v>
      </c>
      <c r="BQ22" s="2" t="e">
        <f>#REF!-$BQ$4</f>
        <v>#REF!</v>
      </c>
      <c r="BR22" s="2" t="e">
        <f>#REF!-$BR$4</f>
        <v>#REF!</v>
      </c>
      <c r="BS22" s="2">
        <f t="shared" si="1"/>
        <v>-4.2059999999999995</v>
      </c>
      <c r="BT22" s="2" t="e">
        <f>#REF!-$BT$4</f>
        <v>#REF!</v>
      </c>
      <c r="BV22" s="2" t="e">
        <f t="shared" si="20"/>
        <v>#REF!</v>
      </c>
      <c r="BW22" s="2" t="e">
        <f t="shared" si="21"/>
        <v>#REF!</v>
      </c>
      <c r="BX22" s="2">
        <f t="shared" si="22"/>
        <v>-8.1509999999999998</v>
      </c>
      <c r="BY22" s="2" t="e">
        <f t="shared" si="23"/>
        <v>#REF!</v>
      </c>
      <c r="BZ22" t="e">
        <f t="shared" si="24"/>
        <v>#REF!</v>
      </c>
      <c r="CA22" t="e">
        <f t="shared" si="25"/>
        <v>#REF!</v>
      </c>
      <c r="CB22">
        <f t="shared" si="26"/>
        <v>66.438800999999998</v>
      </c>
      <c r="CC22" t="e">
        <f t="shared" si="27"/>
        <v>#REF!</v>
      </c>
    </row>
    <row r="23" spans="1:81" ht="17" thickBot="1" x14ac:dyDescent="0.25">
      <c r="B23" s="4">
        <v>16</v>
      </c>
      <c r="C23" s="10">
        <v>23.914000000000001</v>
      </c>
      <c r="D23" s="11">
        <v>11.294464768513755</v>
      </c>
      <c r="E23" s="11">
        <v>14.250333076932554</v>
      </c>
      <c r="F23" s="11">
        <v>18.335846007837372</v>
      </c>
      <c r="G23" s="11">
        <v>15.744598720794903</v>
      </c>
      <c r="H23" s="11">
        <v>16.758145048551057</v>
      </c>
      <c r="I23" s="12">
        <v>14.905074048551057</v>
      </c>
      <c r="J23" s="10">
        <v>20.292000000000002</v>
      </c>
      <c r="K23" s="11">
        <v>17.217412509823056</v>
      </c>
      <c r="L23" s="11">
        <v>21.149867651275521</v>
      </c>
      <c r="M23" s="11">
        <v>18.747336525133431</v>
      </c>
      <c r="N23" s="11">
        <v>20.09414267570007</v>
      </c>
      <c r="O23" s="12">
        <v>18.296239675700072</v>
      </c>
      <c r="P23" s="14">
        <v>21.710999999999999</v>
      </c>
      <c r="Q23" s="2"/>
      <c r="R23" s="4">
        <v>16</v>
      </c>
      <c r="S23" s="10">
        <v>-9.4169999999999998</v>
      </c>
      <c r="T23" s="14">
        <v>-4.5209999999999999</v>
      </c>
      <c r="U23" s="12">
        <v>-4.9130000000000003</v>
      </c>
      <c r="V23" s="2"/>
      <c r="W23" s="4">
        <v>16</v>
      </c>
      <c r="X23" s="10">
        <f t="shared" si="4"/>
        <v>14.497000000000002</v>
      </c>
      <c r="Y23" s="14">
        <f t="shared" si="5"/>
        <v>15.771000000000001</v>
      </c>
      <c r="Z23" s="12">
        <f t="shared" si="6"/>
        <v>16.797999999999998</v>
      </c>
      <c r="AB23" s="4">
        <v>16</v>
      </c>
      <c r="AC23" s="10">
        <f t="shared" si="7"/>
        <v>-9.4169999999999998</v>
      </c>
      <c r="AD23" s="11">
        <f t="shared" si="8"/>
        <v>3.2025352314862463</v>
      </c>
      <c r="AE23" s="11">
        <f t="shared" si="9"/>
        <v>0.24666692306744764</v>
      </c>
      <c r="AF23" s="11">
        <f t="shared" si="10"/>
        <v>-3.8388460078373701</v>
      </c>
      <c r="AG23" s="11">
        <f t="shared" si="11"/>
        <v>-1.2475987207949011</v>
      </c>
      <c r="AH23" s="11">
        <f t="shared" si="12"/>
        <v>-2.2611450485510556</v>
      </c>
      <c r="AI23" s="12">
        <f t="shared" si="13"/>
        <v>-0.40807404855105567</v>
      </c>
      <c r="AJ23" s="10">
        <f t="shared" si="14"/>
        <v>-4.5210000000000008</v>
      </c>
      <c r="AK23" s="11">
        <f t="shared" si="15"/>
        <v>-1.4464125098230554</v>
      </c>
      <c r="AL23" s="11">
        <f t="shared" si="16"/>
        <v>-2.5648460078373709</v>
      </c>
      <c r="AM23" s="11">
        <f t="shared" si="17"/>
        <v>-2.9763365251334299</v>
      </c>
      <c r="AN23" s="11">
        <f t="shared" si="18"/>
        <v>-4.323142675700069</v>
      </c>
      <c r="AO23" s="12">
        <f t="shared" si="19"/>
        <v>-2.525239675700071</v>
      </c>
      <c r="BO23">
        <v>16</v>
      </c>
      <c r="BP23" s="2">
        <f t="shared" si="0"/>
        <v>-9.4169999999999998</v>
      </c>
      <c r="BQ23" s="2" t="e">
        <f>#REF!-$BQ$4</f>
        <v>#REF!</v>
      </c>
      <c r="BR23" s="2" t="e">
        <f>#REF!-$BR$4</f>
        <v>#REF!</v>
      </c>
      <c r="BS23" s="2">
        <f t="shared" si="1"/>
        <v>-1.5210000000000008</v>
      </c>
      <c r="BT23" s="2" t="e">
        <f>#REF!-$BT$4</f>
        <v>#REF!</v>
      </c>
      <c r="BV23" s="2" t="e">
        <f t="shared" si="20"/>
        <v>#REF!</v>
      </c>
      <c r="BW23" s="2" t="e">
        <f t="shared" si="21"/>
        <v>#REF!</v>
      </c>
      <c r="BX23" s="2">
        <f t="shared" si="22"/>
        <v>-7.895999999999999</v>
      </c>
      <c r="BY23" s="2" t="e">
        <f t="shared" si="23"/>
        <v>#REF!</v>
      </c>
      <c r="BZ23" t="e">
        <f t="shared" si="24"/>
        <v>#REF!</v>
      </c>
      <c r="CA23" t="e">
        <f t="shared" si="25"/>
        <v>#REF!</v>
      </c>
      <c r="CB23">
        <f t="shared" si="26"/>
        <v>62.346815999999983</v>
      </c>
      <c r="CC23" t="e">
        <f t="shared" si="27"/>
        <v>#REF!</v>
      </c>
    </row>
    <row r="26" spans="1:81" x14ac:dyDescent="0.2">
      <c r="AJ26" s="2"/>
      <c r="AO26" s="2"/>
    </row>
    <row r="27" spans="1:81" x14ac:dyDescent="0.2">
      <c r="AJ27" s="2"/>
      <c r="AO27" s="2"/>
    </row>
    <row r="28" spans="1:81" x14ac:dyDescent="0.2">
      <c r="AJ28" s="2"/>
      <c r="AO28" s="2"/>
    </row>
    <row r="29" spans="1:81" x14ac:dyDescent="0.2">
      <c r="AJ29" s="2"/>
      <c r="AO29" s="2"/>
    </row>
    <row r="30" spans="1:81" x14ac:dyDescent="0.2">
      <c r="AJ30" s="2"/>
    </row>
    <row r="31" spans="1:81" x14ac:dyDescent="0.2">
      <c r="AJ31" s="2"/>
    </row>
    <row r="32" spans="1:81" x14ac:dyDescent="0.2">
      <c r="AJ32" s="2"/>
    </row>
    <row r="33" spans="36:36" x14ac:dyDescent="0.2">
      <c r="AJ33" s="2"/>
    </row>
    <row r="34" spans="36:36" x14ac:dyDescent="0.2">
      <c r="AJ34" s="2"/>
    </row>
    <row r="35" spans="36:36" x14ac:dyDescent="0.2">
      <c r="AJ35" s="2"/>
    </row>
    <row r="36" spans="36:36" x14ac:dyDescent="0.2">
      <c r="AJ36" s="2"/>
    </row>
    <row r="37" spans="36:36" x14ac:dyDescent="0.2">
      <c r="AJ37" s="2"/>
    </row>
    <row r="38" spans="36:36" x14ac:dyDescent="0.2">
      <c r="AJ38" s="2"/>
    </row>
    <row r="39" spans="36:36" x14ac:dyDescent="0.2">
      <c r="AJ39" s="2"/>
    </row>
    <row r="40" spans="36:36" x14ac:dyDescent="0.2">
      <c r="AJ40" s="2"/>
    </row>
    <row r="41" spans="36:36" x14ac:dyDescent="0.2">
      <c r="AJ41" s="2"/>
    </row>
    <row r="42" spans="36:36" x14ac:dyDescent="0.2">
      <c r="AJ42" s="2"/>
    </row>
    <row r="43" spans="36:36" x14ac:dyDescent="0.2">
      <c r="AJ43" s="2"/>
    </row>
    <row r="44" spans="36:36" x14ac:dyDescent="0.2">
      <c r="AJ44" s="2"/>
    </row>
    <row r="45" spans="36:36" x14ac:dyDescent="0.2">
      <c r="AJ45" s="2"/>
    </row>
    <row r="46" spans="36:36" x14ac:dyDescent="0.2">
      <c r="AJ46" s="2"/>
    </row>
    <row r="47" spans="36:36" x14ac:dyDescent="0.2">
      <c r="AJ47" s="18"/>
    </row>
  </sheetData>
  <mergeCells count="28">
    <mergeCell ref="BV3:BY3"/>
    <mergeCell ref="BZ3:CC3"/>
    <mergeCell ref="CD3:CG3"/>
    <mergeCell ref="B2:P2"/>
    <mergeCell ref="R3:R4"/>
    <mergeCell ref="S3:S4"/>
    <mergeCell ref="T3:T4"/>
    <mergeCell ref="U3:U4"/>
    <mergeCell ref="R2:U2"/>
    <mergeCell ref="J3:J4"/>
    <mergeCell ref="L3:M3"/>
    <mergeCell ref="P3:P4"/>
    <mergeCell ref="B3:B4"/>
    <mergeCell ref="C3:C4"/>
    <mergeCell ref="D3:E3"/>
    <mergeCell ref="F3:G3"/>
    <mergeCell ref="AB2:AO2"/>
    <mergeCell ref="W2:Z2"/>
    <mergeCell ref="W3:W4"/>
    <mergeCell ref="X3:X4"/>
    <mergeCell ref="Y3:Y4"/>
    <mergeCell ref="Z3:Z4"/>
    <mergeCell ref="AC3:AC4"/>
    <mergeCell ref="AJ3:AJ4"/>
    <mergeCell ref="AD3:AE3"/>
    <mergeCell ref="AB3:AB4"/>
    <mergeCell ref="AF3:AG3"/>
    <mergeCell ref="AL3:AM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0138-9E27-8043-B42A-4832610729BB}">
  <dimension ref="B1:W68"/>
  <sheetViews>
    <sheetView topLeftCell="H27" zoomScaleNormal="100" workbookViewId="0">
      <selection activeCell="P48" sqref="P48:W68"/>
    </sheetView>
  </sheetViews>
  <sheetFormatPr baseColWidth="10" defaultRowHeight="16" x14ac:dyDescent="0.2"/>
  <cols>
    <col min="2" max="2" width="6.1640625" bestFit="1" customWidth="1"/>
    <col min="3" max="3" width="5.33203125" bestFit="1" customWidth="1"/>
    <col min="4" max="4" width="6.6640625" bestFit="1" customWidth="1"/>
    <col min="5" max="5" width="8.33203125" bestFit="1" customWidth="1"/>
    <col min="7" max="7" width="6.1640625" bestFit="1" customWidth="1"/>
    <col min="8" max="8" width="12.6640625" bestFit="1" customWidth="1"/>
    <col min="10" max="10" width="7.5" bestFit="1" customWidth="1"/>
    <col min="11" max="11" width="7.1640625" bestFit="1" customWidth="1"/>
    <col min="12" max="12" width="7.6640625" bestFit="1" customWidth="1"/>
    <col min="13" max="13" width="9.6640625" bestFit="1" customWidth="1"/>
    <col min="14" max="14" width="14.6640625" bestFit="1" customWidth="1"/>
    <col min="16" max="16" width="6.1640625" bestFit="1" customWidth="1"/>
    <col min="17" max="17" width="9.5" bestFit="1" customWidth="1"/>
    <col min="19" max="19" width="7.5" bestFit="1" customWidth="1"/>
    <col min="20" max="20" width="7.1640625" bestFit="1" customWidth="1"/>
    <col min="21" max="21" width="7.6640625" bestFit="1" customWidth="1"/>
    <col min="22" max="22" width="9.6640625" bestFit="1" customWidth="1"/>
    <col min="23" max="23" width="14.6640625" bestFit="1" customWidth="1"/>
  </cols>
  <sheetData>
    <row r="1" spans="2:23" ht="17" thickBot="1" x14ac:dyDescent="0.25">
      <c r="G1" s="29" t="s">
        <v>29</v>
      </c>
      <c r="H1" s="29"/>
      <c r="I1" s="29"/>
      <c r="J1" s="29"/>
      <c r="K1" s="29"/>
      <c r="L1" s="29"/>
      <c r="M1" s="29"/>
      <c r="N1" s="29"/>
      <c r="P1" s="29" t="s">
        <v>30</v>
      </c>
      <c r="Q1" s="29"/>
      <c r="R1" s="29"/>
      <c r="S1" s="29"/>
      <c r="T1" s="29"/>
      <c r="U1" s="29"/>
      <c r="V1" s="29"/>
      <c r="W1" s="29"/>
    </row>
    <row r="2" spans="2:23" x14ac:dyDescent="0.2">
      <c r="B2" s="30" t="s">
        <v>0</v>
      </c>
      <c r="C2" s="32" t="s">
        <v>27</v>
      </c>
      <c r="D2" s="32" t="s">
        <v>32</v>
      </c>
      <c r="E2" s="30" t="s">
        <v>28</v>
      </c>
      <c r="G2" s="30" t="s">
        <v>0</v>
      </c>
      <c r="H2" s="32" t="s">
        <v>9</v>
      </c>
      <c r="I2" s="32" t="s">
        <v>10</v>
      </c>
      <c r="J2" s="5" t="s">
        <v>7</v>
      </c>
      <c r="K2" s="36" t="s">
        <v>13</v>
      </c>
      <c r="L2" s="36"/>
      <c r="M2" s="5" t="s">
        <v>15</v>
      </c>
      <c r="N2" s="6" t="s">
        <v>16</v>
      </c>
      <c r="P2" s="30" t="s">
        <v>0</v>
      </c>
      <c r="Q2" s="32" t="s">
        <v>9</v>
      </c>
      <c r="R2" s="32" t="s">
        <v>10</v>
      </c>
      <c r="S2" s="5" t="s">
        <v>7</v>
      </c>
      <c r="T2" s="36" t="s">
        <v>13</v>
      </c>
      <c r="U2" s="36"/>
      <c r="V2" s="5" t="s">
        <v>15</v>
      </c>
      <c r="W2" s="6" t="s">
        <v>16</v>
      </c>
    </row>
    <row r="3" spans="2:23" x14ac:dyDescent="0.2">
      <c r="B3" s="31"/>
      <c r="C3" s="33"/>
      <c r="D3" s="33"/>
      <c r="E3" s="31"/>
      <c r="G3" s="31"/>
      <c r="H3" s="33"/>
      <c r="I3" s="33"/>
      <c r="J3" s="1" t="s">
        <v>12</v>
      </c>
      <c r="K3" s="1" t="s">
        <v>12</v>
      </c>
      <c r="L3" s="1" t="s">
        <v>14</v>
      </c>
      <c r="M3" s="1" t="s">
        <v>8</v>
      </c>
      <c r="N3" s="7" t="s">
        <v>8</v>
      </c>
      <c r="P3" s="31"/>
      <c r="Q3" s="33"/>
      <c r="R3" s="33"/>
      <c r="S3" s="1" t="s">
        <v>12</v>
      </c>
      <c r="T3" s="1" t="s">
        <v>12</v>
      </c>
      <c r="U3" s="1" t="s">
        <v>14</v>
      </c>
      <c r="V3" s="1" t="s">
        <v>8</v>
      </c>
      <c r="W3" s="7" t="s">
        <v>8</v>
      </c>
    </row>
    <row r="4" spans="2:23" x14ac:dyDescent="0.2">
      <c r="B4" s="3">
        <v>1</v>
      </c>
      <c r="C4" s="8">
        <v>17.156712316425502</v>
      </c>
      <c r="D4" s="8">
        <v>19.5543265039333</v>
      </c>
      <c r="E4" s="13">
        <v>7.0538099999999897</v>
      </c>
      <c r="G4" s="3">
        <v>1</v>
      </c>
      <c r="H4" s="8">
        <v>-26.283000000000001</v>
      </c>
      <c r="I4" s="8">
        <v>-23.327999999999999</v>
      </c>
      <c r="J4" s="2">
        <v>-20.084825544827321</v>
      </c>
      <c r="K4" s="2">
        <v>-17.107370993780069</v>
      </c>
      <c r="L4" s="2">
        <v>-17.519705542808804</v>
      </c>
      <c r="M4" s="2">
        <v>-20.632133965620827</v>
      </c>
      <c r="N4" s="9">
        <v>-15.24679896562083</v>
      </c>
      <c r="P4" s="3">
        <v>1</v>
      </c>
      <c r="Q4" s="8">
        <f>H4+D4</f>
        <v>-6.7286734960667012</v>
      </c>
      <c r="R4" s="8">
        <f>I4+C4</f>
        <v>-6.1712876835744979</v>
      </c>
      <c r="S4" s="2">
        <f>J4+C4</f>
        <v>-2.9281132284018199</v>
      </c>
      <c r="T4" s="2">
        <f>K4+C4</f>
        <v>4.9341322645432228E-2</v>
      </c>
      <c r="U4" s="2">
        <f>L4+C4</f>
        <v>-0.36299322638330267</v>
      </c>
      <c r="V4" s="2">
        <f>M4+C4</f>
        <v>-3.4754216491953258</v>
      </c>
      <c r="W4" s="9">
        <f>N4+C4</f>
        <v>1.9099133508046719</v>
      </c>
    </row>
    <row r="5" spans="2:23" x14ac:dyDescent="0.2">
      <c r="B5" s="3">
        <v>2</v>
      </c>
      <c r="C5" s="8">
        <v>7.5581651709540099</v>
      </c>
      <c r="D5" s="8">
        <v>7.14375065573123</v>
      </c>
      <c r="E5" s="13">
        <v>3.5186600000000001</v>
      </c>
      <c r="G5" s="3">
        <v>2</v>
      </c>
      <c r="H5" s="8">
        <v>-8.5670000000000002</v>
      </c>
      <c r="I5" s="8">
        <v>-11.862000000000002</v>
      </c>
      <c r="J5" s="2">
        <v>-7.1135281505776788</v>
      </c>
      <c r="K5" s="2">
        <v>-10.788524835173959</v>
      </c>
      <c r="L5" s="2">
        <v>-7.9279462265390706</v>
      </c>
      <c r="M5" s="2">
        <v>-10.662110477194126</v>
      </c>
      <c r="N5" s="9">
        <v>-8.2974144771941276</v>
      </c>
      <c r="P5" s="3">
        <v>2</v>
      </c>
      <c r="Q5" s="8">
        <f t="shared" ref="Q5:Q22" si="0">H5+D5</f>
        <v>-1.4232493442687701</v>
      </c>
      <c r="R5" s="8">
        <f t="shared" ref="R5:R22" si="1">I5+C5</f>
        <v>-4.303834829045992</v>
      </c>
      <c r="S5" s="2">
        <f t="shared" ref="S5:S22" si="2">J5+C5</f>
        <v>0.44463702037633102</v>
      </c>
      <c r="T5" s="2">
        <f t="shared" ref="T5:T22" si="3">K5+C5</f>
        <v>-3.2303596642199492</v>
      </c>
      <c r="U5" s="2">
        <f t="shared" ref="U5:U22" si="4">L5+C5</f>
        <v>-0.36978105558506069</v>
      </c>
      <c r="V5" s="2">
        <f t="shared" ref="V5:V22" si="5">M5+C5</f>
        <v>-3.1039453062401163</v>
      </c>
      <c r="W5" s="9">
        <f t="shared" ref="W5:W22" si="6">N5+C5</f>
        <v>-0.73924930624011775</v>
      </c>
    </row>
    <row r="6" spans="2:23" x14ac:dyDescent="0.2">
      <c r="B6" s="3">
        <v>3</v>
      </c>
      <c r="C6" s="8">
        <v>12.9755629564147</v>
      </c>
      <c r="D6" s="8">
        <v>17.224983448711399</v>
      </c>
      <c r="E6" s="13">
        <v>5.5562399999999901</v>
      </c>
      <c r="G6" s="3">
        <v>3</v>
      </c>
      <c r="H6" s="8">
        <v>-15.09</v>
      </c>
      <c r="I6" s="8">
        <v>-10.156000000000002</v>
      </c>
      <c r="J6" s="2">
        <v>-6.7005151213540302</v>
      </c>
      <c r="K6" s="2">
        <v>-9.4763358631626247</v>
      </c>
      <c r="L6" s="2">
        <v>-8.4036782366753364</v>
      </c>
      <c r="M6" s="2">
        <v>-12.057507679413366</v>
      </c>
      <c r="N6" s="9">
        <v>-8.0978116794133648</v>
      </c>
      <c r="P6" s="3">
        <v>3</v>
      </c>
      <c r="Q6" s="8">
        <f t="shared" si="0"/>
        <v>2.1349834487113988</v>
      </c>
      <c r="R6" s="8">
        <f t="shared" si="1"/>
        <v>2.819562956414698</v>
      </c>
      <c r="S6" s="2">
        <f t="shared" si="2"/>
        <v>6.2750478350606702</v>
      </c>
      <c r="T6" s="2">
        <f t="shared" si="3"/>
        <v>3.4992270932520757</v>
      </c>
      <c r="U6" s="2">
        <f t="shared" si="4"/>
        <v>4.5718847197393639</v>
      </c>
      <c r="V6" s="2">
        <f t="shared" si="5"/>
        <v>0.9180552770013346</v>
      </c>
      <c r="W6" s="9">
        <f t="shared" si="6"/>
        <v>4.8777512770013356</v>
      </c>
    </row>
    <row r="7" spans="2:23" x14ac:dyDescent="0.2">
      <c r="B7" s="3">
        <v>4</v>
      </c>
      <c r="C7" s="8">
        <v>3.5753169533437799</v>
      </c>
      <c r="D7" s="8">
        <v>5.1431361619534304</v>
      </c>
      <c r="E7" s="13">
        <v>4.5146899999999901</v>
      </c>
      <c r="G7" s="3">
        <v>4</v>
      </c>
      <c r="H7" s="8">
        <v>-8.7129999999999992</v>
      </c>
      <c r="I7" s="8">
        <v>-2.5339999999999989</v>
      </c>
      <c r="J7" s="2">
        <v>2.1193914145046602</v>
      </c>
      <c r="K7" s="2">
        <v>-2.2713626586419267</v>
      </c>
      <c r="L7" s="2">
        <v>-2.640658375695665</v>
      </c>
      <c r="M7" s="2">
        <v>-4.1077575781983207</v>
      </c>
      <c r="N7" s="9">
        <v>-2.2689865781983194</v>
      </c>
      <c r="P7" s="3">
        <v>4</v>
      </c>
      <c r="Q7" s="8">
        <f t="shared" si="0"/>
        <v>-3.5698638380465688</v>
      </c>
      <c r="R7" s="8">
        <f t="shared" si="1"/>
        <v>1.0413169533437809</v>
      </c>
      <c r="S7" s="2">
        <f t="shared" si="2"/>
        <v>5.69470836784844</v>
      </c>
      <c r="T7" s="2">
        <f t="shared" si="3"/>
        <v>1.3039542947018532</v>
      </c>
      <c r="U7" s="2">
        <f t="shared" si="4"/>
        <v>0.93465857764811489</v>
      </c>
      <c r="V7" s="2">
        <f t="shared" si="5"/>
        <v>-0.5324406248545408</v>
      </c>
      <c r="W7" s="9">
        <f t="shared" si="6"/>
        <v>1.3063303751454605</v>
      </c>
    </row>
    <row r="8" spans="2:23" x14ac:dyDescent="0.2">
      <c r="B8" s="3" t="s">
        <v>1</v>
      </c>
      <c r="C8" s="8">
        <v>6.3007001106072602</v>
      </c>
      <c r="D8" s="8">
        <v>7.7542146137349697</v>
      </c>
      <c r="E8" s="13">
        <v>2.4344600000000001</v>
      </c>
      <c r="G8" s="3" t="s">
        <v>1</v>
      </c>
      <c r="H8" s="8">
        <v>-9.070999999999998</v>
      </c>
      <c r="I8" s="8">
        <v>-4.1550000000000011</v>
      </c>
      <c r="J8" s="2">
        <v>1.0950448862414799</v>
      </c>
      <c r="K8" s="2">
        <v>-2.5435029466600945</v>
      </c>
      <c r="L8" s="2">
        <v>0.81529089380916631</v>
      </c>
      <c r="M8" s="2">
        <v>-1.9805477121540882</v>
      </c>
      <c r="N8" s="9">
        <v>0.1079742878459129</v>
      </c>
      <c r="P8" s="3" t="s">
        <v>1</v>
      </c>
      <c r="Q8" s="8">
        <f t="shared" si="0"/>
        <v>-1.3167853862650283</v>
      </c>
      <c r="R8" s="8">
        <f t="shared" si="1"/>
        <v>2.1457001106072591</v>
      </c>
      <c r="S8" s="2">
        <f t="shared" si="2"/>
        <v>7.3957449968487401</v>
      </c>
      <c r="T8" s="2">
        <f t="shared" si="3"/>
        <v>3.7571971639471657</v>
      </c>
      <c r="U8" s="2">
        <f t="shared" si="4"/>
        <v>7.1159910044164265</v>
      </c>
      <c r="V8" s="2">
        <f t="shared" si="5"/>
        <v>4.320152398453172</v>
      </c>
      <c r="W8" s="9">
        <f t="shared" si="6"/>
        <v>6.4086743984531731</v>
      </c>
    </row>
    <row r="9" spans="2:23" x14ac:dyDescent="0.2">
      <c r="B9" s="3" t="s">
        <v>2</v>
      </c>
      <c r="C9" s="8">
        <v>6.17450299375973</v>
      </c>
      <c r="D9" s="8">
        <v>6.44389353351262</v>
      </c>
      <c r="E9" s="13">
        <v>3.82558</v>
      </c>
      <c r="G9" s="3" t="s">
        <v>2</v>
      </c>
      <c r="H9" s="8">
        <v>-7.7669999999999995</v>
      </c>
      <c r="I9" s="8">
        <v>-4.6140000000000008</v>
      </c>
      <c r="J9" s="2">
        <v>1.8399987478693056</v>
      </c>
      <c r="K9" s="2">
        <v>-2.0546749190491589</v>
      </c>
      <c r="L9" s="2">
        <v>0.827455412416775</v>
      </c>
      <c r="M9" s="2">
        <v>-2.8956409256101381</v>
      </c>
      <c r="N9" s="9">
        <v>-0.23542592561013898</v>
      </c>
      <c r="P9" s="3" t="s">
        <v>2</v>
      </c>
      <c r="Q9" s="8">
        <f t="shared" si="0"/>
        <v>-1.3231064664873795</v>
      </c>
      <c r="R9" s="8">
        <f t="shared" si="1"/>
        <v>1.5605029937597292</v>
      </c>
      <c r="S9" s="2">
        <f t="shared" si="2"/>
        <v>8.0145017416290365</v>
      </c>
      <c r="T9" s="2">
        <f t="shared" si="3"/>
        <v>4.1198280747105711</v>
      </c>
      <c r="U9" s="2">
        <f t="shared" si="4"/>
        <v>7.001958406176505</v>
      </c>
      <c r="V9" s="2">
        <f t="shared" si="5"/>
        <v>3.2788620681495919</v>
      </c>
      <c r="W9" s="9">
        <f t="shared" si="6"/>
        <v>5.939077068149591</v>
      </c>
    </row>
    <row r="10" spans="2:23" x14ac:dyDescent="0.2">
      <c r="B10" s="3">
        <v>6</v>
      </c>
      <c r="C10" s="8">
        <v>7.0142776245510996</v>
      </c>
      <c r="D10" s="8">
        <v>6.9133903293173899</v>
      </c>
      <c r="E10" s="13">
        <v>2.99579</v>
      </c>
      <c r="G10" s="3">
        <v>6</v>
      </c>
      <c r="H10" s="8">
        <v>-16.920000000000002</v>
      </c>
      <c r="I10" s="8">
        <v>-12.402999999999999</v>
      </c>
      <c r="J10" s="2">
        <v>-7.5169654719365653</v>
      </c>
      <c r="K10" s="2">
        <v>-7.1008135560906496</v>
      </c>
      <c r="L10" s="2">
        <v>-7.9664133426623422</v>
      </c>
      <c r="M10" s="2">
        <v>-10.513647249944714</v>
      </c>
      <c r="N10" s="9">
        <v>-6.783684249944713</v>
      </c>
      <c r="P10" s="3">
        <v>6</v>
      </c>
      <c r="Q10" s="8">
        <f t="shared" si="0"/>
        <v>-10.006609670682611</v>
      </c>
      <c r="R10" s="8">
        <f t="shared" si="1"/>
        <v>-5.3887223754488991</v>
      </c>
      <c r="S10" s="2">
        <f t="shared" si="2"/>
        <v>-0.50268784738546568</v>
      </c>
      <c r="T10" s="2">
        <f t="shared" si="3"/>
        <v>-8.6535931539549971E-2</v>
      </c>
      <c r="U10" s="2">
        <f t="shared" si="4"/>
        <v>-0.95213571811124265</v>
      </c>
      <c r="V10" s="2">
        <f t="shared" si="5"/>
        <v>-3.4993696253936148</v>
      </c>
      <c r="W10" s="9">
        <f t="shared" si="6"/>
        <v>0.23059337460638663</v>
      </c>
    </row>
    <row r="11" spans="2:23" x14ac:dyDescent="0.2">
      <c r="B11" s="3" t="s">
        <v>3</v>
      </c>
      <c r="C11" s="8">
        <v>4.6398918635476996</v>
      </c>
      <c r="D11" s="8">
        <v>5.3524413638608301</v>
      </c>
      <c r="E11" s="13">
        <v>2.9601199999999999</v>
      </c>
      <c r="G11" s="3" t="s">
        <v>3</v>
      </c>
      <c r="H11" s="8">
        <v>-8.1449999999999996</v>
      </c>
      <c r="I11" s="8">
        <v>-3.6589999999999989</v>
      </c>
      <c r="J11" s="2">
        <v>-0.86186628217230421</v>
      </c>
      <c r="K11" s="2">
        <v>-2.1510695295895204</v>
      </c>
      <c r="L11" s="2">
        <v>-1.9935167950973209</v>
      </c>
      <c r="M11" s="2">
        <v>-3.3645755965208473</v>
      </c>
      <c r="N11" s="9">
        <v>-1.5717075965208487</v>
      </c>
      <c r="P11" s="3" t="s">
        <v>3</v>
      </c>
      <c r="Q11" s="8">
        <f t="shared" si="0"/>
        <v>-2.7925586361391694</v>
      </c>
      <c r="R11" s="8">
        <f t="shared" si="1"/>
        <v>0.98089186354770064</v>
      </c>
      <c r="S11" s="2">
        <f t="shared" si="2"/>
        <v>3.7780255813753953</v>
      </c>
      <c r="T11" s="2">
        <f t="shared" si="3"/>
        <v>2.4888223339581792</v>
      </c>
      <c r="U11" s="2">
        <f t="shared" si="4"/>
        <v>2.6463750684503786</v>
      </c>
      <c r="V11" s="2">
        <f t="shared" si="5"/>
        <v>1.2753162670268523</v>
      </c>
      <c r="W11" s="9">
        <f t="shared" si="6"/>
        <v>3.0681842670268509</v>
      </c>
    </row>
    <row r="12" spans="2:23" x14ac:dyDescent="0.2">
      <c r="B12" s="3" t="s">
        <v>4</v>
      </c>
      <c r="C12" s="8">
        <v>4.3762174606865596</v>
      </c>
      <c r="D12" s="8">
        <v>4.9784561944974604</v>
      </c>
      <c r="E12" s="13">
        <v>3.3161399999999999</v>
      </c>
      <c r="G12" s="3" t="s">
        <v>4</v>
      </c>
      <c r="H12" s="8">
        <v>-6.6509999999999998</v>
      </c>
      <c r="I12" s="8">
        <v>-2.0060000000000002</v>
      </c>
      <c r="J12" s="2">
        <v>3.0908552566226781</v>
      </c>
      <c r="K12" s="2">
        <v>2.1357102007083579</v>
      </c>
      <c r="L12" s="2">
        <v>1.0823246241273043</v>
      </c>
      <c r="M12" s="2">
        <v>-0.75647159948929144</v>
      </c>
      <c r="N12" s="9">
        <v>0.88965240051070893</v>
      </c>
      <c r="P12" s="3" t="s">
        <v>4</v>
      </c>
      <c r="Q12" s="8">
        <f t="shared" si="0"/>
        <v>-1.6725438055025394</v>
      </c>
      <c r="R12" s="8">
        <f t="shared" si="1"/>
        <v>2.3702174606865594</v>
      </c>
      <c r="S12" s="2">
        <f t="shared" si="2"/>
        <v>7.4670727173092377</v>
      </c>
      <c r="T12" s="2">
        <f t="shared" si="3"/>
        <v>6.5119276613949175</v>
      </c>
      <c r="U12" s="2">
        <f t="shared" si="4"/>
        <v>5.4585420848138639</v>
      </c>
      <c r="V12" s="2">
        <f t="shared" si="5"/>
        <v>3.6197458611972682</v>
      </c>
      <c r="W12" s="9">
        <f t="shared" si="6"/>
        <v>5.2658698611972685</v>
      </c>
    </row>
    <row r="13" spans="2:23" x14ac:dyDescent="0.2">
      <c r="B13" s="3" t="s">
        <v>5</v>
      </c>
      <c r="C13" s="8">
        <v>5.6855578304758803</v>
      </c>
      <c r="D13" s="8">
        <v>5.4623792810339999</v>
      </c>
      <c r="E13" s="13">
        <v>2.41899</v>
      </c>
      <c r="G13" s="3" t="s">
        <v>5</v>
      </c>
      <c r="H13" s="8">
        <v>-1.6600000000000001</v>
      </c>
      <c r="I13" s="8">
        <v>-3.0659999999999989</v>
      </c>
      <c r="J13" s="2">
        <v>7.9484396934730999</v>
      </c>
      <c r="K13" s="2">
        <v>-0.70171913980836109</v>
      </c>
      <c r="L13" s="2">
        <v>8.1684124211704727</v>
      </c>
      <c r="M13" s="2">
        <v>4.2300894683240422</v>
      </c>
      <c r="N13" s="9">
        <v>6.0758314683240418</v>
      </c>
      <c r="P13" s="3" t="s">
        <v>5</v>
      </c>
      <c r="Q13" s="8">
        <f t="shared" si="0"/>
        <v>3.8023792810339998</v>
      </c>
      <c r="R13" s="8">
        <f t="shared" si="1"/>
        <v>2.6195578304758813</v>
      </c>
      <c r="S13" s="2">
        <f t="shared" si="2"/>
        <v>13.633997523948981</v>
      </c>
      <c r="T13" s="2">
        <f t="shared" si="3"/>
        <v>4.9838386906675192</v>
      </c>
      <c r="U13" s="2">
        <f t="shared" si="4"/>
        <v>13.853970251646352</v>
      </c>
      <c r="V13" s="2">
        <f t="shared" si="5"/>
        <v>9.9156472987999216</v>
      </c>
      <c r="W13" s="9">
        <f t="shared" si="6"/>
        <v>11.761389298799923</v>
      </c>
    </row>
    <row r="14" spans="2:23" x14ac:dyDescent="0.2">
      <c r="B14" s="3" t="s">
        <v>6</v>
      </c>
      <c r="C14" s="8">
        <v>6.1511017857612398</v>
      </c>
      <c r="D14" s="8">
        <v>6.2269395001289496</v>
      </c>
      <c r="E14" s="13">
        <v>3.01657999999999</v>
      </c>
      <c r="G14" s="3" t="s">
        <v>6</v>
      </c>
      <c r="H14" s="8">
        <v>-2.3990000000000009</v>
      </c>
      <c r="I14" s="8">
        <v>-5.391</v>
      </c>
      <c r="J14" s="2">
        <v>-1.8593400890109475</v>
      </c>
      <c r="K14" s="2">
        <v>-3.1446951589011736</v>
      </c>
      <c r="L14" s="2">
        <v>-1.0466787508510773</v>
      </c>
      <c r="M14" s="2">
        <v>-4.4000003310902951</v>
      </c>
      <c r="N14" s="9">
        <v>-1.7093793310902949</v>
      </c>
      <c r="P14" s="3" t="s">
        <v>6</v>
      </c>
      <c r="Q14" s="8">
        <f t="shared" si="0"/>
        <v>3.8279395001289487</v>
      </c>
      <c r="R14" s="8">
        <f t="shared" si="1"/>
        <v>0.76010178576123977</v>
      </c>
      <c r="S14" s="2">
        <f t="shared" si="2"/>
        <v>4.2917616967502923</v>
      </c>
      <c r="T14" s="2">
        <f t="shared" si="3"/>
        <v>3.0064066268600662</v>
      </c>
      <c r="U14" s="2">
        <f t="shared" si="4"/>
        <v>5.1044230349101625</v>
      </c>
      <c r="V14" s="2">
        <f t="shared" si="5"/>
        <v>1.7511014546709447</v>
      </c>
      <c r="W14" s="9">
        <f t="shared" si="6"/>
        <v>4.4417224546709448</v>
      </c>
    </row>
    <row r="15" spans="2:23" x14ac:dyDescent="0.2">
      <c r="B15" s="3">
        <v>9</v>
      </c>
      <c r="C15" s="8">
        <v>1.4647700591737101</v>
      </c>
      <c r="D15" s="8">
        <v>4.1330461484548797</v>
      </c>
      <c r="E15" s="13">
        <v>0.46799999999999897</v>
      </c>
      <c r="G15" s="3">
        <v>9</v>
      </c>
      <c r="H15" s="8">
        <v>-0.2710000000000008</v>
      </c>
      <c r="I15" s="8">
        <v>8.5719999999999992</v>
      </c>
      <c r="J15" s="2">
        <v>9.3924346812356951</v>
      </c>
      <c r="K15" s="2">
        <v>8.0038765637541083</v>
      </c>
      <c r="L15" s="2">
        <v>6.9718609909647586</v>
      </c>
      <c r="M15" s="2">
        <v>6.680236292246633</v>
      </c>
      <c r="N15" s="9">
        <v>7.5534282922466325</v>
      </c>
      <c r="P15" s="3">
        <v>9</v>
      </c>
      <c r="Q15" s="8">
        <f t="shared" si="0"/>
        <v>3.8620461484548789</v>
      </c>
      <c r="R15" s="8">
        <f t="shared" si="1"/>
        <v>10.036770059173708</v>
      </c>
      <c r="S15" s="2">
        <f t="shared" si="2"/>
        <v>10.857204740409404</v>
      </c>
      <c r="T15" s="2">
        <f t="shared" si="3"/>
        <v>9.4686466229278174</v>
      </c>
      <c r="U15" s="2">
        <f t="shared" si="4"/>
        <v>8.4366310501384696</v>
      </c>
      <c r="V15" s="2">
        <f t="shared" si="5"/>
        <v>8.1450063514203421</v>
      </c>
      <c r="W15" s="9">
        <f t="shared" si="6"/>
        <v>9.0181983514203417</v>
      </c>
    </row>
    <row r="16" spans="2:23" x14ac:dyDescent="0.2">
      <c r="B16" s="3">
        <v>10</v>
      </c>
      <c r="C16" s="8">
        <v>13.4194264973576</v>
      </c>
      <c r="D16" s="8">
        <v>15.5260445158777</v>
      </c>
      <c r="E16" s="13">
        <v>5.53653</v>
      </c>
      <c r="G16" s="3">
        <v>10</v>
      </c>
      <c r="H16" s="8">
        <v>-19.286000000000001</v>
      </c>
      <c r="I16" s="8">
        <v>-17.512</v>
      </c>
      <c r="J16" s="2">
        <v>-13.243790086358921</v>
      </c>
      <c r="K16" s="2">
        <v>-10.553166437489313</v>
      </c>
      <c r="L16" s="2">
        <v>-12.293873897995102</v>
      </c>
      <c r="M16" s="2">
        <v>-15.169895154446039</v>
      </c>
      <c r="N16" s="9">
        <v>-10.661348154446038</v>
      </c>
      <c r="P16" s="3">
        <v>10</v>
      </c>
      <c r="Q16" s="8">
        <f t="shared" si="0"/>
        <v>-3.7599554841223011</v>
      </c>
      <c r="R16" s="8">
        <f t="shared" si="1"/>
        <v>-4.0925735026424004</v>
      </c>
      <c r="S16" s="2">
        <f t="shared" si="2"/>
        <v>0.17563641099867944</v>
      </c>
      <c r="T16" s="2">
        <f t="shared" si="3"/>
        <v>2.8662600598682868</v>
      </c>
      <c r="U16" s="2">
        <f t="shared" si="4"/>
        <v>1.1255525993624982</v>
      </c>
      <c r="V16" s="2">
        <f t="shared" si="5"/>
        <v>-1.7504686570884385</v>
      </c>
      <c r="W16" s="9">
        <f t="shared" si="6"/>
        <v>2.7580783429115616</v>
      </c>
    </row>
    <row r="17" spans="2:23" x14ac:dyDescent="0.2">
      <c r="B17" s="3">
        <v>11</v>
      </c>
      <c r="C17" s="8">
        <v>15.0539685967463</v>
      </c>
      <c r="D17" s="8">
        <v>13.9955694801939</v>
      </c>
      <c r="E17" s="13">
        <v>6.7376899999999997</v>
      </c>
      <c r="G17" s="3">
        <v>11</v>
      </c>
      <c r="H17" s="8">
        <v>-17.533000000000001</v>
      </c>
      <c r="I17" s="8">
        <v>-17.725000000000001</v>
      </c>
      <c r="J17" s="2">
        <v>-12.941195381704247</v>
      </c>
      <c r="K17" s="2">
        <v>-6.6384783168951387</v>
      </c>
      <c r="L17" s="2">
        <v>-10.740644022684165</v>
      </c>
      <c r="M17" s="2">
        <v>-14.523947704815001</v>
      </c>
      <c r="N17" s="9">
        <v>-9.4745677048150014</v>
      </c>
      <c r="P17" s="3">
        <v>11</v>
      </c>
      <c r="Q17" s="8">
        <f t="shared" si="0"/>
        <v>-3.5374305198061009</v>
      </c>
      <c r="R17" s="8">
        <f t="shared" si="1"/>
        <v>-2.6710314032537017</v>
      </c>
      <c r="S17" s="2">
        <f t="shared" si="2"/>
        <v>2.1127732150420524</v>
      </c>
      <c r="T17" s="2">
        <f t="shared" si="3"/>
        <v>8.415490279851161</v>
      </c>
      <c r="U17" s="2">
        <f t="shared" si="4"/>
        <v>4.3133245740621344</v>
      </c>
      <c r="V17" s="2">
        <f t="shared" si="5"/>
        <v>0.53002089193129898</v>
      </c>
      <c r="W17" s="9">
        <f t="shared" si="6"/>
        <v>5.5794008919312983</v>
      </c>
    </row>
    <row r="18" spans="2:23" x14ac:dyDescent="0.2">
      <c r="B18" s="3">
        <v>12</v>
      </c>
      <c r="C18" s="8">
        <v>10.5081092048652</v>
      </c>
      <c r="D18" s="8">
        <v>13.5092987311592</v>
      </c>
      <c r="E18" s="13">
        <v>4.9198199999999996</v>
      </c>
      <c r="G18" s="3">
        <v>12</v>
      </c>
      <c r="H18" s="8">
        <v>-15.952999999999999</v>
      </c>
      <c r="I18" s="8">
        <v>-10.502000000000002</v>
      </c>
      <c r="J18" s="2">
        <v>-6.945750343981512</v>
      </c>
      <c r="K18" s="2">
        <v>-7.8896593202672847</v>
      </c>
      <c r="L18" s="2">
        <v>-7.0205970482021556</v>
      </c>
      <c r="M18" s="2">
        <v>-9.2524960007588888</v>
      </c>
      <c r="N18" s="9">
        <v>-5.8365050007588906</v>
      </c>
      <c r="P18" s="3">
        <v>12</v>
      </c>
      <c r="Q18" s="8">
        <f t="shared" si="0"/>
        <v>-2.4437012688407993</v>
      </c>
      <c r="R18" s="8">
        <f t="shared" si="1"/>
        <v>6.1092048651971709E-3</v>
      </c>
      <c r="S18" s="2">
        <f t="shared" si="2"/>
        <v>3.5623588608836876</v>
      </c>
      <c r="T18" s="2">
        <f t="shared" si="3"/>
        <v>2.6184498845979149</v>
      </c>
      <c r="U18" s="2">
        <f t="shared" si="4"/>
        <v>3.487512156663044</v>
      </c>
      <c r="V18" s="2">
        <f t="shared" si="5"/>
        <v>1.2556132041063108</v>
      </c>
      <c r="W18" s="9">
        <f t="shared" si="6"/>
        <v>4.6716042041063091</v>
      </c>
    </row>
    <row r="19" spans="2:23" x14ac:dyDescent="0.2">
      <c r="B19" s="3">
        <v>13</v>
      </c>
      <c r="C19" s="8">
        <v>7.1272324976761396</v>
      </c>
      <c r="D19" s="8">
        <v>6.9927701794247596</v>
      </c>
      <c r="E19" s="13">
        <v>2.6850299999999998</v>
      </c>
      <c r="G19" s="3">
        <v>13</v>
      </c>
      <c r="H19" s="8">
        <v>-7.4819999999999993</v>
      </c>
      <c r="I19" s="8">
        <v>-7.5229999999999997</v>
      </c>
      <c r="J19" s="2">
        <v>-4.6284158708655525</v>
      </c>
      <c r="K19" s="2">
        <v>-2.7976197919295061</v>
      </c>
      <c r="L19" s="2">
        <v>-4.2960450277200408</v>
      </c>
      <c r="M19" s="2">
        <v>-6.5482340260570062</v>
      </c>
      <c r="N19" s="9">
        <v>-3.9867400260570065</v>
      </c>
      <c r="P19" s="3">
        <v>13</v>
      </c>
      <c r="Q19" s="8">
        <f t="shared" si="0"/>
        <v>-0.48922982057523967</v>
      </c>
      <c r="R19" s="8">
        <f t="shared" si="1"/>
        <v>-0.39576750232386004</v>
      </c>
      <c r="S19" s="2">
        <f t="shared" si="2"/>
        <v>2.4988166268105871</v>
      </c>
      <c r="T19" s="2">
        <f t="shared" si="3"/>
        <v>4.3296127057466336</v>
      </c>
      <c r="U19" s="2">
        <f t="shared" si="4"/>
        <v>2.8311874699560988</v>
      </c>
      <c r="V19" s="2">
        <f t="shared" si="5"/>
        <v>0.57899847161913343</v>
      </c>
      <c r="W19" s="9">
        <f t="shared" si="6"/>
        <v>3.1404924716191331</v>
      </c>
    </row>
    <row r="20" spans="2:23" x14ac:dyDescent="0.2">
      <c r="B20" s="3">
        <v>14</v>
      </c>
      <c r="C20" s="8">
        <v>8.2829732665741709</v>
      </c>
      <c r="D20" s="8">
        <v>8.0114739626142892</v>
      </c>
      <c r="E20" s="13">
        <v>3.4141699999999999</v>
      </c>
      <c r="G20" s="3">
        <v>14</v>
      </c>
      <c r="H20" s="8">
        <v>-6.0429999999999993</v>
      </c>
      <c r="I20" s="8">
        <v>-11.861000000000001</v>
      </c>
      <c r="J20" s="2">
        <v>-6.1859884560908789</v>
      </c>
      <c r="K20" s="2">
        <v>-10.930846471538011</v>
      </c>
      <c r="L20" s="2">
        <v>-6.7376776594724603</v>
      </c>
      <c r="M20" s="2">
        <v>-10.94740280386678</v>
      </c>
      <c r="N20" s="9">
        <v>-7.7778888038667802</v>
      </c>
      <c r="P20" s="3">
        <v>14</v>
      </c>
      <c r="Q20" s="8">
        <f t="shared" si="0"/>
        <v>1.96847396261429</v>
      </c>
      <c r="R20" s="8">
        <f t="shared" si="1"/>
        <v>-3.5780267334258298</v>
      </c>
      <c r="S20" s="2">
        <f t="shared" si="2"/>
        <v>2.096984810483292</v>
      </c>
      <c r="T20" s="2">
        <f t="shared" si="3"/>
        <v>-2.6478732049638403</v>
      </c>
      <c r="U20" s="2">
        <f t="shared" si="4"/>
        <v>1.5452956071017105</v>
      </c>
      <c r="V20" s="2">
        <f t="shared" si="5"/>
        <v>-2.6644295372926088</v>
      </c>
      <c r="W20" s="9">
        <f t="shared" si="6"/>
        <v>0.50508446270739071</v>
      </c>
    </row>
    <row r="21" spans="2:23" x14ac:dyDescent="0.2">
      <c r="B21" s="3">
        <v>15</v>
      </c>
      <c r="C21" s="8">
        <v>7.05124250981528</v>
      </c>
      <c r="D21" s="8">
        <v>8.1889981591077401</v>
      </c>
      <c r="E21" s="13">
        <v>2.4456500000000001</v>
      </c>
      <c r="G21" s="3">
        <v>15</v>
      </c>
      <c r="H21" s="8">
        <v>-12.356999999999999</v>
      </c>
      <c r="I21" s="8">
        <v>-7.2059999999999995</v>
      </c>
      <c r="J21" s="2">
        <v>-6.0147718934355154</v>
      </c>
      <c r="K21" s="2">
        <v>-6.7197510518107855</v>
      </c>
      <c r="L21" s="2">
        <v>-6.6206988105352913</v>
      </c>
      <c r="M21" s="2">
        <v>-8.2536645027296096</v>
      </c>
      <c r="N21" s="9">
        <v>-5.8926435027296087</v>
      </c>
      <c r="P21" s="3">
        <v>15</v>
      </c>
      <c r="Q21" s="8">
        <f t="shared" si="0"/>
        <v>-4.1680018408922592</v>
      </c>
      <c r="R21" s="8">
        <f t="shared" si="1"/>
        <v>-0.15475749018471952</v>
      </c>
      <c r="S21" s="2">
        <f t="shared" si="2"/>
        <v>1.0364706163797646</v>
      </c>
      <c r="T21" s="2">
        <f t="shared" si="3"/>
        <v>0.33149145800449453</v>
      </c>
      <c r="U21" s="2">
        <f t="shared" si="4"/>
        <v>0.4305436992799887</v>
      </c>
      <c r="V21" s="2">
        <f t="shared" si="5"/>
        <v>-1.2024219929143296</v>
      </c>
      <c r="W21" s="9">
        <f t="shared" si="6"/>
        <v>1.1585990070856713</v>
      </c>
    </row>
    <row r="22" spans="2:23" ht="17" thickBot="1" x14ac:dyDescent="0.25">
      <c r="B22" s="4">
        <v>16</v>
      </c>
      <c r="C22" s="10">
        <v>4.7017801715944199</v>
      </c>
      <c r="D22" s="10">
        <v>5.44380064327955</v>
      </c>
      <c r="E22" s="14">
        <v>3.1227699999999898</v>
      </c>
      <c r="G22" s="4">
        <v>16</v>
      </c>
      <c r="H22" s="10">
        <v>-9.4169999999999998</v>
      </c>
      <c r="I22" s="10">
        <v>-4.5210000000000008</v>
      </c>
      <c r="J22" s="11">
        <v>-1.4464125098230554</v>
      </c>
      <c r="K22" s="11">
        <v>-2.5648460078373709</v>
      </c>
      <c r="L22" s="11">
        <v>-2.9763365251334299</v>
      </c>
      <c r="M22" s="11">
        <v>-4.323142675700069</v>
      </c>
      <c r="N22" s="12">
        <v>-2.525239675700071</v>
      </c>
      <c r="P22" s="4">
        <v>16</v>
      </c>
      <c r="Q22" s="10">
        <f t="shared" si="0"/>
        <v>-3.9731993567204498</v>
      </c>
      <c r="R22" s="10">
        <f t="shared" si="1"/>
        <v>0.18078017159441906</v>
      </c>
      <c r="S22" s="11">
        <f t="shared" si="2"/>
        <v>3.2553676617713645</v>
      </c>
      <c r="T22" s="11">
        <f t="shared" si="3"/>
        <v>2.1369341637570489</v>
      </c>
      <c r="U22" s="11">
        <f t="shared" si="4"/>
        <v>1.7254436464609899</v>
      </c>
      <c r="V22" s="11">
        <f t="shared" si="5"/>
        <v>0.37863749589435081</v>
      </c>
      <c r="W22" s="12">
        <f t="shared" si="6"/>
        <v>2.1765404958943488</v>
      </c>
    </row>
    <row r="24" spans="2:23" ht="17" thickBot="1" x14ac:dyDescent="0.25">
      <c r="C24" s="17"/>
      <c r="D24" s="17"/>
      <c r="E24" s="2"/>
      <c r="P24" s="29" t="s">
        <v>31</v>
      </c>
      <c r="Q24" s="29"/>
      <c r="R24" s="29"/>
      <c r="S24" s="29"/>
      <c r="T24" s="29"/>
      <c r="U24" s="29"/>
      <c r="V24" s="29"/>
      <c r="W24" s="29"/>
    </row>
    <row r="25" spans="2:23" x14ac:dyDescent="0.2">
      <c r="C25" s="17"/>
      <c r="P25" s="30" t="s">
        <v>0</v>
      </c>
      <c r="Q25" s="32" t="s">
        <v>9</v>
      </c>
      <c r="R25" s="32" t="s">
        <v>10</v>
      </c>
      <c r="S25" s="5" t="s">
        <v>7</v>
      </c>
      <c r="T25" s="36" t="s">
        <v>13</v>
      </c>
      <c r="U25" s="36"/>
      <c r="V25" s="5" t="s">
        <v>15</v>
      </c>
      <c r="W25" s="6" t="s">
        <v>16</v>
      </c>
    </row>
    <row r="26" spans="2:23" x14ac:dyDescent="0.2">
      <c r="C26" s="17"/>
      <c r="H26" s="2"/>
      <c r="I26" s="2"/>
      <c r="J26" s="2"/>
      <c r="P26" s="31"/>
      <c r="Q26" s="33"/>
      <c r="R26" s="33"/>
      <c r="S26" s="1" t="s">
        <v>12</v>
      </c>
      <c r="T26" s="1" t="s">
        <v>12</v>
      </c>
      <c r="U26" s="1" t="s">
        <v>14</v>
      </c>
      <c r="V26" s="1" t="s">
        <v>8</v>
      </c>
      <c r="W26" s="7" t="s">
        <v>8</v>
      </c>
    </row>
    <row r="27" spans="2:23" x14ac:dyDescent="0.2">
      <c r="C27" s="17"/>
      <c r="H27" s="2"/>
      <c r="I27" s="2"/>
      <c r="J27" s="2"/>
      <c r="P27" s="3">
        <v>1</v>
      </c>
      <c r="Q27" s="8">
        <f>H4+E4</f>
        <v>-19.22919000000001</v>
      </c>
      <c r="R27" s="8">
        <f>I4+E4</f>
        <v>-16.274190000000011</v>
      </c>
      <c r="S27" s="2">
        <f>J4+E4</f>
        <v>-13.031015544827332</v>
      </c>
      <c r="T27" s="2">
        <f>K4+E4</f>
        <v>-10.05356099378008</v>
      </c>
      <c r="U27" s="2">
        <f>L4+E4</f>
        <v>-10.465895542808815</v>
      </c>
      <c r="V27" s="2">
        <f>M4+E4</f>
        <v>-13.578323965620838</v>
      </c>
      <c r="W27" s="9">
        <f>N4+E4</f>
        <v>-8.1929889656208399</v>
      </c>
    </row>
    <row r="28" spans="2:23" x14ac:dyDescent="0.2">
      <c r="C28" s="17"/>
      <c r="H28" s="2"/>
      <c r="I28" s="2"/>
      <c r="J28" s="2"/>
      <c r="N28" s="2"/>
      <c r="P28" s="3">
        <v>2</v>
      </c>
      <c r="Q28" s="8">
        <f t="shared" ref="Q28:Q45" si="7">H5+E5</f>
        <v>-5.0483399999999996</v>
      </c>
      <c r="R28" s="8">
        <f t="shared" ref="R28:R45" si="8">I5+E5</f>
        <v>-8.3433400000000013</v>
      </c>
      <c r="S28" s="2">
        <f t="shared" ref="S28:S45" si="9">J5+E5</f>
        <v>-3.5948681505776787</v>
      </c>
      <c r="T28" s="2">
        <f t="shared" ref="T28:T45" si="10">K5+E5</f>
        <v>-7.2698648351739585</v>
      </c>
      <c r="U28" s="2">
        <f t="shared" ref="U28:U45" si="11">L5+E5</f>
        <v>-4.40928622653907</v>
      </c>
      <c r="V28" s="2">
        <f t="shared" ref="V28:V45" si="12">M5+E5</f>
        <v>-7.1434504771941256</v>
      </c>
      <c r="W28" s="9">
        <f t="shared" ref="W28:W45" si="13">N5+E5</f>
        <v>-4.778754477194127</v>
      </c>
    </row>
    <row r="29" spans="2:23" x14ac:dyDescent="0.2">
      <c r="C29" s="17"/>
      <c r="H29" s="2"/>
      <c r="I29" s="2"/>
      <c r="J29" s="2"/>
      <c r="N29" s="2"/>
      <c r="P29" s="3">
        <v>3</v>
      </c>
      <c r="Q29" s="8">
        <f t="shared" si="7"/>
        <v>-9.5337600000000098</v>
      </c>
      <c r="R29" s="8">
        <f t="shared" si="8"/>
        <v>-4.5997600000000123</v>
      </c>
      <c r="S29" s="2">
        <f t="shared" si="9"/>
        <v>-1.1442751213540401</v>
      </c>
      <c r="T29" s="2">
        <f t="shared" si="10"/>
        <v>-3.9200958631626346</v>
      </c>
      <c r="U29" s="2">
        <f t="shared" si="11"/>
        <v>-2.8474382366753463</v>
      </c>
      <c r="V29" s="2">
        <f t="shared" si="12"/>
        <v>-6.5012676794133757</v>
      </c>
      <c r="W29" s="9">
        <f t="shared" si="13"/>
        <v>-2.5415716794133747</v>
      </c>
    </row>
    <row r="30" spans="2:23" x14ac:dyDescent="0.2">
      <c r="C30" s="17"/>
      <c r="H30" s="2"/>
      <c r="I30" s="2"/>
      <c r="J30" s="2"/>
      <c r="N30" s="2"/>
      <c r="P30" s="3">
        <v>4</v>
      </c>
      <c r="Q30" s="8">
        <f t="shared" si="7"/>
        <v>-4.1983100000000091</v>
      </c>
      <c r="R30" s="8">
        <f t="shared" si="8"/>
        <v>1.9806899999999912</v>
      </c>
      <c r="S30" s="2">
        <f t="shared" si="9"/>
        <v>6.6340814145046503</v>
      </c>
      <c r="T30" s="2">
        <f t="shared" si="10"/>
        <v>2.2433273413580634</v>
      </c>
      <c r="U30" s="2">
        <f t="shared" si="11"/>
        <v>1.8740316243043251</v>
      </c>
      <c r="V30" s="2">
        <f t="shared" si="12"/>
        <v>0.40693242180166944</v>
      </c>
      <c r="W30" s="9">
        <f t="shared" si="13"/>
        <v>2.2457034218016707</v>
      </c>
    </row>
    <row r="31" spans="2:23" x14ac:dyDescent="0.2">
      <c r="C31" s="17"/>
      <c r="H31" s="2"/>
      <c r="I31" s="2"/>
      <c r="J31" s="2"/>
      <c r="P31" s="3" t="s">
        <v>1</v>
      </c>
      <c r="Q31" s="8">
        <f t="shared" si="7"/>
        <v>-6.6365399999999983</v>
      </c>
      <c r="R31" s="8">
        <f t="shared" si="8"/>
        <v>-1.7205400000000011</v>
      </c>
      <c r="S31" s="2">
        <f t="shared" si="9"/>
        <v>3.52950488624148</v>
      </c>
      <c r="T31" s="2">
        <f t="shared" si="10"/>
        <v>-0.1090429466600944</v>
      </c>
      <c r="U31" s="2">
        <f t="shared" si="11"/>
        <v>3.2497508938091664</v>
      </c>
      <c r="V31" s="2">
        <f t="shared" si="12"/>
        <v>0.45391228784591187</v>
      </c>
      <c r="W31" s="9">
        <f t="shared" si="13"/>
        <v>2.542434287845913</v>
      </c>
    </row>
    <row r="32" spans="2:23" x14ac:dyDescent="0.2">
      <c r="C32" s="17"/>
      <c r="H32" s="2"/>
      <c r="I32" s="2"/>
      <c r="J32" s="2"/>
      <c r="N32" s="2"/>
      <c r="P32" s="3" t="s">
        <v>2</v>
      </c>
      <c r="Q32" s="8">
        <f t="shared" si="7"/>
        <v>-3.9414199999999995</v>
      </c>
      <c r="R32" s="8">
        <f t="shared" si="8"/>
        <v>-0.78842000000000079</v>
      </c>
      <c r="S32" s="2">
        <f t="shared" si="9"/>
        <v>5.665578747869306</v>
      </c>
      <c r="T32" s="2">
        <f t="shared" si="10"/>
        <v>1.7709050809508411</v>
      </c>
      <c r="U32" s="2">
        <f t="shared" si="11"/>
        <v>4.6530354124167754</v>
      </c>
      <c r="V32" s="2">
        <f t="shared" si="12"/>
        <v>0.9299390743898619</v>
      </c>
      <c r="W32" s="9">
        <f t="shared" si="13"/>
        <v>3.590154074389861</v>
      </c>
    </row>
    <row r="33" spans="3:23" x14ac:dyDescent="0.2">
      <c r="C33" s="17"/>
      <c r="H33" s="2"/>
      <c r="I33" s="2"/>
      <c r="J33" s="2"/>
      <c r="N33" s="2"/>
      <c r="P33" s="3">
        <v>6</v>
      </c>
      <c r="Q33" s="8">
        <f t="shared" si="7"/>
        <v>-13.924210000000002</v>
      </c>
      <c r="R33" s="8">
        <f t="shared" si="8"/>
        <v>-9.4072099999999992</v>
      </c>
      <c r="S33" s="2">
        <f t="shared" si="9"/>
        <v>-4.5211754719365658</v>
      </c>
      <c r="T33" s="2">
        <f t="shared" si="10"/>
        <v>-4.1050235560906501</v>
      </c>
      <c r="U33" s="2">
        <f t="shared" si="11"/>
        <v>-4.9706233426623427</v>
      </c>
      <c r="V33" s="2">
        <f t="shared" si="12"/>
        <v>-7.5178572499447149</v>
      </c>
      <c r="W33" s="9">
        <f t="shared" si="13"/>
        <v>-3.787894249944713</v>
      </c>
    </row>
    <row r="34" spans="3:23" x14ac:dyDescent="0.2">
      <c r="C34" s="17"/>
      <c r="H34" s="2"/>
      <c r="I34" s="2"/>
      <c r="J34" s="2"/>
      <c r="N34" s="2"/>
      <c r="P34" s="3" t="s">
        <v>3</v>
      </c>
      <c r="Q34" s="8">
        <f t="shared" si="7"/>
        <v>-5.1848799999999997</v>
      </c>
      <c r="R34" s="8">
        <f t="shared" si="8"/>
        <v>-0.69887999999999906</v>
      </c>
      <c r="S34" s="2">
        <f t="shared" si="9"/>
        <v>2.0982537178276957</v>
      </c>
      <c r="T34" s="2">
        <f t="shared" si="10"/>
        <v>0.80905047041047951</v>
      </c>
      <c r="U34" s="2">
        <f t="shared" si="11"/>
        <v>0.96660320490267893</v>
      </c>
      <c r="V34" s="2">
        <f t="shared" si="12"/>
        <v>-0.40445559652084739</v>
      </c>
      <c r="W34" s="9">
        <f t="shared" si="13"/>
        <v>1.3884124034791512</v>
      </c>
    </row>
    <row r="35" spans="3:23" x14ac:dyDescent="0.2">
      <c r="C35" s="17"/>
      <c r="H35" s="2"/>
      <c r="I35" s="2"/>
      <c r="J35" s="2"/>
      <c r="P35" s="3" t="s">
        <v>4</v>
      </c>
      <c r="Q35" s="8">
        <f t="shared" si="7"/>
        <v>-3.3348599999999999</v>
      </c>
      <c r="R35" s="8">
        <f t="shared" si="8"/>
        <v>1.3101399999999996</v>
      </c>
      <c r="S35" s="2">
        <f t="shared" si="9"/>
        <v>6.406995256622678</v>
      </c>
      <c r="T35" s="2">
        <f t="shared" si="10"/>
        <v>5.4518502007083578</v>
      </c>
      <c r="U35" s="2">
        <f t="shared" si="11"/>
        <v>4.3984646241273042</v>
      </c>
      <c r="V35" s="2">
        <f t="shared" si="12"/>
        <v>2.5596684005107084</v>
      </c>
      <c r="W35" s="9">
        <f t="shared" si="13"/>
        <v>4.2057924005107088</v>
      </c>
    </row>
    <row r="36" spans="3:23" x14ac:dyDescent="0.2">
      <c r="C36" s="17"/>
      <c r="H36" s="2"/>
      <c r="I36" s="2"/>
      <c r="J36" s="2"/>
      <c r="P36" s="3" t="s">
        <v>5</v>
      </c>
      <c r="Q36" s="8">
        <f t="shared" si="7"/>
        <v>0.75898999999999983</v>
      </c>
      <c r="R36" s="8">
        <f t="shared" si="8"/>
        <v>-0.64700999999999897</v>
      </c>
      <c r="S36" s="2">
        <f t="shared" si="9"/>
        <v>10.367429693473099</v>
      </c>
      <c r="T36" s="2">
        <f t="shared" si="10"/>
        <v>1.7172708601916389</v>
      </c>
      <c r="U36" s="2">
        <f t="shared" si="11"/>
        <v>10.587402421170474</v>
      </c>
      <c r="V36" s="2">
        <f t="shared" si="12"/>
        <v>6.6490794683240422</v>
      </c>
      <c r="W36" s="9">
        <f t="shared" si="13"/>
        <v>8.4948214683240408</v>
      </c>
    </row>
    <row r="37" spans="3:23" x14ac:dyDescent="0.2">
      <c r="C37" s="17"/>
      <c r="H37" s="2"/>
      <c r="I37" s="2"/>
      <c r="J37" s="2"/>
      <c r="P37" s="3" t="s">
        <v>6</v>
      </c>
      <c r="Q37" s="8">
        <f t="shared" si="7"/>
        <v>0.61757999999998914</v>
      </c>
      <c r="R37" s="8">
        <f t="shared" si="8"/>
        <v>-2.37442000000001</v>
      </c>
      <c r="S37" s="2">
        <f t="shared" si="9"/>
        <v>1.1572399109890426</v>
      </c>
      <c r="T37" s="2">
        <f t="shared" si="10"/>
        <v>-0.12811515890118352</v>
      </c>
      <c r="U37" s="2">
        <f t="shared" si="11"/>
        <v>1.9699012491489127</v>
      </c>
      <c r="V37" s="2">
        <f t="shared" si="12"/>
        <v>-1.383420331090305</v>
      </c>
      <c r="W37" s="9">
        <f t="shared" si="13"/>
        <v>1.3072006689096951</v>
      </c>
    </row>
    <row r="38" spans="3:23" x14ac:dyDescent="0.2">
      <c r="C38" s="17"/>
      <c r="H38" s="2"/>
      <c r="I38" s="2"/>
      <c r="J38" s="2"/>
      <c r="M38" s="2"/>
      <c r="P38" s="3">
        <v>9</v>
      </c>
      <c r="Q38" s="8">
        <f t="shared" si="7"/>
        <v>0.19699999999999818</v>
      </c>
      <c r="R38" s="8">
        <f t="shared" si="8"/>
        <v>9.0399999999999974</v>
      </c>
      <c r="S38" s="2">
        <f t="shared" si="9"/>
        <v>9.8604346812356933</v>
      </c>
      <c r="T38" s="2">
        <f t="shared" si="10"/>
        <v>8.4718765637541065</v>
      </c>
      <c r="U38" s="2">
        <f t="shared" si="11"/>
        <v>7.4398609909647577</v>
      </c>
      <c r="V38" s="2">
        <f t="shared" si="12"/>
        <v>7.148236292246632</v>
      </c>
      <c r="W38" s="9">
        <f t="shared" si="13"/>
        <v>8.0214282922466307</v>
      </c>
    </row>
    <row r="39" spans="3:23" x14ac:dyDescent="0.2">
      <c r="C39" s="17"/>
      <c r="H39" s="2"/>
      <c r="I39" s="2"/>
      <c r="J39" s="2"/>
      <c r="M39" s="2"/>
      <c r="P39" s="3">
        <v>10</v>
      </c>
      <c r="Q39" s="8">
        <f t="shared" si="7"/>
        <v>-13.749470000000002</v>
      </c>
      <c r="R39" s="8">
        <f t="shared" si="8"/>
        <v>-11.975470000000001</v>
      </c>
      <c r="S39" s="2">
        <f t="shared" si="9"/>
        <v>-7.7072600863589207</v>
      </c>
      <c r="T39" s="2">
        <f t="shared" si="10"/>
        <v>-5.0166364374893133</v>
      </c>
      <c r="U39" s="2">
        <f t="shared" si="11"/>
        <v>-6.7573438979951019</v>
      </c>
      <c r="V39" s="2">
        <f t="shared" si="12"/>
        <v>-9.6333651544460395</v>
      </c>
      <c r="W39" s="9">
        <f t="shared" si="13"/>
        <v>-5.1248181544460385</v>
      </c>
    </row>
    <row r="40" spans="3:23" x14ac:dyDescent="0.2">
      <c r="C40" s="17"/>
      <c r="H40" s="2"/>
      <c r="I40" s="2"/>
      <c r="J40" s="2"/>
      <c r="P40" s="3">
        <v>11</v>
      </c>
      <c r="Q40" s="8">
        <f t="shared" si="7"/>
        <v>-10.795310000000001</v>
      </c>
      <c r="R40" s="8">
        <f t="shared" si="8"/>
        <v>-10.987310000000001</v>
      </c>
      <c r="S40" s="2">
        <f t="shared" si="9"/>
        <v>-6.2035053817042476</v>
      </c>
      <c r="T40" s="2">
        <f t="shared" si="10"/>
        <v>9.9211683104861059E-2</v>
      </c>
      <c r="U40" s="2">
        <f t="shared" si="11"/>
        <v>-4.0029540226841656</v>
      </c>
      <c r="V40" s="2">
        <f t="shared" si="12"/>
        <v>-7.786257704815001</v>
      </c>
      <c r="W40" s="9">
        <f t="shared" si="13"/>
        <v>-2.7368777048150017</v>
      </c>
    </row>
    <row r="41" spans="3:23" x14ac:dyDescent="0.2">
      <c r="C41" s="17"/>
      <c r="H41" s="2"/>
      <c r="I41" s="2"/>
      <c r="J41" s="2"/>
      <c r="P41" s="3">
        <v>12</v>
      </c>
      <c r="Q41" s="8">
        <f t="shared" si="7"/>
        <v>-11.03318</v>
      </c>
      <c r="R41" s="8">
        <f t="shared" si="8"/>
        <v>-5.5821800000000028</v>
      </c>
      <c r="S41" s="2">
        <f t="shared" si="9"/>
        <v>-2.0259303439815124</v>
      </c>
      <c r="T41" s="2">
        <f t="shared" si="10"/>
        <v>-2.969839320267285</v>
      </c>
      <c r="U41" s="2">
        <f t="shared" si="11"/>
        <v>-2.1007770482021559</v>
      </c>
      <c r="V41" s="2">
        <f t="shared" si="12"/>
        <v>-4.3326760007588891</v>
      </c>
      <c r="W41" s="9">
        <f t="shared" si="13"/>
        <v>-0.91668500075889092</v>
      </c>
    </row>
    <row r="42" spans="3:23" x14ac:dyDescent="0.2">
      <c r="C42" s="17"/>
      <c r="H42" s="2"/>
      <c r="I42" s="2"/>
      <c r="J42" s="2"/>
      <c r="P42" s="3">
        <v>13</v>
      </c>
      <c r="Q42" s="8">
        <f t="shared" si="7"/>
        <v>-4.79697</v>
      </c>
      <c r="R42" s="8">
        <f t="shared" si="8"/>
        <v>-4.8379700000000003</v>
      </c>
      <c r="S42" s="2">
        <f t="shared" si="9"/>
        <v>-1.9433858708655527</v>
      </c>
      <c r="T42" s="2">
        <f t="shared" si="10"/>
        <v>-0.11258979192950624</v>
      </c>
      <c r="U42" s="2">
        <f t="shared" si="11"/>
        <v>-1.611015027720041</v>
      </c>
      <c r="V42" s="2">
        <f t="shared" si="12"/>
        <v>-3.8632040260570064</v>
      </c>
      <c r="W42" s="9">
        <f t="shared" si="13"/>
        <v>-1.3017100260570067</v>
      </c>
    </row>
    <row r="43" spans="3:23" x14ac:dyDescent="0.2">
      <c r="H43" s="2"/>
      <c r="I43" s="2"/>
      <c r="J43" s="2"/>
      <c r="P43" s="3">
        <v>14</v>
      </c>
      <c r="Q43" s="8">
        <f t="shared" si="7"/>
        <v>-2.6288299999999993</v>
      </c>
      <c r="R43" s="8">
        <f t="shared" si="8"/>
        <v>-8.4468300000000003</v>
      </c>
      <c r="S43" s="2">
        <f t="shared" si="9"/>
        <v>-2.771818456090879</v>
      </c>
      <c r="T43" s="2">
        <f t="shared" si="10"/>
        <v>-7.5166764715380108</v>
      </c>
      <c r="U43" s="2">
        <f t="shared" si="11"/>
        <v>-3.3235076594724604</v>
      </c>
      <c r="V43" s="2">
        <f t="shared" si="12"/>
        <v>-7.5332328038667793</v>
      </c>
      <c r="W43" s="9">
        <f t="shared" si="13"/>
        <v>-4.3637188038667798</v>
      </c>
    </row>
    <row r="44" spans="3:23" x14ac:dyDescent="0.2">
      <c r="H44" s="2"/>
      <c r="I44" s="2"/>
      <c r="J44" s="2"/>
      <c r="P44" s="3">
        <v>15</v>
      </c>
      <c r="Q44" s="8">
        <f t="shared" si="7"/>
        <v>-9.9113499999999988</v>
      </c>
      <c r="R44" s="8">
        <f t="shared" si="8"/>
        <v>-4.760349999999999</v>
      </c>
      <c r="S44" s="2">
        <f t="shared" si="9"/>
        <v>-3.5691218934355153</v>
      </c>
      <c r="T44" s="2">
        <f t="shared" si="10"/>
        <v>-4.2741010518107849</v>
      </c>
      <c r="U44" s="2">
        <f t="shared" si="11"/>
        <v>-4.1750488105352908</v>
      </c>
      <c r="V44" s="2">
        <f t="shared" si="12"/>
        <v>-5.8080145027296091</v>
      </c>
      <c r="W44" s="9">
        <f t="shared" si="13"/>
        <v>-3.4469935027296086</v>
      </c>
    </row>
    <row r="45" spans="3:23" ht="17" thickBot="1" x14ac:dyDescent="0.25">
      <c r="H45" s="2"/>
      <c r="I45" s="2"/>
      <c r="J45" s="2"/>
      <c r="P45" s="4">
        <v>16</v>
      </c>
      <c r="Q45" s="10">
        <f t="shared" si="7"/>
        <v>-6.2942300000000095</v>
      </c>
      <c r="R45" s="10">
        <f t="shared" si="8"/>
        <v>-1.398230000000011</v>
      </c>
      <c r="S45" s="11">
        <f t="shared" si="9"/>
        <v>1.6763574901769345</v>
      </c>
      <c r="T45" s="11">
        <f t="shared" si="10"/>
        <v>0.5579239921626189</v>
      </c>
      <c r="U45" s="11">
        <f t="shared" si="11"/>
        <v>0.14643347486655989</v>
      </c>
      <c r="V45" s="11">
        <f t="shared" si="12"/>
        <v>-1.2003726757000792</v>
      </c>
      <c r="W45" s="12">
        <f t="shared" si="13"/>
        <v>0.59753032429991881</v>
      </c>
    </row>
    <row r="47" spans="3:23" ht="17" thickBot="1" x14ac:dyDescent="0.25">
      <c r="P47" s="29" t="s">
        <v>66</v>
      </c>
      <c r="Q47" s="29"/>
      <c r="R47" s="29"/>
      <c r="S47" s="29"/>
      <c r="T47" s="29"/>
      <c r="U47" s="29"/>
      <c r="V47" s="29"/>
      <c r="W47" s="29"/>
    </row>
    <row r="48" spans="3:23" x14ac:dyDescent="0.2">
      <c r="P48" s="30" t="s">
        <v>0</v>
      </c>
      <c r="Q48" s="32" t="s">
        <v>9</v>
      </c>
      <c r="R48" s="32" t="s">
        <v>10</v>
      </c>
      <c r="S48" s="5" t="s">
        <v>7</v>
      </c>
      <c r="T48" s="36" t="s">
        <v>13</v>
      </c>
      <c r="U48" s="36"/>
      <c r="V48" s="5" t="s">
        <v>15</v>
      </c>
      <c r="W48" s="6" t="s">
        <v>16</v>
      </c>
    </row>
    <row r="49" spans="15:23" x14ac:dyDescent="0.2">
      <c r="P49" s="31"/>
      <c r="Q49" s="33"/>
      <c r="R49" s="33"/>
      <c r="S49" s="1" t="s">
        <v>12</v>
      </c>
      <c r="T49" s="1" t="s">
        <v>12</v>
      </c>
      <c r="U49" s="1" t="s">
        <v>14</v>
      </c>
      <c r="V49" s="1" t="s">
        <v>8</v>
      </c>
      <c r="W49" s="7" t="s">
        <v>8</v>
      </c>
    </row>
    <row r="50" spans="15:23" x14ac:dyDescent="0.2">
      <c r="O50" s="28">
        <v>-3.1836899999999559</v>
      </c>
      <c r="P50" s="3">
        <v>1</v>
      </c>
      <c r="Q50" s="8">
        <f>Q27+O50</f>
        <v>-22.412879999999966</v>
      </c>
      <c r="R50" s="8">
        <f>R27+O50</f>
        <v>-19.457879999999967</v>
      </c>
      <c r="S50" s="2">
        <f>S27+O50</f>
        <v>-16.214705544827289</v>
      </c>
      <c r="T50" s="2">
        <f>T27+O50</f>
        <v>-13.237250993780036</v>
      </c>
      <c r="U50" s="2">
        <f>U27+O50</f>
        <v>-13.64958554280877</v>
      </c>
      <c r="V50" s="2">
        <f>V27+O50</f>
        <v>-16.762013965620795</v>
      </c>
      <c r="W50" s="9">
        <f>W27+O50</f>
        <v>-11.376678965620796</v>
      </c>
    </row>
    <row r="51" spans="15:23" x14ac:dyDescent="0.2">
      <c r="O51" s="28">
        <v>-1.5855799999999363</v>
      </c>
      <c r="P51" s="3">
        <v>2</v>
      </c>
      <c r="Q51" s="8">
        <f t="shared" ref="Q51:Q68" si="14">Q28+O51</f>
        <v>-6.6339199999999359</v>
      </c>
      <c r="R51" s="8">
        <f t="shared" ref="R51:R68" si="15">R28+O51</f>
        <v>-9.9289199999999376</v>
      </c>
      <c r="S51" s="2">
        <f t="shared" ref="S51:S68" si="16">S28+O51</f>
        <v>-5.1804481505776145</v>
      </c>
      <c r="T51" s="2">
        <f t="shared" ref="T51:T68" si="17">T28+O51</f>
        <v>-8.8554448351738948</v>
      </c>
      <c r="U51" s="2">
        <f t="shared" ref="U51:U68" si="18">U28+O51</f>
        <v>-5.9948662265390062</v>
      </c>
      <c r="V51" s="2">
        <f t="shared" ref="V51:V68" si="19">V28+O51</f>
        <v>-8.7290304771940619</v>
      </c>
      <c r="W51" s="9">
        <f t="shared" ref="W51:W68" si="20">W28+O51</f>
        <v>-6.3643344771940633</v>
      </c>
    </row>
    <row r="52" spans="15:23" x14ac:dyDescent="0.2">
      <c r="O52" s="28">
        <v>-2.5624500000000126</v>
      </c>
      <c r="P52" s="3">
        <v>3</v>
      </c>
      <c r="Q52" s="8">
        <f t="shared" si="14"/>
        <v>-12.096210000000022</v>
      </c>
      <c r="R52" s="8">
        <f t="shared" si="15"/>
        <v>-7.1622100000000248</v>
      </c>
      <c r="S52" s="2">
        <f t="shared" si="16"/>
        <v>-3.7067251213540526</v>
      </c>
      <c r="T52" s="2">
        <f t="shared" si="17"/>
        <v>-6.4825458631626471</v>
      </c>
      <c r="U52" s="2">
        <f t="shared" si="18"/>
        <v>-5.4098882366753589</v>
      </c>
      <c r="V52" s="2">
        <f t="shared" si="19"/>
        <v>-9.0637176794133882</v>
      </c>
      <c r="W52" s="9">
        <f t="shared" si="20"/>
        <v>-5.1040216794133872</v>
      </c>
    </row>
    <row r="53" spans="15:23" x14ac:dyDescent="0.2">
      <c r="O53" s="28">
        <v>-2.1955600000000004</v>
      </c>
      <c r="P53" s="3">
        <v>4</v>
      </c>
      <c r="Q53" s="8">
        <f t="shared" si="14"/>
        <v>-6.3938700000000095</v>
      </c>
      <c r="R53" s="8">
        <f t="shared" si="15"/>
        <v>-0.21487000000000922</v>
      </c>
      <c r="S53" s="2">
        <f t="shared" si="16"/>
        <v>4.4385214145046499</v>
      </c>
      <c r="T53" s="2">
        <f t="shared" si="17"/>
        <v>4.7767341358063042E-2</v>
      </c>
      <c r="U53" s="2">
        <f t="shared" si="18"/>
        <v>-0.32152837569567527</v>
      </c>
      <c r="V53" s="2">
        <f t="shared" si="19"/>
        <v>-1.788627578198331</v>
      </c>
      <c r="W53" s="9">
        <f t="shared" si="20"/>
        <v>5.0143421801670307E-2</v>
      </c>
    </row>
    <row r="54" spans="15:23" x14ac:dyDescent="0.2">
      <c r="O54" s="28">
        <v>-1.1670899999999165</v>
      </c>
      <c r="P54" s="3" t="s">
        <v>1</v>
      </c>
      <c r="Q54" s="8">
        <f t="shared" si="14"/>
        <v>-7.8036299999999148</v>
      </c>
      <c r="R54" s="8">
        <f t="shared" si="15"/>
        <v>-2.8876299999999175</v>
      </c>
      <c r="S54" s="2">
        <f t="shared" si="16"/>
        <v>2.3624148862415635</v>
      </c>
      <c r="T54" s="2">
        <f t="shared" si="17"/>
        <v>-1.2761329466600109</v>
      </c>
      <c r="U54" s="2">
        <f t="shared" si="18"/>
        <v>2.0826608938092499</v>
      </c>
      <c r="V54" s="2">
        <f t="shared" si="19"/>
        <v>-0.71317771215400461</v>
      </c>
      <c r="W54" s="9">
        <f t="shared" si="20"/>
        <v>1.3753442878459965</v>
      </c>
    </row>
    <row r="55" spans="15:23" x14ac:dyDescent="0.2">
      <c r="O55" s="28">
        <v>-1.8753799999999501</v>
      </c>
      <c r="P55" s="3" t="s">
        <v>2</v>
      </c>
      <c r="Q55" s="8">
        <f t="shared" si="14"/>
        <v>-5.8167999999999491</v>
      </c>
      <c r="R55" s="8">
        <f t="shared" si="15"/>
        <v>-2.6637999999999509</v>
      </c>
      <c r="S55" s="2">
        <f t="shared" si="16"/>
        <v>3.790198747869356</v>
      </c>
      <c r="T55" s="2">
        <f t="shared" si="17"/>
        <v>-0.10447491904910899</v>
      </c>
      <c r="U55" s="2">
        <f t="shared" si="18"/>
        <v>2.7776554124168253</v>
      </c>
      <c r="V55" s="2">
        <f t="shared" si="19"/>
        <v>-0.94544092561008819</v>
      </c>
      <c r="W55" s="9">
        <f t="shared" si="20"/>
        <v>1.7147740743899109</v>
      </c>
    </row>
    <row r="56" spans="15:23" x14ac:dyDescent="0.2">
      <c r="O56" s="28">
        <v>-2.5219299999999976</v>
      </c>
      <c r="P56" s="3">
        <v>6</v>
      </c>
      <c r="Q56" s="8">
        <f t="shared" si="14"/>
        <v>-16.44614</v>
      </c>
      <c r="R56" s="8">
        <f t="shared" si="15"/>
        <v>-11.929139999999997</v>
      </c>
      <c r="S56" s="2">
        <f t="shared" si="16"/>
        <v>-7.0431054719365633</v>
      </c>
      <c r="T56" s="2">
        <f t="shared" si="17"/>
        <v>-6.6269535560906476</v>
      </c>
      <c r="U56" s="2">
        <f t="shared" si="18"/>
        <v>-7.4925533426623403</v>
      </c>
      <c r="V56" s="2">
        <f t="shared" si="19"/>
        <v>-10.039787249944712</v>
      </c>
      <c r="W56" s="9">
        <f t="shared" si="20"/>
        <v>-6.309824249944711</v>
      </c>
    </row>
    <row r="57" spans="15:23" x14ac:dyDescent="0.2">
      <c r="O57" s="28">
        <v>-1.441379999999981</v>
      </c>
      <c r="P57" s="3" t="s">
        <v>3</v>
      </c>
      <c r="Q57" s="8">
        <f t="shared" si="14"/>
        <v>-6.6262599999999807</v>
      </c>
      <c r="R57" s="8">
        <f t="shared" si="15"/>
        <v>-2.1402599999999801</v>
      </c>
      <c r="S57" s="2">
        <f t="shared" si="16"/>
        <v>0.65687371782771464</v>
      </c>
      <c r="T57" s="2">
        <f t="shared" si="17"/>
        <v>-0.6323295295895015</v>
      </c>
      <c r="U57" s="2">
        <f t="shared" si="18"/>
        <v>-0.47477679509730208</v>
      </c>
      <c r="V57" s="2">
        <f t="shared" si="19"/>
        <v>-1.8458355965208284</v>
      </c>
      <c r="W57" s="9">
        <f t="shared" si="20"/>
        <v>-5.2967596520829829E-2</v>
      </c>
    </row>
    <row r="58" spans="15:23" x14ac:dyDescent="0.2">
      <c r="O58" s="28">
        <v>-1.6625000000000227</v>
      </c>
      <c r="P58" s="3" t="s">
        <v>4</v>
      </c>
      <c r="Q58" s="8">
        <f t="shared" si="14"/>
        <v>-4.9973600000000227</v>
      </c>
      <c r="R58" s="8">
        <f t="shared" si="15"/>
        <v>-0.3523600000000231</v>
      </c>
      <c r="S58" s="2">
        <f t="shared" si="16"/>
        <v>4.7444952566226553</v>
      </c>
      <c r="T58" s="2">
        <f t="shared" si="17"/>
        <v>3.7893502007083351</v>
      </c>
      <c r="U58" s="2">
        <f t="shared" si="18"/>
        <v>2.7359646241272815</v>
      </c>
      <c r="V58" s="2">
        <f t="shared" si="19"/>
        <v>0.89716840051068569</v>
      </c>
      <c r="W58" s="9">
        <f t="shared" si="20"/>
        <v>2.5432924005106861</v>
      </c>
    </row>
    <row r="59" spans="15:23" x14ac:dyDescent="0.2">
      <c r="O59" s="28">
        <v>-1.1336299999999255</v>
      </c>
      <c r="P59" s="3" t="s">
        <v>5</v>
      </c>
      <c r="Q59" s="8">
        <f t="shared" si="14"/>
        <v>-0.3746399999999257</v>
      </c>
      <c r="R59" s="8">
        <f t="shared" si="15"/>
        <v>-1.7806399999999245</v>
      </c>
      <c r="S59" s="2">
        <f t="shared" si="16"/>
        <v>9.2337996934731734</v>
      </c>
      <c r="T59" s="2">
        <f t="shared" si="17"/>
        <v>0.58364086019171335</v>
      </c>
      <c r="U59" s="2">
        <f t="shared" si="18"/>
        <v>9.4537724211705481</v>
      </c>
      <c r="V59" s="2">
        <f t="shared" si="19"/>
        <v>5.5154494683241166</v>
      </c>
      <c r="W59" s="9">
        <f t="shared" si="20"/>
        <v>7.3611914683241153</v>
      </c>
    </row>
    <row r="60" spans="15:23" x14ac:dyDescent="0.2">
      <c r="O60" s="28">
        <v>-1.4530699999999115</v>
      </c>
      <c r="P60" s="3" t="s">
        <v>6</v>
      </c>
      <c r="Q60" s="8">
        <f t="shared" si="14"/>
        <v>-0.83548999999992235</v>
      </c>
      <c r="R60" s="8">
        <f t="shared" si="15"/>
        <v>-3.8274899999999215</v>
      </c>
      <c r="S60" s="2">
        <f t="shared" si="16"/>
        <v>-0.29583008901086894</v>
      </c>
      <c r="T60" s="2">
        <f t="shared" si="17"/>
        <v>-1.581185158901095</v>
      </c>
      <c r="U60" s="2">
        <f t="shared" si="18"/>
        <v>0.51683124914900125</v>
      </c>
      <c r="V60" s="2">
        <f t="shared" si="19"/>
        <v>-2.8364903310902165</v>
      </c>
      <c r="W60" s="9">
        <f t="shared" si="20"/>
        <v>-0.14586933109021638</v>
      </c>
    </row>
    <row r="61" spans="15:23" x14ac:dyDescent="0.2">
      <c r="O61" s="28">
        <v>-0.18549999999993361</v>
      </c>
      <c r="P61" s="3">
        <v>9</v>
      </c>
      <c r="Q61" s="8">
        <f t="shared" si="14"/>
        <v>1.150000000006457E-2</v>
      </c>
      <c r="R61" s="8">
        <f t="shared" si="15"/>
        <v>8.8545000000000638</v>
      </c>
      <c r="S61" s="2">
        <f t="shared" si="16"/>
        <v>9.6749346812357597</v>
      </c>
      <c r="T61" s="2">
        <f t="shared" si="17"/>
        <v>8.2863765637541729</v>
      </c>
      <c r="U61" s="2">
        <f t="shared" si="18"/>
        <v>7.2543609909648241</v>
      </c>
      <c r="V61" s="2">
        <f t="shared" si="19"/>
        <v>6.9627362922466984</v>
      </c>
      <c r="W61" s="9">
        <f t="shared" si="20"/>
        <v>7.8359282922466971</v>
      </c>
    </row>
    <row r="62" spans="15:23" x14ac:dyDescent="0.2">
      <c r="O62" s="28">
        <v>-2.5502099999998791</v>
      </c>
      <c r="P62" s="3">
        <v>10</v>
      </c>
      <c r="Q62" s="8">
        <f t="shared" si="14"/>
        <v>-16.299679999999881</v>
      </c>
      <c r="R62" s="8">
        <f t="shared" si="15"/>
        <v>-14.52567999999988</v>
      </c>
      <c r="S62" s="2">
        <f t="shared" si="16"/>
        <v>-10.257470086358801</v>
      </c>
      <c r="T62" s="2">
        <f t="shared" si="17"/>
        <v>-7.5668464374891924</v>
      </c>
      <c r="U62" s="2">
        <f t="shared" si="18"/>
        <v>-9.3075538979949819</v>
      </c>
      <c r="V62" s="2">
        <f t="shared" si="19"/>
        <v>-12.183575154445919</v>
      </c>
      <c r="W62" s="9">
        <f t="shared" si="20"/>
        <v>-7.6750281544459176</v>
      </c>
    </row>
    <row r="63" spans="15:23" x14ac:dyDescent="0.2">
      <c r="O63" s="28">
        <v>-3.0732699999998658</v>
      </c>
      <c r="P63" s="3">
        <v>11</v>
      </c>
      <c r="Q63" s="8">
        <f t="shared" si="14"/>
        <v>-13.868579999999866</v>
      </c>
      <c r="R63" s="8">
        <f t="shared" si="15"/>
        <v>-14.060579999999867</v>
      </c>
      <c r="S63" s="2">
        <f t="shared" si="16"/>
        <v>-9.2767753817041125</v>
      </c>
      <c r="T63" s="2">
        <f t="shared" si="17"/>
        <v>-2.9740583168950048</v>
      </c>
      <c r="U63" s="2">
        <f t="shared" si="18"/>
        <v>-7.0762240226840314</v>
      </c>
      <c r="V63" s="2">
        <f t="shared" si="19"/>
        <v>-10.859527704814866</v>
      </c>
      <c r="W63" s="9">
        <f t="shared" si="20"/>
        <v>-5.8101477048148675</v>
      </c>
    </row>
    <row r="64" spans="15:23" x14ac:dyDescent="0.2">
      <c r="O64" s="28">
        <v>-2.3089899999999375</v>
      </c>
      <c r="P64" s="3">
        <v>12</v>
      </c>
      <c r="Q64" s="8">
        <f t="shared" si="14"/>
        <v>-13.342169999999937</v>
      </c>
      <c r="R64" s="8">
        <f t="shared" si="15"/>
        <v>-7.8911699999999403</v>
      </c>
      <c r="S64" s="2">
        <f t="shared" si="16"/>
        <v>-4.3349203439814499</v>
      </c>
      <c r="T64" s="2">
        <f t="shared" si="17"/>
        <v>-5.2788293202672225</v>
      </c>
      <c r="U64" s="2">
        <f t="shared" si="18"/>
        <v>-4.4097670482020934</v>
      </c>
      <c r="V64" s="2">
        <f t="shared" si="19"/>
        <v>-6.6416660007588266</v>
      </c>
      <c r="W64" s="9">
        <f t="shared" si="20"/>
        <v>-3.2256750007588284</v>
      </c>
    </row>
    <row r="65" spans="15:23" x14ac:dyDescent="0.2">
      <c r="O65" s="28">
        <v>-1.2487699999998654</v>
      </c>
      <c r="P65" s="3">
        <v>13</v>
      </c>
      <c r="Q65" s="8">
        <f t="shared" si="14"/>
        <v>-6.0457399999998653</v>
      </c>
      <c r="R65" s="8">
        <f t="shared" si="15"/>
        <v>-6.0867399999998657</v>
      </c>
      <c r="S65" s="2">
        <f t="shared" si="16"/>
        <v>-3.1921558708654181</v>
      </c>
      <c r="T65" s="2">
        <f t="shared" si="17"/>
        <v>-1.3613597919293716</v>
      </c>
      <c r="U65" s="2">
        <f t="shared" si="18"/>
        <v>-2.8597850277199064</v>
      </c>
      <c r="V65" s="2">
        <f t="shared" si="19"/>
        <v>-5.1119740260568722</v>
      </c>
      <c r="W65" s="9">
        <f t="shared" si="20"/>
        <v>-2.5504800260568721</v>
      </c>
    </row>
    <row r="66" spans="15:23" x14ac:dyDescent="0.2">
      <c r="O66" s="28">
        <v>-1.5594199999999887</v>
      </c>
      <c r="P66" s="3">
        <v>14</v>
      </c>
      <c r="Q66" s="8">
        <f t="shared" si="14"/>
        <v>-4.1882499999999876</v>
      </c>
      <c r="R66" s="8">
        <f t="shared" si="15"/>
        <v>-10.006249999999989</v>
      </c>
      <c r="S66" s="2">
        <f t="shared" si="16"/>
        <v>-4.3312384560908672</v>
      </c>
      <c r="T66" s="2">
        <f t="shared" si="17"/>
        <v>-9.0760964715379995</v>
      </c>
      <c r="U66" s="2">
        <f t="shared" si="18"/>
        <v>-4.8829276594724487</v>
      </c>
      <c r="V66" s="2">
        <f t="shared" si="19"/>
        <v>-9.092652803866768</v>
      </c>
      <c r="W66" s="9">
        <f t="shared" si="20"/>
        <v>-5.9231388038667685</v>
      </c>
    </row>
    <row r="67" spans="15:23" x14ac:dyDescent="0.2">
      <c r="O67" s="28">
        <v>-1.1355499999999665</v>
      </c>
      <c r="P67" s="3">
        <v>15</v>
      </c>
      <c r="Q67" s="8">
        <f t="shared" si="14"/>
        <v>-11.046899999999965</v>
      </c>
      <c r="R67" s="8">
        <f t="shared" si="15"/>
        <v>-5.8958999999999655</v>
      </c>
      <c r="S67" s="2">
        <f t="shared" si="16"/>
        <v>-4.7046718934354814</v>
      </c>
      <c r="T67" s="2">
        <f t="shared" si="17"/>
        <v>-5.4096510518107515</v>
      </c>
      <c r="U67" s="2">
        <f t="shared" si="18"/>
        <v>-5.3105988105352573</v>
      </c>
      <c r="V67" s="2">
        <f t="shared" si="19"/>
        <v>-6.9435645027295756</v>
      </c>
      <c r="W67" s="9">
        <f t="shared" si="20"/>
        <v>-4.5825435027295747</v>
      </c>
    </row>
    <row r="68" spans="15:23" ht="17" thickBot="1" x14ac:dyDescent="0.25">
      <c r="O68" s="28">
        <v>-1.4571799999999939</v>
      </c>
      <c r="P68" s="4">
        <v>16</v>
      </c>
      <c r="Q68" s="10">
        <f t="shared" si="14"/>
        <v>-7.7514100000000035</v>
      </c>
      <c r="R68" s="10">
        <f t="shared" si="15"/>
        <v>-2.8554100000000049</v>
      </c>
      <c r="S68" s="11">
        <f t="shared" si="16"/>
        <v>0.21917749017694055</v>
      </c>
      <c r="T68" s="11">
        <f t="shared" si="17"/>
        <v>-0.89925600783737503</v>
      </c>
      <c r="U68" s="11">
        <f t="shared" si="18"/>
        <v>-1.310746525133434</v>
      </c>
      <c r="V68" s="11">
        <f t="shared" si="19"/>
        <v>-2.6575526757000731</v>
      </c>
      <c r="W68" s="12">
        <f t="shared" si="20"/>
        <v>-0.85964967570007511</v>
      </c>
    </row>
  </sheetData>
  <mergeCells count="24">
    <mergeCell ref="B2:B3"/>
    <mergeCell ref="C2:C3"/>
    <mergeCell ref="E2:E3"/>
    <mergeCell ref="D2:D3"/>
    <mergeCell ref="G1:N1"/>
    <mergeCell ref="G2:G3"/>
    <mergeCell ref="H2:H3"/>
    <mergeCell ref="I2:I3"/>
    <mergeCell ref="K2:L2"/>
    <mergeCell ref="P25:P26"/>
    <mergeCell ref="Q25:Q26"/>
    <mergeCell ref="R25:R26"/>
    <mergeCell ref="T25:U25"/>
    <mergeCell ref="P1:W1"/>
    <mergeCell ref="P2:P3"/>
    <mergeCell ref="Q2:Q3"/>
    <mergeCell ref="R2:R3"/>
    <mergeCell ref="T2:U2"/>
    <mergeCell ref="P24:W24"/>
    <mergeCell ref="P47:W47"/>
    <mergeCell ref="P48:P49"/>
    <mergeCell ref="Q48:Q49"/>
    <mergeCell ref="R48:R49"/>
    <mergeCell ref="T48:U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A649-83D2-1543-819F-E25EC57446C2}">
  <dimension ref="A1:BL78"/>
  <sheetViews>
    <sheetView tabSelected="1" topLeftCell="AS1" workbookViewId="0">
      <selection activeCell="BK21" sqref="BK21:BK26"/>
    </sheetView>
  </sheetViews>
  <sheetFormatPr baseColWidth="10" defaultRowHeight="16" x14ac:dyDescent="0.2"/>
  <cols>
    <col min="3" max="3" width="3.33203125" bestFit="1" customWidth="1"/>
    <col min="4" max="4" width="12.83203125" bestFit="1" customWidth="1"/>
    <col min="6" max="6" width="12.33203125" bestFit="1" customWidth="1"/>
    <col min="13" max="13" width="14.6640625" bestFit="1" customWidth="1"/>
    <col min="19" max="19" width="14.6640625" bestFit="1" customWidth="1"/>
    <col min="20" max="26" width="14.6640625" customWidth="1"/>
    <col min="32" max="32" width="14.6640625" bestFit="1" customWidth="1"/>
    <col min="33" max="37" width="12.1640625" bestFit="1" customWidth="1"/>
    <col min="38" max="38" width="14.6640625" bestFit="1" customWidth="1"/>
    <col min="44" max="44" width="14.6640625" bestFit="1" customWidth="1"/>
    <col min="45" max="50" width="14.6640625" customWidth="1"/>
    <col min="56" max="56" width="14.6640625" bestFit="1" customWidth="1"/>
    <col min="58" max="58" width="11.5" bestFit="1" customWidth="1"/>
    <col min="64" max="64" width="14.6640625" bestFit="1" customWidth="1"/>
  </cols>
  <sheetData>
    <row r="1" spans="1:64" x14ac:dyDescent="0.2">
      <c r="A1" t="s">
        <v>52</v>
      </c>
      <c r="B1">
        <v>300</v>
      </c>
      <c r="D1" s="37" t="s">
        <v>50</v>
      </c>
      <c r="E1" s="37"/>
      <c r="F1" s="37"/>
      <c r="G1" s="37"/>
      <c r="H1" s="37" t="s">
        <v>49</v>
      </c>
      <c r="I1" s="37"/>
      <c r="J1" s="37"/>
      <c r="K1" s="37"/>
      <c r="L1" s="37"/>
      <c r="M1" s="37"/>
      <c r="N1" s="37" t="s">
        <v>54</v>
      </c>
      <c r="O1" s="37"/>
      <c r="P1" s="37"/>
      <c r="Q1" s="37"/>
      <c r="R1" s="37"/>
      <c r="S1" s="37"/>
      <c r="T1" s="37" t="s">
        <v>27</v>
      </c>
      <c r="U1" s="37" t="s">
        <v>55</v>
      </c>
      <c r="V1" s="37"/>
      <c r="W1" s="37"/>
      <c r="X1" s="37"/>
      <c r="Y1" s="37"/>
      <c r="Z1" s="37"/>
      <c r="AA1" s="37" t="s">
        <v>51</v>
      </c>
      <c r="AB1" s="37"/>
      <c r="AC1" s="37"/>
      <c r="AD1" s="37"/>
      <c r="AE1" s="37"/>
      <c r="AF1" s="37"/>
      <c r="AG1" s="37" t="s">
        <v>53</v>
      </c>
      <c r="AH1" s="37"/>
      <c r="AI1" s="37"/>
      <c r="AJ1" s="37"/>
      <c r="AK1" s="37"/>
      <c r="AL1" s="37"/>
      <c r="AM1" s="37" t="s">
        <v>56</v>
      </c>
      <c r="AN1" s="37"/>
      <c r="AO1" s="37"/>
      <c r="AP1" s="37"/>
      <c r="AQ1" s="37"/>
      <c r="AR1" s="37"/>
      <c r="AS1" s="37" t="s">
        <v>62</v>
      </c>
      <c r="AT1" s="37"/>
      <c r="AU1" s="37"/>
      <c r="AV1" s="37"/>
      <c r="AW1" s="37"/>
      <c r="AX1" s="37"/>
      <c r="AY1" s="37" t="s">
        <v>57</v>
      </c>
      <c r="AZ1" s="37"/>
      <c r="BA1" s="37"/>
      <c r="BB1" s="37"/>
      <c r="BC1" s="37"/>
      <c r="BD1" s="37"/>
      <c r="BG1" s="37" t="s">
        <v>58</v>
      </c>
      <c r="BH1" s="37"/>
      <c r="BI1" s="37"/>
      <c r="BJ1" s="37"/>
      <c r="BK1" s="37"/>
      <c r="BL1" s="37"/>
    </row>
    <row r="2" spans="1:64" x14ac:dyDescent="0.2">
      <c r="D2" t="s">
        <v>38</v>
      </c>
      <c r="E2" t="s">
        <v>39</v>
      </c>
      <c r="F2" t="s">
        <v>38</v>
      </c>
      <c r="G2" t="s">
        <v>39</v>
      </c>
      <c r="H2" s="37" t="s">
        <v>45</v>
      </c>
      <c r="I2" t="s">
        <v>7</v>
      </c>
      <c r="J2" s="37" t="s">
        <v>48</v>
      </c>
      <c r="K2" s="37"/>
      <c r="L2" t="s">
        <v>15</v>
      </c>
      <c r="M2" t="s">
        <v>16</v>
      </c>
      <c r="N2" s="37" t="s">
        <v>45</v>
      </c>
      <c r="O2" t="s">
        <v>7</v>
      </c>
      <c r="P2" s="37" t="s">
        <v>48</v>
      </c>
      <c r="Q2" s="37"/>
      <c r="R2" t="s">
        <v>15</v>
      </c>
      <c r="S2" t="s">
        <v>16</v>
      </c>
      <c r="T2" s="37"/>
      <c r="U2" s="37" t="s">
        <v>45</v>
      </c>
      <c r="V2" t="s">
        <v>7</v>
      </c>
      <c r="W2" s="37" t="s">
        <v>48</v>
      </c>
      <c r="X2" s="37"/>
      <c r="Y2" t="s">
        <v>15</v>
      </c>
      <c r="Z2" t="s">
        <v>16</v>
      </c>
      <c r="AA2" s="37" t="s">
        <v>45</v>
      </c>
      <c r="AB2" t="s">
        <v>7</v>
      </c>
      <c r="AC2" s="37" t="s">
        <v>48</v>
      </c>
      <c r="AD2" s="37"/>
      <c r="AE2" t="s">
        <v>15</v>
      </c>
      <c r="AF2" t="s">
        <v>16</v>
      </c>
      <c r="AG2" s="37" t="s">
        <v>45</v>
      </c>
      <c r="AH2" t="s">
        <v>7</v>
      </c>
      <c r="AI2" s="37" t="s">
        <v>48</v>
      </c>
      <c r="AJ2" s="37"/>
      <c r="AK2" t="s">
        <v>15</v>
      </c>
      <c r="AL2" t="s">
        <v>16</v>
      </c>
      <c r="AM2" s="37" t="s">
        <v>45</v>
      </c>
      <c r="AN2" t="s">
        <v>7</v>
      </c>
      <c r="AO2" s="37" t="s">
        <v>48</v>
      </c>
      <c r="AP2" s="37"/>
      <c r="AQ2" t="s">
        <v>15</v>
      </c>
      <c r="AR2" t="s">
        <v>16</v>
      </c>
      <c r="AS2" s="37" t="s">
        <v>45</v>
      </c>
      <c r="AT2" t="s">
        <v>7</v>
      </c>
      <c r="AU2" s="37" t="s">
        <v>48</v>
      </c>
      <c r="AV2" s="37"/>
      <c r="AW2" t="s">
        <v>15</v>
      </c>
      <c r="AX2" t="s">
        <v>16</v>
      </c>
      <c r="AY2" s="37" t="s">
        <v>45</v>
      </c>
      <c r="AZ2" t="s">
        <v>7</v>
      </c>
      <c r="BA2" s="37" t="s">
        <v>48</v>
      </c>
      <c r="BB2" s="37"/>
      <c r="BC2" t="s">
        <v>15</v>
      </c>
      <c r="BD2" t="s">
        <v>16</v>
      </c>
      <c r="BG2" s="37" t="s">
        <v>45</v>
      </c>
      <c r="BH2" t="s">
        <v>7</v>
      </c>
      <c r="BI2" s="37" t="s">
        <v>48</v>
      </c>
      <c r="BJ2" s="37"/>
      <c r="BK2" t="s">
        <v>15</v>
      </c>
      <c r="BL2" t="s">
        <v>16</v>
      </c>
    </row>
    <row r="3" spans="1:64" x14ac:dyDescent="0.2">
      <c r="D3" t="s">
        <v>40</v>
      </c>
      <c r="E3" t="s">
        <v>41</v>
      </c>
      <c r="F3" t="s">
        <v>42</v>
      </c>
      <c r="G3" t="s">
        <v>43</v>
      </c>
      <c r="H3" s="37"/>
      <c r="I3" t="s">
        <v>12</v>
      </c>
      <c r="J3" t="s">
        <v>12</v>
      </c>
      <c r="K3" t="s">
        <v>14</v>
      </c>
      <c r="L3" t="s">
        <v>8</v>
      </c>
      <c r="M3" t="s">
        <v>8</v>
      </c>
      <c r="N3" s="37"/>
      <c r="O3" t="s">
        <v>12</v>
      </c>
      <c r="P3" t="s">
        <v>12</v>
      </c>
      <c r="Q3" t="s">
        <v>14</v>
      </c>
      <c r="R3" t="s">
        <v>8</v>
      </c>
      <c r="S3" t="s">
        <v>8</v>
      </c>
      <c r="T3" s="37"/>
      <c r="U3" s="37"/>
      <c r="V3" t="s">
        <v>12</v>
      </c>
      <c r="W3" t="s">
        <v>12</v>
      </c>
      <c r="X3" t="s">
        <v>14</v>
      </c>
      <c r="Y3" t="s">
        <v>8</v>
      </c>
      <c r="Z3" t="s">
        <v>8</v>
      </c>
      <c r="AA3" s="37"/>
      <c r="AB3" t="s">
        <v>12</v>
      </c>
      <c r="AC3" t="s">
        <v>12</v>
      </c>
      <c r="AD3" t="s">
        <v>14</v>
      </c>
      <c r="AE3" t="s">
        <v>8</v>
      </c>
      <c r="AF3" t="s">
        <v>8</v>
      </c>
      <c r="AG3" s="37"/>
      <c r="AH3" t="s">
        <v>12</v>
      </c>
      <c r="AI3" t="s">
        <v>12</v>
      </c>
      <c r="AJ3" t="s">
        <v>14</v>
      </c>
      <c r="AK3" t="s">
        <v>8</v>
      </c>
      <c r="AL3" t="s">
        <v>8</v>
      </c>
      <c r="AM3" s="37"/>
      <c r="AN3" t="s">
        <v>12</v>
      </c>
      <c r="AO3" t="s">
        <v>12</v>
      </c>
      <c r="AP3" t="s">
        <v>14</v>
      </c>
      <c r="AQ3" t="s">
        <v>8</v>
      </c>
      <c r="AR3" t="s">
        <v>8</v>
      </c>
      <c r="AS3" s="37"/>
      <c r="AT3" t="s">
        <v>12</v>
      </c>
      <c r="AU3" t="s">
        <v>12</v>
      </c>
      <c r="AV3" t="s">
        <v>14</v>
      </c>
      <c r="AW3" t="s">
        <v>8</v>
      </c>
      <c r="AX3" t="s">
        <v>8</v>
      </c>
      <c r="AY3" s="37"/>
      <c r="AZ3" t="s">
        <v>12</v>
      </c>
      <c r="BA3" t="s">
        <v>12</v>
      </c>
      <c r="BB3" t="s">
        <v>14</v>
      </c>
      <c r="BC3" t="s">
        <v>8</v>
      </c>
      <c r="BD3" t="s">
        <v>8</v>
      </c>
      <c r="BG3" s="37"/>
      <c r="BH3" t="s">
        <v>12</v>
      </c>
      <c r="BI3" t="s">
        <v>12</v>
      </c>
      <c r="BJ3" t="s">
        <v>14</v>
      </c>
      <c r="BK3" t="s">
        <v>8</v>
      </c>
      <c r="BL3" t="s">
        <v>8</v>
      </c>
    </row>
    <row r="4" spans="1:64" x14ac:dyDescent="0.2">
      <c r="B4" s="37" t="s">
        <v>33</v>
      </c>
      <c r="C4" t="s">
        <v>34</v>
      </c>
      <c r="D4">
        <v>-743155402.82405603</v>
      </c>
      <c r="E4">
        <v>862.65482907369994</v>
      </c>
      <c r="F4">
        <f>D4/4.184/1000</f>
        <v>-177618.40411664819</v>
      </c>
      <c r="G4">
        <f>E4/4.184/1000</f>
        <v>0.2061794524554732</v>
      </c>
      <c r="H4">
        <f>$F$4-$D$30+D30</f>
        <v>-177618.40411664819</v>
      </c>
      <c r="I4">
        <f t="shared" ref="I4:L4" si="0">$F$4-$D$30+E30</f>
        <v>-1444337.6484413291</v>
      </c>
      <c r="J4">
        <f t="shared" si="0"/>
        <v>-1444131.4417712777</v>
      </c>
      <c r="K4">
        <f t="shared" si="0"/>
        <v>-1444617.9558983603</v>
      </c>
      <c r="L4">
        <f t="shared" si="0"/>
        <v>-1443692.4901549905</v>
      </c>
      <c r="M4">
        <f>$F$4-$D$30+I30</f>
        <v>-1443691.9629589904</v>
      </c>
      <c r="N4">
        <f>H4-$B$1*$G$4</f>
        <v>-177680.25795238483</v>
      </c>
      <c r="O4">
        <f t="shared" ref="O4:S4" si="1">I4-$B$1*$G$4</f>
        <v>-1444399.5022770658</v>
      </c>
      <c r="P4">
        <f t="shared" si="1"/>
        <v>-1444193.2956070143</v>
      </c>
      <c r="Q4">
        <f t="shared" si="1"/>
        <v>-1444679.809734097</v>
      </c>
      <c r="R4">
        <f t="shared" si="1"/>
        <v>-1443754.3439907271</v>
      </c>
      <c r="S4">
        <f t="shared" si="1"/>
        <v>-1443753.816794727</v>
      </c>
      <c r="T4">
        <f>-0.0619765345588808*627.50947428</f>
        <v>-38.89086261873954</v>
      </c>
      <c r="U4">
        <f>N4+$T$4</f>
        <v>-177719.14881500357</v>
      </c>
      <c r="V4">
        <f t="shared" ref="V4:Z4" si="2">O4+$T$4</f>
        <v>-1444438.3931396846</v>
      </c>
      <c r="W4">
        <f t="shared" si="2"/>
        <v>-1444232.1864696331</v>
      </c>
      <c r="X4">
        <f t="shared" si="2"/>
        <v>-1444718.7005967158</v>
      </c>
      <c r="Y4">
        <f t="shared" si="2"/>
        <v>-1443793.2348533459</v>
      </c>
      <c r="Z4">
        <f t="shared" si="2"/>
        <v>-1443792.7076573458</v>
      </c>
      <c r="AA4">
        <f>U4-$U$28</f>
        <v>0</v>
      </c>
      <c r="AB4">
        <f>V4-$V$28</f>
        <v>0.13201505364850163</v>
      </c>
      <c r="AC4">
        <f>W4-$W$28</f>
        <v>0.42616702220402658</v>
      </c>
      <c r="AD4">
        <f>X4-$X$28</f>
        <v>0.38179786992259324</v>
      </c>
      <c r="AE4">
        <f>Y4-$Y$28</f>
        <v>4.7239252366125584E-2</v>
      </c>
      <c r="AF4">
        <f>Z4-$Z$28</f>
        <v>0.19963425234891474</v>
      </c>
      <c r="AG4">
        <f>EXP(-AA4/(8.3145*$B$1/4.184/1000))</f>
        <v>1</v>
      </c>
      <c r="AH4">
        <f t="shared" ref="AH4:AL4" si="3">EXP(-AB4/(8.3145*$B$1/4.184/1000))</f>
        <v>0.80136332130050225</v>
      </c>
      <c r="AI4">
        <f t="shared" si="3"/>
        <v>0.4892661388203261</v>
      </c>
      <c r="AJ4">
        <f t="shared" si="3"/>
        <v>0.5270687550491957</v>
      </c>
      <c r="AK4">
        <f t="shared" si="3"/>
        <v>0.92381938963964894</v>
      </c>
      <c r="AL4">
        <f t="shared" si="3"/>
        <v>0.71543489323522313</v>
      </c>
      <c r="AM4">
        <f>AG4/$AG$28</f>
        <v>0.33973477837578786</v>
      </c>
      <c r="AN4">
        <f>AH4/$AH$28</f>
        <v>0.27578149144936948</v>
      </c>
      <c r="AO4">
        <f>AI4/$AI$28</f>
        <v>0.18940924989448321</v>
      </c>
      <c r="AP4">
        <f>AJ4/$AJ$28</f>
        <v>0.20122811309589278</v>
      </c>
      <c r="AQ4">
        <f>AK4/$AK$28</f>
        <v>0.30877555074581231</v>
      </c>
      <c r="AR4">
        <f>AL4/$AL$28</f>
        <v>0.255875370309808</v>
      </c>
      <c r="AS4">
        <f>-AM4*LN(AM4)</f>
        <v>0.36677427936828755</v>
      </c>
      <c r="AT4">
        <f t="shared" ref="AT4:AX4" si="4">-AN4*LN(AN4)</f>
        <v>0.35524694214558855</v>
      </c>
      <c r="AU4">
        <f t="shared" si="4"/>
        <v>0.31514768292927986</v>
      </c>
      <c r="AV4">
        <f t="shared" si="4"/>
        <v>0.32263227820814722</v>
      </c>
      <c r="AW4">
        <f t="shared" si="4"/>
        <v>0.36285469801470682</v>
      </c>
      <c r="AX4">
        <f t="shared" si="4"/>
        <v>0.3487747073275197</v>
      </c>
      <c r="AY4">
        <f t="shared" ref="AY4:BD4" si="5">AM4*U4</f>
        <v>-60377.375635798904</v>
      </c>
      <c r="AZ4">
        <f t="shared" si="5"/>
        <v>-398349.37436679291</v>
      </c>
      <c r="BA4">
        <f t="shared" si="5"/>
        <v>-273550.93511268264</v>
      </c>
      <c r="BB4">
        <f t="shared" si="5"/>
        <v>-290718.01807542716</v>
      </c>
      <c r="BC4">
        <f t="shared" si="5"/>
        <v>-445808.05125491985</v>
      </c>
      <c r="BD4">
        <f t="shared" si="5"/>
        <v>-369430.99372242374</v>
      </c>
      <c r="BF4" t="s">
        <v>59</v>
      </c>
      <c r="BG4">
        <f>SUM(AY4:AY7)</f>
        <v>-177719.08650898069</v>
      </c>
      <c r="BH4">
        <f t="shared" ref="BH4:BL4" si="6">SUM(AZ4:AZ7)</f>
        <v>-1444438.4403426305</v>
      </c>
      <c r="BI4">
        <f t="shared" si="6"/>
        <v>-1444232.4806140156</v>
      </c>
      <c r="BJ4">
        <f t="shared" si="6"/>
        <v>-1444718.9555300106</v>
      </c>
      <c r="BK4">
        <f t="shared" si="6"/>
        <v>-1443793.2309687336</v>
      </c>
      <c r="BL4">
        <f t="shared" si="6"/>
        <v>-1443792.8129248493</v>
      </c>
    </row>
    <row r="5" spans="1:64" x14ac:dyDescent="0.2">
      <c r="B5" s="37"/>
      <c r="C5" t="s">
        <v>35</v>
      </c>
      <c r="D5">
        <v>-743154020.90796399</v>
      </c>
      <c r="E5">
        <v>866.93268016900004</v>
      </c>
      <c r="F5">
        <f t="shared" ref="F5:F26" si="7">D5/4.184/1000</f>
        <v>-177618.07383077533</v>
      </c>
      <c r="G5">
        <f t="shared" ref="G5:G26" si="8">E5/4.184/1000</f>
        <v>0.20720188340559273</v>
      </c>
      <c r="H5">
        <f>$F$5-$D$31+D31</f>
        <v>-177618.07383077533</v>
      </c>
      <c r="I5">
        <f t="shared" ref="I5:L5" si="9">$F$5-$D$31+E31</f>
        <v>-1444337.4884403916</v>
      </c>
      <c r="J5">
        <f t="shared" si="9"/>
        <v>-1444131.5759223087</v>
      </c>
      <c r="K5">
        <f t="shared" si="9"/>
        <v>-1444618.0456802391</v>
      </c>
      <c r="L5">
        <f t="shared" si="9"/>
        <v>-1443692.2453782517</v>
      </c>
      <c r="M5">
        <f>$F$5-$D$31+I31</f>
        <v>-1443691.8705772515</v>
      </c>
      <c r="N5">
        <f>H5-$B$1*$G$5</f>
        <v>-177680.23439579702</v>
      </c>
      <c r="O5">
        <f t="shared" ref="O5:S5" si="10">I5-$B$1*$G$5</f>
        <v>-1444399.6490054133</v>
      </c>
      <c r="P5">
        <f t="shared" si="10"/>
        <v>-1444193.7364873304</v>
      </c>
      <c r="Q5">
        <f t="shared" si="10"/>
        <v>-1444680.2062452608</v>
      </c>
      <c r="R5">
        <f t="shared" si="10"/>
        <v>-1443754.4059432733</v>
      </c>
      <c r="S5">
        <f t="shared" si="10"/>
        <v>-1443754.0311422732</v>
      </c>
      <c r="T5">
        <f>-0.0619530874325981*627.50947428</f>
        <v>-38.876149324852506</v>
      </c>
      <c r="U5">
        <f>N5+$T$5</f>
        <v>-177719.11054512186</v>
      </c>
      <c r="V5">
        <f t="shared" ref="V5:Z5" si="11">O5+$T$5</f>
        <v>-1444438.5251547382</v>
      </c>
      <c r="W5">
        <f t="shared" si="11"/>
        <v>-1444232.6126366553</v>
      </c>
      <c r="X5">
        <f t="shared" si="11"/>
        <v>-1444719.0823945857</v>
      </c>
      <c r="Y5">
        <f t="shared" si="11"/>
        <v>-1443793.2820925983</v>
      </c>
      <c r="Z5">
        <f t="shared" si="11"/>
        <v>-1443792.9072915982</v>
      </c>
      <c r="AA5">
        <f t="shared" ref="AA5:AA7" si="12">U5-$U$28</f>
        <v>3.8269881712039933E-2</v>
      </c>
      <c r="AB5">
        <f t="shared" ref="AB5:AB7" si="13">V5-$V$28</f>
        <v>0</v>
      </c>
      <c r="AC5">
        <f t="shared" ref="AC5:AC7" si="14">W5-$W$28</f>
        <v>0</v>
      </c>
      <c r="AD5">
        <f t="shared" ref="AD5:AD7" si="15">X5-$X$28</f>
        <v>0</v>
      </c>
      <c r="AE5">
        <f t="shared" ref="AE5:AE7" si="16">Y5-$Y$28</f>
        <v>0</v>
      </c>
      <c r="AF5">
        <f t="shared" ref="AF5:AF7" si="17">Z5-$Z$28</f>
        <v>0</v>
      </c>
      <c r="AG5">
        <f t="shared" ref="AG5:AL6" si="18">2*EXP(-AA5/(8.3145*$B$1/4.184/1000))</f>
        <v>1.8756469297254086</v>
      </c>
      <c r="AH5">
        <f t="shared" si="18"/>
        <v>2</v>
      </c>
      <c r="AI5">
        <f t="shared" si="18"/>
        <v>2</v>
      </c>
      <c r="AJ5">
        <f t="shared" si="18"/>
        <v>2</v>
      </c>
      <c r="AK5">
        <f t="shared" si="18"/>
        <v>2</v>
      </c>
      <c r="AL5">
        <f t="shared" si="18"/>
        <v>2</v>
      </c>
      <c r="AM5">
        <f t="shared" ref="AM5:AM7" si="19">AG5/$AG$28</f>
        <v>0.63722249398148867</v>
      </c>
      <c r="AN5">
        <f t="shared" ref="AN5:AN7" si="20">AH5/$AH$28</f>
        <v>0.68828079378979834</v>
      </c>
      <c r="AO5">
        <f t="shared" ref="AO5:AO7" si="21">AI5/$AI$28</f>
        <v>0.77425856754023292</v>
      </c>
      <c r="AP5">
        <f t="shared" ref="AP5:AP7" si="22">AJ5/$AJ$28</f>
        <v>0.76357443376475798</v>
      </c>
      <c r="AQ5">
        <f t="shared" ref="AQ5:AQ7" si="23">AK5/$AK$28</f>
        <v>0.66847601210504004</v>
      </c>
      <c r="AR5">
        <f t="shared" ref="AR5:AR7" si="24">AL5/$AL$28</f>
        <v>0.71530022572069429</v>
      </c>
      <c r="AS5">
        <f t="shared" ref="AS5:AS26" si="25">-AM5*LN(AM5)</f>
        <v>0.28715565086532768</v>
      </c>
      <c r="AT5">
        <f t="shared" ref="AT5:AT26" si="26">-AN5*LN(AN5)</f>
        <v>0.25711306781354865</v>
      </c>
      <c r="AU5">
        <f t="shared" ref="AU5:AU26" si="27">-AO5*LN(AO5)</f>
        <v>0.19809358576189359</v>
      </c>
      <c r="AV5">
        <f t="shared" ref="AV5:AV26" si="28">-AP5*LN(AP5)</f>
        <v>0.20597013280046947</v>
      </c>
      <c r="AW5">
        <f t="shared" ref="AW5:AW26" si="29">-AQ5*LN(AQ5)</f>
        <v>0.2692318999975567</v>
      </c>
      <c r="AX5">
        <f t="shared" ref="AX5:AX26" si="30">-AR5*LN(AR5)</f>
        <v>0.2396634352463575</v>
      </c>
      <c r="AY5">
        <f t="shared" ref="AY5:AY26" si="31">AM5*U5</f>
        <v>-113246.61484973444</v>
      </c>
      <c r="AZ5">
        <f t="shared" ref="AZ5:AZ26" si="32">AN5*V5</f>
        <v>-994179.29467406881</v>
      </c>
      <c r="BA5">
        <f t="shared" ref="BA5:BA26" si="33">AO5*W5</f>
        <v>-1118209.4738549448</v>
      </c>
      <c r="BB5">
        <f t="shared" ref="BB5:BB26" si="34">AP5*X5</f>
        <v>-1103150.5552885865</v>
      </c>
      <c r="BC5">
        <f t="shared" ref="BC5:BC26" si="35">AQ5*Y5</f>
        <v>-965141.17551730725</v>
      </c>
      <c r="BD5">
        <f t="shared" ref="BD5:BD26" si="36">AR5*Z5</f>
        <v>-1032745.3924796176</v>
      </c>
      <c r="BF5" t="s">
        <v>60</v>
      </c>
      <c r="BG5">
        <f>SUM(AY8:AY26)</f>
        <v>-355444.24756219867</v>
      </c>
      <c r="BH5">
        <f t="shared" ref="BH5:BL5" si="37">SUM(AZ8:AZ26)</f>
        <v>-2888879.6661652345</v>
      </c>
      <c r="BI5">
        <f t="shared" si="37"/>
        <v>-2888470.3764553792</v>
      </c>
      <c r="BJ5">
        <f t="shared" si="37"/>
        <v>-2889437.5602824921</v>
      </c>
      <c r="BK5">
        <f t="shared" si="37"/>
        <v>-2887589.6466106051</v>
      </c>
      <c r="BL5">
        <f t="shared" si="37"/>
        <v>-2887586.0330018792</v>
      </c>
    </row>
    <row r="6" spans="1:64" x14ac:dyDescent="0.2">
      <c r="B6" s="37"/>
      <c r="C6" t="s">
        <v>37</v>
      </c>
      <c r="D6">
        <v>-743152949.35191703</v>
      </c>
      <c r="E6">
        <v>861.26532183339998</v>
      </c>
      <c r="F6">
        <f t="shared" si="7"/>
        <v>-177617.81772273351</v>
      </c>
      <c r="G6">
        <f t="shared" si="8"/>
        <v>0.20584735225463668</v>
      </c>
      <c r="H6">
        <f>$F$6-$D$32+D32</f>
        <v>-177617.81772273351</v>
      </c>
      <c r="I6">
        <f t="shared" ref="I6:L6" si="38">$F$6-$D$32+E32</f>
        <v>-1444332.2890049247</v>
      </c>
      <c r="J6">
        <f t="shared" si="38"/>
        <v>-1444129.2048829547</v>
      </c>
      <c r="K6">
        <f t="shared" si="38"/>
        <v>-1444614.7903704285</v>
      </c>
      <c r="L6">
        <f t="shared" si="38"/>
        <v>-1443690.3507548536</v>
      </c>
      <c r="M6">
        <f>$F$6-$D$32+I32</f>
        <v>-1443688.4551838536</v>
      </c>
      <c r="N6">
        <f>H6-$B$1*$G$6</f>
        <v>-177679.57192840989</v>
      </c>
      <c r="O6">
        <f t="shared" ref="O6:S6" si="39">I6-$B$1*$G$6</f>
        <v>-1444394.0432106012</v>
      </c>
      <c r="P6">
        <f t="shared" si="39"/>
        <v>-1444190.9590886312</v>
      </c>
      <c r="Q6">
        <f t="shared" si="39"/>
        <v>-1444676.544576105</v>
      </c>
      <c r="R6">
        <f t="shared" si="39"/>
        <v>-1443752.1049605301</v>
      </c>
      <c r="S6">
        <f t="shared" si="39"/>
        <v>-1443750.2093895301</v>
      </c>
      <c r="T6">
        <f>-0.0555927188689492*627.50947428</f>
        <v>-34.884957791250145</v>
      </c>
      <c r="U6">
        <f>N6+$T$6</f>
        <v>-177714.45688620114</v>
      </c>
      <c r="V6">
        <f t="shared" ref="V6:Z6" si="40">O6+$T$6</f>
        <v>-1444428.9281683925</v>
      </c>
      <c r="W6">
        <f t="shared" si="40"/>
        <v>-1444225.8440464225</v>
      </c>
      <c r="X6">
        <f t="shared" si="40"/>
        <v>-1444711.4295338963</v>
      </c>
      <c r="Y6">
        <f t="shared" si="40"/>
        <v>-1443786.9899183214</v>
      </c>
      <c r="Z6">
        <f t="shared" si="40"/>
        <v>-1443785.0943473214</v>
      </c>
      <c r="AA6">
        <f t="shared" si="12"/>
        <v>4.6919288024364505</v>
      </c>
      <c r="AB6">
        <f t="shared" si="13"/>
        <v>9.5969863457139581</v>
      </c>
      <c r="AC6">
        <f t="shared" si="14"/>
        <v>6.7685902328230441</v>
      </c>
      <c r="AD6">
        <f t="shared" si="15"/>
        <v>7.6528606894426048</v>
      </c>
      <c r="AE6">
        <f t="shared" si="16"/>
        <v>6.2921742768958211</v>
      </c>
      <c r="AF6">
        <f t="shared" si="17"/>
        <v>7.8129442767240107</v>
      </c>
      <c r="AG6">
        <f t="shared" si="18"/>
        <v>7.6391692452454005E-4</v>
      </c>
      <c r="AH6">
        <f t="shared" si="18"/>
        <v>2.040806830400167E-7</v>
      </c>
      <c r="AI6">
        <f t="shared" si="18"/>
        <v>2.3455055379233312E-5</v>
      </c>
      <c r="AJ6">
        <f t="shared" si="18"/>
        <v>5.321838533983398E-6</v>
      </c>
      <c r="AK6">
        <f t="shared" si="18"/>
        <v>5.2155093329416038E-5</v>
      </c>
      <c r="AL6">
        <f t="shared" si="18"/>
        <v>4.0685882812858555E-6</v>
      </c>
      <c r="AM6">
        <f t="shared" si="19"/>
        <v>2.5952914705085808E-4</v>
      </c>
      <c r="AN6">
        <f t="shared" si="20"/>
        <v>7.0232407259973467E-8</v>
      </c>
      <c r="AO6">
        <f t="shared" si="21"/>
        <v>9.0801387897510096E-6</v>
      </c>
      <c r="AP6">
        <f t="shared" si="22"/>
        <v>2.0318099225869214E-6</v>
      </c>
      <c r="AQ6">
        <f t="shared" si="23"/>
        <v>1.7432214399907104E-5</v>
      </c>
      <c r="AR6">
        <f t="shared" si="24"/>
        <v>1.4551310579841722E-6</v>
      </c>
      <c r="AS6">
        <f t="shared" si="25"/>
        <v>2.1428391368023356E-3</v>
      </c>
      <c r="AT6">
        <f t="shared" si="26"/>
        <v>1.156830005293635E-6</v>
      </c>
      <c r="AU6">
        <f t="shared" si="27"/>
        <v>1.0541515467735853E-4</v>
      </c>
      <c r="AV6">
        <f t="shared" si="28"/>
        <v>2.6630086558203592E-5</v>
      </c>
      <c r="AW6">
        <f t="shared" si="29"/>
        <v>1.9100809682640356E-4</v>
      </c>
      <c r="AX6">
        <f t="shared" si="30"/>
        <v>1.9557564697991072E-5</v>
      </c>
      <c r="AY6">
        <f t="shared" si="31"/>
        <v>-46.12208141428227</v>
      </c>
      <c r="AZ6">
        <f t="shared" si="32"/>
        <v>-0.1014457207412095</v>
      </c>
      <c r="BA6">
        <f t="shared" si="33"/>
        <v>-13.113771107686814</v>
      </c>
      <c r="BB6">
        <f t="shared" si="34"/>
        <v>-2.9353790178017065</v>
      </c>
      <c r="BC6">
        <f t="shared" si="35"/>
        <v>-25.168404356052694</v>
      </c>
      <c r="BD6">
        <f t="shared" si="36"/>
        <v>-2.1008965318393957</v>
      </c>
      <c r="BF6" t="s">
        <v>61</v>
      </c>
      <c r="BG6">
        <f>BG5-2*BG4</f>
        <v>-6.0745442372863181</v>
      </c>
      <c r="BH6">
        <f t="shared" ref="BH6:BL6" si="41">BH5-2*BH4</f>
        <v>-2.7854799735359848</v>
      </c>
      <c r="BI6">
        <f t="shared" si="41"/>
        <v>-5.41522734798491</v>
      </c>
      <c r="BJ6">
        <f t="shared" si="41"/>
        <v>0.3507775291800499</v>
      </c>
      <c r="BK6">
        <f t="shared" si="41"/>
        <v>-3.1846731379628181</v>
      </c>
      <c r="BL6">
        <f t="shared" si="41"/>
        <v>-0.40715218055993319</v>
      </c>
    </row>
    <row r="7" spans="1:64" x14ac:dyDescent="0.2">
      <c r="B7" s="37"/>
      <c r="C7" t="s">
        <v>36</v>
      </c>
      <c r="D7">
        <v>-743151605.07883203</v>
      </c>
      <c r="E7">
        <v>852.46502090169997</v>
      </c>
      <c r="F7">
        <f t="shared" si="7"/>
        <v>-177617.49643375524</v>
      </c>
      <c r="G7">
        <f t="shared" si="8"/>
        <v>0.20374402985222276</v>
      </c>
      <c r="H7">
        <f>$F$7-$D$33+D33</f>
        <v>-177617.49643375524</v>
      </c>
      <c r="I7">
        <f t="shared" ref="I7:L7" si="42">$F$7-$D$33+E33</f>
        <v>-1444337.1368011103</v>
      </c>
      <c r="J7">
        <f t="shared" si="42"/>
        <v>-1444131.1604694168</v>
      </c>
      <c r="K7">
        <f t="shared" si="42"/>
        <v>-1444617.6197094072</v>
      </c>
      <c r="L7">
        <f t="shared" si="42"/>
        <v>-1443691.6380686206</v>
      </c>
      <c r="M7">
        <f>$F$7-$D$33+I33</f>
        <v>-1443691.3644606206</v>
      </c>
      <c r="N7">
        <f>H7-$B$1*$G$7</f>
        <v>-177678.6196427109</v>
      </c>
      <c r="O7">
        <f t="shared" ref="O7:S7" si="43">I7-$B$1*$G$7</f>
        <v>-1444398.260010066</v>
      </c>
      <c r="P7">
        <f t="shared" si="43"/>
        <v>-1444192.2836783724</v>
      </c>
      <c r="Q7">
        <f t="shared" si="43"/>
        <v>-1444678.7429183628</v>
      </c>
      <c r="R7">
        <f t="shared" si="43"/>
        <v>-1443752.7612775762</v>
      </c>
      <c r="S7">
        <f t="shared" si="43"/>
        <v>-1443752.4876695762</v>
      </c>
      <c r="T7">
        <f>-0.0620201834104382*627.50947428</f>
        <v>-38.918252686633245</v>
      </c>
      <c r="U7">
        <f>N7+$T$7</f>
        <v>-177717.53789539752</v>
      </c>
      <c r="V7">
        <f t="shared" ref="V7:Z7" si="44">O7+$T$7</f>
        <v>-1444437.1782627527</v>
      </c>
      <c r="W7">
        <f t="shared" si="44"/>
        <v>-1444231.2019310591</v>
      </c>
      <c r="X7">
        <f t="shared" si="44"/>
        <v>-1444717.6611710496</v>
      </c>
      <c r="Y7">
        <f t="shared" si="44"/>
        <v>-1443791.6795302629</v>
      </c>
      <c r="Z7">
        <f t="shared" si="44"/>
        <v>-1443791.4059222629</v>
      </c>
      <c r="AA7">
        <f t="shared" si="12"/>
        <v>1.6109196060569957</v>
      </c>
      <c r="AB7">
        <f t="shared" si="13"/>
        <v>1.346891985507682</v>
      </c>
      <c r="AC7">
        <f t="shared" si="14"/>
        <v>1.4107055962085724</v>
      </c>
      <c r="AD7">
        <f t="shared" si="15"/>
        <v>1.4212235361337662</v>
      </c>
      <c r="AE7">
        <f t="shared" si="16"/>
        <v>1.6025623353198171</v>
      </c>
      <c r="AF7">
        <f t="shared" si="17"/>
        <v>1.5013693352229893</v>
      </c>
      <c r="AG7">
        <f t="shared" ref="AG7:AG26" si="45">EXP(-AA7/(8.3145*$B$1/4.184/1000))</f>
        <v>6.7061719746783571E-2</v>
      </c>
      <c r="AH7">
        <f t="shared" ref="AH7:AH26" si="46">EXP(-AB7/(8.3145*$B$1/4.184/1000))</f>
        <v>0.10442727692733021</v>
      </c>
      <c r="AI7">
        <f>EXP(-AC7/(8.3145*$B$1/4.184/1000))</f>
        <v>9.3826801405349824E-2</v>
      </c>
      <c r="AJ7">
        <f t="shared" ref="AJ7:AJ26" si="47">EXP(-AD7/(8.3145*$B$1/4.184/1000))</f>
        <v>9.2185960590371666E-2</v>
      </c>
      <c r="AK7">
        <f t="shared" ref="AK7:AK26" si="48">EXP(-AE7/(8.3145*$B$1/4.184/1000))</f>
        <v>6.8008438666834342E-2</v>
      </c>
      <c r="AL7">
        <f t="shared" ref="AL7:AL26" si="49">EXP(-AF7/(8.3145*$B$1/4.184/1000))</f>
        <v>8.0589793773374871E-2</v>
      </c>
      <c r="AM7">
        <f t="shared" si="19"/>
        <v>2.2783198495672712E-2</v>
      </c>
      <c r="AN7">
        <f t="shared" si="20"/>
        <v>3.5937644528424968E-2</v>
      </c>
      <c r="AO7">
        <f t="shared" si="21"/>
        <v>3.6323102426494031E-2</v>
      </c>
      <c r="AP7">
        <f t="shared" si="22"/>
        <v>3.5195421329426671E-2</v>
      </c>
      <c r="AQ7">
        <f t="shared" si="23"/>
        <v>2.2731004934747813E-2</v>
      </c>
      <c r="AR7">
        <f t="shared" si="24"/>
        <v>2.8822948838439628E-2</v>
      </c>
      <c r="AS7">
        <f t="shared" si="25"/>
        <v>8.6159949053583304E-2</v>
      </c>
      <c r="AT7">
        <f t="shared" si="26"/>
        <v>0.11952752537182031</v>
      </c>
      <c r="AU7">
        <f t="shared" si="27"/>
        <v>0.12042202904566596</v>
      </c>
      <c r="AV7">
        <f t="shared" si="28"/>
        <v>0.11779341860636681</v>
      </c>
      <c r="AW7">
        <f t="shared" si="29"/>
        <v>8.6014700728713006E-2</v>
      </c>
      <c r="AX7">
        <f t="shared" si="30"/>
        <v>0.10222299115379356</v>
      </c>
      <c r="AY7">
        <f t="shared" si="31"/>
        <v>-4048.9739420330789</v>
      </c>
      <c r="AZ7">
        <f t="shared" si="32"/>
        <v>-51909.669856048014</v>
      </c>
      <c r="BA7">
        <f t="shared" si="33"/>
        <v>-52458.957875280445</v>
      </c>
      <c r="BB7">
        <f t="shared" si="34"/>
        <v>-50847.446786978973</v>
      </c>
      <c r="BC7">
        <f t="shared" si="35"/>
        <v>-32818.835792150239</v>
      </c>
      <c r="BD7">
        <f t="shared" si="36"/>
        <v>-41614.325826276203</v>
      </c>
      <c r="BG7" s="37" t="s">
        <v>62</v>
      </c>
      <c r="BH7" s="37"/>
      <c r="BI7" s="37"/>
      <c r="BJ7" s="37"/>
      <c r="BK7" s="37"/>
      <c r="BL7" s="37"/>
    </row>
    <row r="8" spans="1:64" x14ac:dyDescent="0.2">
      <c r="B8" s="37" t="s">
        <v>0</v>
      </c>
      <c r="C8">
        <v>1</v>
      </c>
      <c r="D8">
        <v>-1486481741.8555</v>
      </c>
      <c r="E8">
        <v>1480.8708541408</v>
      </c>
      <c r="F8">
        <f t="shared" si="7"/>
        <v>-355277.66296737571</v>
      </c>
      <c r="G8">
        <f t="shared" si="8"/>
        <v>0.35393662861873804</v>
      </c>
      <c r="H8">
        <f>$F$8-$D$34+D34</f>
        <v>-355277.66296737571</v>
      </c>
      <c r="I8">
        <f t="shared" ref="I8:L8" si="50">$F$8-$D$34+E34</f>
        <v>-2888712.9088405948</v>
      </c>
      <c r="J8">
        <f t="shared" si="50"/>
        <v>-2888303.784878077</v>
      </c>
      <c r="K8">
        <f t="shared" si="50"/>
        <v>-2889270.958634655</v>
      </c>
      <c r="L8">
        <f t="shared" si="50"/>
        <v>-2887423.1395763382</v>
      </c>
      <c r="M8">
        <f>$F$8-$D$34+I34</f>
        <v>-2887416.6998493383</v>
      </c>
      <c r="N8">
        <f>H8-$B$1*$G$8</f>
        <v>-355383.84395596135</v>
      </c>
      <c r="O8">
        <f t="shared" ref="O8:S8" si="51">I8-$B$1*$G$8</f>
        <v>-2888819.0898291804</v>
      </c>
      <c r="P8">
        <f t="shared" si="51"/>
        <v>-2888409.9658666626</v>
      </c>
      <c r="Q8">
        <f t="shared" si="51"/>
        <v>-2889377.1396232406</v>
      </c>
      <c r="R8">
        <f t="shared" si="51"/>
        <v>-2887529.3205649238</v>
      </c>
      <c r="S8">
        <f t="shared" si="51"/>
        <v>-2887522.8808379238</v>
      </c>
      <c r="T8">
        <f>-0.0966121077145716*627.50947428</f>
        <v>-60.625012921053553</v>
      </c>
      <c r="U8">
        <f>N8+$T$8</f>
        <v>-355444.4689688824</v>
      </c>
      <c r="V8">
        <f t="shared" ref="V8:Z8" si="52">O8+$T$8</f>
        <v>-2888879.7148421016</v>
      </c>
      <c r="W8">
        <f t="shared" si="52"/>
        <v>-2888470.5908795837</v>
      </c>
      <c r="X8">
        <f t="shared" si="52"/>
        <v>-2889437.7646361617</v>
      </c>
      <c r="Y8">
        <f t="shared" si="52"/>
        <v>-2887589.945577845</v>
      </c>
      <c r="Z8">
        <f t="shared" si="52"/>
        <v>-2887583.505850845</v>
      </c>
      <c r="AA8">
        <f>U8-$U$29</f>
        <v>0</v>
      </c>
      <c r="AB8">
        <f>V8-$V$29</f>
        <v>0</v>
      </c>
      <c r="AC8">
        <f>W8-$W$29</f>
        <v>0</v>
      </c>
      <c r="AD8">
        <f>X8-$X$29</f>
        <v>5.5555929429829121E-3</v>
      </c>
      <c r="AE8">
        <f>Y8-$Y$29</f>
        <v>0</v>
      </c>
      <c r="AF8">
        <f>Z8-$Z$29</f>
        <v>2.6479304204694927</v>
      </c>
      <c r="AG8" s="20">
        <f t="shared" si="45"/>
        <v>1</v>
      </c>
      <c r="AH8" s="21">
        <f t="shared" si="46"/>
        <v>1</v>
      </c>
      <c r="AI8" s="21">
        <f t="shared" ref="AI8:AI26" si="53">EXP(-AC8/(8.3145*$B$1/4.184/1000))</f>
        <v>1</v>
      </c>
      <c r="AJ8" s="21">
        <f t="shared" si="47"/>
        <v>0.99072438532785834</v>
      </c>
      <c r="AK8" s="21">
        <f t="shared" si="48"/>
        <v>1</v>
      </c>
      <c r="AL8" s="22">
        <f t="shared" si="49"/>
        <v>1.1776910517285848E-2</v>
      </c>
      <c r="AM8">
        <f>AG8/$AG$29</f>
        <v>0.89036063647272545</v>
      </c>
      <c r="AN8">
        <f>AH8/$AH$29</f>
        <v>0.98528518128107245</v>
      </c>
      <c r="AO8">
        <f>AI8/$AI$29</f>
        <v>0.89582926094870563</v>
      </c>
      <c r="AP8">
        <f>AJ8/$AJ$29</f>
        <v>0.28028612362155797</v>
      </c>
      <c r="AQ8">
        <f>AK8/$AK$29</f>
        <v>0.44788752846650487</v>
      </c>
      <c r="AR8">
        <f>AL8/$AL$29</f>
        <v>5.5544339621859777E-3</v>
      </c>
      <c r="AS8">
        <f t="shared" si="25"/>
        <v>0.10339641328272031</v>
      </c>
      <c r="AT8">
        <f t="shared" si="26"/>
        <v>1.4606020808967904E-2</v>
      </c>
      <c r="AU8">
        <f t="shared" si="27"/>
        <v>9.8546093038919244E-2</v>
      </c>
      <c r="AV8">
        <f t="shared" si="28"/>
        <v>0.35650834501452</v>
      </c>
      <c r="AW8">
        <f t="shared" si="29"/>
        <v>0.35974914390355023</v>
      </c>
      <c r="AX8">
        <f t="shared" si="30"/>
        <v>2.8845057376895435E-2</v>
      </c>
      <c r="AY8">
        <f t="shared" si="31"/>
        <v>-316473.76362184406</v>
      </c>
      <c r="AZ8">
        <f t="shared" si="32"/>
        <v>-2846370.3735374128</v>
      </c>
      <c r="BA8">
        <f t="shared" si="33"/>
        <v>-2587576.4746997287</v>
      </c>
      <c r="BB8">
        <f t="shared" si="34"/>
        <v>-809869.3104956093</v>
      </c>
      <c r="BC8">
        <f t="shared" si="35"/>
        <v>-1293315.5239495903</v>
      </c>
      <c r="BD8">
        <f t="shared" si="36"/>
        <v>-16038.891893545986</v>
      </c>
      <c r="BG8" s="37" t="s">
        <v>45</v>
      </c>
      <c r="BH8" t="s">
        <v>7</v>
      </c>
      <c r="BI8" s="37" t="s">
        <v>48</v>
      </c>
      <c r="BJ8" s="37"/>
      <c r="BK8" t="s">
        <v>15</v>
      </c>
      <c r="BL8" t="s">
        <v>16</v>
      </c>
    </row>
    <row r="9" spans="1:64" x14ac:dyDescent="0.2">
      <c r="B9" s="37"/>
      <c r="C9">
        <v>2</v>
      </c>
      <c r="D9">
        <v>-1486428910.5280099</v>
      </c>
      <c r="E9">
        <v>1497.0580907714</v>
      </c>
      <c r="F9">
        <f t="shared" si="7"/>
        <v>-355265.03597705782</v>
      </c>
      <c r="G9">
        <f t="shared" si="8"/>
        <v>0.35780547102566918</v>
      </c>
      <c r="H9">
        <f>$F$9-$D$35+D35</f>
        <v>-355265.03597705782</v>
      </c>
      <c r="I9">
        <f t="shared" ref="I9:L9" si="54">$F$9-$D$35+E35</f>
        <v>-2888698.7756582424</v>
      </c>
      <c r="J9">
        <f t="shared" si="54"/>
        <v>-2888291.1331087346</v>
      </c>
      <c r="K9">
        <f t="shared" si="54"/>
        <v>-2889260.2049903804</v>
      </c>
      <c r="L9">
        <f t="shared" si="54"/>
        <v>-2887412.0076678912</v>
      </c>
      <c r="M9">
        <f>$F$9-$D$35+I35</f>
        <v>-2887408.5885798912</v>
      </c>
      <c r="N9">
        <f>H9-$B$1*$G$9</f>
        <v>-355372.37761836551</v>
      </c>
      <c r="O9">
        <f t="shared" ref="O9:S9" si="55">I9-$B$1*$G$9</f>
        <v>-2888806.1172995502</v>
      </c>
      <c r="P9">
        <f t="shared" si="55"/>
        <v>-2888398.4747500424</v>
      </c>
      <c r="Q9">
        <f t="shared" si="55"/>
        <v>-2889367.5466316883</v>
      </c>
      <c r="R9">
        <f t="shared" si="55"/>
        <v>-2887519.349309199</v>
      </c>
      <c r="S9">
        <f t="shared" si="55"/>
        <v>-2887515.9302211991</v>
      </c>
      <c r="T9">
        <f>-0.111908366239568*627.50947428</f>
        <v>-70.22356006652501</v>
      </c>
      <c r="U9">
        <f>N9+$T$9</f>
        <v>-355442.60117843206</v>
      </c>
      <c r="V9">
        <f t="shared" ref="V9:Z9" si="56">O9+$T$9</f>
        <v>-2888876.3408596166</v>
      </c>
      <c r="W9">
        <f t="shared" si="56"/>
        <v>-2888468.6983101089</v>
      </c>
      <c r="X9">
        <f t="shared" si="56"/>
        <v>-2889437.7701917547</v>
      </c>
      <c r="Y9">
        <f t="shared" si="56"/>
        <v>-2887589.5728692655</v>
      </c>
      <c r="Z9">
        <f t="shared" si="56"/>
        <v>-2887586.1537812655</v>
      </c>
      <c r="AA9">
        <f t="shared" ref="AA9:AA26" si="57">U9-$U$29</f>
        <v>1.8677904503419995</v>
      </c>
      <c r="AB9">
        <f t="shared" ref="AB9:AB26" si="58">V9-$V$29</f>
        <v>3.3739824849180877</v>
      </c>
      <c r="AC9">
        <f t="shared" ref="AC9:AC26" si="59">W9-$W$29</f>
        <v>1.892569474875927</v>
      </c>
      <c r="AD9">
        <f t="shared" ref="AD9:AD26" si="60">X9-$X$29</f>
        <v>0</v>
      </c>
      <c r="AE9">
        <f t="shared" ref="AE9:AE26" si="61">Y9-$Y$29</f>
        <v>0.37270857952535152</v>
      </c>
      <c r="AF9">
        <f t="shared" ref="AF9:AF26" si="62">Z9-$Z$29</f>
        <v>0</v>
      </c>
      <c r="AG9" s="23">
        <f t="shared" ref="AG9:AL9" si="63">2*EXP(-AA9/(8.3145*$B$1/4.184/1000))</f>
        <v>8.7172398391719516E-2</v>
      </c>
      <c r="AH9">
        <f t="shared" si="63"/>
        <v>6.9686040919877869E-3</v>
      </c>
      <c r="AI9">
        <f t="shared" si="63"/>
        <v>8.3623421158616568E-2</v>
      </c>
      <c r="AJ9">
        <f t="shared" si="63"/>
        <v>2</v>
      </c>
      <c r="AK9">
        <f t="shared" si="63"/>
        <v>1.0703323413383137</v>
      </c>
      <c r="AL9" s="24">
        <f t="shared" si="63"/>
        <v>2</v>
      </c>
      <c r="AM9">
        <f t="shared" ref="AM9:AM26" si="64">AG9/$AG$29</f>
        <v>7.7614872114905378E-2</v>
      </c>
      <c r="AN9">
        <f t="shared" ref="AN9:AN26" si="65">AH9/$AH$29</f>
        <v>6.8660623460502094E-3</v>
      </c>
      <c r="AO9">
        <f t="shared" ref="AO9:AO26" si="66">AI9/$AI$29</f>
        <v>7.4912307574525827E-2</v>
      </c>
      <c r="AP9">
        <f t="shared" ref="AP9:AP26" si="67">AJ9/$AJ$29</f>
        <v>0.56582058092534682</v>
      </c>
      <c r="AQ9">
        <f t="shared" ref="AQ9:AQ26" si="68">AK9/$AK$29</f>
        <v>0.4793885069997848</v>
      </c>
      <c r="AR9">
        <f t="shared" ref="AR9:AR26" si="69">AL9/$AL$29</f>
        <v>0.94327522554125232</v>
      </c>
      <c r="AS9">
        <f t="shared" si="25"/>
        <v>0.19838331967864364</v>
      </c>
      <c r="AT9">
        <f t="shared" si="26"/>
        <v>3.4200986037542701E-2</v>
      </c>
      <c r="AU9">
        <f t="shared" si="27"/>
        <v>0.19413053173714476</v>
      </c>
      <c r="AV9">
        <f t="shared" si="28"/>
        <v>0.32222251189910395</v>
      </c>
      <c r="AW9">
        <f t="shared" si="29"/>
        <v>0.35246749035642566</v>
      </c>
      <c r="AX9">
        <f t="shared" si="30"/>
        <v>5.5084610566353921E-2</v>
      </c>
      <c r="AY9">
        <f t="shared" si="31"/>
        <v>-27587.632034653321</v>
      </c>
      <c r="AZ9">
        <f t="shared" si="32"/>
        <v>-19835.205066371524</v>
      </c>
      <c r="BA9">
        <f t="shared" si="33"/>
        <v>-216381.85554719713</v>
      </c>
      <c r="BB9">
        <f t="shared" si="34"/>
        <v>-1634903.3576775375</v>
      </c>
      <c r="BC9">
        <f t="shared" si="35"/>
        <v>-1384277.2541659435</v>
      </c>
      <c r="BD9">
        <f t="shared" si="36"/>
        <v>-2723788.4804778206</v>
      </c>
      <c r="BG9" s="37"/>
      <c r="BH9" t="s">
        <v>12</v>
      </c>
      <c r="BI9" t="s">
        <v>12</v>
      </c>
      <c r="BJ9" t="s">
        <v>14</v>
      </c>
      <c r="BK9" t="s">
        <v>8</v>
      </c>
      <c r="BL9" t="s">
        <v>8</v>
      </c>
    </row>
    <row r="10" spans="1:64" x14ac:dyDescent="0.2">
      <c r="B10" s="37"/>
      <c r="C10">
        <v>3</v>
      </c>
      <c r="D10">
        <v>-1486422544.6755199</v>
      </c>
      <c r="E10">
        <v>1475.3594722352</v>
      </c>
      <c r="F10">
        <f t="shared" si="7"/>
        <v>-355263.51450179733</v>
      </c>
      <c r="G10">
        <f t="shared" si="8"/>
        <v>0.35261937672925425</v>
      </c>
      <c r="H10">
        <f>$F$10-$D$36+D36</f>
        <v>-355263.51450179733</v>
      </c>
      <c r="I10">
        <f t="shared" ref="I10:L10" si="70">$F$10-$D$36+E36</f>
        <v>-2888699.3401978789</v>
      </c>
      <c r="J10">
        <f t="shared" si="70"/>
        <v>-2888293.9741642429</v>
      </c>
      <c r="K10">
        <f t="shared" si="70"/>
        <v>-2889262.0091775879</v>
      </c>
      <c r="L10">
        <f t="shared" si="70"/>
        <v>-2887413.6997254575</v>
      </c>
      <c r="M10">
        <f>$F$10-$D$36+I36</f>
        <v>-2887409.1928134579</v>
      </c>
      <c r="N10">
        <f>H10-$B$1*$G$10</f>
        <v>-355369.30031481612</v>
      </c>
      <c r="O10">
        <f t="shared" ref="O10:S10" si="71">I10-$B$1*$G$10</f>
        <v>-2888805.1260108976</v>
      </c>
      <c r="P10">
        <f t="shared" si="71"/>
        <v>-2888399.7599772615</v>
      </c>
      <c r="Q10">
        <f t="shared" si="71"/>
        <v>-2889367.7949906066</v>
      </c>
      <c r="R10">
        <f t="shared" si="71"/>
        <v>-2887519.4855384761</v>
      </c>
      <c r="S10">
        <f t="shared" si="71"/>
        <v>-2887514.9786264766</v>
      </c>
      <c r="T10">
        <f>-0.103362491046486*627.50947428</f>
        <v>-64.860942416851628</v>
      </c>
      <c r="U10">
        <f>N10+$T$10</f>
        <v>-355434.16125723295</v>
      </c>
      <c r="V10">
        <f t="shared" ref="V10:Z10" si="72">O10+$T$10</f>
        <v>-2888869.9869533144</v>
      </c>
      <c r="W10">
        <f t="shared" si="72"/>
        <v>-2888464.6209196784</v>
      </c>
      <c r="X10">
        <f t="shared" si="72"/>
        <v>-2889432.6559330234</v>
      </c>
      <c r="Y10">
        <f t="shared" si="72"/>
        <v>-2887584.346480893</v>
      </c>
      <c r="Z10">
        <f t="shared" si="72"/>
        <v>-2887579.8395688934</v>
      </c>
      <c r="AA10">
        <f t="shared" si="57"/>
        <v>10.307711649453267</v>
      </c>
      <c r="AB10">
        <f t="shared" si="58"/>
        <v>9.7278887871652842</v>
      </c>
      <c r="AC10">
        <f t="shared" si="59"/>
        <v>5.9699599053710699</v>
      </c>
      <c r="AD10">
        <f t="shared" si="60"/>
        <v>5.1142587312497199</v>
      </c>
      <c r="AE10">
        <f t="shared" si="61"/>
        <v>5.5990969520062208</v>
      </c>
      <c r="AF10">
        <f t="shared" si="62"/>
        <v>6.3142123720608652</v>
      </c>
      <c r="AG10" s="23">
        <f t="shared" si="45"/>
        <v>3.0975732670792495E-8</v>
      </c>
      <c r="AH10">
        <f t="shared" si="46"/>
        <v>8.1924138241783236E-8</v>
      </c>
      <c r="AI10">
        <f t="shared" si="53"/>
        <v>4.4770709454761608E-5</v>
      </c>
      <c r="AJ10">
        <f t="shared" si="47"/>
        <v>1.8808603371944769E-4</v>
      </c>
      <c r="AK10">
        <f t="shared" si="48"/>
        <v>8.3398995354284878E-5</v>
      </c>
      <c r="AL10" s="24">
        <f t="shared" si="49"/>
        <v>2.5131151259673566E-5</v>
      </c>
      <c r="AM10">
        <f t="shared" si="64"/>
        <v>2.7579573055975801E-8</v>
      </c>
      <c r="AN10">
        <f t="shared" si="65"/>
        <v>8.071863939885103E-8</v>
      </c>
      <c r="AO10">
        <f t="shared" si="66"/>
        <v>4.0106911563008316E-5</v>
      </c>
      <c r="AP10">
        <f t="shared" si="67"/>
        <v>5.3211474431541127E-5</v>
      </c>
      <c r="AQ10">
        <f t="shared" si="68"/>
        <v>3.7353369905820174E-5</v>
      </c>
      <c r="AR10">
        <f t="shared" si="69"/>
        <v>1.1852796186289955E-5</v>
      </c>
      <c r="AS10">
        <f t="shared" si="25"/>
        <v>4.800553010014853E-7</v>
      </c>
      <c r="AT10">
        <f t="shared" si="26"/>
        <v>1.3183207369554155E-6</v>
      </c>
      <c r="AU10">
        <f t="shared" si="27"/>
        <v>4.0604084380142032E-4</v>
      </c>
      <c r="AV10">
        <f t="shared" si="28"/>
        <v>5.2366670439821846E-4</v>
      </c>
      <c r="AW10">
        <f t="shared" si="29"/>
        <v>3.808208718231442E-4</v>
      </c>
      <c r="AX10">
        <f t="shared" si="30"/>
        <v>1.3444563601679827E-4</v>
      </c>
      <c r="AY10">
        <f t="shared" si="31"/>
        <v>-9.80272241698334E-3</v>
      </c>
      <c r="AZ10">
        <f t="shared" si="32"/>
        <v>-0.23318565474704805</v>
      </c>
      <c r="BA10">
        <f t="shared" si="33"/>
        <v>-115.84739510410388</v>
      </c>
      <c r="BB10">
        <f t="shared" si="34"/>
        <v>-153.75097189284006</v>
      </c>
      <c r="BC10">
        <f t="shared" si="35"/>
        <v>-107.8610062283568</v>
      </c>
      <c r="BD10">
        <f t="shared" si="36"/>
        <v>-34.225895310049943</v>
      </c>
      <c r="BF10" t="s">
        <v>59</v>
      </c>
      <c r="BG10">
        <f>8.3145*300*SUM(AS4:AS7)/1000/4.184</f>
        <v>0.44249239512449967</v>
      </c>
      <c r="BH10">
        <f t="shared" ref="BH10:BL10" si="73">8.3145*300*SUM(AT4:AT7)/1000/4.184</f>
        <v>0.4363256594865435</v>
      </c>
      <c r="BI10">
        <f t="shared" si="73"/>
        <v>0.37783006429277127</v>
      </c>
      <c r="BJ10">
        <f t="shared" si="73"/>
        <v>0.38537377207374302</v>
      </c>
      <c r="BK10">
        <f t="shared" si="73"/>
        <v>0.42821998459867922</v>
      </c>
      <c r="BL10">
        <f t="shared" si="73"/>
        <v>0.4117589345901338</v>
      </c>
    </row>
    <row r="11" spans="1:64" x14ac:dyDescent="0.2">
      <c r="B11" s="37"/>
      <c r="C11">
        <v>4</v>
      </c>
      <c r="D11">
        <v>-1486381743.86166</v>
      </c>
      <c r="E11">
        <v>1505.0487994552</v>
      </c>
      <c r="F11">
        <f t="shared" si="7"/>
        <v>-355253.76287324564</v>
      </c>
      <c r="G11">
        <f t="shared" si="8"/>
        <v>0.35971529623690246</v>
      </c>
      <c r="H11">
        <f>$F$11-$D$37+D37</f>
        <v>-355253.76287324564</v>
      </c>
      <c r="I11">
        <f t="shared" ref="I11:L11" si="74">$F$11-$D$37+E37</f>
        <v>-2888688.3905376475</v>
      </c>
      <c r="J11">
        <f t="shared" si="74"/>
        <v>-2888282.5961155384</v>
      </c>
      <c r="K11">
        <f t="shared" si="74"/>
        <v>-2889254.1164040319</v>
      </c>
      <c r="L11">
        <f t="shared" si="74"/>
        <v>-2887403.6202216609</v>
      </c>
      <c r="M11">
        <f>$F$11-$D$37+I37</f>
        <v>-2887401.2342346609</v>
      </c>
      <c r="N11">
        <f>H11-$B$1*$G$11</f>
        <v>-355361.6774621167</v>
      </c>
      <c r="O11">
        <f t="shared" ref="O11:S11" si="75">I11-$B$1*$G$11</f>
        <v>-2888796.3051265185</v>
      </c>
      <c r="P11">
        <f t="shared" si="75"/>
        <v>-2888390.5107044093</v>
      </c>
      <c r="Q11">
        <f t="shared" si="75"/>
        <v>-2889362.0309929028</v>
      </c>
      <c r="R11">
        <f t="shared" si="75"/>
        <v>-2887511.5348105319</v>
      </c>
      <c r="S11">
        <f t="shared" si="75"/>
        <v>-2887509.1488235318</v>
      </c>
      <c r="T11">
        <f>-0.118342736585976*627.50947428</f>
        <v>-74.261188419922306</v>
      </c>
      <c r="U11">
        <f>N11+$T$11</f>
        <v>-355435.93865053664</v>
      </c>
      <c r="V11">
        <f t="shared" ref="V11:Z11" si="76">O11+$T$11</f>
        <v>-2888870.5663149385</v>
      </c>
      <c r="W11">
        <f t="shared" si="76"/>
        <v>-2888464.7718928293</v>
      </c>
      <c r="X11">
        <f t="shared" si="76"/>
        <v>-2889436.2921813228</v>
      </c>
      <c r="Y11">
        <f t="shared" si="76"/>
        <v>-2887585.7959989519</v>
      </c>
      <c r="Z11">
        <f t="shared" si="76"/>
        <v>-2887583.4100119518</v>
      </c>
      <c r="AA11">
        <f t="shared" si="57"/>
        <v>8.5303183457581326</v>
      </c>
      <c r="AB11">
        <f t="shared" si="58"/>
        <v>9.1485271630808711</v>
      </c>
      <c r="AC11">
        <f t="shared" si="59"/>
        <v>5.818986754398793</v>
      </c>
      <c r="AD11">
        <f t="shared" si="60"/>
        <v>1.4780104318633676</v>
      </c>
      <c r="AE11">
        <f t="shared" si="61"/>
        <v>4.1495788930915296</v>
      </c>
      <c r="AF11">
        <f t="shared" si="62"/>
        <v>2.7437693136744201</v>
      </c>
      <c r="AG11" s="23">
        <f t="shared" si="45"/>
        <v>6.1068876327230292E-7</v>
      </c>
      <c r="AH11">
        <f t="shared" si="46"/>
        <v>2.1650412355499146E-7</v>
      </c>
      <c r="AI11">
        <f t="shared" si="53"/>
        <v>5.7673345029684038E-5</v>
      </c>
      <c r="AJ11">
        <f t="shared" si="47"/>
        <v>8.381014191321759E-2</v>
      </c>
      <c r="AK11">
        <f t="shared" si="48"/>
        <v>9.4865450445550943E-4</v>
      </c>
      <c r="AL11" s="24">
        <f t="shared" si="49"/>
        <v>1.0028004119362126E-2</v>
      </c>
      <c r="AM11">
        <f t="shared" si="64"/>
        <v>5.4373323595386915E-7</v>
      </c>
      <c r="AN11">
        <f t="shared" si="65"/>
        <v>2.1331830462497947E-7</v>
      </c>
      <c r="AO11">
        <f t="shared" si="66"/>
        <v>5.1665470054381555E-5</v>
      </c>
      <c r="AP11">
        <f t="shared" si="67"/>
        <v>2.3710751592386267E-2</v>
      </c>
      <c r="AQ11">
        <f t="shared" si="68"/>
        <v>4.2489052136919508E-4</v>
      </c>
      <c r="AR11">
        <f t="shared" si="69"/>
        <v>4.7295839237099582E-3</v>
      </c>
      <c r="AS11">
        <f t="shared" si="25"/>
        <v>7.8432470345811856E-6</v>
      </c>
      <c r="AT11">
        <f t="shared" si="26"/>
        <v>3.2766716368999589E-6</v>
      </c>
      <c r="AU11">
        <f t="shared" si="27"/>
        <v>5.0997543456877416E-4</v>
      </c>
      <c r="AV11">
        <f t="shared" si="28"/>
        <v>8.8721522911802783E-2</v>
      </c>
      <c r="AW11">
        <f t="shared" si="29"/>
        <v>3.2987136261268283E-3</v>
      </c>
      <c r="AX11">
        <f t="shared" si="30"/>
        <v>2.5321804717975949E-2</v>
      </c>
      <c r="AY11">
        <f t="shared" si="31"/>
        <v>-0.19326233309675719</v>
      </c>
      <c r="AZ11">
        <f t="shared" si="32"/>
        <v>-0.61624897148730695</v>
      </c>
      <c r="BA11">
        <f t="shared" si="33"/>
        <v>-149.23389017536502</v>
      </c>
      <c r="BB11">
        <f t="shared" si="34"/>
        <v>-68510.706165936965</v>
      </c>
      <c r="BC11">
        <f t="shared" si="35"/>
        <v>-1226.9078343602769</v>
      </c>
      <c r="BD11">
        <f t="shared" si="36"/>
        <v>-13657.068074364108</v>
      </c>
      <c r="BF11" t="s">
        <v>60</v>
      </c>
      <c r="BG11">
        <f>8.3145*300*SUM(AS8:AS26)/1000/4.184</f>
        <v>0.25856542255076936</v>
      </c>
      <c r="BH11">
        <f t="shared" ref="BH11:BL11" si="77">8.3145*300*SUM(AT8:AT26)/1000/4.184</f>
        <v>5.4677235944014441E-2</v>
      </c>
      <c r="BI11">
        <f t="shared" si="77"/>
        <v>0.24904951767775016</v>
      </c>
      <c r="BJ11">
        <f t="shared" si="77"/>
        <v>0.72882735397747445</v>
      </c>
      <c r="BK11">
        <f t="shared" si="77"/>
        <v>0.57971654967587039</v>
      </c>
      <c r="BL11">
        <f t="shared" si="77"/>
        <v>0.17903402180798891</v>
      </c>
    </row>
    <row r="12" spans="1:64" x14ac:dyDescent="0.2">
      <c r="B12" s="37"/>
      <c r="C12" t="s">
        <v>1</v>
      </c>
      <c r="D12">
        <v>-1486391834.1186299</v>
      </c>
      <c r="E12">
        <v>1512.5048285370999</v>
      </c>
      <c r="F12">
        <f t="shared" si="7"/>
        <v>-355256.17450254061</v>
      </c>
      <c r="G12">
        <f t="shared" si="8"/>
        <v>0.36149732995628581</v>
      </c>
      <c r="H12">
        <f>$F$12-$D$38+D38</f>
        <v>-355256.17450254061</v>
      </c>
      <c r="I12">
        <f t="shared" ref="I12:L12" si="78">$F$12-$D$38+E38</f>
        <v>-2888689.7539370731</v>
      </c>
      <c r="J12">
        <f t="shared" si="78"/>
        <v>-2888280.7028804407</v>
      </c>
      <c r="K12">
        <f t="shared" si="78"/>
        <v>-2889251.1481707599</v>
      </c>
      <c r="L12">
        <f t="shared" si="78"/>
        <v>-2887402.3434053911</v>
      </c>
      <c r="M12">
        <f>$F$12-$D$38+I38</f>
        <v>-2887399.5052813911</v>
      </c>
      <c r="N12">
        <f>H12-$B$1*$G$12</f>
        <v>-355364.62370152748</v>
      </c>
      <c r="O12">
        <f t="shared" ref="O12:S12" si="79">I12-$B$1*$G$12</f>
        <v>-2888798.2031360599</v>
      </c>
      <c r="P12">
        <f t="shared" si="79"/>
        <v>-2888389.1520794276</v>
      </c>
      <c r="Q12">
        <f t="shared" si="79"/>
        <v>-2889359.5973697468</v>
      </c>
      <c r="R12">
        <f t="shared" si="79"/>
        <v>-2887510.792604378</v>
      </c>
      <c r="S12">
        <f t="shared" si="79"/>
        <v>-2887507.954480378</v>
      </c>
      <c r="T12">
        <f>-0.113865370114261*627.50947428</f>
        <v>-71.451598539097532</v>
      </c>
      <c r="U12">
        <f>N12+$T$12</f>
        <v>-355436.07530006656</v>
      </c>
      <c r="V12">
        <f t="shared" ref="V12:Z12" si="80">O12+$T$12</f>
        <v>-2888869.6547345989</v>
      </c>
      <c r="W12">
        <f t="shared" si="80"/>
        <v>-2888460.6036779666</v>
      </c>
      <c r="X12">
        <f t="shared" si="80"/>
        <v>-2889431.0489682858</v>
      </c>
      <c r="Y12">
        <f t="shared" si="80"/>
        <v>-2887582.244202917</v>
      </c>
      <c r="Z12">
        <f t="shared" si="80"/>
        <v>-2887579.406078917</v>
      </c>
      <c r="AA12">
        <f t="shared" si="57"/>
        <v>8.3936688158428296</v>
      </c>
      <c r="AB12">
        <f t="shared" si="58"/>
        <v>10.060107502620667</v>
      </c>
      <c r="AC12">
        <f t="shared" si="59"/>
        <v>9.9872016170993447</v>
      </c>
      <c r="AD12">
        <f t="shared" si="60"/>
        <v>6.7212234688922763</v>
      </c>
      <c r="AE12">
        <f t="shared" si="61"/>
        <v>7.7013749280013144</v>
      </c>
      <c r="AF12">
        <f t="shared" si="62"/>
        <v>6.7477023485116661</v>
      </c>
      <c r="AG12" s="23">
        <f t="shared" si="45"/>
        <v>7.6800951220051788E-7</v>
      </c>
      <c r="AH12">
        <f t="shared" si="46"/>
        <v>4.6924176094870979E-8</v>
      </c>
      <c r="AI12">
        <f t="shared" si="53"/>
        <v>5.3028244865222009E-8</v>
      </c>
      <c r="AJ12">
        <f t="shared" si="47"/>
        <v>1.2697326395274692E-5</v>
      </c>
      <c r="AK12">
        <f t="shared" si="48"/>
        <v>2.4529571819437493E-6</v>
      </c>
      <c r="AL12" s="24">
        <f t="shared" si="49"/>
        <v>1.2145709980821492E-5</v>
      </c>
      <c r="AM12">
        <f t="shared" si="64"/>
        <v>6.8380543809996053E-7</v>
      </c>
      <c r="AN12">
        <f t="shared" si="65"/>
        <v>4.623369535009992E-8</v>
      </c>
      <c r="AO12">
        <f t="shared" si="66"/>
        <v>4.7504253407018824E-8</v>
      </c>
      <c r="AP12">
        <f t="shared" si="67"/>
        <v>3.5922042985865329E-6</v>
      </c>
      <c r="AQ12">
        <f t="shared" si="68"/>
        <v>1.0986489296549486E-6</v>
      </c>
      <c r="AR12">
        <f t="shared" si="69"/>
        <v>5.7283736607590167E-6</v>
      </c>
      <c r="AS12">
        <f t="shared" si="25"/>
        <v>9.7070232849632117E-6</v>
      </c>
      <c r="AT12">
        <f t="shared" si="26"/>
        <v>7.8086663146190039E-7</v>
      </c>
      <c r="AU12">
        <f t="shared" si="27"/>
        <v>8.0103793561258958E-7</v>
      </c>
      <c r="AV12">
        <f t="shared" si="28"/>
        <v>4.5034547602238297E-5</v>
      </c>
      <c r="AW12">
        <f t="shared" si="29"/>
        <v>1.5075033700398775E-5</v>
      </c>
      <c r="AX12">
        <f t="shared" si="30"/>
        <v>6.9141922033206331E-5</v>
      </c>
      <c r="AY12">
        <f t="shared" si="31"/>
        <v>-0.24304912118709257</v>
      </c>
      <c r="AZ12">
        <f t="shared" si="32"/>
        <v>-0.13356311952314778</v>
      </c>
      <c r="BA12">
        <f t="shared" si="33"/>
        <v>-0.1372141644733087</v>
      </c>
      <c r="BB12">
        <f t="shared" si="34"/>
        <v>-10.379426634573271</v>
      </c>
      <c r="BC12">
        <f t="shared" si="35"/>
        <v>-3.1724391418841691</v>
      </c>
      <c r="BD12">
        <f t="shared" si="36"/>
        <v>-16.541133813132632</v>
      </c>
      <c r="BF12" t="s">
        <v>61</v>
      </c>
      <c r="BG12">
        <f>BG11-2*BG10</f>
        <v>-0.62641936769822992</v>
      </c>
      <c r="BH12">
        <f t="shared" ref="BH12:BK12" si="81">BH11-2*BH10</f>
        <v>-0.8179740830290726</v>
      </c>
      <c r="BI12">
        <f t="shared" si="81"/>
        <v>-0.50661061090779236</v>
      </c>
      <c r="BJ12">
        <f t="shared" si="81"/>
        <v>-4.1920190170011584E-2</v>
      </c>
      <c r="BK12">
        <f t="shared" si="81"/>
        <v>-0.27672341952148805</v>
      </c>
      <c r="BL12">
        <f>BL11-2*BL10</f>
        <v>-0.64448384737227871</v>
      </c>
    </row>
    <row r="13" spans="1:64" x14ac:dyDescent="0.2">
      <c r="B13" s="37"/>
      <c r="C13" t="s">
        <v>2</v>
      </c>
      <c r="D13">
        <v>-1486385545.2553999</v>
      </c>
      <c r="E13">
        <v>1494.8252267629</v>
      </c>
      <c r="F13">
        <f t="shared" si="7"/>
        <v>-355254.6714281548</v>
      </c>
      <c r="G13">
        <f t="shared" si="8"/>
        <v>0.35727180371962236</v>
      </c>
      <c r="H13">
        <f>$F$13-$D$39+D39</f>
        <v>-355254.6714281548</v>
      </c>
      <c r="I13">
        <f t="shared" ref="I13:L13" si="82">$F$13-$D$39+E39</f>
        <v>-2888677.1600920991</v>
      </c>
      <c r="J13">
        <f t="shared" si="82"/>
        <v>-2888274.8065475724</v>
      </c>
      <c r="K13">
        <f t="shared" si="82"/>
        <v>-2889243.1753664422</v>
      </c>
      <c r="L13">
        <f t="shared" si="82"/>
        <v>-2887398.01923163</v>
      </c>
      <c r="M13">
        <f>$F$13-$D$39+I39</f>
        <v>-2887391.56787463</v>
      </c>
      <c r="N13">
        <f>H13-$B$1*$G$13</f>
        <v>-355361.85296927067</v>
      </c>
      <c r="O13">
        <f t="shared" ref="O13:S13" si="83">I13-$B$1*$G$13</f>
        <v>-2888784.3416332151</v>
      </c>
      <c r="P13">
        <f t="shared" si="83"/>
        <v>-2888381.9880886883</v>
      </c>
      <c r="Q13">
        <f t="shared" si="83"/>
        <v>-2889350.3569075582</v>
      </c>
      <c r="R13">
        <f t="shared" si="83"/>
        <v>-2887505.200772746</v>
      </c>
      <c r="S13">
        <f t="shared" si="83"/>
        <v>-2887498.749415746</v>
      </c>
      <c r="T13">
        <f>-0.101345740893728*627.50947428</f>
        <v>-63.595412588740345</v>
      </c>
      <c r="U13">
        <f>N13+$T$13</f>
        <v>-355425.4483818594</v>
      </c>
      <c r="V13">
        <f t="shared" ref="V13:Z13" si="84">O13+$T$13</f>
        <v>-2888847.9370458038</v>
      </c>
      <c r="W13">
        <f t="shared" si="84"/>
        <v>-2888445.583501277</v>
      </c>
      <c r="X13">
        <f t="shared" si="84"/>
        <v>-2889413.9523201468</v>
      </c>
      <c r="Y13">
        <f t="shared" si="84"/>
        <v>-2887568.7961853347</v>
      </c>
      <c r="Z13">
        <f t="shared" si="84"/>
        <v>-2887562.3448283346</v>
      </c>
      <c r="AA13">
        <f t="shared" si="57"/>
        <v>19.02058702299837</v>
      </c>
      <c r="AB13">
        <f t="shared" si="58"/>
        <v>31.777796297799796</v>
      </c>
      <c r="AC13">
        <f t="shared" si="59"/>
        <v>25.007378306705505</v>
      </c>
      <c r="AD13">
        <f t="shared" si="60"/>
        <v>23.817871607840061</v>
      </c>
      <c r="AE13">
        <f t="shared" si="61"/>
        <v>21.14939251029864</v>
      </c>
      <c r="AF13">
        <f t="shared" si="62"/>
        <v>23.808952930849046</v>
      </c>
      <c r="AG13" s="23">
        <f t="shared" si="45"/>
        <v>1.392682371787836E-14</v>
      </c>
      <c r="AH13">
        <f t="shared" si="46"/>
        <v>7.086955144207064E-24</v>
      </c>
      <c r="AI13">
        <f t="shared" si="53"/>
        <v>6.0615641436615589E-19</v>
      </c>
      <c r="AJ13">
        <f t="shared" si="47"/>
        <v>4.4577782850737794E-18</v>
      </c>
      <c r="AK13">
        <f t="shared" si="48"/>
        <v>3.9179277460377479E-16</v>
      </c>
      <c r="AL13" s="24">
        <f t="shared" si="49"/>
        <v>4.5249684611372083E-18</v>
      </c>
      <c r="AM13">
        <f t="shared" si="64"/>
        <v>1.2399895629493625E-14</v>
      </c>
      <c r="AN13">
        <f t="shared" si="65"/>
        <v>6.982671883990885E-24</v>
      </c>
      <c r="AO13">
        <f t="shared" si="66"/>
        <v>5.4301265270095076E-19</v>
      </c>
      <c r="AP13">
        <f t="shared" si="67"/>
        <v>1.261151349448421E-18</v>
      </c>
      <c r="AQ13">
        <f t="shared" si="68"/>
        <v>1.7547909748831912E-16</v>
      </c>
      <c r="AR13">
        <f t="shared" si="69"/>
        <v>2.1341453228731269E-18</v>
      </c>
      <c r="AS13">
        <f t="shared" si="25"/>
        <v>3.9705815335025719E-13</v>
      </c>
      <c r="AT13">
        <f t="shared" si="26"/>
        <v>3.72306363108614E-22</v>
      </c>
      <c r="AU13">
        <f t="shared" si="27"/>
        <v>2.2837566938730035E-17</v>
      </c>
      <c r="AV13">
        <f t="shared" si="28"/>
        <v>5.1977730616398117E-17</v>
      </c>
      <c r="AW13">
        <f t="shared" si="29"/>
        <v>6.3662082380280719E-15</v>
      </c>
      <c r="AX13">
        <f t="shared" si="30"/>
        <v>8.6835098180615721E-17</v>
      </c>
      <c r="AY13">
        <f t="shared" si="31"/>
        <v>-4.4072384640010304E-9</v>
      </c>
      <c r="AZ13">
        <f t="shared" si="32"/>
        <v>-2.0171877267134803E-17</v>
      </c>
      <c r="BA13">
        <f t="shared" si="33"/>
        <v>-1.568462498479374E-12</v>
      </c>
      <c r="BB13">
        <f t="shared" si="34"/>
        <v>-3.6439883050836484E-12</v>
      </c>
      <c r="BC13">
        <f t="shared" si="35"/>
        <v>-5.0670796629003463E-10</v>
      </c>
      <c r="BD13">
        <f t="shared" si="36"/>
        <v>-6.1624776727199494E-12</v>
      </c>
      <c r="BG13" s="37" t="s">
        <v>55</v>
      </c>
      <c r="BH13" s="37"/>
      <c r="BI13" s="37"/>
      <c r="BJ13" s="37"/>
      <c r="BK13" s="37"/>
      <c r="BL13" s="37"/>
    </row>
    <row r="14" spans="1:64" x14ac:dyDescent="0.2">
      <c r="B14" s="37"/>
      <c r="C14">
        <v>6</v>
      </c>
      <c r="D14">
        <v>-1486431481.58987</v>
      </c>
      <c r="E14">
        <v>1495.3795213828</v>
      </c>
      <c r="F14">
        <f t="shared" si="7"/>
        <v>-355265.65047559037</v>
      </c>
      <c r="G14">
        <f t="shared" si="8"/>
        <v>0.35740428331328872</v>
      </c>
      <c r="H14">
        <f>$F$14-$D$40+D40</f>
        <v>-355265.65047559037</v>
      </c>
      <c r="I14">
        <f t="shared" ref="I14:L14" si="85">$F$14-$D$40+E40</f>
        <v>-2888699.5941375201</v>
      </c>
      <c r="J14">
        <f t="shared" si="85"/>
        <v>-2888291.9427581937</v>
      </c>
      <c r="K14">
        <f t="shared" si="85"/>
        <v>-2889261.1580650853</v>
      </c>
      <c r="L14">
        <f t="shared" si="85"/>
        <v>-2887412.1046950179</v>
      </c>
      <c r="M14">
        <f>$F$14-$D$40+I40</f>
        <v>-2887407.6251300178</v>
      </c>
      <c r="N14">
        <f>H14-$B$1*$G$14</f>
        <v>-355372.87176058436</v>
      </c>
      <c r="O14">
        <f t="shared" ref="O14:S14" si="86">I14-$B$1*$G$14</f>
        <v>-2888806.815422514</v>
      </c>
      <c r="P14">
        <f t="shared" si="86"/>
        <v>-2888399.1640431876</v>
      </c>
      <c r="Q14">
        <f t="shared" si="86"/>
        <v>-2889368.3793500792</v>
      </c>
      <c r="R14">
        <f t="shared" si="86"/>
        <v>-2887519.3259800118</v>
      </c>
      <c r="S14">
        <f t="shared" si="86"/>
        <v>-2887514.8464150117</v>
      </c>
      <c r="T14">
        <f>-0.106367843398916*627.50947428</f>
        <v>-66.746829491551139</v>
      </c>
      <c r="U14">
        <f>N14+$T$14</f>
        <v>-355439.61859007593</v>
      </c>
      <c r="V14">
        <f t="shared" ref="V14:Z14" si="87">O14+$T$14</f>
        <v>-2888873.5622520056</v>
      </c>
      <c r="W14">
        <f t="shared" si="87"/>
        <v>-2888465.9108726792</v>
      </c>
      <c r="X14">
        <f t="shared" si="87"/>
        <v>-2889435.1261795708</v>
      </c>
      <c r="Y14">
        <f t="shared" si="87"/>
        <v>-2887586.0728095034</v>
      </c>
      <c r="Z14">
        <f t="shared" si="87"/>
        <v>-2887581.5932445033</v>
      </c>
      <c r="AA14">
        <f t="shared" si="57"/>
        <v>4.850378806469962</v>
      </c>
      <c r="AB14">
        <f t="shared" si="58"/>
        <v>6.1525900959968567</v>
      </c>
      <c r="AC14">
        <f t="shared" si="59"/>
        <v>4.680006904527545</v>
      </c>
      <c r="AD14">
        <f t="shared" si="60"/>
        <v>2.6440121838822961</v>
      </c>
      <c r="AE14">
        <f t="shared" si="61"/>
        <v>3.872768341563642</v>
      </c>
      <c r="AF14">
        <f t="shared" si="62"/>
        <v>4.5605367622338235</v>
      </c>
      <c r="AG14" s="23">
        <f t="shared" si="45"/>
        <v>2.9281156221443053E-4</v>
      </c>
      <c r="AH14">
        <f t="shared" si="46"/>
        <v>3.2957270803900405E-5</v>
      </c>
      <c r="AI14">
        <f t="shared" si="53"/>
        <v>3.8967363220026365E-4</v>
      </c>
      <c r="AJ14">
        <f t="shared" si="47"/>
        <v>1.1854568173264935E-2</v>
      </c>
      <c r="AK14">
        <f t="shared" si="48"/>
        <v>1.5092440430194904E-3</v>
      </c>
      <c r="AL14" s="24">
        <f t="shared" si="49"/>
        <v>4.761379761936459E-4</v>
      </c>
      <c r="AM14">
        <f t="shared" si="64"/>
        <v>2.607078888998134E-4</v>
      </c>
      <c r="AN14">
        <f t="shared" si="65"/>
        <v>3.2472310538550404E-5</v>
      </c>
      <c r="AO14">
        <f t="shared" si="66"/>
        <v>3.4908104194515991E-4</v>
      </c>
      <c r="AP14">
        <f t="shared" si="67"/>
        <v>3.3537793252079464E-3</v>
      </c>
      <c r="AQ14">
        <f t="shared" si="68"/>
        <v>6.759715842807949E-4</v>
      </c>
      <c r="AR14">
        <f t="shared" si="69"/>
        <v>2.2456457844140839E-4</v>
      </c>
      <c r="AS14">
        <f t="shared" si="25"/>
        <v>2.1513901710807732E-3</v>
      </c>
      <c r="AT14">
        <f t="shared" si="26"/>
        <v>3.3560531750929533E-4</v>
      </c>
      <c r="AU14">
        <f t="shared" si="27"/>
        <v>2.7787571619583701E-3</v>
      </c>
      <c r="AV14">
        <f t="shared" si="28"/>
        <v>1.9108719169139653E-2</v>
      </c>
      <c r="AW14">
        <f t="shared" si="29"/>
        <v>4.9341596175448187E-3</v>
      </c>
      <c r="AX14">
        <f t="shared" si="30"/>
        <v>1.8866450007558387E-3</v>
      </c>
      <c r="AY14">
        <f t="shared" si="31"/>
        <v>-92.665912593973559</v>
      </c>
      <c r="AZ14">
        <f t="shared" si="32"/>
        <v>-93.808399420055451</v>
      </c>
      <c r="BA14">
        <f t="shared" si="33"/>
        <v>-1008.3086897905102</v>
      </c>
      <c r="BB14">
        <f t="shared" si="34"/>
        <v>-9690.5277877106582</v>
      </c>
      <c r="BC14">
        <f t="shared" si="35"/>
        <v>-1951.9261323841988</v>
      </c>
      <c r="BD14">
        <f t="shared" si="36"/>
        <v>-648.44854320212232</v>
      </c>
      <c r="BG14" s="37" t="s">
        <v>45</v>
      </c>
      <c r="BH14" t="s">
        <v>7</v>
      </c>
      <c r="BI14" s="37" t="s">
        <v>48</v>
      </c>
      <c r="BJ14" s="37"/>
      <c r="BK14" t="s">
        <v>15</v>
      </c>
      <c r="BL14" t="s">
        <v>16</v>
      </c>
    </row>
    <row r="15" spans="1:64" x14ac:dyDescent="0.2">
      <c r="B15" s="37"/>
      <c r="C15" t="s">
        <v>3</v>
      </c>
      <c r="D15">
        <v>-1486390938.6314199</v>
      </c>
      <c r="E15">
        <v>1508.566565673</v>
      </c>
      <c r="F15">
        <f t="shared" si="7"/>
        <v>-355255.9604759608</v>
      </c>
      <c r="G15">
        <f t="shared" si="8"/>
        <v>0.36055606254134798</v>
      </c>
      <c r="H15">
        <f>$F$15-$D$41+D41</f>
        <v>-355255.9604759608</v>
      </c>
      <c r="I15">
        <f t="shared" ref="I15:L15" si="88">$F$15-$D$41+E41</f>
        <v>-2888691.9930606359</v>
      </c>
      <c r="J15">
        <f t="shared" si="88"/>
        <v>-2888283.6383856027</v>
      </c>
      <c r="K15">
        <f t="shared" si="88"/>
        <v>-2889254.2391908439</v>
      </c>
      <c r="L15">
        <f t="shared" si="88"/>
        <v>-2887404.0096456702</v>
      </c>
      <c r="M15">
        <f>$F$15-$D$41+I41</f>
        <v>-2887401.46717567</v>
      </c>
      <c r="N15">
        <f>H15-$B$1*$G$15</f>
        <v>-355364.12729472324</v>
      </c>
      <c r="O15">
        <f t="shared" ref="O15:S15" si="89">I15-$B$1*$G$15</f>
        <v>-2888800.1598793981</v>
      </c>
      <c r="P15">
        <f t="shared" si="89"/>
        <v>-2888391.8052043649</v>
      </c>
      <c r="Q15">
        <f t="shared" si="89"/>
        <v>-2889362.4060096061</v>
      </c>
      <c r="R15">
        <f t="shared" si="89"/>
        <v>-2887512.1764644324</v>
      </c>
      <c r="S15">
        <f t="shared" si="89"/>
        <v>-2887509.6339944322</v>
      </c>
      <c r="T15">
        <f>-0.116512036523505*627.50947428</f>
        <v>-73.112406786156782</v>
      </c>
      <c r="U15">
        <f>N15+$T$15</f>
        <v>-355437.23970150942</v>
      </c>
      <c r="V15">
        <f t="shared" ref="V15:Z15" si="90">O15+$T$15</f>
        <v>-2888873.2722861841</v>
      </c>
      <c r="W15">
        <f t="shared" si="90"/>
        <v>-2888464.917611151</v>
      </c>
      <c r="X15">
        <f t="shared" si="90"/>
        <v>-2889435.5184163922</v>
      </c>
      <c r="Y15">
        <f t="shared" si="90"/>
        <v>-2887585.2888712185</v>
      </c>
      <c r="Z15">
        <f t="shared" si="90"/>
        <v>-2887582.7464012182</v>
      </c>
      <c r="AA15">
        <f t="shared" si="57"/>
        <v>7.2292673729825765</v>
      </c>
      <c r="AB15">
        <f t="shared" si="58"/>
        <v>6.4425559174269438</v>
      </c>
      <c r="AC15">
        <f t="shared" si="59"/>
        <v>5.6732684327289462</v>
      </c>
      <c r="AD15">
        <f t="shared" si="60"/>
        <v>2.2517753625288606</v>
      </c>
      <c r="AE15">
        <f t="shared" si="61"/>
        <v>4.6567066265270114</v>
      </c>
      <c r="AF15">
        <f t="shared" si="62"/>
        <v>3.4073800472542644</v>
      </c>
      <c r="AG15" s="23">
        <f t="shared" si="45"/>
        <v>5.4151643343246777E-6</v>
      </c>
      <c r="AH15">
        <f t="shared" si="46"/>
        <v>2.026359380120704E-5</v>
      </c>
      <c r="AI15">
        <f t="shared" si="53"/>
        <v>7.3642455180593776E-5</v>
      </c>
      <c r="AJ15">
        <f t="shared" si="47"/>
        <v>2.2888801403798502E-2</v>
      </c>
      <c r="AK15">
        <f t="shared" si="48"/>
        <v>4.0520504487525266E-4</v>
      </c>
      <c r="AL15" s="24">
        <f t="shared" si="49"/>
        <v>3.2944755278104831E-3</v>
      </c>
      <c r="AM15">
        <f t="shared" si="64"/>
        <v>4.8214491633137231E-6</v>
      </c>
      <c r="AN15">
        <f t="shared" si="65"/>
        <v>1.9965418691828294E-5</v>
      </c>
      <c r="AO15">
        <f t="shared" si="66"/>
        <v>6.5971066198879504E-5</v>
      </c>
      <c r="AP15">
        <f t="shared" si="67"/>
        <v>6.4754774534910809E-3</v>
      </c>
      <c r="AQ15">
        <f t="shared" si="68"/>
        <v>1.8148628607133612E-4</v>
      </c>
      <c r="AR15">
        <f t="shared" si="69"/>
        <v>1.5537985732677849E-3</v>
      </c>
      <c r="AS15">
        <f t="shared" si="25"/>
        <v>5.9026282899768214E-5</v>
      </c>
      <c r="AT15">
        <f t="shared" si="26"/>
        <v>2.1605595499525677E-4</v>
      </c>
      <c r="AU15">
        <f t="shared" si="27"/>
        <v>6.3505689871214068E-4</v>
      </c>
      <c r="AV15">
        <f t="shared" si="28"/>
        <v>3.263467699948832E-2</v>
      </c>
      <c r="AW15">
        <f t="shared" si="29"/>
        <v>1.5633828432563726E-3</v>
      </c>
      <c r="AX15">
        <f t="shared" si="30"/>
        <v>1.0048497186519543E-2</v>
      </c>
      <c r="AY15">
        <f t="shared" si="31"/>
        <v>-1.7137225819693818</v>
      </c>
      <c r="AZ15">
        <f t="shared" si="32"/>
        <v>-57.677564428825754</v>
      </c>
      <c r="BA15">
        <f t="shared" si="33"/>
        <v>-190.55511029286626</v>
      </c>
      <c r="BB15">
        <f t="shared" si="34"/>
        <v>-18710.474552821659</v>
      </c>
      <c r="BC15">
        <f t="shared" si="35"/>
        <v>-524.05712979146369</v>
      </c>
      <c r="BD15">
        <f t="shared" si="36"/>
        <v>-4486.721951550885</v>
      </c>
      <c r="BG15" s="37"/>
      <c r="BH15" t="s">
        <v>12</v>
      </c>
      <c r="BI15" t="s">
        <v>12</v>
      </c>
      <c r="BJ15" t="s">
        <v>14</v>
      </c>
      <c r="BK15" t="s">
        <v>8</v>
      </c>
      <c r="BL15" t="s">
        <v>8</v>
      </c>
    </row>
    <row r="16" spans="1:64" x14ac:dyDescent="0.2">
      <c r="B16" s="37"/>
      <c r="C16" t="s">
        <v>4</v>
      </c>
      <c r="D16">
        <v>-1486375543.2897799</v>
      </c>
      <c r="E16">
        <v>1491.8011385474999</v>
      </c>
      <c r="F16">
        <f t="shared" si="7"/>
        <v>-355252.28090099903</v>
      </c>
      <c r="G16">
        <f t="shared" si="8"/>
        <v>0.3565490292895554</v>
      </c>
      <c r="H16">
        <f>$F$16-$D$42+D42</f>
        <v>-355252.28090099903</v>
      </c>
      <c r="I16">
        <f t="shared" ref="I16:L16" si="91">$F$16-$D$42+E42</f>
        <v>-2888676.1268371581</v>
      </c>
      <c r="J16">
        <f t="shared" si="91"/>
        <v>-2888274.3825732917</v>
      </c>
      <c r="K16">
        <f t="shared" si="91"/>
        <v>-2889243.1380987982</v>
      </c>
      <c r="L16">
        <f t="shared" si="91"/>
        <v>-2887396.0976638719</v>
      </c>
      <c r="M16">
        <f>$F$16-$D$42+I42</f>
        <v>-2887390.6603978719</v>
      </c>
      <c r="N16">
        <f>H16-$B$1*$G$16</f>
        <v>-355359.2456097859</v>
      </c>
      <c r="O16">
        <f t="shared" ref="O16:S16" si="92">I16-$B$1*$G$16</f>
        <v>-2888783.091545945</v>
      </c>
      <c r="P16">
        <f t="shared" si="92"/>
        <v>-2888381.3472820786</v>
      </c>
      <c r="Q16">
        <f t="shared" si="92"/>
        <v>-2889350.1028075852</v>
      </c>
      <c r="R16">
        <f t="shared" si="92"/>
        <v>-2887503.0623726589</v>
      </c>
      <c r="S16">
        <f t="shared" si="92"/>
        <v>-2887497.6251066588</v>
      </c>
      <c r="T16">
        <f>-0.104211491303531*627.50947428</f>
        <v>-65.393698121813514</v>
      </c>
      <c r="U16">
        <f>N16+$T$16</f>
        <v>-355424.63930790772</v>
      </c>
      <c r="V16">
        <f t="shared" ref="V16:Z16" si="93">O16+$T$16</f>
        <v>-2888848.4852440669</v>
      </c>
      <c r="W16">
        <f t="shared" si="93"/>
        <v>-2888446.7409802005</v>
      </c>
      <c r="X16">
        <f t="shared" si="93"/>
        <v>-2889415.496505707</v>
      </c>
      <c r="Y16">
        <f t="shared" si="93"/>
        <v>-2887568.4560707808</v>
      </c>
      <c r="Z16">
        <f t="shared" si="93"/>
        <v>-2887563.0188047807</v>
      </c>
      <c r="AA16">
        <f t="shared" si="57"/>
        <v>19.829660974675789</v>
      </c>
      <c r="AB16">
        <f t="shared" si="58"/>
        <v>31.229598034638911</v>
      </c>
      <c r="AC16">
        <f t="shared" si="59"/>
        <v>23.8498993832618</v>
      </c>
      <c r="AD16">
        <f t="shared" si="60"/>
        <v>22.273686047643423</v>
      </c>
      <c r="AE16">
        <f t="shared" si="61"/>
        <v>21.489507064223289</v>
      </c>
      <c r="AF16">
        <f t="shared" si="62"/>
        <v>23.134976484812796</v>
      </c>
      <c r="AG16" s="23">
        <f t="shared" si="45"/>
        <v>3.5847310763055411E-15</v>
      </c>
      <c r="AH16">
        <f t="shared" si="46"/>
        <v>1.7775099446448442E-23</v>
      </c>
      <c r="AI16">
        <f t="shared" si="53"/>
        <v>4.2246119076297962E-18</v>
      </c>
      <c r="AJ16">
        <f t="shared" si="47"/>
        <v>5.9433218939533815E-17</v>
      </c>
      <c r="AK16">
        <f t="shared" si="48"/>
        <v>2.2145690371118476E-16</v>
      </c>
      <c r="AL16" s="24">
        <f t="shared" si="49"/>
        <v>1.4015061418232257E-17</v>
      </c>
      <c r="AM16">
        <f t="shared" si="64"/>
        <v>3.1917034426829597E-15</v>
      </c>
      <c r="AN16">
        <f t="shared" si="65"/>
        <v>1.7513542080383044E-23</v>
      </c>
      <c r="AO16">
        <f t="shared" si="66"/>
        <v>3.7845309630071017E-18</v>
      </c>
      <c r="AP16">
        <f t="shared" si="67"/>
        <v>1.6814269233315174E-17</v>
      </c>
      <c r="AQ16">
        <f t="shared" si="68"/>
        <v>9.91877852650473E-17</v>
      </c>
      <c r="AR16">
        <f t="shared" si="69"/>
        <v>6.6100301101287682E-18</v>
      </c>
      <c r="AS16">
        <f t="shared" si="25"/>
        <v>1.0653338487455235E-13</v>
      </c>
      <c r="AT16">
        <f t="shared" si="26"/>
        <v>9.1769327918617903E-22</v>
      </c>
      <c r="AU16">
        <f t="shared" si="27"/>
        <v>1.5181876706491589E-16</v>
      </c>
      <c r="AV16">
        <f t="shared" si="28"/>
        <v>6.4943944285523152E-16</v>
      </c>
      <c r="AW16">
        <f t="shared" si="29"/>
        <v>3.6550219594387054E-15</v>
      </c>
      <c r="AX16">
        <f t="shared" si="30"/>
        <v>2.6147919739710454E-16</v>
      </c>
      <c r="AY16">
        <f t="shared" si="31"/>
        <v>-1.1344100448933982E-9</v>
      </c>
      <c r="AZ16">
        <f t="shared" si="32"/>
        <v>-5.0593969510172783E-17</v>
      </c>
      <c r="BA16">
        <f t="shared" si="33"/>
        <v>-1.0931416126236522E-11</v>
      </c>
      <c r="BB16">
        <f t="shared" si="34"/>
        <v>-4.8583410085160001E-11</v>
      </c>
      <c r="BC16">
        <f t="shared" si="35"/>
        <v>-2.8641151995887278E-10</v>
      </c>
      <c r="BD16">
        <f t="shared" si="36"/>
        <v>-1.9086878499193922E-11</v>
      </c>
      <c r="BF16" t="s">
        <v>61</v>
      </c>
      <c r="BG16">
        <f>BG6-BG12</f>
        <v>-5.4481248695880886</v>
      </c>
      <c r="BH16">
        <f t="shared" ref="BH16:BL16" si="94">BH6-BH12</f>
        <v>-1.9675058905069123</v>
      </c>
      <c r="BI16">
        <f t="shared" si="94"/>
        <v>-4.9086167370771179</v>
      </c>
      <c r="BJ16">
        <f t="shared" si="94"/>
        <v>0.39269771935006148</v>
      </c>
      <c r="BK16">
        <f t="shared" si="94"/>
        <v>-2.9079497184413299</v>
      </c>
      <c r="BL16">
        <f t="shared" si="94"/>
        <v>0.23733166681234552</v>
      </c>
    </row>
    <row r="17" spans="2:63" x14ac:dyDescent="0.2">
      <c r="B17" s="37"/>
      <c r="C17" t="s">
        <v>5</v>
      </c>
      <c r="D17">
        <v>-1486390097.7420299</v>
      </c>
      <c r="E17">
        <v>1503.1073898346001</v>
      </c>
      <c r="F17">
        <f t="shared" si="7"/>
        <v>-355255.75949857314</v>
      </c>
      <c r="G17">
        <f t="shared" si="8"/>
        <v>0.35925128820138624</v>
      </c>
      <c r="H17">
        <f>$F$17-$D$43+D43</f>
        <v>-355255.75949857314</v>
      </c>
      <c r="I17">
        <f t="shared" ref="I17:L17" si="95">$F$17-$D$43+E43</f>
        <v>-2888683.5743547524</v>
      </c>
      <c r="J17">
        <f t="shared" si="95"/>
        <v>-2888274.2189514297</v>
      </c>
      <c r="K17">
        <f t="shared" si="95"/>
        <v>-2889244.4688617191</v>
      </c>
      <c r="L17">
        <f t="shared" si="95"/>
        <v>-2887396.8065806972</v>
      </c>
      <c r="M17">
        <f>$F$17-$D$43+I43</f>
        <v>-2887394.2112366972</v>
      </c>
      <c r="N17">
        <f>H17-$B$1*$G$17</f>
        <v>-355363.53488503356</v>
      </c>
      <c r="O17">
        <f t="shared" ref="O17:S17" si="96">I17-$B$1*$G$17</f>
        <v>-2888791.349741213</v>
      </c>
      <c r="P17">
        <f t="shared" si="96"/>
        <v>-2888381.9943378903</v>
      </c>
      <c r="Q17">
        <f t="shared" si="96"/>
        <v>-2889352.2442481797</v>
      </c>
      <c r="R17">
        <f t="shared" si="96"/>
        <v>-2887504.5819671578</v>
      </c>
      <c r="S17">
        <f t="shared" si="96"/>
        <v>-2887501.9866231577</v>
      </c>
      <c r="T17">
        <f>-0.114845661735893*627.50947428</f>
        <v>-72.066740819228926</v>
      </c>
      <c r="U17">
        <f>N17+$T$17</f>
        <v>-355435.60162585281</v>
      </c>
      <c r="V17">
        <f t="shared" ref="V17:Z17" si="97">O17+$T$17</f>
        <v>-2888863.4164820323</v>
      </c>
      <c r="W17">
        <f t="shared" si="97"/>
        <v>-2888454.0610787096</v>
      </c>
      <c r="X17">
        <f t="shared" si="97"/>
        <v>-2889424.310988999</v>
      </c>
      <c r="Y17">
        <f t="shared" si="97"/>
        <v>-2887576.648707977</v>
      </c>
      <c r="Z17">
        <f t="shared" si="97"/>
        <v>-2887574.053363977</v>
      </c>
      <c r="AA17">
        <f t="shared" si="57"/>
        <v>8.8673430295893922</v>
      </c>
      <c r="AB17">
        <f t="shared" si="58"/>
        <v>16.298360069282353</v>
      </c>
      <c r="AC17">
        <f t="shared" si="59"/>
        <v>16.529800874181092</v>
      </c>
      <c r="AD17">
        <f t="shared" si="60"/>
        <v>13.459202755708247</v>
      </c>
      <c r="AE17">
        <f t="shared" si="61"/>
        <v>13.296869867946953</v>
      </c>
      <c r="AF17">
        <f t="shared" si="62"/>
        <v>12.100417288485914</v>
      </c>
      <c r="AG17" s="23">
        <f t="shared" ref="AG17:AL18" si="98">2*EXP(-AA17/(8.3145*$B$1/4.184/1000))</f>
        <v>6.9395872312665866E-7</v>
      </c>
      <c r="AH17">
        <f t="shared" si="98"/>
        <v>2.6790101392119888E-12</v>
      </c>
      <c r="AI17">
        <f t="shared" si="98"/>
        <v>1.8170797408294892E-12</v>
      </c>
      <c r="AJ17">
        <f t="shared" si="98"/>
        <v>3.1350773301553149E-10</v>
      </c>
      <c r="AK17">
        <f t="shared" si="98"/>
        <v>4.1162787934697862E-10</v>
      </c>
      <c r="AL17" s="24">
        <f t="shared" si="98"/>
        <v>3.0626578884386682E-9</v>
      </c>
      <c r="AM17">
        <f t="shared" si="64"/>
        <v>6.1787353040885164E-7</v>
      </c>
      <c r="AN17">
        <f t="shared" si="65"/>
        <v>2.6395889906673152E-12</v>
      </c>
      <c r="AO17">
        <f t="shared" si="66"/>
        <v>1.6277932013121469E-12</v>
      </c>
      <c r="AP17">
        <f t="shared" si="67"/>
        <v>8.8694563809718284E-11</v>
      </c>
      <c r="AQ17">
        <f t="shared" si="68"/>
        <v>1.8436299352862692E-10</v>
      </c>
      <c r="AR17">
        <f t="shared" si="69"/>
        <v>1.4444646552363401E-9</v>
      </c>
      <c r="AS17">
        <f t="shared" si="25"/>
        <v>8.833726769583791E-6</v>
      </c>
      <c r="AT17">
        <f t="shared" si="26"/>
        <v>7.0372492773735286E-11</v>
      </c>
      <c r="AU17">
        <f t="shared" si="27"/>
        <v>4.4184486395562378E-11</v>
      </c>
      <c r="AV17">
        <f t="shared" si="28"/>
        <v>2.0529086320620248E-9</v>
      </c>
      <c r="AW17">
        <f t="shared" si="29"/>
        <v>4.1323332485044473E-9</v>
      </c>
      <c r="AX17">
        <f t="shared" si="30"/>
        <v>2.9402839383856955E-8</v>
      </c>
      <c r="AY17">
        <f t="shared" si="31"/>
        <v>-0.21961425000955984</v>
      </c>
      <c r="AZ17">
        <f t="shared" si="32"/>
        <v>-7.6254120696875395E-6</v>
      </c>
      <c r="BA17">
        <f t="shared" si="33"/>
        <v>-4.7018058829263842E-6</v>
      </c>
      <c r="BB17">
        <f t="shared" si="34"/>
        <v>-2.5627622892436503E-4</v>
      </c>
      <c r="BC17">
        <f t="shared" si="35"/>
        <v>-5.3236227499916296E-4</v>
      </c>
      <c r="BD17">
        <f t="shared" si="36"/>
        <v>-4.1709986594617981E-3</v>
      </c>
    </row>
    <row r="18" spans="2:63" x14ac:dyDescent="0.2">
      <c r="B18" s="37"/>
      <c r="C18" t="s">
        <v>6</v>
      </c>
      <c r="D18">
        <v>-1486390401.74512</v>
      </c>
      <c r="E18">
        <v>1489.4792413994001</v>
      </c>
      <c r="F18">
        <f t="shared" si="7"/>
        <v>-355255.83215705544</v>
      </c>
      <c r="G18">
        <f t="shared" si="8"/>
        <v>0.35599408255243786</v>
      </c>
      <c r="H18">
        <f>$F$18-$D$44+D44</f>
        <v>-355255.83215705544</v>
      </c>
      <c r="I18">
        <f t="shared" ref="I18:L18" si="99">$F$18-$D$44+E44</f>
        <v>-2888681.2426418858</v>
      </c>
      <c r="J18">
        <f t="shared" si="99"/>
        <v>-2888277.435323956</v>
      </c>
      <c r="K18">
        <f t="shared" si="99"/>
        <v>-2889245.4327115552</v>
      </c>
      <c r="L18">
        <f t="shared" si="99"/>
        <v>-2887399.9068019856</v>
      </c>
      <c r="M18">
        <f>$F$18-$D$44+I44</f>
        <v>-2887393.4250389854</v>
      </c>
      <c r="N18">
        <f>H18-$B$1*$G$18</f>
        <v>-355362.63038182119</v>
      </c>
      <c r="O18">
        <f t="shared" ref="O18:S18" si="100">I18-$B$1*$G$18</f>
        <v>-2888788.0408666516</v>
      </c>
      <c r="P18">
        <f t="shared" si="100"/>
        <v>-2888384.2335487218</v>
      </c>
      <c r="Q18">
        <f t="shared" si="100"/>
        <v>-2889352.230936321</v>
      </c>
      <c r="R18">
        <f t="shared" si="100"/>
        <v>-2887506.7050267514</v>
      </c>
      <c r="S18">
        <f t="shared" si="100"/>
        <v>-2887500.2232637512</v>
      </c>
      <c r="T18">
        <f>-0.101383033092424*627.50947428</f>
        <v>-63.61881379673882</v>
      </c>
      <c r="U18">
        <f>N18+$T$18</f>
        <v>-355426.24919561791</v>
      </c>
      <c r="V18">
        <f t="shared" ref="V18:Z18" si="101">O18+$T$18</f>
        <v>-2888851.6596804485</v>
      </c>
      <c r="W18">
        <f t="shared" si="101"/>
        <v>-2888447.8523625187</v>
      </c>
      <c r="X18">
        <f t="shared" si="101"/>
        <v>-2889415.8497501179</v>
      </c>
      <c r="Y18">
        <f t="shared" si="101"/>
        <v>-2887570.3238405483</v>
      </c>
      <c r="Z18">
        <f t="shared" si="101"/>
        <v>-2887563.8420775481</v>
      </c>
      <c r="AA18">
        <f t="shared" si="57"/>
        <v>18.219773264485411</v>
      </c>
      <c r="AB18">
        <f t="shared" si="58"/>
        <v>28.055161653086543</v>
      </c>
      <c r="AC18">
        <f t="shared" si="59"/>
        <v>22.738517065066844</v>
      </c>
      <c r="AD18">
        <f t="shared" si="60"/>
        <v>21.920441636815667</v>
      </c>
      <c r="AE18">
        <f t="shared" si="61"/>
        <v>19.621737296693027</v>
      </c>
      <c r="AF18">
        <f t="shared" si="62"/>
        <v>22.311703717336059</v>
      </c>
      <c r="AG18" s="23">
        <f t="shared" si="98"/>
        <v>1.0672352786760223E-13</v>
      </c>
      <c r="AH18">
        <f t="shared" si="98"/>
        <v>7.3006339142957146E-21</v>
      </c>
      <c r="AI18">
        <f t="shared" si="98"/>
        <v>5.4505257873231536E-17</v>
      </c>
      <c r="AJ18">
        <f t="shared" si="98"/>
        <v>2.1497665770759585E-16</v>
      </c>
      <c r="AK18">
        <f t="shared" si="98"/>
        <v>1.0161437560063316E-14</v>
      </c>
      <c r="AL18" s="24">
        <f t="shared" si="98"/>
        <v>1.1152290532264113E-16</v>
      </c>
      <c r="AM18">
        <f t="shared" si="64"/>
        <v>9.5022428198812966E-14</v>
      </c>
      <c r="AN18">
        <f t="shared" si="65"/>
        <v>7.1932064097135978E-21</v>
      </c>
      <c r="AO18">
        <f t="shared" si="66"/>
        <v>4.8827404878395626E-17</v>
      </c>
      <c r="AP18">
        <f t="shared" si="67"/>
        <v>6.0819108674750665E-17</v>
      </c>
      <c r="AQ18">
        <f t="shared" si="68"/>
        <v>4.551181154443471E-15</v>
      </c>
      <c r="AR18">
        <f t="shared" si="69"/>
        <v>5.2598396835615022E-17</v>
      </c>
      <c r="AS18">
        <f t="shared" si="25"/>
        <v>2.8492155292558108E-12</v>
      </c>
      <c r="AT18">
        <f t="shared" si="26"/>
        <v>3.3362918494109277E-19</v>
      </c>
      <c r="AU18">
        <f t="shared" si="27"/>
        <v>1.833871388230522E-15</v>
      </c>
      <c r="AV18">
        <f t="shared" si="28"/>
        <v>2.2709020526219472E-15</v>
      </c>
      <c r="AW18">
        <f t="shared" si="29"/>
        <v>1.5029542840906913E-13</v>
      </c>
      <c r="AX18">
        <f t="shared" si="30"/>
        <v>1.9715902085700899E-15</v>
      </c>
      <c r="AY18">
        <f t="shared" si="31"/>
        <v>-3.377346524416401E-8</v>
      </c>
      <c r="AZ18">
        <f t="shared" si="32"/>
        <v>-2.0780106275125168E-14</v>
      </c>
      <c r="BA18">
        <f t="shared" si="33"/>
        <v>-1.4103541275743701E-10</v>
      </c>
      <c r="BB18">
        <f t="shared" si="34"/>
        <v>-1.7573169657249945E-10</v>
      </c>
      <c r="BC18">
        <f t="shared" si="35"/>
        <v>-1.3141855639993334E-8</v>
      </c>
      <c r="BD18">
        <f t="shared" si="36"/>
        <v>-1.5188122885376807E-10</v>
      </c>
    </row>
    <row r="19" spans="2:63" x14ac:dyDescent="0.2">
      <c r="B19" s="37"/>
      <c r="C19">
        <v>9</v>
      </c>
      <c r="D19">
        <v>-1486333490.4345</v>
      </c>
      <c r="E19">
        <v>1511.0056501607</v>
      </c>
      <c r="F19">
        <f t="shared" si="7"/>
        <v>-355242.23002736614</v>
      </c>
      <c r="G19">
        <f t="shared" si="8"/>
        <v>0.3611390177248327</v>
      </c>
      <c r="H19">
        <f>$F$19-$D$45+D45</f>
        <v>-355242.23002736614</v>
      </c>
      <c r="I19">
        <f t="shared" ref="I19:L19" si="102">$F$19-$D$45+E45</f>
        <v>-2888680.6900750161</v>
      </c>
      <c r="J19">
        <f t="shared" si="102"/>
        <v>-2888272.040744965</v>
      </c>
      <c r="K19">
        <f t="shared" si="102"/>
        <v>-2889244.0764653007</v>
      </c>
      <c r="L19">
        <f t="shared" si="102"/>
        <v>-2887392.4048084258</v>
      </c>
      <c r="M19">
        <f>$F$19-$D$45+I45</f>
        <v>-2887390.984400426</v>
      </c>
      <c r="N19">
        <f>H19-$B$1*$G$19</f>
        <v>-355350.57173268357</v>
      </c>
      <c r="O19">
        <f t="shared" ref="O19:S19" si="103">I19-$B$1*$G$19</f>
        <v>-2888789.0317803337</v>
      </c>
      <c r="P19">
        <f t="shared" si="103"/>
        <v>-2888380.3824502826</v>
      </c>
      <c r="Q19">
        <f t="shared" si="103"/>
        <v>-2889352.4181706184</v>
      </c>
      <c r="R19">
        <f t="shared" si="103"/>
        <v>-2887500.7465137434</v>
      </c>
      <c r="S19">
        <f t="shared" si="103"/>
        <v>-2887499.3261057436</v>
      </c>
      <c r="T19">
        <f>-0.121706107149571*627.50947428</f>
        <v>-76.371735314092646</v>
      </c>
      <c r="U19">
        <f>N19+$T$19</f>
        <v>-355426.94346799765</v>
      </c>
      <c r="V19">
        <f t="shared" ref="V19:Z19" si="104">O19+$T$19</f>
        <v>-2888865.4035156476</v>
      </c>
      <c r="W19">
        <f t="shared" si="104"/>
        <v>-2888456.7541855965</v>
      </c>
      <c r="X19">
        <f t="shared" si="104"/>
        <v>-2889428.7899059323</v>
      </c>
      <c r="Y19">
        <f t="shared" si="104"/>
        <v>-2887577.1182490573</v>
      </c>
      <c r="Z19">
        <f t="shared" si="104"/>
        <v>-2887575.6978410576</v>
      </c>
      <c r="AA19">
        <f t="shared" si="57"/>
        <v>17.52550088474527</v>
      </c>
      <c r="AB19">
        <f t="shared" si="58"/>
        <v>14.311326453927904</v>
      </c>
      <c r="AC19">
        <f t="shared" si="59"/>
        <v>13.836693987250328</v>
      </c>
      <c r="AD19">
        <f t="shared" si="60"/>
        <v>8.9802858224138618</v>
      </c>
      <c r="AE19">
        <f t="shared" si="61"/>
        <v>12.827328787650913</v>
      </c>
      <c r="AF19">
        <f t="shared" si="62"/>
        <v>10.455940207932144</v>
      </c>
      <c r="AG19" s="23">
        <f t="shared" si="45"/>
        <v>1.7099950000963722E-13</v>
      </c>
      <c r="AH19">
        <f t="shared" si="46"/>
        <v>3.7537194919516015E-11</v>
      </c>
      <c r="AI19">
        <f t="shared" si="53"/>
        <v>8.3219066647371608E-11</v>
      </c>
      <c r="AJ19">
        <f t="shared" si="47"/>
        <v>2.8709583736590326E-7</v>
      </c>
      <c r="AK19">
        <f t="shared" si="48"/>
        <v>4.5240440993711138E-10</v>
      </c>
      <c r="AL19" s="24">
        <f t="shared" si="49"/>
        <v>2.4156822496434637E-8</v>
      </c>
      <c r="AM19">
        <f t="shared" si="64"/>
        <v>1.5225122366509842E-13</v>
      </c>
      <c r="AN19">
        <f t="shared" si="65"/>
        <v>3.6984841901058285E-11</v>
      </c>
      <c r="AO19">
        <f t="shared" si="66"/>
        <v>7.4550074971555988E-11</v>
      </c>
      <c r="AP19">
        <f t="shared" si="67"/>
        <v>8.1222366739812144E-8</v>
      </c>
      <c r="AQ19">
        <f t="shared" si="68"/>
        <v>2.0262629303408031E-10</v>
      </c>
      <c r="AR19">
        <f t="shared" si="69"/>
        <v>1.1393266094342191E-8</v>
      </c>
      <c r="AS19">
        <f t="shared" si="25"/>
        <v>4.4934275820138179E-12</v>
      </c>
      <c r="AT19">
        <f t="shared" si="26"/>
        <v>8.8839487441411952E-10</v>
      </c>
      <c r="AU19">
        <f t="shared" si="27"/>
        <v>1.7384742059516472E-9</v>
      </c>
      <c r="AV19">
        <f t="shared" si="28"/>
        <v>1.3260424653057442E-6</v>
      </c>
      <c r="AW19">
        <f t="shared" si="29"/>
        <v>4.5225495125793902E-9</v>
      </c>
      <c r="AX19">
        <f t="shared" si="30"/>
        <v>2.0838560941172814E-7</v>
      </c>
      <c r="AY19">
        <f t="shared" si="31"/>
        <v>-5.4114187066548402E-8</v>
      </c>
      <c r="AZ19">
        <f t="shared" si="32"/>
        <v>-1.0684423022246317E-4</v>
      </c>
      <c r="BA19">
        <f t="shared" si="33"/>
        <v>-2.1533466757663348E-4</v>
      </c>
      <c r="BB19">
        <f t="shared" si="34"/>
        <v>-0.23468624484231124</v>
      </c>
      <c r="BC19">
        <f t="shared" si="35"/>
        <v>-5.850990473208386E-4</v>
      </c>
      <c r="BD19">
        <f t="shared" si="36"/>
        <v>-3.2898918293059014E-2</v>
      </c>
    </row>
    <row r="20" spans="2:63" x14ac:dyDescent="0.2">
      <c r="B20" s="37"/>
      <c r="C20">
        <v>10</v>
      </c>
      <c r="D20">
        <v>-1486452817.29704</v>
      </c>
      <c r="E20">
        <v>1495.8428460417999</v>
      </c>
      <c r="F20">
        <f t="shared" si="7"/>
        <v>-355270.74983198853</v>
      </c>
      <c r="G20">
        <f t="shared" si="8"/>
        <v>0.35751502056448375</v>
      </c>
      <c r="H20">
        <f>$F$20-$D$46+D46</f>
        <v>-355270.74983198853</v>
      </c>
      <c r="I20">
        <f t="shared" ref="I20:L20" si="105">$F$20-$D$46+E46</f>
        <v>-2888705.1405396569</v>
      </c>
      <c r="J20">
        <f t="shared" si="105"/>
        <v>-2888296.8263420179</v>
      </c>
      <c r="K20">
        <f t="shared" si="105"/>
        <v>-2889265.0553203467</v>
      </c>
      <c r="L20">
        <f t="shared" si="105"/>
        <v>-2887416.6652962458</v>
      </c>
      <c r="M20">
        <f>$F$20-$D$46+I46</f>
        <v>-2887411.2547522457</v>
      </c>
      <c r="N20">
        <f>H20-$B$1*$G$20</f>
        <v>-355378.00433815789</v>
      </c>
      <c r="O20">
        <f t="shared" ref="O20:S20" si="106">I20-$B$1*$G$20</f>
        <v>-2888812.3950458262</v>
      </c>
      <c r="P20">
        <f t="shared" si="106"/>
        <v>-2888404.0808481872</v>
      </c>
      <c r="Q20">
        <f t="shared" si="106"/>
        <v>-2889372.3098265161</v>
      </c>
      <c r="R20">
        <f t="shared" si="106"/>
        <v>-2887523.9198024152</v>
      </c>
      <c r="S20">
        <f t="shared" si="106"/>
        <v>-2887518.5092584151</v>
      </c>
      <c r="T20">
        <f>-0.10254440464037*627.50947428</f>
        <v>-64.347585446234163</v>
      </c>
      <c r="U20">
        <f>N20+$T$20</f>
        <v>-355442.35192360415</v>
      </c>
      <c r="V20">
        <f t="shared" ref="V20:Z20" si="107">O20+$T$20</f>
        <v>-2888876.7426312724</v>
      </c>
      <c r="W20">
        <f t="shared" si="107"/>
        <v>-2888468.4284336334</v>
      </c>
      <c r="X20">
        <f t="shared" si="107"/>
        <v>-2889436.6574119623</v>
      </c>
      <c r="Y20">
        <f t="shared" si="107"/>
        <v>-2887588.2673878614</v>
      </c>
      <c r="Z20">
        <f t="shared" si="107"/>
        <v>-2887582.8568438613</v>
      </c>
      <c r="AA20">
        <f t="shared" si="57"/>
        <v>2.1170452782534994</v>
      </c>
      <c r="AB20">
        <f t="shared" si="58"/>
        <v>2.9722108291462064</v>
      </c>
      <c r="AC20">
        <f t="shared" si="59"/>
        <v>2.1624459503218532</v>
      </c>
      <c r="AD20">
        <f t="shared" si="60"/>
        <v>1.1127797923982143</v>
      </c>
      <c r="AE20">
        <f t="shared" si="61"/>
        <v>1.6781899835914373</v>
      </c>
      <c r="AF20">
        <f t="shared" si="62"/>
        <v>3.2969374042004347</v>
      </c>
      <c r="AG20" s="23">
        <f t="shared" si="45"/>
        <v>2.8692701493578218E-2</v>
      </c>
      <c r="AH20">
        <f t="shared" si="46"/>
        <v>6.8359528714645847E-3</v>
      </c>
      <c r="AI20">
        <f t="shared" si="53"/>
        <v>2.6588747839186244E-2</v>
      </c>
      <c r="AJ20">
        <f t="shared" si="47"/>
        <v>0.15465372379235143</v>
      </c>
      <c r="AK20">
        <f t="shared" si="48"/>
        <v>5.9905880140723164E-2</v>
      </c>
      <c r="AL20" s="24">
        <f t="shared" si="49"/>
        <v>3.9649865700624749E-3</v>
      </c>
      <c r="AM20">
        <f t="shared" si="64"/>
        <v>2.5546851963944222E-2</v>
      </c>
      <c r="AN20">
        <f t="shared" si="65"/>
        <v>6.7353630641898508E-3</v>
      </c>
      <c r="AO20">
        <f t="shared" si="66"/>
        <v>2.3818978326329707E-2</v>
      </c>
      <c r="AP20">
        <f t="shared" si="67"/>
        <v>4.3753129919228209E-2</v>
      </c>
      <c r="AQ20">
        <f t="shared" si="68"/>
        <v>2.6831096596839174E-2</v>
      </c>
      <c r="AR20">
        <f t="shared" si="69"/>
        <v>1.8700368005718589E-3</v>
      </c>
      <c r="AS20">
        <f t="shared" si="25"/>
        <v>9.3686467560138986E-2</v>
      </c>
      <c r="AT20">
        <f t="shared" si="26"/>
        <v>3.3679398760325004E-2</v>
      </c>
      <c r="AU20">
        <f t="shared" si="27"/>
        <v>8.9018015235169445E-2</v>
      </c>
      <c r="AV20">
        <f t="shared" si="28"/>
        <v>0.13691194970664455</v>
      </c>
      <c r="AW20">
        <f t="shared" si="29"/>
        <v>9.7080105833624489E-2</v>
      </c>
      <c r="AX20">
        <f t="shared" si="30"/>
        <v>1.174719187949461E-2</v>
      </c>
      <c r="AY20">
        <f t="shared" si="31"/>
        <v>-9080.43314630848</v>
      </c>
      <c r="AZ20">
        <f t="shared" si="32"/>
        <v>-19457.633709315764</v>
      </c>
      <c r="BA20">
        <f t="shared" si="33"/>
        <v>-68800.366893148341</v>
      </c>
      <c r="BB20">
        <f t="shared" si="34"/>
        <v>-126421.89746512608</v>
      </c>
      <c r="BC20">
        <f t="shared" si="35"/>
        <v>-77477.15973418318</v>
      </c>
      <c r="BD20">
        <f t="shared" si="36"/>
        <v>-5399.8862069984425</v>
      </c>
      <c r="BI20" t="s">
        <v>63</v>
      </c>
      <c r="BJ20" t="s">
        <v>64</v>
      </c>
      <c r="BK20" t="s">
        <v>65</v>
      </c>
    </row>
    <row r="21" spans="2:63" x14ac:dyDescent="0.2">
      <c r="B21" s="37"/>
      <c r="C21">
        <v>11</v>
      </c>
      <c r="D21">
        <v>-1486457404.4025099</v>
      </c>
      <c r="E21">
        <v>1483.5178860907999</v>
      </c>
      <c r="F21">
        <f t="shared" si="7"/>
        <v>-355271.84617650806</v>
      </c>
      <c r="G21">
        <f t="shared" si="8"/>
        <v>0.3545692844385277</v>
      </c>
      <c r="H21">
        <f>$F$21-$D$47+D47</f>
        <v>-355271.84617650806</v>
      </c>
      <c r="I21">
        <f t="shared" ref="I21:L21" si="108">$F$21-$D$47+E47</f>
        <v>-2888705.721724906</v>
      </c>
      <c r="J21">
        <f t="shared" si="108"/>
        <v>-2888296.9666702468</v>
      </c>
      <c r="K21">
        <f t="shared" si="108"/>
        <v>-2889264.385870425</v>
      </c>
      <c r="L21">
        <f t="shared" si="108"/>
        <v>-2887416.9031287497</v>
      </c>
      <c r="M21">
        <f>$F$21-$D$47+I47</f>
        <v>-2887410.95175175</v>
      </c>
      <c r="N21">
        <f>H21-$B$1*$G$21</f>
        <v>-355378.21696183964</v>
      </c>
      <c r="O21">
        <f t="shared" ref="O21:S21" si="109">I21-$B$1*$G$21</f>
        <v>-2888812.0925102374</v>
      </c>
      <c r="P21">
        <f t="shared" si="109"/>
        <v>-2888403.3374555781</v>
      </c>
      <c r="Q21">
        <f t="shared" si="109"/>
        <v>-2889370.7566557564</v>
      </c>
      <c r="R21">
        <f t="shared" si="109"/>
        <v>-2887523.273914081</v>
      </c>
      <c r="S21">
        <f t="shared" si="109"/>
        <v>-2887517.3225370813</v>
      </c>
      <c r="T21">
        <f>-0.0999395960018011*627.50947428</f>
        <v>-62.713043346845794</v>
      </c>
      <c r="U21">
        <f>N21+$T$21</f>
        <v>-355440.93000518647</v>
      </c>
      <c r="V21">
        <f t="shared" ref="V21:Z21" si="110">O21+$T$21</f>
        <v>-2888874.8055535844</v>
      </c>
      <c r="W21">
        <f t="shared" si="110"/>
        <v>-2888466.0504989251</v>
      </c>
      <c r="X21">
        <f t="shared" si="110"/>
        <v>-2889433.4696991034</v>
      </c>
      <c r="Y21">
        <f t="shared" si="110"/>
        <v>-2887585.986957428</v>
      </c>
      <c r="Z21">
        <f t="shared" si="110"/>
        <v>-2887580.0355804283</v>
      </c>
      <c r="AA21">
        <f t="shared" si="57"/>
        <v>3.5389636959298514</v>
      </c>
      <c r="AB21">
        <f t="shared" si="58"/>
        <v>4.9092885171994567</v>
      </c>
      <c r="AC21">
        <f t="shared" si="59"/>
        <v>4.5403806585818529</v>
      </c>
      <c r="AD21">
        <f t="shared" si="60"/>
        <v>4.3004926512949169</v>
      </c>
      <c r="AE21">
        <f t="shared" si="61"/>
        <v>3.958620416931808</v>
      </c>
      <c r="AF21">
        <f t="shared" si="62"/>
        <v>6.1182008371688426</v>
      </c>
      <c r="AG21" s="23">
        <f t="shared" si="45"/>
        <v>2.6419829901152352E-3</v>
      </c>
      <c r="AH21">
        <f t="shared" si="46"/>
        <v>2.6526110872983778E-4</v>
      </c>
      <c r="AI21">
        <f t="shared" si="53"/>
        <v>4.9251126975228046E-4</v>
      </c>
      <c r="AJ21">
        <f t="shared" si="47"/>
        <v>7.3649563143468946E-4</v>
      </c>
      <c r="AK21">
        <f t="shared" si="48"/>
        <v>1.3068261371722784E-3</v>
      </c>
      <c r="AL21" s="24">
        <f t="shared" si="49"/>
        <v>3.491428746088198E-5</v>
      </c>
      <c r="AM21">
        <f t="shared" si="64"/>
        <v>2.3523176566291153E-3</v>
      </c>
      <c r="AN21">
        <f t="shared" si="65"/>
        <v>2.6135783960169647E-4</v>
      </c>
      <c r="AO21">
        <f t="shared" si="66"/>
        <v>4.4120600679109398E-4</v>
      </c>
      <c r="AP21">
        <f t="shared" si="67"/>
        <v>2.0836219301367806E-4</v>
      </c>
      <c r="AQ21">
        <f t="shared" si="68"/>
        <v>5.8531112871352143E-4</v>
      </c>
      <c r="AR21">
        <f t="shared" si="69"/>
        <v>1.6466891189637784E-5</v>
      </c>
      <c r="AS21">
        <f t="shared" si="25"/>
        <v>1.4237059648773797E-2</v>
      </c>
      <c r="AT21">
        <f t="shared" si="26"/>
        <v>2.15610287555195E-3</v>
      </c>
      <c r="AU21">
        <f t="shared" si="27"/>
        <v>3.4087570154917846E-3</v>
      </c>
      <c r="AV21">
        <f t="shared" si="28"/>
        <v>1.7661264297040547E-3</v>
      </c>
      <c r="AW21">
        <f t="shared" si="29"/>
        <v>4.3566855449730978E-3</v>
      </c>
      <c r="AX21">
        <f t="shared" si="30"/>
        <v>1.8136895429970231E-4</v>
      </c>
      <c r="AY21">
        <f t="shared" si="31"/>
        <v>-836.10997553987363</v>
      </c>
      <c r="AZ21">
        <f t="shared" si="32"/>
        <v>-755.03007805925574</v>
      </c>
      <c r="BA21">
        <f t="shared" si="33"/>
        <v>-1274.4085718922731</v>
      </c>
      <c r="BB21">
        <f t="shared" si="34"/>
        <v>-602.04869431362613</v>
      </c>
      <c r="BC21">
        <f t="shared" si="35"/>
        <v>-1690.1362132833999</v>
      </c>
      <c r="BD21">
        <f t="shared" si="36"/>
        <v>-47.549466247273315</v>
      </c>
      <c r="BG21" s="37" t="s">
        <v>45</v>
      </c>
      <c r="BH21" s="37"/>
      <c r="BI21" s="2">
        <v>-6.0745442372863181</v>
      </c>
      <c r="BJ21" s="2">
        <v>-0.62641936769822992</v>
      </c>
      <c r="BK21" s="2">
        <v>-5.4481248695880886</v>
      </c>
    </row>
    <row r="22" spans="2:63" x14ac:dyDescent="0.2">
      <c r="B22" s="37"/>
      <c r="C22">
        <v>12</v>
      </c>
      <c r="D22">
        <v>-1486418410.94713</v>
      </c>
      <c r="E22">
        <v>1503.1938810086001</v>
      </c>
      <c r="F22">
        <f t="shared" si="7"/>
        <v>-355262.52651700046</v>
      </c>
      <c r="G22">
        <f t="shared" si="8"/>
        <v>0.35927196008809748</v>
      </c>
      <c r="H22">
        <f>$F$22-$D$48+D48</f>
        <v>-355262.52651700046</v>
      </c>
      <c r="I22">
        <f t="shared" ref="I22:L22" si="111">$F$22-$D$48+E48</f>
        <v>-2888698.0249421601</v>
      </c>
      <c r="J22">
        <f t="shared" si="111"/>
        <v>-2888289.797205192</v>
      </c>
      <c r="K22">
        <f t="shared" si="111"/>
        <v>-2889259.1399370087</v>
      </c>
      <c r="L22">
        <f t="shared" si="111"/>
        <v>-2887409.5898931869</v>
      </c>
      <c r="M22">
        <f>$F$22-$D$48+I48</f>
        <v>-2887405.5254931869</v>
      </c>
      <c r="N22">
        <f>H22-$B$1*$G$22</f>
        <v>-355370.3081050269</v>
      </c>
      <c r="O22">
        <f t="shared" ref="O22:S22" si="112">I22-$B$1*$G$22</f>
        <v>-2888805.8065301864</v>
      </c>
      <c r="P22">
        <f t="shared" si="112"/>
        <v>-2888397.5787932184</v>
      </c>
      <c r="Q22">
        <f t="shared" si="112"/>
        <v>-2889366.9215250351</v>
      </c>
      <c r="R22">
        <f t="shared" si="112"/>
        <v>-2887517.3714812133</v>
      </c>
      <c r="S22">
        <f t="shared" si="112"/>
        <v>-2887513.3070812132</v>
      </c>
      <c r="T22">
        <f>-0.107227532913067*627.50947428</f>
        <v>-67.286292806620068</v>
      </c>
      <c r="U22">
        <f>N22+$T$22</f>
        <v>-355437.59439783351</v>
      </c>
      <c r="V22">
        <f t="shared" ref="V22:Z22" si="113">O22+$T$22</f>
        <v>-2888873.0928229932</v>
      </c>
      <c r="W22">
        <f t="shared" si="113"/>
        <v>-2888464.8650860251</v>
      </c>
      <c r="X22">
        <f t="shared" si="113"/>
        <v>-2889434.2078178418</v>
      </c>
      <c r="Y22">
        <f t="shared" si="113"/>
        <v>-2887584.65777402</v>
      </c>
      <c r="Z22">
        <f t="shared" si="113"/>
        <v>-2887580.59337402</v>
      </c>
      <c r="AA22">
        <f t="shared" si="57"/>
        <v>6.8745710488874465</v>
      </c>
      <c r="AB22">
        <f t="shared" si="58"/>
        <v>6.6220191083848476</v>
      </c>
      <c r="AC22">
        <f t="shared" si="59"/>
        <v>5.7257935586385429</v>
      </c>
      <c r="AD22">
        <f t="shared" si="60"/>
        <v>3.5623739128932357</v>
      </c>
      <c r="AE22">
        <f t="shared" si="61"/>
        <v>5.2878038249909878</v>
      </c>
      <c r="AF22">
        <f t="shared" si="62"/>
        <v>5.5604072455316782</v>
      </c>
      <c r="AG22" s="23">
        <f t="shared" si="45"/>
        <v>9.8175108780536395E-6</v>
      </c>
      <c r="AH22">
        <f t="shared" si="46"/>
        <v>1.4996186615407535E-5</v>
      </c>
      <c r="AI22">
        <f t="shared" si="53"/>
        <v>6.7431787253945002E-5</v>
      </c>
      <c r="AJ22">
        <f t="shared" si="47"/>
        <v>2.5402479206865203E-3</v>
      </c>
      <c r="AK22">
        <f t="shared" si="48"/>
        <v>1.4058278365101378E-4</v>
      </c>
      <c r="AL22" s="24">
        <f t="shared" si="49"/>
        <v>8.8990891774051414E-5</v>
      </c>
      <c r="AM22">
        <f t="shared" si="64"/>
        <v>8.7411252339617436E-6</v>
      </c>
      <c r="AN22">
        <f t="shared" si="65"/>
        <v>1.4775520447886605E-5</v>
      </c>
      <c r="AO22">
        <f t="shared" si="66"/>
        <v>6.0407368140151894E-5</v>
      </c>
      <c r="AP22">
        <f t="shared" si="67"/>
        <v>7.186622770886256E-4</v>
      </c>
      <c r="AQ22">
        <f t="shared" si="68"/>
        <v>6.2965275514393937E-5</v>
      </c>
      <c r="AR22">
        <f t="shared" si="69"/>
        <v>4.1971451754642763E-5</v>
      </c>
      <c r="AS22">
        <f t="shared" si="25"/>
        <v>1.0181200818802859E-4</v>
      </c>
      <c r="AT22">
        <f t="shared" si="26"/>
        <v>1.6434129903435674E-4</v>
      </c>
      <c r="AU22">
        <f t="shared" si="27"/>
        <v>5.8682130512864431E-4</v>
      </c>
      <c r="AV22">
        <f t="shared" si="28"/>
        <v>5.2017630985981729E-3</v>
      </c>
      <c r="AW22">
        <f t="shared" si="29"/>
        <v>6.0905852402782915E-4</v>
      </c>
      <c r="AX22">
        <f t="shared" si="30"/>
        <v>4.2301015333153055E-4</v>
      </c>
      <c r="AY22">
        <f t="shared" si="31"/>
        <v>-3.1069245254895619</v>
      </c>
      <c r="AZ22">
        <f t="shared" si="32"/>
        <v>-42.684603454355553</v>
      </c>
      <c r="BA22">
        <f t="shared" si="33"/>
        <v>-174.48456046514568</v>
      </c>
      <c r="BB22">
        <f t="shared" si="34"/>
        <v>-2076.5273672881394</v>
      </c>
      <c r="BC22">
        <f t="shared" si="35"/>
        <v>-181.81756354787811</v>
      </c>
      <c r="BD22">
        <f t="shared" si="36"/>
        <v>-121.1959495624404</v>
      </c>
      <c r="BG22" t="s">
        <v>7</v>
      </c>
      <c r="BH22" t="s">
        <v>12</v>
      </c>
      <c r="BI22" s="2">
        <v>-2.7854799735359848</v>
      </c>
      <c r="BJ22" s="2">
        <v>-0.8179740830290726</v>
      </c>
      <c r="BK22" s="2">
        <v>-1.9675058905069123</v>
      </c>
    </row>
    <row r="23" spans="2:63" x14ac:dyDescent="0.2">
      <c r="B23" s="37"/>
      <c r="C23">
        <v>13</v>
      </c>
      <c r="D23">
        <v>-1486403667.18309</v>
      </c>
      <c r="E23">
        <v>1510.7911419781999</v>
      </c>
      <c r="F23">
        <f t="shared" si="7"/>
        <v>-355259.00267282268</v>
      </c>
      <c r="G23">
        <f t="shared" si="8"/>
        <v>0.36108774903876667</v>
      </c>
      <c r="H23">
        <f>$F$23-$D$49+D49</f>
        <v>-355259.00267282268</v>
      </c>
      <c r="I23">
        <f t="shared" ref="I23:L23" si="114">$F$23-$D$49+E49</f>
        <v>-2888695.1634418289</v>
      </c>
      <c r="J23">
        <f t="shared" si="114"/>
        <v>-2888286.2295266073</v>
      </c>
      <c r="K23">
        <f t="shared" si="114"/>
        <v>-2889255.8712191302</v>
      </c>
      <c r="L23">
        <f t="shared" si="114"/>
        <v>-2887406.3414653544</v>
      </c>
      <c r="M23">
        <f>$F$23-$D$49+I49</f>
        <v>-2887403.1315623545</v>
      </c>
      <c r="N23">
        <f>H23-$B$1*$G$23</f>
        <v>-355367.32899753429</v>
      </c>
      <c r="O23">
        <f t="shared" ref="O23:S23" si="115">I23-$B$1*$G$23</f>
        <v>-2888803.4897665405</v>
      </c>
      <c r="P23">
        <f t="shared" si="115"/>
        <v>-2888394.5558513189</v>
      </c>
      <c r="Q23">
        <f t="shared" si="115"/>
        <v>-2889364.1975438418</v>
      </c>
      <c r="R23">
        <f t="shared" si="115"/>
        <v>-2887514.667790066</v>
      </c>
      <c r="S23">
        <f t="shared" si="115"/>
        <v>-2887511.4578870661</v>
      </c>
      <c r="T23">
        <f>-0.112615302892267*627.50947428</f>
        <v>-70.667169513809426</v>
      </c>
      <c r="U23">
        <f>N23+$T$23</f>
        <v>-355437.99616704811</v>
      </c>
      <c r="V23">
        <f t="shared" ref="V23:Z23" si="116">O23+$T$23</f>
        <v>-2888874.1569360541</v>
      </c>
      <c r="W23">
        <f t="shared" si="116"/>
        <v>-2888465.2230208325</v>
      </c>
      <c r="X23">
        <f t="shared" si="116"/>
        <v>-2889434.8647133554</v>
      </c>
      <c r="Y23">
        <f t="shared" si="116"/>
        <v>-2887585.3349595796</v>
      </c>
      <c r="Z23">
        <f t="shared" si="116"/>
        <v>-2887582.1250565797</v>
      </c>
      <c r="AA23">
        <f t="shared" si="57"/>
        <v>6.4728018342866562</v>
      </c>
      <c r="AB23">
        <f t="shared" si="58"/>
        <v>5.5579060474410653</v>
      </c>
      <c r="AC23">
        <f t="shared" si="59"/>
        <v>5.3678587512113154</v>
      </c>
      <c r="AD23">
        <f t="shared" si="60"/>
        <v>2.9054783992469311</v>
      </c>
      <c r="AE23">
        <f t="shared" si="61"/>
        <v>4.6106182653456926</v>
      </c>
      <c r="AF23">
        <f t="shared" si="62"/>
        <v>4.0287246857769787</v>
      </c>
      <c r="AG23" s="23">
        <f t="shared" si="45"/>
        <v>1.9261179421836964E-5</v>
      </c>
      <c r="AH23">
        <f t="shared" si="46"/>
        <v>8.9365036207152344E-5</v>
      </c>
      <c r="AI23">
        <f t="shared" si="53"/>
        <v>1.2291746547224745E-4</v>
      </c>
      <c r="AJ23">
        <f t="shared" si="47"/>
        <v>7.6456147022653347E-3</v>
      </c>
      <c r="AK23">
        <f t="shared" si="48"/>
        <v>4.3777339804102508E-4</v>
      </c>
      <c r="AL23" s="24">
        <f t="shared" si="49"/>
        <v>1.1618448603018441E-3</v>
      </c>
      <c r="AM23">
        <f t="shared" si="64"/>
        <v>1.7149395969242121E-5</v>
      </c>
      <c r="AN23">
        <f t="shared" si="65"/>
        <v>8.8050045899553702E-5</v>
      </c>
      <c r="AO23">
        <f t="shared" si="66"/>
        <v>1.1011306225169147E-4</v>
      </c>
      <c r="AP23">
        <f t="shared" si="67"/>
        <v>2.1630230761835721E-3</v>
      </c>
      <c r="AQ23">
        <f t="shared" si="68"/>
        <v>1.960732452769782E-4</v>
      </c>
      <c r="AR23">
        <f t="shared" si="69"/>
        <v>5.4796973632258335E-4</v>
      </c>
      <c r="AS23">
        <f t="shared" si="25"/>
        <v>1.881897130727609E-4</v>
      </c>
      <c r="AT23">
        <f t="shared" si="26"/>
        <v>8.2217656660446201E-4</v>
      </c>
      <c r="AU23">
        <f t="shared" si="27"/>
        <v>1.0035707666399968E-3</v>
      </c>
      <c r="AV23">
        <f t="shared" si="28"/>
        <v>1.3272847027675769E-2</v>
      </c>
      <c r="AW23">
        <f t="shared" si="29"/>
        <v>1.6738816611179235E-3</v>
      </c>
      <c r="AX23">
        <f t="shared" si="30"/>
        <v>4.1148639342847571E-3</v>
      </c>
      <c r="AY23">
        <f t="shared" si="31"/>
        <v>-6.0955469387826708</v>
      </c>
      <c r="AZ23">
        <f t="shared" si="32"/>
        <v>-254.36550211625408</v>
      </c>
      <c r="BA23">
        <f t="shared" si="33"/>
        <v>-318.05775091433878</v>
      </c>
      <c r="BB23">
        <f t="shared" si="34"/>
        <v>-6249.9142895043451</v>
      </c>
      <c r="BC23">
        <f t="shared" si="35"/>
        <v>-566.17822763973493</v>
      </c>
      <c r="BD23">
        <f t="shared" si="36"/>
        <v>-1582.3076156770589</v>
      </c>
      <c r="BG23" s="37" t="s">
        <v>48</v>
      </c>
      <c r="BH23" t="s">
        <v>12</v>
      </c>
      <c r="BI23" s="2">
        <v>-5.41522734798491</v>
      </c>
      <c r="BJ23" s="2">
        <v>-0.50661061090779236</v>
      </c>
      <c r="BK23" s="2">
        <v>-4.9086167370771179</v>
      </c>
    </row>
    <row r="24" spans="2:63" x14ac:dyDescent="0.2">
      <c r="B24" s="37"/>
      <c r="C24">
        <v>14</v>
      </c>
      <c r="D24">
        <v>-1486425809.5264699</v>
      </c>
      <c r="E24">
        <v>1497.8170535495999</v>
      </c>
      <c r="F24">
        <f t="shared" si="7"/>
        <v>-355264.29481990199</v>
      </c>
      <c r="G24">
        <f t="shared" si="8"/>
        <v>0.35798686748317399</v>
      </c>
      <c r="H24">
        <f>$F$24-$D$50+D50</f>
        <v>-355264.29481990199</v>
      </c>
      <c r="I24">
        <f t="shared" ref="I24:L24" si="117">$F$24-$D$50+E50</f>
        <v>-2888697.5040216385</v>
      </c>
      <c r="J24">
        <f t="shared" si="117"/>
        <v>-2888290.1998077799</v>
      </c>
      <c r="K24">
        <f t="shared" si="117"/>
        <v>-2889258.84607617</v>
      </c>
      <c r="L24">
        <f t="shared" si="117"/>
        <v>-2887411.6084171575</v>
      </c>
      <c r="M24">
        <f>$F$24-$D$50+I50</f>
        <v>-2887407.6380991577</v>
      </c>
      <c r="N24">
        <f>H24-$B$1*$G$24</f>
        <v>-355371.69088014693</v>
      </c>
      <c r="O24">
        <f t="shared" ref="O24:S24" si="118">I24-$B$1*$G$24</f>
        <v>-2888804.9000818837</v>
      </c>
      <c r="P24">
        <f t="shared" si="118"/>
        <v>-2888397.595868025</v>
      </c>
      <c r="Q24">
        <f t="shared" si="118"/>
        <v>-2889366.2421364151</v>
      </c>
      <c r="R24">
        <f t="shared" si="118"/>
        <v>-2887519.0044774027</v>
      </c>
      <c r="S24">
        <f t="shared" si="118"/>
        <v>-2887515.0341594028</v>
      </c>
      <c r="T24">
        <f>-0.110796959868331*627.50947428</f>
        <v>-69.526142038798639</v>
      </c>
      <c r="U24">
        <f>N24+$T$24</f>
        <v>-355441.21702218574</v>
      </c>
      <c r="V24">
        <f t="shared" ref="V24:Z24" si="119">O24+$T$24</f>
        <v>-2888874.4262239225</v>
      </c>
      <c r="W24">
        <f t="shared" si="119"/>
        <v>-2888467.1220100638</v>
      </c>
      <c r="X24">
        <f t="shared" si="119"/>
        <v>-2889435.768278454</v>
      </c>
      <c r="Y24">
        <f t="shared" si="119"/>
        <v>-2887588.5306194415</v>
      </c>
      <c r="Z24">
        <f t="shared" si="119"/>
        <v>-2887584.5603014417</v>
      </c>
      <c r="AA24">
        <f t="shared" si="57"/>
        <v>3.251946696662344</v>
      </c>
      <c r="AB24">
        <f t="shared" si="58"/>
        <v>5.288618179038167</v>
      </c>
      <c r="AC24">
        <f t="shared" si="59"/>
        <v>3.4688695198856294</v>
      </c>
      <c r="AD24">
        <f t="shared" si="60"/>
        <v>2.0019133007153869</v>
      </c>
      <c r="AE24">
        <f t="shared" si="61"/>
        <v>1.4149584034457803</v>
      </c>
      <c r="AF24">
        <f t="shared" si="62"/>
        <v>1.5934798237867653</v>
      </c>
      <c r="AG24" s="23">
        <f t="shared" si="45"/>
        <v>4.2757925265025165E-3</v>
      </c>
      <c r="AH24">
        <f t="shared" si="46"/>
        <v>1.403908800634415E-4</v>
      </c>
      <c r="AI24">
        <f t="shared" si="53"/>
        <v>2.9716135885754953E-3</v>
      </c>
      <c r="AJ24">
        <f t="shared" si="47"/>
        <v>3.4805106651816679E-2</v>
      </c>
      <c r="AK24">
        <f t="shared" si="48"/>
        <v>9.3159858329603662E-2</v>
      </c>
      <c r="AL24" s="24">
        <f t="shared" si="49"/>
        <v>6.9052474650571974E-2</v>
      </c>
      <c r="AM24">
        <f t="shared" si="64"/>
        <v>3.8069973553221032E-3</v>
      </c>
      <c r="AN24">
        <f t="shared" si="65"/>
        <v>1.3832505371351726E-4</v>
      </c>
      <c r="AO24">
        <f t="shared" si="66"/>
        <v>2.6620584048787171E-3</v>
      </c>
      <c r="AP24">
        <f t="shared" si="67"/>
        <v>9.8467228324497832E-3</v>
      </c>
      <c r="AQ24">
        <f t="shared" si="68"/>
        <v>4.1725138699535924E-2</v>
      </c>
      <c r="AR24">
        <f t="shared" si="69"/>
        <v>3.2567744300099948E-2</v>
      </c>
      <c r="AS24">
        <f t="shared" si="25"/>
        <v>2.1208456754026207E-2</v>
      </c>
      <c r="AT24">
        <f t="shared" si="26"/>
        <v>1.2291431731114983E-3</v>
      </c>
      <c r="AU24">
        <f t="shared" si="27"/>
        <v>1.5782427520256902E-2</v>
      </c>
      <c r="AV24">
        <f t="shared" si="28"/>
        <v>4.5497930842512385E-2</v>
      </c>
      <c r="AW24">
        <f t="shared" si="29"/>
        <v>0.13254622382442502</v>
      </c>
      <c r="AX24">
        <f t="shared" si="30"/>
        <v>0.11152605568125526</v>
      </c>
      <c r="AY24">
        <f t="shared" si="31"/>
        <v>-1353.1637731759308</v>
      </c>
      <c r="AZ24">
        <f t="shared" si="32"/>
        <v>-399.60371017903043</v>
      </c>
      <c r="BA24">
        <f t="shared" si="33"/>
        <v>-7689.2681793627289</v>
      </c>
      <c r="BB24">
        <f t="shared" si="34"/>
        <v>-28451.473152404535</v>
      </c>
      <c r="BC24">
        <f t="shared" si="35"/>
        <v>-120485.03194728533</v>
      </c>
      <c r="BD24">
        <f t="shared" si="36"/>
        <v>-94042.115604813895</v>
      </c>
      <c r="BG24" s="37"/>
      <c r="BH24" t="s">
        <v>14</v>
      </c>
      <c r="BI24" s="2">
        <v>0.3507775291800499</v>
      </c>
      <c r="BJ24" s="2">
        <v>-4.1920190170011584E-2</v>
      </c>
      <c r="BK24" s="2">
        <v>0.39269771935006148</v>
      </c>
    </row>
    <row r="25" spans="2:63" x14ac:dyDescent="0.2">
      <c r="B25" s="37"/>
      <c r="C25">
        <v>15</v>
      </c>
      <c r="D25">
        <v>-1486399353.3238499</v>
      </c>
      <c r="E25">
        <v>1511.5109941257999</v>
      </c>
      <c r="F25">
        <f t="shared" si="7"/>
        <v>-355257.97163571935</v>
      </c>
      <c r="G25">
        <f t="shared" si="8"/>
        <v>0.36125979783121415</v>
      </c>
      <c r="H25">
        <f>$F$25-$D$51+D51</f>
        <v>-355257.97163571935</v>
      </c>
      <c r="I25">
        <f t="shared" ref="I25:L25" si="120">$F$25-$D$51+E51</f>
        <v>-2888696.0608052863</v>
      </c>
      <c r="J25">
        <f t="shared" si="120"/>
        <v>-2888287.6464702291</v>
      </c>
      <c r="K25">
        <f t="shared" si="120"/>
        <v>-2889257.6325487979</v>
      </c>
      <c r="L25">
        <f t="shared" si="120"/>
        <v>-2887407.3022329165</v>
      </c>
      <c r="M25">
        <f>$F$25-$D$51+I51</f>
        <v>-2887404.3939959165</v>
      </c>
      <c r="N25">
        <f>H25-$B$1*$G$25</f>
        <v>-355366.34957506874</v>
      </c>
      <c r="O25">
        <f t="shared" ref="O25:S25" si="121">I25-$B$1*$G$25</f>
        <v>-2888804.4387446358</v>
      </c>
      <c r="P25">
        <f t="shared" si="121"/>
        <v>-2888396.0244095786</v>
      </c>
      <c r="Q25">
        <f t="shared" si="121"/>
        <v>-2889366.0104881474</v>
      </c>
      <c r="R25">
        <f t="shared" si="121"/>
        <v>-2887515.680172266</v>
      </c>
      <c r="S25">
        <f t="shared" si="121"/>
        <v>-2887512.771935266</v>
      </c>
      <c r="T25">
        <f>-0.112803496623966*627.50947428</f>
        <v>-70.785262863450654</v>
      </c>
      <c r="U25">
        <f>N25+$T$25</f>
        <v>-355437.13483793219</v>
      </c>
      <c r="V25">
        <f t="shared" ref="V25:Z25" si="122">O25+$T$25</f>
        <v>-2888875.2240074994</v>
      </c>
      <c r="W25">
        <f t="shared" si="122"/>
        <v>-2888466.8096724423</v>
      </c>
      <c r="X25">
        <f t="shared" si="122"/>
        <v>-2889436.795751011</v>
      </c>
      <c r="Y25">
        <f t="shared" si="122"/>
        <v>-2887586.4654351296</v>
      </c>
      <c r="Z25">
        <f t="shared" si="122"/>
        <v>-2887583.5571981296</v>
      </c>
      <c r="AA25">
        <f t="shared" si="57"/>
        <v>7.3341309502138756</v>
      </c>
      <c r="AB25">
        <f t="shared" si="58"/>
        <v>4.4908346021547914</v>
      </c>
      <c r="AC25">
        <f t="shared" si="59"/>
        <v>3.7812071414664388</v>
      </c>
      <c r="AD25">
        <f t="shared" si="60"/>
        <v>0.97444074368104339</v>
      </c>
      <c r="AE25">
        <f t="shared" si="61"/>
        <v>3.4801427153870463</v>
      </c>
      <c r="AF25">
        <f t="shared" si="62"/>
        <v>2.5965831358917058</v>
      </c>
      <c r="AG25" s="23">
        <f t="shared" si="45"/>
        <v>4.5417210105019304E-6</v>
      </c>
      <c r="AH25">
        <f t="shared" si="46"/>
        <v>5.3519193921774434E-4</v>
      </c>
      <c r="AI25">
        <f t="shared" si="53"/>
        <v>1.7597870648627537E-3</v>
      </c>
      <c r="AJ25">
        <f t="shared" si="47"/>
        <v>0.19504635330826223</v>
      </c>
      <c r="AK25">
        <f t="shared" si="48"/>
        <v>2.9159496450989848E-3</v>
      </c>
      <c r="AL25" s="24">
        <f t="shared" si="49"/>
        <v>1.2836213381782716E-2</v>
      </c>
      <c r="AM25">
        <f t="shared" si="64"/>
        <v>4.0437696095920484E-6</v>
      </c>
      <c r="AN25">
        <f t="shared" si="65"/>
        <v>5.2731668685232394E-4</v>
      </c>
      <c r="AO25">
        <f t="shared" si="66"/>
        <v>1.5764687457430924E-3</v>
      </c>
      <c r="AP25">
        <f t="shared" si="67"/>
        <v>5.5180620468125691E-2</v>
      </c>
      <c r="AQ25">
        <f t="shared" si="68"/>
        <v>1.3060174796761664E-3</v>
      </c>
      <c r="AR25">
        <f t="shared" si="69"/>
        <v>6.0540410363983665E-3</v>
      </c>
      <c r="AS25">
        <f t="shared" si="25"/>
        <v>5.0216878514635857E-5</v>
      </c>
      <c r="AT25">
        <f t="shared" si="26"/>
        <v>3.9800330435175177E-3</v>
      </c>
      <c r="AU25">
        <f t="shared" si="27"/>
        <v>1.0172271630862371E-2</v>
      </c>
      <c r="AV25">
        <f t="shared" si="28"/>
        <v>0.15986617402898837</v>
      </c>
      <c r="AW25">
        <f t="shared" si="29"/>
        <v>8.6729654390550002E-3</v>
      </c>
      <c r="AX25">
        <f t="shared" si="30"/>
        <v>3.0918164895817449E-2</v>
      </c>
      <c r="AY25">
        <f t="shared" si="31"/>
        <v>-1.4373058839781012</v>
      </c>
      <c r="AZ25">
        <f t="shared" si="32"/>
        <v>-1523.3521118533997</v>
      </c>
      <c r="BA25">
        <f t="shared" si="33"/>
        <v>-4553.5776485648666</v>
      </c>
      <c r="BB25">
        <f t="shared" si="34"/>
        <v>-159440.91519297374</v>
      </c>
      <c r="BC25">
        <f t="shared" si="35"/>
        <v>-3771.2383979345977</v>
      </c>
      <c r="BD25">
        <f t="shared" si="36"/>
        <v>-17481.549351306647</v>
      </c>
      <c r="BG25" t="s">
        <v>15</v>
      </c>
      <c r="BH25" t="s">
        <v>8</v>
      </c>
      <c r="BI25" s="2">
        <v>-3.1846731379628181</v>
      </c>
      <c r="BJ25" s="2">
        <v>-0.27672341952148805</v>
      </c>
      <c r="BK25" s="2">
        <v>-2.9079497184413299</v>
      </c>
    </row>
    <row r="26" spans="2:63" x14ac:dyDescent="0.2">
      <c r="B26" s="37"/>
      <c r="C26">
        <v>16</v>
      </c>
      <c r="D26">
        <v>-1486394473.67659</v>
      </c>
      <c r="E26">
        <v>1509.4653425494</v>
      </c>
      <c r="F26">
        <f t="shared" si="7"/>
        <v>-355256.80537203391</v>
      </c>
      <c r="G26">
        <f t="shared" si="8"/>
        <v>0.36077087537031549</v>
      </c>
      <c r="H26">
        <f>$F$26-$D$52+D52</f>
        <v>-355256.80537203391</v>
      </c>
      <c r="I26">
        <f t="shared" ref="I26:L26" si="123">$F$26-$D$52+E52</f>
        <v>-2888692.2193321041</v>
      </c>
      <c r="J26">
        <f t="shared" si="123"/>
        <v>-2888283.7384471423</v>
      </c>
      <c r="K26">
        <f t="shared" si="123"/>
        <v>-2889254.3641701816</v>
      </c>
      <c r="L26">
        <f t="shared" si="123"/>
        <v>-2887404.7794895922</v>
      </c>
      <c r="M26">
        <f>$F$26-$D$52+I52</f>
        <v>-2887401.9271945921</v>
      </c>
      <c r="N26">
        <f>H26-$B$1*$G$26</f>
        <v>-355365.03663464502</v>
      </c>
      <c r="O26">
        <f t="shared" ref="O26:S26" si="124">I26-$B$1*$G$26</f>
        <v>-2888800.4505947153</v>
      </c>
      <c r="P26">
        <f t="shared" si="124"/>
        <v>-2888391.9697097535</v>
      </c>
      <c r="Q26">
        <f t="shared" si="124"/>
        <v>-2889362.5954327928</v>
      </c>
      <c r="R26">
        <f t="shared" si="124"/>
        <v>-2887513.0107522034</v>
      </c>
      <c r="S26">
        <f t="shared" si="124"/>
        <v>-2887510.1584572033</v>
      </c>
      <c r="T26">
        <f>-0.116460305479429*627.50947428</f>
        <v>-73.079945065884687</v>
      </c>
      <c r="U26">
        <f>N26+$T$26</f>
        <v>-355438.11657971091</v>
      </c>
      <c r="V26">
        <f t="shared" ref="V26:Z26" si="125">O26+$T$26</f>
        <v>-2888873.5305397813</v>
      </c>
      <c r="W26">
        <f t="shared" si="125"/>
        <v>-2888465.0496548195</v>
      </c>
      <c r="X26">
        <f t="shared" si="125"/>
        <v>-2889435.6753778588</v>
      </c>
      <c r="Y26">
        <f t="shared" si="125"/>
        <v>-2887586.0906972694</v>
      </c>
      <c r="Z26">
        <f t="shared" si="125"/>
        <v>-2887583.2384022693</v>
      </c>
      <c r="AA26">
        <f t="shared" si="57"/>
        <v>6.3523891714867204</v>
      </c>
      <c r="AB26">
        <f t="shared" si="58"/>
        <v>6.1843023202382028</v>
      </c>
      <c r="AC26">
        <f t="shared" si="59"/>
        <v>5.5412247641943395</v>
      </c>
      <c r="AD26">
        <f t="shared" si="60"/>
        <v>2.0948138958774507</v>
      </c>
      <c r="AE26">
        <f t="shared" si="61"/>
        <v>3.854880575556308</v>
      </c>
      <c r="AF26">
        <f t="shared" si="62"/>
        <v>2.9153789961710572</v>
      </c>
      <c r="AG26" s="25">
        <f t="shared" si="45"/>
        <v>2.3572263527351468E-5</v>
      </c>
      <c r="AH26" s="26">
        <f t="shared" si="46"/>
        <v>3.1249960177538503E-5</v>
      </c>
      <c r="AI26" s="26">
        <f t="shared" si="53"/>
        <v>9.1900874452578284E-5</v>
      </c>
      <c r="AJ26" s="26">
        <f t="shared" si="47"/>
        <v>2.9782873264698761E-2</v>
      </c>
      <c r="AK26" s="26">
        <f t="shared" si="48"/>
        <v>1.5552147946343814E-3</v>
      </c>
      <c r="AL26" s="27">
        <f t="shared" si="49"/>
        <v>7.5196911806801403E-3</v>
      </c>
      <c r="AM26">
        <f t="shared" si="64"/>
        <v>2.0987815557315465E-5</v>
      </c>
      <c r="AN26">
        <f t="shared" si="65"/>
        <v>3.0790122678552316E-5</v>
      </c>
      <c r="AO26">
        <f t="shared" si="66"/>
        <v>8.2327492441392988E-5</v>
      </c>
      <c r="AP26">
        <f t="shared" si="67"/>
        <v>8.4258813261289169E-3</v>
      </c>
      <c r="AQ26">
        <f t="shared" si="68"/>
        <v>6.9656131060333608E-4</v>
      </c>
      <c r="AR26">
        <f t="shared" si="69"/>
        <v>3.546569197228313E-3</v>
      </c>
      <c r="AS26">
        <f t="shared" si="25"/>
        <v>2.2607169294487447E-4</v>
      </c>
      <c r="AT26">
        <f t="shared" si="26"/>
        <v>3.1985754289703299E-4</v>
      </c>
      <c r="AU26">
        <f t="shared" si="27"/>
        <v>7.7427404997044882E-4</v>
      </c>
      <c r="AV26">
        <f t="shared" si="28"/>
        <v>4.0245777265801266E-2</v>
      </c>
      <c r="AW26">
        <f t="shared" si="29"/>
        <v>5.0635512662645654E-3</v>
      </c>
      <c r="AX26">
        <f t="shared" si="30"/>
        <v>2.0008943893832429E-2</v>
      </c>
      <c r="AY26">
        <f t="shared" si="31"/>
        <v>-7.4598696328145646</v>
      </c>
      <c r="AZ26">
        <f t="shared" si="32"/>
        <v>-88.948770408142423</v>
      </c>
      <c r="BA26">
        <f t="shared" si="33"/>
        <v>-237.80008454268497</v>
      </c>
      <c r="BB26">
        <f t="shared" si="34"/>
        <v>-24346.042100216997</v>
      </c>
      <c r="BC26">
        <f t="shared" si="35"/>
        <v>-2011.3807518160536</v>
      </c>
      <c r="BD26">
        <f t="shared" si="36"/>
        <v>-10241.013767750268</v>
      </c>
      <c r="BG26" t="s">
        <v>16</v>
      </c>
      <c r="BH26" t="s">
        <v>8</v>
      </c>
      <c r="BI26" s="2">
        <v>-0.40715218055993319</v>
      </c>
      <c r="BJ26" s="2">
        <v>-0.64448384737227871</v>
      </c>
      <c r="BK26" s="2">
        <v>0.23733166681234552</v>
      </c>
    </row>
    <row r="28" spans="2:63" x14ac:dyDescent="0.2">
      <c r="B28" t="s">
        <v>44</v>
      </c>
      <c r="C28" s="37"/>
      <c r="D28" s="37" t="s">
        <v>45</v>
      </c>
      <c r="E28" t="s">
        <v>7</v>
      </c>
      <c r="F28" s="37" t="s">
        <v>48</v>
      </c>
      <c r="G28" s="37"/>
      <c r="H28" t="s">
        <v>15</v>
      </c>
      <c r="I28" t="s">
        <v>16</v>
      </c>
      <c r="N28">
        <f t="shared" ref="N28:S28" si="126">MIN(N4:N7)</f>
        <v>-177680.25795238483</v>
      </c>
      <c r="O28">
        <f t="shared" si="126"/>
        <v>-1444399.6490054133</v>
      </c>
      <c r="P28">
        <f t="shared" si="126"/>
        <v>-1444193.7364873304</v>
      </c>
      <c r="Q28">
        <f t="shared" si="126"/>
        <v>-1444680.2062452608</v>
      </c>
      <c r="R28">
        <f t="shared" si="126"/>
        <v>-1443754.4059432733</v>
      </c>
      <c r="S28">
        <f t="shared" si="126"/>
        <v>-1443754.0311422732</v>
      </c>
      <c r="U28">
        <f t="shared" ref="U28:Z28" si="127">MIN(U4:U7)</f>
        <v>-177719.14881500357</v>
      </c>
      <c r="V28">
        <f t="shared" si="127"/>
        <v>-1444438.5251547382</v>
      </c>
      <c r="W28">
        <f t="shared" si="127"/>
        <v>-1444232.6126366553</v>
      </c>
      <c r="X28">
        <f t="shared" si="127"/>
        <v>-1444719.0823945857</v>
      </c>
      <c r="Y28">
        <f t="shared" si="127"/>
        <v>-1443793.2820925983</v>
      </c>
      <c r="Z28">
        <f t="shared" si="127"/>
        <v>-1443792.9072915982</v>
      </c>
      <c r="AG28">
        <f>SUM(AG4:AG7)</f>
        <v>2.9434725663967165</v>
      </c>
      <c r="AH28">
        <f t="shared" ref="AH28:AL28" si="128">SUM(AH4:AH7)</f>
        <v>2.9057908023085153</v>
      </c>
      <c r="AI28">
        <f t="shared" si="128"/>
        <v>2.5831163952810554</v>
      </c>
      <c r="AJ28">
        <f t="shared" si="128"/>
        <v>2.6192600374781012</v>
      </c>
      <c r="AK28">
        <f t="shared" si="128"/>
        <v>2.9918799833998126</v>
      </c>
      <c r="AL28">
        <f t="shared" si="128"/>
        <v>2.7960287555968795</v>
      </c>
      <c r="AM28">
        <f>SUM(AM4:AM7)</f>
        <v>1.0000000000000002</v>
      </c>
      <c r="AN28">
        <f t="shared" ref="AN28:AQ28" si="129">SUM(AN4:AN7)</f>
        <v>1</v>
      </c>
      <c r="AO28">
        <f t="shared" si="129"/>
        <v>1</v>
      </c>
      <c r="AP28">
        <f t="shared" si="129"/>
        <v>1</v>
      </c>
      <c r="AQ28">
        <f t="shared" si="129"/>
        <v>1</v>
      </c>
      <c r="AR28">
        <f>SUM(AR4:AR7)</f>
        <v>0.99999999999999989</v>
      </c>
    </row>
    <row r="29" spans="2:63" x14ac:dyDescent="0.2">
      <c r="B29" t="s">
        <v>46</v>
      </c>
      <c r="C29" s="37"/>
      <c r="D29" s="37"/>
      <c r="E29" t="s">
        <v>12</v>
      </c>
      <c r="F29" t="s">
        <v>12</v>
      </c>
      <c r="G29" t="s">
        <v>14</v>
      </c>
      <c r="H29" t="s">
        <v>8</v>
      </c>
      <c r="I29" t="s">
        <v>8</v>
      </c>
      <c r="N29">
        <f t="shared" ref="N29:S29" si="130">MIN(N8:N26)</f>
        <v>-355383.84395596135</v>
      </c>
      <c r="O29">
        <f t="shared" si="130"/>
        <v>-2888819.0898291804</v>
      </c>
      <c r="P29">
        <f t="shared" si="130"/>
        <v>-2888409.9658666626</v>
      </c>
      <c r="Q29">
        <f t="shared" si="130"/>
        <v>-2889377.1396232406</v>
      </c>
      <c r="R29">
        <f t="shared" si="130"/>
        <v>-2887529.3205649238</v>
      </c>
      <c r="S29">
        <f t="shared" si="130"/>
        <v>-2887522.8808379238</v>
      </c>
      <c r="U29">
        <f t="shared" ref="U29:Z29" si="131">MIN(U8:U26)</f>
        <v>-355444.4689688824</v>
      </c>
      <c r="V29">
        <f t="shared" si="131"/>
        <v>-2888879.7148421016</v>
      </c>
      <c r="W29">
        <f t="shared" si="131"/>
        <v>-2888470.5908795837</v>
      </c>
      <c r="X29">
        <f t="shared" si="131"/>
        <v>-2889437.7701917547</v>
      </c>
      <c r="Y29">
        <f t="shared" si="131"/>
        <v>-2887589.945577845</v>
      </c>
      <c r="Z29">
        <f t="shared" si="131"/>
        <v>-2887586.1537812655</v>
      </c>
      <c r="AG29">
        <f>SUM(AG8:AG26)</f>
        <v>1.1231403984363286</v>
      </c>
      <c r="AH29">
        <f t="shared" ref="AH29:AL29" si="132">SUM(AH8:AH26)</f>
        <v>1.0149345783317225</v>
      </c>
      <c r="AI29">
        <f t="shared" si="132"/>
        <v>1.1162841443033185</v>
      </c>
      <c r="AJ29">
        <f t="shared" si="132"/>
        <v>3.5346893828591148</v>
      </c>
      <c r="AK29">
        <f t="shared" si="132"/>
        <v>2.2327033829761675</v>
      </c>
      <c r="AL29">
        <f t="shared" si="132"/>
        <v>2.1202719480440058</v>
      </c>
      <c r="AM29">
        <f>SUM(AM8:AM26)</f>
        <v>0.99999999999999989</v>
      </c>
      <c r="AN29">
        <f t="shared" ref="AN29:AR29" si="133">SUM(AN8:AN26)</f>
        <v>1.0000000000000002</v>
      </c>
      <c r="AO29">
        <f t="shared" si="133"/>
        <v>1.0000000000000002</v>
      </c>
      <c r="AP29">
        <f t="shared" si="133"/>
        <v>1</v>
      </c>
      <c r="AQ29">
        <f t="shared" si="133"/>
        <v>1</v>
      </c>
      <c r="AR29">
        <f t="shared" si="133"/>
        <v>1.0000000000000007</v>
      </c>
    </row>
    <row r="30" spans="2:63" x14ac:dyDescent="0.2">
      <c r="B30" s="37" t="s">
        <v>33</v>
      </c>
      <c r="C30" t="s">
        <v>34</v>
      </c>
      <c r="D30">
        <f>D56*627.509608030592</f>
        <v>-178053.62889002517</v>
      </c>
      <c r="E30">
        <f t="shared" ref="E30:H30" si="134">E56*627.509608030592</f>
        <v>-1444772.8732147061</v>
      </c>
      <c r="F30">
        <f t="shared" si="134"/>
        <v>-1444566.6665446546</v>
      </c>
      <c r="G30">
        <f t="shared" si="134"/>
        <v>-1445053.1806717373</v>
      </c>
      <c r="H30">
        <f t="shared" si="134"/>
        <v>-1444127.7149283674</v>
      </c>
      <c r="I30">
        <f>H30+I56</f>
        <v>-1444127.1877323673</v>
      </c>
    </row>
    <row r="31" spans="2:63" x14ac:dyDescent="0.2">
      <c r="B31" s="37"/>
      <c r="C31" t="s">
        <v>35</v>
      </c>
      <c r="D31">
        <f t="shared" ref="D31:H52" si="135">D57*627.509608030592</f>
        <v>-178053.46800233473</v>
      </c>
      <c r="E31">
        <f t="shared" si="135"/>
        <v>-1444772.8826119511</v>
      </c>
      <c r="F31">
        <f t="shared" si="135"/>
        <v>-1444566.9700938682</v>
      </c>
      <c r="G31">
        <f t="shared" si="135"/>
        <v>-1445053.4398517986</v>
      </c>
      <c r="H31">
        <f t="shared" si="135"/>
        <v>-1444127.6395498111</v>
      </c>
      <c r="I31">
        <f t="shared" ref="I31:I52" si="136">H31+I57</f>
        <v>-1444127.264748811</v>
      </c>
    </row>
    <row r="32" spans="2:63" x14ac:dyDescent="0.2">
      <c r="B32" s="37"/>
      <c r="C32" t="s">
        <v>37</v>
      </c>
      <c r="D32">
        <f t="shared" si="135"/>
        <v>-178052.70836543315</v>
      </c>
      <c r="E32">
        <f t="shared" si="135"/>
        <v>-1444767.1796476243</v>
      </c>
      <c r="F32">
        <f t="shared" si="135"/>
        <v>-1444564.0955256543</v>
      </c>
      <c r="G32">
        <f t="shared" si="135"/>
        <v>-1445049.681013128</v>
      </c>
      <c r="H32">
        <f t="shared" si="135"/>
        <v>-1444125.2413975531</v>
      </c>
      <c r="I32">
        <f t="shared" si="136"/>
        <v>-1444123.3458265532</v>
      </c>
    </row>
    <row r="33" spans="2:9" x14ac:dyDescent="0.2">
      <c r="B33" s="37"/>
      <c r="C33" t="s">
        <v>36</v>
      </c>
      <c r="D33">
        <f t="shared" si="135"/>
        <v>-178053.18011630059</v>
      </c>
      <c r="E33">
        <f t="shared" si="135"/>
        <v>-1444772.8204836557</v>
      </c>
      <c r="F33">
        <f t="shared" si="135"/>
        <v>-1444566.8441519621</v>
      </c>
      <c r="G33">
        <f t="shared" si="135"/>
        <v>-1445053.3033919525</v>
      </c>
      <c r="H33">
        <f t="shared" si="135"/>
        <v>-1444127.3217511659</v>
      </c>
      <c r="I33">
        <f t="shared" si="136"/>
        <v>-1444127.0481431659</v>
      </c>
    </row>
    <row r="34" spans="2:9" x14ac:dyDescent="0.2">
      <c r="B34" s="37" t="s">
        <v>0</v>
      </c>
      <c r="C34">
        <v>1</v>
      </c>
      <c r="D34">
        <f t="shared" si="135"/>
        <v>-356149.31138173799</v>
      </c>
      <c r="E34">
        <f t="shared" si="135"/>
        <v>-2889584.557254957</v>
      </c>
      <c r="F34">
        <f t="shared" si="135"/>
        <v>-2889175.4332924392</v>
      </c>
      <c r="G34">
        <f t="shared" si="135"/>
        <v>-2890142.6070490172</v>
      </c>
      <c r="H34">
        <f t="shared" si="135"/>
        <v>-2888294.7879907005</v>
      </c>
      <c r="I34">
        <f t="shared" si="136"/>
        <v>-2888288.3482637005</v>
      </c>
    </row>
    <row r="35" spans="2:9" x14ac:dyDescent="0.2">
      <c r="B35" s="37"/>
      <c r="C35">
        <v>2</v>
      </c>
      <c r="D35">
        <f t="shared" si="135"/>
        <v>-356136.0082763785</v>
      </c>
      <c r="E35">
        <f t="shared" si="135"/>
        <v>-2889569.747957563</v>
      </c>
      <c r="F35">
        <f t="shared" si="135"/>
        <v>-2889162.1054080552</v>
      </c>
      <c r="G35">
        <f t="shared" si="135"/>
        <v>-2890131.1772897011</v>
      </c>
      <c r="H35">
        <f t="shared" si="135"/>
        <v>-2888282.9799672118</v>
      </c>
      <c r="I35">
        <f t="shared" si="136"/>
        <v>-2888279.5608792119</v>
      </c>
    </row>
    <row r="36" spans="2:9" x14ac:dyDescent="0.2">
      <c r="B36" s="37"/>
      <c r="C36">
        <v>3</v>
      </c>
      <c r="D36">
        <f t="shared" si="135"/>
        <v>-356135.55978635099</v>
      </c>
      <c r="E36">
        <f t="shared" si="135"/>
        <v>-2889571.3854824323</v>
      </c>
      <c r="F36">
        <f t="shared" si="135"/>
        <v>-2889166.0194487963</v>
      </c>
      <c r="G36">
        <f t="shared" si="135"/>
        <v>-2890134.0544621418</v>
      </c>
      <c r="H36">
        <f t="shared" si="135"/>
        <v>-2888285.7450100114</v>
      </c>
      <c r="I36">
        <f t="shared" si="136"/>
        <v>-2888281.2380980114</v>
      </c>
    </row>
    <row r="37" spans="2:9" x14ac:dyDescent="0.2">
      <c r="B37" s="37"/>
      <c r="C37">
        <v>4</v>
      </c>
      <c r="D37">
        <f t="shared" si="135"/>
        <v>-356124.78091149469</v>
      </c>
      <c r="E37">
        <f t="shared" si="135"/>
        <v>-2889559.4085758966</v>
      </c>
      <c r="F37">
        <f t="shared" si="135"/>
        <v>-2889153.6141537875</v>
      </c>
      <c r="G37">
        <f t="shared" si="135"/>
        <v>-2890125.134442281</v>
      </c>
      <c r="H37">
        <f t="shared" si="135"/>
        <v>-2888274.63825991</v>
      </c>
      <c r="I37">
        <f t="shared" si="136"/>
        <v>-2888272.25227291</v>
      </c>
    </row>
    <row r="38" spans="2:9" x14ac:dyDescent="0.2">
      <c r="B38" s="37"/>
      <c r="C38" t="s">
        <v>1</v>
      </c>
      <c r="D38">
        <f t="shared" si="135"/>
        <v>-356127.46774448379</v>
      </c>
      <c r="E38">
        <f t="shared" si="135"/>
        <v>-2889561.0471790163</v>
      </c>
      <c r="F38">
        <f t="shared" si="135"/>
        <v>-2889151.996122384</v>
      </c>
      <c r="G38">
        <f t="shared" si="135"/>
        <v>-2890122.4414127031</v>
      </c>
      <c r="H38">
        <f t="shared" si="135"/>
        <v>-2888273.6366473343</v>
      </c>
      <c r="I38">
        <f t="shared" si="136"/>
        <v>-2888270.7985233343</v>
      </c>
    </row>
    <row r="39" spans="2:9" x14ac:dyDescent="0.2">
      <c r="B39" s="37"/>
      <c r="C39" t="s">
        <v>2</v>
      </c>
      <c r="D39">
        <f t="shared" si="135"/>
        <v>-356125.52463255636</v>
      </c>
      <c r="E39">
        <f t="shared" si="135"/>
        <v>-2889548.0132965008</v>
      </c>
      <c r="F39">
        <f t="shared" si="135"/>
        <v>-2889145.659751974</v>
      </c>
      <c r="G39">
        <f t="shared" si="135"/>
        <v>-2890114.0285708439</v>
      </c>
      <c r="H39">
        <f t="shared" si="135"/>
        <v>-2888268.8724360317</v>
      </c>
      <c r="I39">
        <f t="shared" si="136"/>
        <v>-2888262.4210790317</v>
      </c>
    </row>
    <row r="40" spans="2:9" x14ac:dyDescent="0.2">
      <c r="B40" s="37"/>
      <c r="C40">
        <v>6</v>
      </c>
      <c r="D40">
        <f t="shared" si="135"/>
        <v>-356137.10252744472</v>
      </c>
      <c r="E40">
        <f t="shared" si="135"/>
        <v>-2889571.0461893743</v>
      </c>
      <c r="F40">
        <f t="shared" si="135"/>
        <v>-2889163.3948100479</v>
      </c>
      <c r="G40">
        <f t="shared" si="135"/>
        <v>-2890132.6101169395</v>
      </c>
      <c r="H40">
        <f t="shared" si="135"/>
        <v>-2888283.5567468721</v>
      </c>
      <c r="I40">
        <f t="shared" si="136"/>
        <v>-2888279.077181872</v>
      </c>
    </row>
    <row r="41" spans="2:9" x14ac:dyDescent="0.2">
      <c r="B41" s="37"/>
      <c r="C41" t="s">
        <v>3</v>
      </c>
      <c r="D41">
        <f t="shared" si="135"/>
        <v>-356127.22150550922</v>
      </c>
      <c r="E41">
        <f t="shared" si="135"/>
        <v>-2889563.2540901843</v>
      </c>
      <c r="F41">
        <f t="shared" si="135"/>
        <v>-2889154.8994151512</v>
      </c>
      <c r="G41">
        <f t="shared" si="135"/>
        <v>-2890125.5002203924</v>
      </c>
      <c r="H41">
        <f t="shared" si="135"/>
        <v>-2888275.2706752187</v>
      </c>
      <c r="I41">
        <f t="shared" si="136"/>
        <v>-2888272.7282052184</v>
      </c>
    </row>
    <row r="42" spans="2:9" x14ac:dyDescent="0.2">
      <c r="B42" s="37"/>
      <c r="C42" t="s">
        <v>4</v>
      </c>
      <c r="D42">
        <f t="shared" si="135"/>
        <v>-356123.55050383293</v>
      </c>
      <c r="E42">
        <f t="shared" si="135"/>
        <v>-2889547.3964399919</v>
      </c>
      <c r="F42">
        <f t="shared" si="135"/>
        <v>-2889145.6521761254</v>
      </c>
      <c r="G42">
        <f t="shared" si="135"/>
        <v>-2890114.407701632</v>
      </c>
      <c r="H42">
        <f t="shared" si="135"/>
        <v>-2888267.3672667057</v>
      </c>
      <c r="I42">
        <f t="shared" si="136"/>
        <v>-2888261.9300007056</v>
      </c>
    </row>
    <row r="43" spans="2:9" x14ac:dyDescent="0.2">
      <c r="B43" s="37"/>
      <c r="C43" t="s">
        <v>5</v>
      </c>
      <c r="D43">
        <f t="shared" si="135"/>
        <v>-356126.83092802978</v>
      </c>
      <c r="E43">
        <f t="shared" si="135"/>
        <v>-2889554.645784209</v>
      </c>
      <c r="F43">
        <f t="shared" si="135"/>
        <v>-2889145.2903808863</v>
      </c>
      <c r="G43">
        <f t="shared" si="135"/>
        <v>-2890115.5402911757</v>
      </c>
      <c r="H43">
        <f t="shared" si="135"/>
        <v>-2888267.8780101538</v>
      </c>
      <c r="I43">
        <f t="shared" si="136"/>
        <v>-2888265.2826661537</v>
      </c>
    </row>
    <row r="44" spans="2:9" x14ac:dyDescent="0.2">
      <c r="B44" s="37"/>
      <c r="C44" t="s">
        <v>6</v>
      </c>
      <c r="D44">
        <f t="shared" si="135"/>
        <v>-356126.52115050709</v>
      </c>
      <c r="E44">
        <f t="shared" si="135"/>
        <v>-2889551.9316353374</v>
      </c>
      <c r="F44">
        <f t="shared" si="135"/>
        <v>-2889148.1243174076</v>
      </c>
      <c r="G44">
        <f t="shared" si="135"/>
        <v>-2890116.1217050068</v>
      </c>
      <c r="H44">
        <f t="shared" si="135"/>
        <v>-2888270.5957954372</v>
      </c>
      <c r="I44">
        <f t="shared" si="136"/>
        <v>-2888264.1140324371</v>
      </c>
    </row>
    <row r="45" spans="2:9" x14ac:dyDescent="0.2">
      <c r="B45" s="37"/>
      <c r="C45">
        <v>9</v>
      </c>
      <c r="D45">
        <f t="shared" si="135"/>
        <v>-356113.0204849799</v>
      </c>
      <c r="E45">
        <f t="shared" si="135"/>
        <v>-2889551.4805326299</v>
      </c>
      <c r="F45">
        <f t="shared" si="135"/>
        <v>-2889142.8312025787</v>
      </c>
      <c r="G45">
        <f t="shared" si="135"/>
        <v>-2890114.8669229145</v>
      </c>
      <c r="H45">
        <f t="shared" si="135"/>
        <v>-2888263.1952660396</v>
      </c>
      <c r="I45">
        <f t="shared" si="136"/>
        <v>-2888261.7748580398</v>
      </c>
    </row>
    <row r="46" spans="2:9" x14ac:dyDescent="0.2">
      <c r="B46" s="37"/>
      <c r="C46">
        <v>10</v>
      </c>
      <c r="D46">
        <f t="shared" si="135"/>
        <v>-356142.32690907543</v>
      </c>
      <c r="E46">
        <f t="shared" si="135"/>
        <v>-2889576.7176167439</v>
      </c>
      <c r="F46">
        <f t="shared" si="135"/>
        <v>-2889168.4034191049</v>
      </c>
      <c r="G46">
        <f t="shared" si="135"/>
        <v>-2890136.6323974337</v>
      </c>
      <c r="H46">
        <f t="shared" si="135"/>
        <v>-2888288.2423733328</v>
      </c>
      <c r="I46">
        <f t="shared" si="136"/>
        <v>-2888282.8318293327</v>
      </c>
    </row>
    <row r="47" spans="2:9" x14ac:dyDescent="0.2">
      <c r="B47" s="37"/>
      <c r="C47">
        <v>11</v>
      </c>
      <c r="D47">
        <f t="shared" si="135"/>
        <v>-356143.60947364144</v>
      </c>
      <c r="E47">
        <f t="shared" si="135"/>
        <v>-2889577.4850220392</v>
      </c>
      <c r="F47">
        <f t="shared" si="135"/>
        <v>-2889168.7299673804</v>
      </c>
      <c r="G47">
        <f t="shared" si="135"/>
        <v>-2890136.1491675582</v>
      </c>
      <c r="H47">
        <f t="shared" si="135"/>
        <v>-2888288.6664258833</v>
      </c>
      <c r="I47">
        <f t="shared" si="136"/>
        <v>-2888282.7150488831</v>
      </c>
    </row>
    <row r="48" spans="2:9" x14ac:dyDescent="0.2">
      <c r="B48" s="37"/>
      <c r="C48">
        <v>12</v>
      </c>
      <c r="D48">
        <f t="shared" si="135"/>
        <v>-356133.60642079107</v>
      </c>
      <c r="E48">
        <f t="shared" si="135"/>
        <v>-2889569.1048459508</v>
      </c>
      <c r="F48">
        <f t="shared" si="135"/>
        <v>-2889160.8771089828</v>
      </c>
      <c r="G48">
        <f t="shared" si="135"/>
        <v>-2890130.2198407995</v>
      </c>
      <c r="H48">
        <f t="shared" si="135"/>
        <v>-2888280.6697969777</v>
      </c>
      <c r="I48">
        <f t="shared" si="136"/>
        <v>-2888276.6053969776</v>
      </c>
    </row>
    <row r="49" spans="2:9" x14ac:dyDescent="0.2">
      <c r="B49" s="37"/>
      <c r="C49">
        <v>13</v>
      </c>
      <c r="D49">
        <f t="shared" si="135"/>
        <v>-356130.11674247129</v>
      </c>
      <c r="E49">
        <f t="shared" si="135"/>
        <v>-2889566.2775114775</v>
      </c>
      <c r="F49">
        <f t="shared" si="135"/>
        <v>-2889157.3435962559</v>
      </c>
      <c r="G49">
        <f t="shared" si="135"/>
        <v>-2890126.9852887788</v>
      </c>
      <c r="H49">
        <f t="shared" si="135"/>
        <v>-2888277.455535003</v>
      </c>
      <c r="I49">
        <f t="shared" si="136"/>
        <v>-2888274.2456320031</v>
      </c>
    </row>
    <row r="50" spans="2:9" x14ac:dyDescent="0.2">
      <c r="B50" s="37"/>
      <c r="C50">
        <v>14</v>
      </c>
      <c r="D50">
        <f t="shared" si="135"/>
        <v>-356135.56248508161</v>
      </c>
      <c r="E50">
        <f t="shared" si="135"/>
        <v>-2889568.771686818</v>
      </c>
      <c r="F50">
        <f t="shared" si="135"/>
        <v>-2889161.4674729593</v>
      </c>
      <c r="G50">
        <f t="shared" si="135"/>
        <v>-2890130.1137413494</v>
      </c>
      <c r="H50">
        <f t="shared" si="135"/>
        <v>-2888282.876082337</v>
      </c>
      <c r="I50">
        <f t="shared" si="136"/>
        <v>-2888278.9057643372</v>
      </c>
    </row>
    <row r="51" spans="2:9" x14ac:dyDescent="0.2">
      <c r="B51" s="37"/>
      <c r="C51">
        <v>15</v>
      </c>
      <c r="D51">
        <f t="shared" si="135"/>
        <v>-356129.13956963766</v>
      </c>
      <c r="E51">
        <f t="shared" si="135"/>
        <v>-2889567.2287392044</v>
      </c>
      <c r="F51">
        <f t="shared" si="135"/>
        <v>-2889158.8144041472</v>
      </c>
      <c r="G51">
        <f t="shared" si="135"/>
        <v>-2890128.8004827159</v>
      </c>
      <c r="H51">
        <f t="shared" si="135"/>
        <v>-2888278.4701668345</v>
      </c>
      <c r="I51">
        <f t="shared" si="136"/>
        <v>-2888275.5619298345</v>
      </c>
    </row>
    <row r="52" spans="2:9" x14ac:dyDescent="0.2">
      <c r="B52" s="37"/>
      <c r="C52">
        <v>16</v>
      </c>
      <c r="D52">
        <f t="shared" si="135"/>
        <v>-356127.54988185188</v>
      </c>
      <c r="E52">
        <f t="shared" si="135"/>
        <v>-2889562.9638419221</v>
      </c>
      <c r="F52">
        <f t="shared" si="135"/>
        <v>-2889154.4829569603</v>
      </c>
      <c r="G52">
        <f t="shared" si="135"/>
        <v>-2890125.1086799996</v>
      </c>
      <c r="H52">
        <f t="shared" si="135"/>
        <v>-2888275.5239994102</v>
      </c>
      <c r="I52">
        <f t="shared" si="136"/>
        <v>-2888272.6717044101</v>
      </c>
    </row>
    <row r="54" spans="2:9" x14ac:dyDescent="0.2">
      <c r="B54" t="s">
        <v>44</v>
      </c>
      <c r="C54" s="37"/>
      <c r="D54" s="37" t="s">
        <v>45</v>
      </c>
      <c r="E54" t="s">
        <v>7</v>
      </c>
      <c r="F54" s="37" t="s">
        <v>48</v>
      </c>
      <c r="G54" s="37"/>
      <c r="H54" t="s">
        <v>15</v>
      </c>
      <c r="I54" t="s">
        <v>16</v>
      </c>
    </row>
    <row r="55" spans="2:9" x14ac:dyDescent="0.2">
      <c r="B55" t="s">
        <v>47</v>
      </c>
      <c r="C55" s="37"/>
      <c r="D55" s="37"/>
      <c r="E55" t="s">
        <v>12</v>
      </c>
      <c r="F55" t="s">
        <v>12</v>
      </c>
      <c r="G55" t="s">
        <v>14</v>
      </c>
      <c r="H55" t="s">
        <v>8</v>
      </c>
      <c r="I55" t="s">
        <v>8</v>
      </c>
    </row>
    <row r="56" spans="2:9" x14ac:dyDescent="0.2">
      <c r="B56" s="37" t="s">
        <v>33</v>
      </c>
      <c r="C56" t="s">
        <v>34</v>
      </c>
      <c r="D56">
        <v>-283.74645839900001</v>
      </c>
      <c r="E56">
        <v>-2302.3916362795699</v>
      </c>
      <c r="F56" s="19">
        <v>-2302.0630251038801</v>
      </c>
      <c r="G56" s="19">
        <v>-2302.83833455071</v>
      </c>
      <c r="H56" s="19">
        <v>-2301.36351132645</v>
      </c>
      <c r="I56" s="19">
        <v>0.527196</v>
      </c>
    </row>
    <row r="57" spans="2:9" x14ac:dyDescent="0.2">
      <c r="B57" s="37"/>
      <c r="C57" t="s">
        <v>35</v>
      </c>
      <c r="D57">
        <v>-283.74620200819999</v>
      </c>
      <c r="E57">
        <v>-2302.39165125503</v>
      </c>
      <c r="F57" s="19">
        <v>-2302.06350884024</v>
      </c>
      <c r="G57" s="19">
        <v>-2302.8387475803402</v>
      </c>
      <c r="H57" s="19">
        <v>-2301.3633912031</v>
      </c>
      <c r="I57" s="19">
        <v>0.374801</v>
      </c>
    </row>
    <row r="58" spans="2:9" x14ac:dyDescent="0.2">
      <c r="B58" s="37"/>
      <c r="C58" t="s">
        <v>37</v>
      </c>
      <c r="D58">
        <v>-283.74499144999999</v>
      </c>
      <c r="E58">
        <v>-2302.38256300482</v>
      </c>
      <c r="F58" s="19">
        <v>-2302.0589279251799</v>
      </c>
      <c r="G58" s="19">
        <v>-2302.8327574909099</v>
      </c>
      <c r="H58" s="19">
        <v>-2301.3595695050299</v>
      </c>
      <c r="I58" s="19">
        <v>1.8955709999999999</v>
      </c>
    </row>
    <row r="59" spans="2:9" x14ac:dyDescent="0.2">
      <c r="B59" s="37"/>
      <c r="C59" t="s">
        <v>36</v>
      </c>
      <c r="D59">
        <v>-283.74574323270002</v>
      </c>
      <c r="E59">
        <v>-2302.3915522473098</v>
      </c>
      <c r="F59" s="19">
        <v>-2302.0633081390802</v>
      </c>
      <c r="G59" s="19">
        <v>-2302.83853011778</v>
      </c>
      <c r="H59" s="19">
        <v>-2301.3628847588302</v>
      </c>
      <c r="I59" s="19">
        <v>0.27360800000000002</v>
      </c>
    </row>
    <row r="60" spans="2:9" x14ac:dyDescent="0.2">
      <c r="B60" s="37" t="s">
        <v>0</v>
      </c>
      <c r="C60">
        <v>1</v>
      </c>
      <c r="D60">
        <v>-567.55993346380001</v>
      </c>
      <c r="E60">
        <v>-4604.8451215333198</v>
      </c>
      <c r="F60" s="19">
        <v>-4604.19314113767</v>
      </c>
      <c r="G60" s="19">
        <v>-4605.7344302975498</v>
      </c>
      <c r="H60" s="19">
        <v>-4602.78974381838</v>
      </c>
      <c r="I60" s="19">
        <v>6.4397270000000004</v>
      </c>
    </row>
    <row r="61" spans="2:9" x14ac:dyDescent="0.2">
      <c r="B61" s="37"/>
      <c r="C61">
        <v>2</v>
      </c>
      <c r="D61">
        <v>-567.53873362050001</v>
      </c>
      <c r="E61">
        <v>-4604.8215214207403</v>
      </c>
      <c r="F61" s="19">
        <v>-4604.1719018064896</v>
      </c>
      <c r="G61" s="19">
        <v>-4605.7162158205601</v>
      </c>
      <c r="H61" s="19">
        <v>-4602.7709265391904</v>
      </c>
      <c r="I61" s="19">
        <v>3.4190879999999999</v>
      </c>
    </row>
    <row r="62" spans="2:9" x14ac:dyDescent="0.2">
      <c r="B62" s="37"/>
      <c r="C62">
        <v>3</v>
      </c>
      <c r="D62">
        <v>-567.53801890629995</v>
      </c>
      <c r="E62">
        <v>-4604.8241309821697</v>
      </c>
      <c r="F62" s="19">
        <v>-4604.17813922611</v>
      </c>
      <c r="G62" s="19">
        <v>-4605.7208008857197</v>
      </c>
      <c r="H62" s="19">
        <v>-4602.7753329144298</v>
      </c>
      <c r="I62" s="19">
        <v>4.5069119999999998</v>
      </c>
    </row>
    <row r="63" spans="2:9" x14ac:dyDescent="0.2">
      <c r="B63" s="37"/>
      <c r="C63">
        <v>4</v>
      </c>
      <c r="D63">
        <v>-567.52084167949999</v>
      </c>
      <c r="E63">
        <v>-4604.8050445707704</v>
      </c>
      <c r="F63" s="19">
        <v>-4604.1583701343698</v>
      </c>
      <c r="G63" s="19">
        <v>-4605.7065859322802</v>
      </c>
      <c r="H63" s="19">
        <v>-4602.7576331852797</v>
      </c>
      <c r="I63" s="19">
        <v>2.3859870000000001</v>
      </c>
    </row>
    <row r="64" spans="2:9" x14ac:dyDescent="0.2">
      <c r="B64" s="37"/>
      <c r="C64" t="s">
        <v>1</v>
      </c>
      <c r="D64">
        <v>-567.52512341950001</v>
      </c>
      <c r="E64">
        <v>-4604.8076558504999</v>
      </c>
      <c r="F64" s="19">
        <v>-4604.1557916377496</v>
      </c>
      <c r="G64" s="19">
        <v>-4605.7022943173897</v>
      </c>
      <c r="H64" s="19">
        <v>-4602.7560370143801</v>
      </c>
      <c r="I64" s="19">
        <v>2.8381240000000001</v>
      </c>
    </row>
    <row r="65" spans="2:9" x14ac:dyDescent="0.2">
      <c r="B65" s="37"/>
      <c r="C65" t="s">
        <v>2</v>
      </c>
      <c r="D65">
        <v>-567.52202687420004</v>
      </c>
      <c r="E65">
        <v>-4604.7868850410196</v>
      </c>
      <c r="F65" s="19">
        <v>-4604.1456939909103</v>
      </c>
      <c r="G65" s="19">
        <v>-4605.6888876033699</v>
      </c>
      <c r="H65" s="19">
        <v>-4602.74844476202</v>
      </c>
      <c r="I65" s="19">
        <v>6.4513569999999998</v>
      </c>
    </row>
    <row r="66" spans="2:9" x14ac:dyDescent="0.2">
      <c r="B66" s="37"/>
      <c r="C66">
        <v>6</v>
      </c>
      <c r="D66">
        <v>-567.54047742019998</v>
      </c>
      <c r="E66">
        <v>-4604.8235902843799</v>
      </c>
      <c r="F66" s="19">
        <v>-4604.1739565989201</v>
      </c>
      <c r="G66" s="19">
        <v>-4605.7184991756203</v>
      </c>
      <c r="H66" s="19">
        <v>-4602.7718456958901</v>
      </c>
      <c r="I66" s="19">
        <v>4.479565</v>
      </c>
    </row>
    <row r="67" spans="2:9" x14ac:dyDescent="0.2">
      <c r="B67" s="37"/>
      <c r="C67" t="s">
        <v>3</v>
      </c>
      <c r="D67">
        <v>-567.52473101279998</v>
      </c>
      <c r="E67">
        <v>-4604.8111727865598</v>
      </c>
      <c r="F67" s="19">
        <v>-4604.1604183282898</v>
      </c>
      <c r="G67" s="19">
        <v>-4605.7071688366796</v>
      </c>
      <c r="H67" s="19">
        <v>-4602.7586410030099</v>
      </c>
      <c r="I67" s="19">
        <v>2.5424699999999998</v>
      </c>
    </row>
    <row r="68" spans="2:9" x14ac:dyDescent="0.2">
      <c r="B68" s="37"/>
      <c r="C68" t="s">
        <v>4</v>
      </c>
      <c r="D68">
        <v>-567.51888090049999</v>
      </c>
      <c r="E68">
        <v>-4604.7859020178103</v>
      </c>
      <c r="F68" s="19">
        <v>-4604.1456819180303</v>
      </c>
      <c r="G68" s="19">
        <v>-4605.6894917866102</v>
      </c>
      <c r="H68" s="19">
        <v>-4602.7460461225301</v>
      </c>
      <c r="I68" s="19">
        <v>5.4372660000000002</v>
      </c>
    </row>
    <row r="69" spans="2:9" x14ac:dyDescent="0.2">
      <c r="B69" s="37"/>
      <c r="C69" t="s">
        <v>5</v>
      </c>
      <c r="D69">
        <v>-567.52410858810003</v>
      </c>
      <c r="E69">
        <v>-4604.7974545807101</v>
      </c>
      <c r="F69" s="19">
        <v>-4604.1451053607398</v>
      </c>
      <c r="G69" s="19">
        <v>-4605.6912966825503</v>
      </c>
      <c r="H69" s="19">
        <v>-4602.7468600438497</v>
      </c>
      <c r="I69" s="19">
        <v>2.5953439999999999</v>
      </c>
    </row>
    <row r="70" spans="2:9" x14ac:dyDescent="0.2">
      <c r="B70" s="37"/>
      <c r="C70" t="s">
        <v>6</v>
      </c>
      <c r="D70">
        <v>-567.52361492629996</v>
      </c>
      <c r="E70">
        <v>-4604.7931293100901</v>
      </c>
      <c r="F70" s="19">
        <v>-4604.14962152509</v>
      </c>
      <c r="G70" s="19">
        <v>-4605.6922232242696</v>
      </c>
      <c r="H70" s="19">
        <v>-4602.7511911094598</v>
      </c>
      <c r="I70" s="19">
        <v>6.4817629999999999</v>
      </c>
    </row>
    <row r="71" spans="2:9" x14ac:dyDescent="0.2">
      <c r="B71" s="37"/>
      <c r="C71">
        <v>9</v>
      </c>
      <c r="D71">
        <v>-567.50210025089996</v>
      </c>
      <c r="E71">
        <v>-4604.7924104323201</v>
      </c>
      <c r="F71" s="19">
        <v>-4604.1411864114898</v>
      </c>
      <c r="G71" s="19">
        <v>-4605.6902236021497</v>
      </c>
      <c r="H71" s="19">
        <v>-4602.73939761769</v>
      </c>
      <c r="I71" s="19">
        <v>1.4204079999999999</v>
      </c>
    </row>
    <row r="72" spans="2:9" x14ac:dyDescent="0.2">
      <c r="B72" s="37"/>
      <c r="C72">
        <v>10</v>
      </c>
      <c r="D72">
        <v>-567.54880300050002</v>
      </c>
      <c r="E72">
        <v>-4604.8326282772596</v>
      </c>
      <c r="F72" s="19">
        <v>-4604.1819383238098</v>
      </c>
      <c r="G72" s="19">
        <v>-4605.7249090862297</v>
      </c>
      <c r="H72" s="19">
        <v>-4602.77931271536</v>
      </c>
      <c r="I72" s="19">
        <v>5.4105439999999998</v>
      </c>
    </row>
    <row r="73" spans="2:9" x14ac:dyDescent="0.2">
      <c r="B73" s="37"/>
      <c r="C73">
        <v>11</v>
      </c>
      <c r="D73">
        <v>-567.55084689679995</v>
      </c>
      <c r="E73">
        <v>-4604.8338512151804</v>
      </c>
      <c r="F73" s="19">
        <v>-4604.1824587114997</v>
      </c>
      <c r="G73" s="19">
        <v>-4605.7241390105701</v>
      </c>
      <c r="H73" s="19">
        <v>-4602.7799884859696</v>
      </c>
      <c r="I73" s="19">
        <v>5.9513769999999999</v>
      </c>
    </row>
    <row r="74" spans="2:9" x14ac:dyDescent="0.2">
      <c r="B74" s="37"/>
      <c r="C74">
        <v>12</v>
      </c>
      <c r="D74">
        <v>-567.53490602080001</v>
      </c>
      <c r="E74">
        <v>-4604.8204965573696</v>
      </c>
      <c r="F74" s="19">
        <v>-4604.1699443877396</v>
      </c>
      <c r="G74" s="19">
        <v>-4605.7146900289399</v>
      </c>
      <c r="H74" s="19">
        <v>-4602.7672450493701</v>
      </c>
      <c r="I74" s="19">
        <v>4.0644</v>
      </c>
    </row>
    <row r="75" spans="2:9" x14ac:dyDescent="0.2">
      <c r="B75" s="37"/>
      <c r="C75">
        <v>13</v>
      </c>
      <c r="D75">
        <v>-567.52934486560002</v>
      </c>
      <c r="E75">
        <v>-4604.8159909140504</v>
      </c>
      <c r="F75" s="19">
        <v>-4604.1643133779799</v>
      </c>
      <c r="G75" s="19">
        <v>-4605.7095354432904</v>
      </c>
      <c r="H75" s="19">
        <v>-4602.7621227979598</v>
      </c>
      <c r="I75" s="19">
        <v>3.2099030000000002</v>
      </c>
    </row>
    <row r="76" spans="2:9" x14ac:dyDescent="0.2">
      <c r="B76" s="37"/>
      <c r="C76">
        <v>14</v>
      </c>
      <c r="D76">
        <v>-567.53802320700004</v>
      </c>
      <c r="E76">
        <v>-4604.8199656346096</v>
      </c>
      <c r="F76" s="19">
        <v>-4604.1708851924204</v>
      </c>
      <c r="G76" s="19">
        <v>-4605.7145209487398</v>
      </c>
      <c r="H76" s="19">
        <v>-4602.77076098814</v>
      </c>
      <c r="I76" s="19">
        <v>3.9703179999999998</v>
      </c>
    </row>
    <row r="77" spans="2:9" x14ac:dyDescent="0.2">
      <c r="B77" s="37"/>
      <c r="C77">
        <v>15</v>
      </c>
      <c r="D77">
        <v>-567.52778764189998</v>
      </c>
      <c r="E77">
        <v>-4604.8175067916</v>
      </c>
      <c r="F77" s="19">
        <v>-4604.1666572590502</v>
      </c>
      <c r="G77" s="19">
        <v>-4605.7124281383403</v>
      </c>
      <c r="H77" s="19">
        <v>-4602.7637397163599</v>
      </c>
      <c r="I77" s="19">
        <v>2.9082370000000002</v>
      </c>
    </row>
    <row r="78" spans="2:9" x14ac:dyDescent="0.2">
      <c r="B78" s="37"/>
      <c r="C78">
        <v>16</v>
      </c>
      <c r="D78">
        <v>-567.52525431369997</v>
      </c>
      <c r="E78">
        <v>-4604.8107102466101</v>
      </c>
      <c r="F78" s="19">
        <v>-4604.1597546600597</v>
      </c>
      <c r="G78" s="19">
        <v>-4605.7065448774802</v>
      </c>
      <c r="H78" s="19">
        <v>-4602.7590447007196</v>
      </c>
      <c r="I78" s="19">
        <v>2.8522949999999998</v>
      </c>
    </row>
  </sheetData>
  <mergeCells count="49">
    <mergeCell ref="BG13:BL13"/>
    <mergeCell ref="BG14:BG15"/>
    <mergeCell ref="BI14:BJ14"/>
    <mergeCell ref="BG21:BH21"/>
    <mergeCell ref="BG23:BG24"/>
    <mergeCell ref="BG1:BL1"/>
    <mergeCell ref="BG2:BG3"/>
    <mergeCell ref="BI2:BJ2"/>
    <mergeCell ref="BG7:BL7"/>
    <mergeCell ref="BG8:BG9"/>
    <mergeCell ref="BI8:BJ8"/>
    <mergeCell ref="T1:T3"/>
    <mergeCell ref="AM1:AR1"/>
    <mergeCell ref="AM2:AM3"/>
    <mergeCell ref="AO2:AP2"/>
    <mergeCell ref="AY1:BD1"/>
    <mergeCell ref="AY2:AY3"/>
    <mergeCell ref="BA2:BB2"/>
    <mergeCell ref="AS1:AX1"/>
    <mergeCell ref="AS2:AS3"/>
    <mergeCell ref="AU2:AV2"/>
    <mergeCell ref="D1:G1"/>
    <mergeCell ref="AA1:AF1"/>
    <mergeCell ref="AA2:AA3"/>
    <mergeCell ref="AC2:AD2"/>
    <mergeCell ref="AG1:AL1"/>
    <mergeCell ref="AG2:AG3"/>
    <mergeCell ref="AI2:AJ2"/>
    <mergeCell ref="U1:Z1"/>
    <mergeCell ref="U2:U3"/>
    <mergeCell ref="W2:X2"/>
    <mergeCell ref="H2:H3"/>
    <mergeCell ref="J2:K2"/>
    <mergeCell ref="H1:M1"/>
    <mergeCell ref="N1:S1"/>
    <mergeCell ref="N2:N3"/>
    <mergeCell ref="P2:Q2"/>
    <mergeCell ref="C54:C55"/>
    <mergeCell ref="D54:D55"/>
    <mergeCell ref="B56:B59"/>
    <mergeCell ref="B60:B78"/>
    <mergeCell ref="F54:G54"/>
    <mergeCell ref="F28:G28"/>
    <mergeCell ref="B4:B7"/>
    <mergeCell ref="B8:B26"/>
    <mergeCell ref="B30:B33"/>
    <mergeCell ref="B34:B52"/>
    <mergeCell ref="D28:D29"/>
    <mergeCell ref="C28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</vt:lpstr>
      <vt:lpstr>Toluene</vt:lpstr>
      <vt:lpstr>Thermodynamics binding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Menezes</dc:creator>
  <cp:lastModifiedBy>Filipe Menezes</cp:lastModifiedBy>
  <dcterms:created xsi:type="dcterms:W3CDTF">2023-01-23T19:17:55Z</dcterms:created>
  <dcterms:modified xsi:type="dcterms:W3CDTF">2023-06-22T07:41:03Z</dcterms:modified>
</cp:coreProperties>
</file>