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mclachlan\Documents\papers\2023\Surfactant bioconc mechanisms\"/>
    </mc:Choice>
  </mc:AlternateContent>
  <xr:revisionPtr revIDLastSave="0" documentId="13_ncr:1_{9689C551-AAF9-45B2-A485-AC7D617FB078}" xr6:coauthVersionLast="36" xr6:coauthVersionMax="36" xr10:uidLastSave="{00000000-0000-0000-0000-000000000000}"/>
  <bookViews>
    <workbookView xWindow="0" yWindow="0" windowWidth="6432" windowHeight="5688" xr2:uid="{DD68C94C-7905-4E76-8B62-1EC88E07B6FF}"/>
  </bookViews>
  <sheets>
    <sheet name="Framework demo" sheetId="2" r:id="rId1"/>
  </sheets>
  <definedNames>
    <definedName name="solver_adj" localSheetId="0" hidden="1">'Framework demo'!#REF!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'Framework demo'!#REF!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'Framework demo'!#REF!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0.00000000001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R12" i="2" s="1"/>
  <c r="S12" i="2" s="1"/>
  <c r="P12" i="2"/>
  <c r="Q12" i="2"/>
  <c r="T12" i="2"/>
  <c r="U12" i="2"/>
  <c r="W12" i="2" s="1"/>
  <c r="Y12" i="2" s="1"/>
  <c r="V12" i="2"/>
  <c r="X12" i="2"/>
  <c r="Z12" i="2"/>
  <c r="N12" i="2"/>
  <c r="L12" i="2"/>
  <c r="N11" i="2"/>
  <c r="L11" i="2"/>
  <c r="AA12" i="2" l="1"/>
  <c r="AB12" i="2"/>
  <c r="U11" i="2" l="1"/>
  <c r="T11" i="2"/>
  <c r="Z13" i="2" l="1"/>
  <c r="X13" i="2"/>
  <c r="Z11" i="2"/>
  <c r="C25" i="2"/>
  <c r="X11" i="2"/>
  <c r="C23" i="2" l="1"/>
  <c r="C14" i="2" l="1"/>
  <c r="C17" i="2" l="1"/>
  <c r="C15" i="2"/>
  <c r="O13" i="2" l="1"/>
  <c r="C24" i="2" l="1"/>
  <c r="P13" i="2" s="1"/>
  <c r="B82" i="2" l="1"/>
  <c r="C19" i="2" l="1"/>
  <c r="C16" i="2" l="1"/>
  <c r="Q13" i="2" s="1"/>
  <c r="R13" i="2" s="1"/>
  <c r="S13" i="2" s="1"/>
  <c r="Y13" i="2" s="1"/>
  <c r="AA13" i="2" s="1"/>
  <c r="AB13" i="2" s="1"/>
  <c r="Q11" i="2" l="1"/>
  <c r="P11" i="2" l="1"/>
  <c r="O11" i="2"/>
  <c r="V11" i="2"/>
  <c r="W11" i="2" s="1"/>
  <c r="Y11" i="2" s="1"/>
  <c r="AA11" i="2" s="1"/>
  <c r="R11" i="2" l="1"/>
  <c r="S11" i="2" s="1"/>
  <c r="AB11" i="2" s="1"/>
</calcChain>
</file>

<file path=xl/sharedStrings.xml><?xml version="1.0" encoding="utf-8"?>
<sst xmlns="http://schemas.openxmlformats.org/spreadsheetml/2006/main" count="87" uniqueCount="79">
  <si>
    <t>blood</t>
  </si>
  <si>
    <t>water</t>
  </si>
  <si>
    <t>M</t>
  </si>
  <si>
    <t>fish mass</t>
  </si>
  <si>
    <t>kg</t>
  </si>
  <si>
    <t>pH blood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</si>
  <si>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/kg</t>
    </r>
  </si>
  <si>
    <t>gill surface area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</si>
  <si>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</si>
  <si>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h</t>
    </r>
    <r>
      <rPr>
        <vertAlign val="superscript"/>
        <sz val="11"/>
        <color theme="1"/>
        <rFont val="Calibri"/>
        <family val="2"/>
        <scheme val="minor"/>
      </rPr>
      <t>-1</t>
    </r>
  </si>
  <si>
    <t>Arnot and Gobas 2004</t>
  </si>
  <si>
    <t>blood flow through gills</t>
  </si>
  <si>
    <t>correlation from Erickson et al. 2006</t>
  </si>
  <si>
    <t>fraction of polar lipids in blood</t>
  </si>
  <si>
    <t>Total</t>
  </si>
  <si>
    <t xml:space="preserve">membrane </t>
  </si>
  <si>
    <t>Source</t>
  </si>
  <si>
    <t>quotient of partition coefficient to anionic phospholipids/neutral phospholipids</t>
  </si>
  <si>
    <t>Parameters</t>
  </si>
  <si>
    <t>Symbol</t>
  </si>
  <si>
    <t>Description</t>
  </si>
  <si>
    <t>Value</t>
  </si>
  <si>
    <t>Unit</t>
  </si>
  <si>
    <t>Bittermann and Goss 2017, geometric mean of data in SI, multiplied by 3 to account for thinner membrane thickness of gills vs Caco-2 cells used by Bittermann</t>
  </si>
  <si>
    <r>
      <t xml:space="preserve">equation from Arnot and Gobas 2004, using 10 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C, 95%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saturation</t>
    </r>
  </si>
  <si>
    <t>Schmitt 2008</t>
  </si>
  <si>
    <t xml:space="preserve">Erickson et al. (2006) </t>
  </si>
  <si>
    <t>Hughes (1984)</t>
  </si>
  <si>
    <r>
      <t>mg L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</si>
  <si>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kg kg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</si>
  <si>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cm  s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</si>
  <si>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</si>
  <si>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Resistance for gill uptake (h 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</si>
  <si>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k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(L h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</si>
  <si>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log f</t>
    </r>
    <r>
      <rPr>
        <vertAlign val="subscript"/>
        <sz val="11"/>
        <color theme="1"/>
        <rFont val="Calibri"/>
        <family val="2"/>
        <scheme val="minor"/>
      </rPr>
      <t>NB</t>
    </r>
  </si>
  <si>
    <r>
      <t>log D</t>
    </r>
    <r>
      <rPr>
        <vertAlign val="subscript"/>
        <sz val="11"/>
        <color theme="1"/>
        <rFont val="Calibri"/>
        <family val="2"/>
        <scheme val="minor"/>
      </rPr>
      <t>MLW</t>
    </r>
  </si>
  <si>
    <r>
      <t>log f</t>
    </r>
    <r>
      <rPr>
        <vertAlign val="subscript"/>
        <sz val="11"/>
        <color theme="1"/>
        <rFont val="Calibri"/>
        <family val="2"/>
        <scheme val="minor"/>
      </rPr>
      <t>NW</t>
    </r>
  </si>
  <si>
    <r>
      <t>A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/M</t>
    </r>
  </si>
  <si>
    <r>
      <t>A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</t>
    </r>
  </si>
  <si>
    <r>
      <t>Q</t>
    </r>
    <r>
      <rPr>
        <vertAlign val="subscript"/>
        <sz val="11"/>
        <color theme="1"/>
        <rFont val="Calibri"/>
        <family val="2"/>
        <scheme val="minor"/>
      </rPr>
      <t>W</t>
    </r>
  </si>
  <si>
    <r>
      <t>f</t>
    </r>
    <r>
      <rPr>
        <vertAlign val="subscript"/>
        <sz val="11"/>
        <color theme="1"/>
        <rFont val="Calibri"/>
        <family val="2"/>
        <scheme val="minor"/>
      </rPr>
      <t>PL-B</t>
    </r>
  </si>
  <si>
    <r>
      <t>C</t>
    </r>
    <r>
      <rPr>
        <vertAlign val="subscript"/>
        <sz val="11"/>
        <color theme="1"/>
        <rFont val="Calibri"/>
        <family val="2"/>
        <scheme val="minor"/>
      </rPr>
      <t>ox</t>
    </r>
  </si>
  <si>
    <r>
      <t>f</t>
    </r>
    <r>
      <rPr>
        <vertAlign val="subscript"/>
        <sz val="11"/>
        <color theme="1"/>
        <rFont val="Calibri"/>
        <family val="2"/>
        <scheme val="minor"/>
      </rPr>
      <t>LF</t>
    </r>
  </si>
  <si>
    <r>
      <t>Q</t>
    </r>
    <r>
      <rPr>
        <vertAlign val="subscript"/>
        <sz val="11"/>
        <color theme="1"/>
        <rFont val="Calibri"/>
        <family val="2"/>
        <scheme val="minor"/>
      </rPr>
      <t>BG</t>
    </r>
  </si>
  <si>
    <t>see Text S3</t>
  </si>
  <si>
    <t>Droge et al. (2021)</t>
  </si>
  <si>
    <r>
      <t>f</t>
    </r>
    <r>
      <rPr>
        <vertAlign val="subscript"/>
        <sz val="11"/>
        <color theme="1"/>
        <rFont val="Calibri"/>
        <family val="2"/>
        <scheme val="minor"/>
      </rPr>
      <t>ML-F</t>
    </r>
  </si>
  <si>
    <r>
      <t>f</t>
    </r>
    <r>
      <rPr>
        <vertAlign val="subscript"/>
        <sz val="11"/>
        <color theme="1"/>
        <rFont val="Calibri"/>
        <family val="2"/>
        <scheme val="minor"/>
      </rPr>
      <t>AML-F</t>
    </r>
  </si>
  <si>
    <t xml:space="preserve">fraction of fish fresh weight that is lipid </t>
  </si>
  <si>
    <t>default</t>
  </si>
  <si>
    <r>
      <t>k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(h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</si>
  <si>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k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(h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</si>
  <si>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Nonionic</t>
  </si>
  <si>
    <r>
      <t>D</t>
    </r>
    <r>
      <rPr>
        <vertAlign val="subscript"/>
        <sz val="11"/>
        <color theme="1"/>
        <rFont val="Calibri"/>
        <family val="2"/>
        <scheme val="minor"/>
      </rPr>
      <t>FW</t>
    </r>
    <r>
      <rPr>
        <sz val="11"/>
        <color theme="1"/>
        <rFont val="Calibri"/>
        <family val="2"/>
        <scheme val="minor"/>
      </rPr>
      <t xml:space="preserve"> (L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</si>
  <si>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(h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</si>
  <si>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BCF (L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</si>
  <si>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 xml:space="preserve"> (for reference list see SI-1)</t>
  </si>
  <si>
    <r>
      <t>kg L</t>
    </r>
    <r>
      <rPr>
        <vertAlign val="superscript"/>
        <sz val="11"/>
        <color theme="1"/>
        <rFont val="Calibri"/>
        <family val="2"/>
        <scheme val="minor"/>
      </rPr>
      <t>-1</t>
    </r>
  </si>
  <si>
    <t>fraction of membrane lipid that is anionic phospholipids</t>
  </si>
  <si>
    <t>fraction of fish fresh weight that is membrane lipid</t>
  </si>
  <si>
    <t>water flow through gills</t>
  </si>
  <si>
    <t>specific gill surface area</t>
  </si>
  <si>
    <t>pH gill water</t>
  </si>
  <si>
    <t>permeability for paracelular transport</t>
  </si>
  <si>
    <r>
      <t>P</t>
    </r>
    <r>
      <rPr>
        <vertAlign val="subscript"/>
        <sz val="11"/>
        <color theme="1"/>
        <rFont val="Calibri"/>
        <family val="2"/>
        <scheme val="minor"/>
      </rPr>
      <t>PC</t>
    </r>
  </si>
  <si>
    <r>
      <t>oxygen conc in water for calculating Q</t>
    </r>
    <r>
      <rPr>
        <vertAlign val="subscript"/>
        <sz val="11"/>
        <color theme="1"/>
        <rFont val="Calibri"/>
        <family val="2"/>
        <scheme val="minor"/>
      </rPr>
      <t>W</t>
    </r>
  </si>
  <si>
    <t>""</t>
  </si>
  <si>
    <t>Framework calculations</t>
  </si>
  <si>
    <t>A framework for understanding the bioconcentration of surfactants in fish</t>
  </si>
  <si>
    <t>Michael S. McLachlan, Andrea Ebert, James M. Armitage, Jon A. Arnot and Steven T. J. Droge</t>
  </si>
  <si>
    <t>Supporting information for:</t>
  </si>
  <si>
    <t>Illustrative calculations for the framework</t>
  </si>
  <si>
    <t>Surfactant</t>
  </si>
  <si>
    <t>class</t>
  </si>
  <si>
    <r>
      <t>Resistance for gill elimination (h 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</si>
  <si>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pK</t>
    </r>
    <r>
      <rPr>
        <vertAlign val="subscript"/>
        <sz val="11"/>
        <color theme="1"/>
        <rFont val="Calibri"/>
        <family val="2"/>
        <scheme val="minor"/>
      </rPr>
      <t>a</t>
    </r>
  </si>
  <si>
    <t>-</t>
  </si>
  <si>
    <t>Anionic</t>
  </si>
  <si>
    <t>Cationic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</si>
</sst>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0"/>
    <numFmt numFmtId="167" formatCode="0.0000"/>
    <numFmt numFmtId="168" formatCode="0.000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167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3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D5CC3-4DDD-4808-944F-2528DC2E7BD2}">
  <dimension ref="A1:AD82"/>
  <sheetViews>
    <sheetView tabSelected="1" topLeftCell="E1" zoomScale="84" zoomScaleNormal="84" workbookViewId="0">
      <selection activeCell="Y13" sqref="Y13"/>
    </sheetView>
  </sheetViews>
  <sheetFormatPr defaultRowHeight="14.4" x14ac:dyDescent="0.3"/>
  <cols>
    <col min="2" max="2" width="30.5546875" customWidth="1"/>
    <col min="3" max="3" width="13.88671875" customWidth="1"/>
    <col min="4" max="4" width="10.33203125" bestFit="1" customWidth="1"/>
    <col min="5" max="5" width="12.88671875" bestFit="1" customWidth="1"/>
    <col min="8" max="8" width="12" bestFit="1" customWidth="1"/>
    <col min="10" max="11" width="10" customWidth="1"/>
    <col min="12" max="12" width="12.6640625" bestFit="1" customWidth="1"/>
    <col min="13" max="13" width="11.109375" customWidth="1"/>
    <col min="14" max="14" width="10.6640625" customWidth="1"/>
    <col min="15" max="15" width="11" bestFit="1" customWidth="1"/>
    <col min="16" max="16" width="12.88671875" bestFit="1" customWidth="1"/>
    <col min="18" max="18" width="10.5546875" customWidth="1"/>
    <col min="19" max="23" width="13.21875" customWidth="1"/>
    <col min="24" max="24" width="15.33203125" customWidth="1"/>
    <col min="25" max="25" width="17.77734375" customWidth="1"/>
    <col min="28" max="28" width="16" customWidth="1"/>
  </cols>
  <sheetData>
    <row r="1" spans="1:30" x14ac:dyDescent="0.3">
      <c r="A1" t="s">
        <v>70</v>
      </c>
    </row>
    <row r="2" spans="1:30" ht="15.6" x14ac:dyDescent="0.3">
      <c r="A2" s="34" t="s">
        <v>68</v>
      </c>
    </row>
    <row r="3" spans="1:30" x14ac:dyDescent="0.3">
      <c r="A3" t="s">
        <v>69</v>
      </c>
    </row>
    <row r="5" spans="1:30" ht="18" x14ac:dyDescent="0.35">
      <c r="A5" s="35" t="s">
        <v>71</v>
      </c>
    </row>
    <row r="7" spans="1:30" ht="18" x14ac:dyDescent="0.35">
      <c r="A7" s="33" t="s">
        <v>18</v>
      </c>
      <c r="J7" s="33" t="s">
        <v>67</v>
      </c>
      <c r="K7" s="33"/>
    </row>
    <row r="8" spans="1:30" x14ac:dyDescent="0.3">
      <c r="O8" s="2"/>
      <c r="P8" s="2"/>
      <c r="Q8" s="2"/>
      <c r="R8" s="2"/>
      <c r="S8" s="2"/>
      <c r="T8" s="9"/>
      <c r="U8" s="9"/>
      <c r="V8" s="9"/>
      <c r="W8" s="9"/>
      <c r="X8" s="2"/>
      <c r="Y8" s="2"/>
    </row>
    <row r="9" spans="1:30" ht="16.8" x14ac:dyDescent="0.35">
      <c r="A9" s="27" t="s">
        <v>19</v>
      </c>
      <c r="B9" s="27" t="s">
        <v>20</v>
      </c>
      <c r="C9" s="27" t="s">
        <v>21</v>
      </c>
      <c r="D9" s="27" t="s">
        <v>22</v>
      </c>
      <c r="E9" s="1" t="s">
        <v>16</v>
      </c>
      <c r="J9" s="13" t="s">
        <v>72</v>
      </c>
      <c r="K9" s="16" t="s">
        <v>75</v>
      </c>
      <c r="L9" s="19" t="s">
        <v>36</v>
      </c>
      <c r="M9" s="19" t="s">
        <v>35</v>
      </c>
      <c r="N9" s="16" t="s">
        <v>34</v>
      </c>
      <c r="O9" s="37" t="s">
        <v>32</v>
      </c>
      <c r="P9" s="37"/>
      <c r="Q9" s="37"/>
      <c r="R9" s="37"/>
      <c r="S9" s="19" t="s">
        <v>33</v>
      </c>
      <c r="T9" s="37" t="s">
        <v>74</v>
      </c>
      <c r="U9" s="37"/>
      <c r="V9" s="37"/>
      <c r="W9" s="37"/>
      <c r="X9" s="19" t="s">
        <v>53</v>
      </c>
      <c r="Y9" s="19" t="s">
        <v>54</v>
      </c>
      <c r="Z9" s="19" t="s">
        <v>50</v>
      </c>
      <c r="AA9" s="16" t="s">
        <v>51</v>
      </c>
      <c r="AB9" s="9" t="s">
        <v>55</v>
      </c>
      <c r="AD9" s="9"/>
    </row>
    <row r="10" spans="1:30" x14ac:dyDescent="0.3">
      <c r="A10" s="17"/>
      <c r="B10" s="17"/>
      <c r="C10" s="17"/>
      <c r="D10" s="17"/>
      <c r="E10" s="11" t="s">
        <v>56</v>
      </c>
      <c r="F10" s="11"/>
      <c r="J10" s="15" t="s">
        <v>73</v>
      </c>
      <c r="K10" s="15"/>
      <c r="L10" s="20"/>
      <c r="M10" s="20"/>
      <c r="N10" s="17"/>
      <c r="O10" s="20" t="s">
        <v>0</v>
      </c>
      <c r="P10" s="26" t="s">
        <v>15</v>
      </c>
      <c r="Q10" s="20" t="s">
        <v>1</v>
      </c>
      <c r="R10" s="12" t="s">
        <v>14</v>
      </c>
      <c r="S10" s="20"/>
      <c r="T10" s="20" t="s">
        <v>0</v>
      </c>
      <c r="U10" s="26" t="s">
        <v>15</v>
      </c>
      <c r="V10" s="20" t="s">
        <v>1</v>
      </c>
      <c r="W10" s="12" t="s">
        <v>14</v>
      </c>
      <c r="X10" s="20"/>
      <c r="Y10" s="20"/>
      <c r="Z10" s="20"/>
      <c r="AA10" s="17"/>
      <c r="AB10" s="12"/>
    </row>
    <row r="11" spans="1:30" x14ac:dyDescent="0.3">
      <c r="A11" s="16"/>
      <c r="B11" s="32" t="s">
        <v>62</v>
      </c>
      <c r="C11" s="31">
        <v>7</v>
      </c>
      <c r="D11" s="16"/>
      <c r="J11" s="14" t="s">
        <v>77</v>
      </c>
      <c r="K11" s="39">
        <v>-1</v>
      </c>
      <c r="L11" s="22">
        <f>LOG(1/(1+POWER(10,C11-K11)))</f>
        <v>-8.0000000043429456</v>
      </c>
      <c r="M11" s="19">
        <v>3</v>
      </c>
      <c r="N11" s="16">
        <f>LOG(1/(1+POWER(10,C12-K11)))</f>
        <v>-9.1200000003294459</v>
      </c>
      <c r="O11" s="25">
        <f>$C$15/($C$17*(1+$C$18*POWER(10,$M11))*POWER(10,$L11-$N11))</f>
        <v>1.1281730234871385</v>
      </c>
      <c r="P11" s="23">
        <f>1/(POWER(10,$L11)*(0.00525*POWER(POWER(10,$M11),1.14)*3600/100)+$C$24)</f>
        <v>6028.0470639137939</v>
      </c>
      <c r="Q11" s="25">
        <f>$C$15/$C$16</f>
        <v>10.187563891102137</v>
      </c>
      <c r="R11" s="4">
        <f>SUM(O11:Q11)</f>
        <v>6039.3628008283831</v>
      </c>
      <c r="S11" s="21">
        <f>1/R11*1000*$C$14</f>
        <v>4.4598415998742591E-2</v>
      </c>
      <c r="T11" s="21">
        <f>$C$15/($C$17*(1+$C$18*POWER(10,$M11)))</f>
        <v>14.872216767254299</v>
      </c>
      <c r="U11" s="21">
        <f>1/(POWER(10,$N11)*(0.00525*POWER(POWER(10,$M11),1.14)*3600/100)+$C$24)</f>
        <v>6199.7393110123267</v>
      </c>
      <c r="V11" s="21">
        <f>$C$15/$C$16*POWER(10,$L11-$N11)</f>
        <v>134.29824624808617</v>
      </c>
      <c r="W11" s="21">
        <f>SUM(T11:V11)</f>
        <v>6348.9097740276666</v>
      </c>
      <c r="X11" s="36">
        <f>$C$20*((1-$C$21)+$C$21*$C$22)*POWER(10,M11)</f>
        <v>54.062500000000007</v>
      </c>
      <c r="Y11" s="24">
        <f>1/W11*1000/X11*$C$14</f>
        <v>7.8472099777304348E-4</v>
      </c>
      <c r="Z11" s="21">
        <f>1/(0.000204*POWER(10,M11)+4.07)</f>
        <v>0.23397285914833879</v>
      </c>
      <c r="AA11" s="18">
        <f>Z11+Y11</f>
        <v>0.23475758014611184</v>
      </c>
      <c r="AB11" s="6">
        <f>S11/AA11</f>
        <v>0.1899764683678575</v>
      </c>
      <c r="AC11" s="3"/>
      <c r="AD11" s="3"/>
    </row>
    <row r="12" spans="1:30" x14ac:dyDescent="0.3">
      <c r="A12" s="16"/>
      <c r="B12" s="32" t="s">
        <v>5</v>
      </c>
      <c r="C12" s="16">
        <v>8.1199999999999992</v>
      </c>
      <c r="D12" s="16"/>
      <c r="E12" t="s">
        <v>26</v>
      </c>
      <c r="J12" s="14" t="s">
        <v>78</v>
      </c>
      <c r="K12" s="16">
        <v>10</v>
      </c>
      <c r="L12" s="22">
        <f>LOG(1-1/(1+POWER(10,C11-K12)))</f>
        <v>-3.0004340774793814</v>
      </c>
      <c r="M12" s="19">
        <v>3</v>
      </c>
      <c r="N12" s="31">
        <f>LOG(1-1/(1+POWER(10,C12-K12)))</f>
        <v>-1.8856877087997312</v>
      </c>
      <c r="O12" s="25">
        <f>$C$15/($C$17*(1+$C$18*POWER(10,$M12))*POWER(10,$L12-$N12))</f>
        <v>193.69663476661373</v>
      </c>
      <c r="P12" s="23">
        <f>1/(POWER(10,$L12)*(0.00525*POWER(POWER(10,$M12),1.14)*3600/100)+$C$24)</f>
        <v>2.0129434419513532</v>
      </c>
      <c r="Q12" s="25">
        <f>$C$15/$C$16</f>
        <v>10.187563891102137</v>
      </c>
      <c r="R12" s="4">
        <f>SUM(O12:Q12)</f>
        <v>205.89714209966724</v>
      </c>
      <c r="S12" s="21">
        <f>1/R12*1000*$C$14</f>
        <v>1.3081581017200079</v>
      </c>
      <c r="T12" s="21">
        <f>$C$15/($C$17*(1+$C$18*POWER(10,$M12)))</f>
        <v>14.872216767254299</v>
      </c>
      <c r="U12" s="21">
        <f>1/(POWER(10,$N12)*(0.00525*POWER(POWER(10,$M12),1.14)*3600/100)+$C$24)</f>
        <v>0.1546019971624725</v>
      </c>
      <c r="V12" s="21">
        <f>$C$15/$C$16*POWER(10,$L12-$N12)</f>
        <v>0.78221110398371652</v>
      </c>
      <c r="W12" s="21">
        <f>SUM(T12:V12)</f>
        <v>15.809029868400488</v>
      </c>
      <c r="X12" s="36">
        <f>$C$20*((1-$C$21)+$C$21*$C$22)*POWER(10,M12)</f>
        <v>54.062500000000007</v>
      </c>
      <c r="Y12" s="24">
        <f>1/W12*1000/X12*$C$14</f>
        <v>0.3151441204247718</v>
      </c>
      <c r="Z12" s="21">
        <f>1/(0.000204*POWER(10,M12)+4.07)</f>
        <v>0.23397285914833879</v>
      </c>
      <c r="AA12" s="18">
        <f>Z12+Y12</f>
        <v>0.54911697957311056</v>
      </c>
      <c r="AB12" s="6">
        <f>S12/AA12</f>
        <v>2.3822940291101253</v>
      </c>
      <c r="AC12" s="3"/>
      <c r="AD12" s="3"/>
    </row>
    <row r="13" spans="1:30" x14ac:dyDescent="0.3">
      <c r="A13" s="16" t="s">
        <v>2</v>
      </c>
      <c r="B13" s="32" t="s">
        <v>3</v>
      </c>
      <c r="C13" s="16">
        <v>0.01</v>
      </c>
      <c r="D13" s="16" t="s">
        <v>4</v>
      </c>
      <c r="J13" s="14" t="s">
        <v>52</v>
      </c>
      <c r="K13" s="39" t="s">
        <v>76</v>
      </c>
      <c r="L13" s="19">
        <v>0</v>
      </c>
      <c r="M13" s="19">
        <v>3</v>
      </c>
      <c r="N13" s="16">
        <v>0</v>
      </c>
      <c r="O13" s="25">
        <f>$C$15/($C$17*(1+$C$18*POWER(10,M13))*POWER(10,L13-N13))</f>
        <v>14.872216767254299</v>
      </c>
      <c r="P13" s="24">
        <f>1/(POWER(10,L13)*(0.00525*POWER(POWER(10,M13),1.14)*3600/100)+$C$24)</f>
        <v>2.0115834563583569E-3</v>
      </c>
      <c r="Q13" s="25">
        <f>$C$15/$C$16</f>
        <v>10.187563891102137</v>
      </c>
      <c r="R13" s="3">
        <f t="shared" ref="R13" si="0">SUM(O13:Q13)</f>
        <v>25.061792241812796</v>
      </c>
      <c r="S13" s="22">
        <f>1/R13*1000*$C$14</f>
        <v>10.747276649644462</v>
      </c>
      <c r="T13" s="22"/>
      <c r="U13" s="22"/>
      <c r="V13" s="22"/>
      <c r="W13" s="22"/>
      <c r="X13" s="19">
        <f>(C20+(C25-C20)/3)*POWER(10,M13)</f>
        <v>25</v>
      </c>
      <c r="Y13" s="24">
        <f t="shared" ref="Y13" si="1">S13/X13</f>
        <v>0.42989106598577848</v>
      </c>
      <c r="Z13" s="21">
        <f t="shared" ref="Z13" si="2">1/(0.000204*POWER(10,M13)+4.07)</f>
        <v>0.23397285914833879</v>
      </c>
      <c r="AA13" s="18">
        <f t="shared" ref="AA13" si="3">Z13+Y13</f>
        <v>0.66386392513411729</v>
      </c>
      <c r="AB13" s="6">
        <f t="shared" ref="AB13" si="4">S13/AA13</f>
        <v>16.188975244397021</v>
      </c>
      <c r="AC13" s="3"/>
      <c r="AD13" s="3"/>
    </row>
    <row r="14" spans="1:30" ht="16.8" x14ac:dyDescent="0.35">
      <c r="A14" s="16" t="s">
        <v>37</v>
      </c>
      <c r="B14" s="32" t="s">
        <v>61</v>
      </c>
      <c r="C14" s="18">
        <f>3.15*POWER(C13*1000,0.932)/10000/C13</f>
        <v>0.26934601455867541</v>
      </c>
      <c r="D14" s="16" t="s">
        <v>6</v>
      </c>
      <c r="E14" t="s">
        <v>27</v>
      </c>
      <c r="O14" s="3"/>
      <c r="P14" s="3"/>
      <c r="Q14" s="3"/>
      <c r="R14" s="3"/>
      <c r="Y14" s="4"/>
      <c r="AC14" s="3"/>
      <c r="AD14" s="3"/>
    </row>
    <row r="15" spans="1:30" ht="16.8" x14ac:dyDescent="0.35">
      <c r="A15" s="16" t="s">
        <v>38</v>
      </c>
      <c r="B15" s="32" t="s">
        <v>7</v>
      </c>
      <c r="C15" s="29">
        <f>C14*C13</f>
        <v>2.693460145586754E-3</v>
      </c>
      <c r="D15" s="16" t="s">
        <v>8</v>
      </c>
      <c r="K15" s="38"/>
      <c r="O15" s="3"/>
      <c r="P15" s="3"/>
      <c r="Q15" s="3"/>
      <c r="R15" s="3"/>
      <c r="S15" s="3"/>
      <c r="T15" s="3"/>
      <c r="U15" s="3"/>
      <c r="V15" s="3"/>
      <c r="W15" s="3"/>
      <c r="X15" s="3"/>
      <c r="Y15" s="8"/>
      <c r="Z15" s="8"/>
      <c r="AA15" s="8"/>
      <c r="AB15" s="8"/>
      <c r="AC15" s="3"/>
      <c r="AD15" s="3"/>
    </row>
    <row r="16" spans="1:30" ht="16.8" x14ac:dyDescent="0.35">
      <c r="A16" s="16" t="s">
        <v>39</v>
      </c>
      <c r="B16" s="32" t="s">
        <v>60</v>
      </c>
      <c r="C16" s="28">
        <f>1400*POWER(C13,0.65)/C19/24/1000</f>
        <v>2.6438706783858641E-4</v>
      </c>
      <c r="D16" s="16" t="s">
        <v>9</v>
      </c>
      <c r="E16" t="s">
        <v>10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6.8" x14ac:dyDescent="0.35">
      <c r="A17" s="16" t="s">
        <v>43</v>
      </c>
      <c r="B17" s="32" t="s">
        <v>11</v>
      </c>
      <c r="C17" s="30">
        <f>0.001*(0.00043*10-0.00145)*(C13*1000)^0.9</f>
        <v>2.2638354689642033E-5</v>
      </c>
      <c r="D17" s="16" t="s">
        <v>9</v>
      </c>
      <c r="E17" t="s">
        <v>12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6.8" x14ac:dyDescent="0.35">
      <c r="A18" s="16" t="s">
        <v>40</v>
      </c>
      <c r="B18" s="32" t="s">
        <v>13</v>
      </c>
      <c r="C18" s="16">
        <v>7.0000000000000001E-3</v>
      </c>
      <c r="D18" s="16" t="s">
        <v>57</v>
      </c>
      <c r="E18" t="s">
        <v>44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6.8" x14ac:dyDescent="0.35">
      <c r="A19" s="16" t="s">
        <v>41</v>
      </c>
      <c r="B19" s="32" t="s">
        <v>65</v>
      </c>
      <c r="C19" s="31">
        <f>(-0.24*10+14.04)*0.95</f>
        <v>11.057999999999998</v>
      </c>
      <c r="D19" s="16" t="s">
        <v>28</v>
      </c>
      <c r="E19" t="s">
        <v>24</v>
      </c>
      <c r="O19" s="3"/>
      <c r="P19" s="3"/>
      <c r="Q19" s="3"/>
      <c r="R19" s="3"/>
      <c r="Y19" s="4"/>
      <c r="AC19" s="3"/>
      <c r="AD19" s="3"/>
    </row>
    <row r="20" spans="1:30" ht="16.8" x14ac:dyDescent="0.35">
      <c r="A20" s="16" t="s">
        <v>46</v>
      </c>
      <c r="B20" s="32" t="s">
        <v>59</v>
      </c>
      <c r="C20" s="16">
        <v>1.2500000000000001E-2</v>
      </c>
      <c r="D20" s="16" t="s">
        <v>29</v>
      </c>
      <c r="E20" t="s">
        <v>45</v>
      </c>
      <c r="O20" s="3"/>
      <c r="P20" s="3"/>
      <c r="Q20" s="3"/>
      <c r="R20" s="3"/>
      <c r="Y20" s="4"/>
      <c r="AC20" s="3"/>
      <c r="AD20" s="3"/>
    </row>
    <row r="21" spans="1:30" ht="16.8" x14ac:dyDescent="0.35">
      <c r="A21" s="16" t="s">
        <v>47</v>
      </c>
      <c r="B21" s="32" t="s">
        <v>58</v>
      </c>
      <c r="C21" s="16">
        <v>0.17499999999999999</v>
      </c>
      <c r="D21" s="16" t="s">
        <v>29</v>
      </c>
      <c r="E21" t="s">
        <v>25</v>
      </c>
      <c r="O21" s="3"/>
      <c r="P21" s="3"/>
      <c r="Q21" s="3"/>
      <c r="R21" s="3"/>
      <c r="Y21" s="4"/>
      <c r="AC21" s="3"/>
      <c r="AD21" s="3"/>
    </row>
    <row r="22" spans="1:30" x14ac:dyDescent="0.3">
      <c r="A22" s="16"/>
      <c r="B22" s="32" t="s">
        <v>17</v>
      </c>
      <c r="C22" s="16">
        <v>20</v>
      </c>
      <c r="D22" s="16"/>
      <c r="E22" t="s">
        <v>25</v>
      </c>
      <c r="O22" s="3"/>
      <c r="P22" s="3"/>
      <c r="Q22" s="3"/>
      <c r="R22" s="3"/>
      <c r="Y22" s="4"/>
      <c r="AC22" s="3"/>
      <c r="AD22" s="3"/>
    </row>
    <row r="23" spans="1:30" ht="16.8" x14ac:dyDescent="0.35">
      <c r="A23" s="16" t="s">
        <v>64</v>
      </c>
      <c r="B23" s="32" t="s">
        <v>63</v>
      </c>
      <c r="C23" s="30">
        <f>0.00000149*3</f>
        <v>4.4699999999999996E-6</v>
      </c>
      <c r="D23" s="16" t="s">
        <v>30</v>
      </c>
      <c r="E23" t="s">
        <v>23</v>
      </c>
      <c r="O23" s="3"/>
      <c r="P23" s="3"/>
      <c r="Q23" s="3"/>
      <c r="R23" s="3"/>
      <c r="Y23" s="4"/>
      <c r="AC23" s="3"/>
      <c r="AD23" s="3"/>
    </row>
    <row r="24" spans="1:30" ht="16.2" x14ac:dyDescent="0.3">
      <c r="A24" s="16"/>
      <c r="B24" s="32" t="s">
        <v>66</v>
      </c>
      <c r="C24" s="30">
        <f>C23/100*3600</f>
        <v>1.6092E-4</v>
      </c>
      <c r="D24" s="16" t="s">
        <v>31</v>
      </c>
      <c r="O24" s="3"/>
      <c r="P24" s="3"/>
      <c r="Q24" s="3"/>
      <c r="R24" s="3"/>
      <c r="Y24" s="4"/>
      <c r="AC24" s="3"/>
      <c r="AD24" s="3"/>
    </row>
    <row r="25" spans="1:30" ht="16.8" x14ac:dyDescent="0.35">
      <c r="A25" s="16" t="s">
        <v>42</v>
      </c>
      <c r="B25" s="32" t="s">
        <v>48</v>
      </c>
      <c r="C25" s="16">
        <f>0.05</f>
        <v>0.05</v>
      </c>
      <c r="D25" s="16" t="s">
        <v>29</v>
      </c>
      <c r="E25" t="s">
        <v>49</v>
      </c>
      <c r="O25" s="3"/>
      <c r="P25" s="3"/>
      <c r="Q25" s="3"/>
      <c r="R25" s="3"/>
      <c r="Y25" s="4"/>
      <c r="AC25" s="3"/>
      <c r="AD25" s="3"/>
    </row>
    <row r="26" spans="1:30" x14ac:dyDescent="0.3">
      <c r="O26" s="3"/>
      <c r="P26" s="3"/>
      <c r="Q26" s="3"/>
      <c r="R26" s="3"/>
      <c r="Y26" s="4"/>
      <c r="AC26" s="3"/>
      <c r="AD26" s="3"/>
    </row>
    <row r="27" spans="1:30" x14ac:dyDescent="0.3">
      <c r="O27" s="3"/>
      <c r="P27" s="3"/>
      <c r="Q27" s="3"/>
      <c r="R27" s="3"/>
      <c r="Y27" s="4"/>
      <c r="AC27" s="3"/>
      <c r="AD27" s="3"/>
    </row>
    <row r="28" spans="1:30" x14ac:dyDescent="0.3">
      <c r="O28" s="3"/>
      <c r="P28" s="3"/>
      <c r="Q28" s="3"/>
      <c r="R28" s="3"/>
      <c r="AC28" s="3"/>
      <c r="AD28" s="3"/>
    </row>
    <row r="29" spans="1:30" x14ac:dyDescent="0.3">
      <c r="O29" s="3"/>
      <c r="P29" s="3"/>
      <c r="Q29" s="3"/>
      <c r="R29" s="3"/>
      <c r="AC29" s="3"/>
      <c r="AD29" s="3"/>
    </row>
    <row r="30" spans="1:30" x14ac:dyDescent="0.3">
      <c r="O30" s="3"/>
      <c r="P30" s="3"/>
      <c r="Q30" s="3"/>
      <c r="R30" s="3"/>
      <c r="AC30" s="3"/>
      <c r="AD30" s="3"/>
    </row>
    <row r="31" spans="1:30" x14ac:dyDescent="0.3">
      <c r="O31" s="3"/>
      <c r="P31" s="3"/>
      <c r="Q31" s="3"/>
      <c r="R31" s="3"/>
      <c r="AC31" s="3"/>
      <c r="AD31" s="3"/>
    </row>
    <row r="32" spans="1:30" x14ac:dyDescent="0.3">
      <c r="F32" s="2"/>
      <c r="G32" s="1"/>
      <c r="O32" s="3"/>
      <c r="P32" s="3"/>
      <c r="Q32" s="3"/>
      <c r="R32" s="3"/>
      <c r="Y32" s="4"/>
      <c r="AC32" s="3"/>
      <c r="AD32" s="3"/>
    </row>
    <row r="33" spans="3:30" x14ac:dyDescent="0.3">
      <c r="G33" s="2"/>
      <c r="H33" s="2"/>
      <c r="O33" s="3"/>
      <c r="P33" s="3"/>
      <c r="Q33" s="3"/>
      <c r="R33" s="3"/>
      <c r="Y33" s="4"/>
      <c r="AC33" s="3"/>
      <c r="AD33" s="3"/>
    </row>
    <row r="34" spans="3:30" x14ac:dyDescent="0.3">
      <c r="H34" s="2"/>
      <c r="I34" s="2"/>
      <c r="J34" s="2"/>
      <c r="K34" s="10"/>
      <c r="O34" s="3"/>
      <c r="P34" s="3"/>
      <c r="Q34" s="3"/>
      <c r="R34" s="3"/>
      <c r="Y34" s="4"/>
      <c r="AC34" s="3"/>
      <c r="AD34" s="3"/>
    </row>
    <row r="35" spans="3:30" x14ac:dyDescent="0.3">
      <c r="H35" s="2"/>
      <c r="I35" s="2"/>
      <c r="O35" s="3"/>
      <c r="P35" s="3"/>
      <c r="Q35" s="3"/>
      <c r="R35" s="3"/>
      <c r="Y35" s="4"/>
      <c r="AC35" s="3"/>
      <c r="AD35" s="3"/>
    </row>
    <row r="36" spans="3:30" x14ac:dyDescent="0.3">
      <c r="C36" s="2"/>
      <c r="D36" s="2"/>
      <c r="H36" s="2"/>
      <c r="I36" s="2"/>
      <c r="O36" s="3"/>
      <c r="P36" s="3"/>
      <c r="Q36" s="3"/>
      <c r="R36" s="3"/>
      <c r="Y36" s="4"/>
      <c r="AC36" s="3"/>
      <c r="AD36" s="3"/>
    </row>
    <row r="37" spans="3:30" x14ac:dyDescent="0.3">
      <c r="C37" s="2"/>
      <c r="D37" s="2"/>
      <c r="I37" s="2"/>
      <c r="O37" s="3"/>
      <c r="P37" s="3"/>
      <c r="Q37" s="3"/>
      <c r="R37" s="3"/>
      <c r="Y37" s="4"/>
    </row>
    <row r="38" spans="3:30" x14ac:dyDescent="0.3">
      <c r="C38" s="2"/>
      <c r="D38" s="2"/>
      <c r="I38" s="2"/>
      <c r="O38" s="3"/>
      <c r="P38" s="3"/>
      <c r="Q38" s="3"/>
      <c r="R38" s="3"/>
      <c r="Y38" s="4"/>
    </row>
    <row r="39" spans="3:30" x14ac:dyDescent="0.3">
      <c r="C39" s="2"/>
      <c r="D39" s="2"/>
      <c r="H39" s="2"/>
      <c r="I39" s="2"/>
      <c r="O39" s="3"/>
      <c r="P39" s="3"/>
      <c r="Q39" s="3"/>
      <c r="R39" s="3"/>
      <c r="Y39" s="4"/>
    </row>
    <row r="40" spans="3:30" x14ac:dyDescent="0.3">
      <c r="C40" s="2"/>
      <c r="D40" s="2"/>
      <c r="H40" s="2"/>
      <c r="I40" s="2"/>
      <c r="O40" s="3"/>
      <c r="P40" s="3"/>
      <c r="Q40" s="3"/>
      <c r="R40" s="3"/>
    </row>
    <row r="41" spans="3:30" x14ac:dyDescent="0.3">
      <c r="C41" s="2"/>
      <c r="D41" s="2"/>
      <c r="H41" s="2"/>
      <c r="I41" s="2"/>
      <c r="O41" s="3"/>
      <c r="P41" s="3"/>
      <c r="Q41" s="3"/>
      <c r="R41" s="3"/>
    </row>
    <row r="42" spans="3:30" x14ac:dyDescent="0.3">
      <c r="H42" s="2"/>
      <c r="I42" s="2"/>
      <c r="O42" s="3"/>
      <c r="P42" s="3"/>
      <c r="Q42" s="3"/>
      <c r="R42" s="3"/>
    </row>
    <row r="43" spans="3:30" x14ac:dyDescent="0.3">
      <c r="H43" s="2"/>
      <c r="I43" s="2"/>
      <c r="O43" s="3"/>
      <c r="P43" s="3"/>
      <c r="Q43" s="3"/>
      <c r="R43" s="3"/>
    </row>
    <row r="44" spans="3:30" x14ac:dyDescent="0.3">
      <c r="I44" s="2"/>
      <c r="O44" s="3"/>
      <c r="P44" s="3"/>
      <c r="Q44" s="3"/>
      <c r="R44" s="3"/>
    </row>
    <row r="45" spans="3:30" x14ac:dyDescent="0.3">
      <c r="O45" s="3"/>
      <c r="P45" s="3"/>
      <c r="Q45" s="3"/>
      <c r="R45" s="3"/>
    </row>
    <row r="46" spans="3:30" x14ac:dyDescent="0.3">
      <c r="O46" s="3"/>
      <c r="P46" s="3"/>
      <c r="Q46" s="3"/>
      <c r="R46" s="3"/>
    </row>
    <row r="47" spans="3:30" x14ac:dyDescent="0.3">
      <c r="G47" s="1"/>
      <c r="O47" s="3"/>
      <c r="P47" s="3"/>
      <c r="Q47" s="3"/>
      <c r="R47" s="3"/>
    </row>
    <row r="48" spans="3:30" x14ac:dyDescent="0.3">
      <c r="F48" s="5"/>
      <c r="O48" s="3"/>
      <c r="P48" s="3"/>
      <c r="Q48" s="3"/>
      <c r="R48" s="3"/>
    </row>
    <row r="49" spans="15:25" x14ac:dyDescent="0.3">
      <c r="O49" s="3"/>
      <c r="P49" s="3"/>
      <c r="Q49" s="3"/>
      <c r="R49" s="3"/>
    </row>
    <row r="50" spans="15:25" x14ac:dyDescent="0.3">
      <c r="O50" s="3"/>
      <c r="P50" s="3"/>
      <c r="Q50" s="3"/>
      <c r="R50" s="3"/>
    </row>
    <row r="51" spans="15:25" x14ac:dyDescent="0.3">
      <c r="O51" s="3"/>
      <c r="P51" s="3"/>
      <c r="Q51" s="3"/>
      <c r="R51" s="3"/>
    </row>
    <row r="52" spans="15:25" x14ac:dyDescent="0.3">
      <c r="O52" s="3"/>
      <c r="P52" s="3"/>
      <c r="Q52" s="3"/>
      <c r="R52" s="3"/>
    </row>
    <row r="53" spans="15:25" x14ac:dyDescent="0.3">
      <c r="O53" s="3"/>
      <c r="P53" s="3"/>
      <c r="Q53" s="3"/>
      <c r="R53" s="3"/>
      <c r="Y53" s="4"/>
    </row>
    <row r="54" spans="15:25" x14ac:dyDescent="0.3">
      <c r="O54" s="3"/>
      <c r="P54" s="3"/>
      <c r="Q54" s="3"/>
      <c r="R54" s="3"/>
      <c r="Y54" s="4"/>
    </row>
    <row r="55" spans="15:25" x14ac:dyDescent="0.3">
      <c r="O55" s="3"/>
      <c r="P55" s="3"/>
      <c r="Q55" s="3"/>
      <c r="R55" s="3"/>
      <c r="Y55" s="4"/>
    </row>
    <row r="56" spans="15:25" x14ac:dyDescent="0.3">
      <c r="O56" s="3"/>
      <c r="P56" s="3"/>
      <c r="Q56" s="3"/>
      <c r="R56" s="3"/>
      <c r="Y56" s="4"/>
    </row>
    <row r="58" spans="15:25" x14ac:dyDescent="0.3">
      <c r="X58" s="1"/>
      <c r="Y58" s="1"/>
    </row>
    <row r="59" spans="15:25" x14ac:dyDescent="0.3">
      <c r="X59" s="7"/>
      <c r="Y59" s="7"/>
    </row>
    <row r="60" spans="15:25" x14ac:dyDescent="0.3">
      <c r="X60" s="7"/>
      <c r="Y60" s="7"/>
    </row>
    <row r="61" spans="15:25" x14ac:dyDescent="0.3">
      <c r="X61" s="7"/>
      <c r="Y61" s="7"/>
    </row>
    <row r="82" spans="2:2" x14ac:dyDescent="0.3">
      <c r="B82">
        <f>AVERAGE(10.5,20,23.8,23.7)</f>
        <v>19.5</v>
      </c>
    </row>
  </sheetData>
  <mergeCells count="2">
    <mergeCell ref="O9:R9"/>
    <mergeCell ref="T9:W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Framework demo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McLachlan</dc:creator>
  <cp:lastModifiedBy>Michael McLachlan</cp:lastModifiedBy>
  <dcterms:created xsi:type="dcterms:W3CDTF">2022-07-06T09:57:37Z</dcterms:created>
  <dcterms:modified xsi:type="dcterms:W3CDTF">2023-02-18T07:57:56Z</dcterms:modified>
</cp:coreProperties>
</file>