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1\Desktop\co-PBK_XZ 05.19\Part 1 - Metabolites\"/>
    </mc:Choice>
  </mc:AlternateContent>
  <xr:revisionPtr revIDLastSave="0" documentId="13_ncr:1_{FADC6EE5-EED0-4E95-A4FE-B1F1E94C4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ent compound" sheetId="1" r:id="rId1"/>
    <sheet name="Metabolite 1" sheetId="2" r:id="rId2"/>
    <sheet name="Metabolite 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" i="3" l="1"/>
  <c r="AY3" i="3" s="1"/>
  <c r="AX3" i="3" l="1"/>
  <c r="AE3" i="2" l="1"/>
  <c r="J3" i="2"/>
  <c r="O3" i="2" s="1"/>
  <c r="AA3" i="2" s="1"/>
  <c r="AK3" i="2" s="1"/>
  <c r="Y3" i="2"/>
  <c r="AB3" i="2"/>
  <c r="AG3" i="2"/>
  <c r="AI3" i="2"/>
  <c r="AT3" i="1"/>
  <c r="AW3" i="1" s="1"/>
  <c r="U3" i="1"/>
  <c r="AG3" i="1"/>
  <c r="AE3" i="1"/>
  <c r="AC3" i="1"/>
  <c r="Z3" i="1"/>
  <c r="W3" i="1"/>
  <c r="AI3" i="3"/>
  <c r="AG3" i="3"/>
  <c r="AE3" i="3"/>
  <c r="AO3" i="3" s="1"/>
  <c r="AB3" i="3"/>
  <c r="Y3" i="3"/>
  <c r="J3" i="3"/>
  <c r="T3" i="3" s="1"/>
  <c r="K3" i="1"/>
  <c r="S3" i="3"/>
  <c r="AH3" i="3"/>
  <c r="AN3" i="3" s="1"/>
  <c r="Q3" i="3"/>
  <c r="AD3" i="3" s="1"/>
  <c r="AL3" i="3" s="1"/>
  <c r="N3" i="3"/>
  <c r="Z3" i="3"/>
  <c r="L3" i="3"/>
  <c r="W3" i="3" s="1"/>
  <c r="AM3" i="1"/>
  <c r="J3" i="1"/>
  <c r="P3" i="1"/>
  <c r="AA3" i="1"/>
  <c r="AN3" i="1"/>
  <c r="R3" i="1"/>
  <c r="AD3" i="1"/>
  <c r="AK3" i="1"/>
  <c r="S3" i="1"/>
  <c r="AF3" i="1"/>
  <c r="AL3" i="1"/>
  <c r="M3" i="1"/>
  <c r="V3" i="1"/>
  <c r="AH3" i="1"/>
  <c r="O3" i="1"/>
  <c r="Y3" i="1"/>
  <c r="AI3" i="1"/>
  <c r="Q3" i="1"/>
  <c r="AB3" i="1"/>
  <c r="AJ3" i="1"/>
  <c r="N3" i="1"/>
  <c r="X3" i="1"/>
  <c r="L3" i="1"/>
  <c r="M3" i="2" l="1"/>
  <c r="X3" i="2" s="1"/>
  <c r="AJ3" i="2" s="1"/>
  <c r="M3" i="3"/>
  <c r="X3" i="3" s="1"/>
  <c r="AJ3" i="3" s="1"/>
  <c r="R3" i="3"/>
  <c r="AF3" i="3" s="1"/>
  <c r="AM3" i="3" s="1"/>
  <c r="O3" i="3"/>
  <c r="AA3" i="3" s="1"/>
  <c r="AK3" i="3" s="1"/>
  <c r="P3" i="3"/>
  <c r="AC3" i="3" s="1"/>
  <c r="AO3" i="2"/>
  <c r="R3" i="2"/>
  <c r="AF3" i="2" s="1"/>
  <c r="AM3" i="2" s="1"/>
  <c r="S3" i="2"/>
  <c r="AH3" i="2" s="1"/>
  <c r="AN3" i="2" s="1"/>
  <c r="P3" i="2"/>
  <c r="AC3" i="2" s="1"/>
  <c r="N3" i="2"/>
  <c r="Z3" i="2" s="1"/>
  <c r="L3" i="2"/>
  <c r="W3" i="2" s="1"/>
  <c r="AP3" i="2" s="1"/>
  <c r="T3" i="2"/>
  <c r="Q3" i="2"/>
  <c r="AD3" i="2" s="1"/>
  <c r="AL3" i="2" s="1"/>
  <c r="AU3" i="1"/>
  <c r="AV3" i="1"/>
  <c r="AY3" i="1"/>
  <c r="AX3" i="1"/>
  <c r="AP3" i="3" l="1"/>
  <c r="AS3" i="3" s="1"/>
  <c r="AQ3" i="3"/>
  <c r="AS3" i="2"/>
  <c r="AV3" i="2" s="1"/>
  <c r="AR3" i="2"/>
  <c r="AQ3" i="2"/>
  <c r="AT3" i="2"/>
  <c r="AU3" i="2"/>
  <c r="AY3" i="2" l="1"/>
  <c r="AX3" i="2"/>
  <c r="AT3" i="3"/>
  <c r="AR3" i="3"/>
  <c r="AU3" i="3"/>
</calcChain>
</file>

<file path=xl/sharedStrings.xml><?xml version="1.0" encoding="utf-8"?>
<sst xmlns="http://schemas.openxmlformats.org/spreadsheetml/2006/main" count="320" uniqueCount="129">
  <si>
    <t>Input variable</t>
  </si>
  <si>
    <t xml:space="preserve">Unit </t>
  </si>
  <si>
    <t xml:space="preserve">Value </t>
  </si>
  <si>
    <t>Exhalation rate</t>
  </si>
  <si>
    <r>
      <t>kg d</t>
    </r>
    <r>
      <rPr>
        <vertAlign val="superscript"/>
        <sz val="9"/>
        <color rgb="FF000000"/>
        <rFont val="Times New Roman"/>
        <family val="1"/>
      </rPr>
      <t>-1</t>
    </r>
  </si>
  <si>
    <t>Urine excretion rate</t>
  </si>
  <si>
    <t>Bile excretion rate</t>
  </si>
  <si>
    <t>kg</t>
  </si>
  <si>
    <t>Blood</t>
  </si>
  <si>
    <t>Liver</t>
  </si>
  <si>
    <t>Kidney</t>
  </si>
  <si>
    <t>Lung</t>
  </si>
  <si>
    <t>Fat</t>
  </si>
  <si>
    <t>Muscle</t>
  </si>
  <si>
    <t>Body mass</t>
    <phoneticPr fontId="3" type="noConversion"/>
  </si>
  <si>
    <t>Liver mass</t>
    <phoneticPr fontId="3" type="noConversion"/>
  </si>
  <si>
    <t>Blood mass</t>
    <phoneticPr fontId="3" type="noConversion"/>
  </si>
  <si>
    <t>Kidney mass</t>
    <phoneticPr fontId="3" type="noConversion"/>
  </si>
  <si>
    <t>Lung mass</t>
    <phoneticPr fontId="3" type="noConversion"/>
  </si>
  <si>
    <t>Fat mass</t>
    <phoneticPr fontId="3" type="noConversion"/>
  </si>
  <si>
    <t>Muscle mass</t>
    <phoneticPr fontId="3" type="noConversion"/>
  </si>
  <si>
    <t>Liver blood flow</t>
    <phoneticPr fontId="3" type="noConversion"/>
  </si>
  <si>
    <t>Kidney blood flow</t>
    <phoneticPr fontId="3" type="noConversion"/>
  </si>
  <si>
    <t>Lung blood flow</t>
    <phoneticPr fontId="3" type="noConversion"/>
  </si>
  <si>
    <t>Fat blood flow</t>
    <phoneticPr fontId="3" type="noConversion"/>
  </si>
  <si>
    <t>Muscle blood flow</t>
    <phoneticPr fontId="3" type="noConversion"/>
  </si>
  <si>
    <t>Tissue/elimination media</t>
  </si>
  <si>
    <r>
      <t>Contents (g g</t>
    </r>
    <r>
      <rPr>
        <vertAlign val="superscript"/>
        <sz val="9"/>
        <color rgb="FF000000"/>
        <rFont val="Times New Roman"/>
        <family val="1"/>
      </rPr>
      <t>-1</t>
    </r>
    <r>
      <rPr>
        <sz val="9"/>
        <color rgb="FF000000"/>
        <rFont val="Times New Roman"/>
        <family val="1"/>
      </rPr>
      <t>)</t>
    </r>
  </si>
  <si>
    <t>Water</t>
  </si>
  <si>
    <t>Urine</t>
  </si>
  <si>
    <t>Bile</t>
  </si>
  <si>
    <t>Physiological inputs</t>
    <phoneticPr fontId="3" type="noConversion"/>
  </si>
  <si>
    <t>Composition inputs</t>
    <phoneticPr fontId="3" type="noConversion"/>
  </si>
  <si>
    <t>NLP</t>
    <phoneticPr fontId="3" type="noConversion"/>
  </si>
  <si>
    <t>Lipid (fat)</t>
    <phoneticPr fontId="3" type="noConversion"/>
  </si>
  <si>
    <t>Kow (dimensionless)</t>
    <phoneticPr fontId="3" type="noConversion"/>
  </si>
  <si>
    <t>k_(BioT,Liver)^P</t>
    <phoneticPr fontId="3" type="noConversion"/>
  </si>
  <si>
    <t>k_(Liver→Bile)^P</t>
    <phoneticPr fontId="3" type="noConversion"/>
  </si>
  <si>
    <t>k_(Liver→B)^P</t>
    <phoneticPr fontId="3" type="noConversion"/>
  </si>
  <si>
    <t>k_(B→Liver)^P</t>
    <phoneticPr fontId="3" type="noConversion"/>
  </si>
  <si>
    <t>K_(Liver-Bile)^P</t>
    <phoneticPr fontId="3" type="noConversion"/>
  </si>
  <si>
    <t>Log Kow</t>
    <phoneticPr fontId="3" type="noConversion"/>
  </si>
  <si>
    <t>K_(Liver-B)^P</t>
    <phoneticPr fontId="3" type="noConversion"/>
  </si>
  <si>
    <t>K_(Lung-A)^P</t>
    <phoneticPr fontId="3" type="noConversion"/>
  </si>
  <si>
    <t>K_(Lung-B)^P</t>
    <phoneticPr fontId="3" type="noConversion"/>
  </si>
  <si>
    <t>K_(Kidney-U)^P</t>
    <phoneticPr fontId="3" type="noConversion"/>
  </si>
  <si>
    <t>K_(Kidney-B)^P</t>
    <phoneticPr fontId="3" type="noConversion"/>
  </si>
  <si>
    <t>K_(Fat-B)^P</t>
    <phoneticPr fontId="3" type="noConversion"/>
  </si>
  <si>
    <t>K_(Muscle-B)^P</t>
    <phoneticPr fontId="3" type="noConversion"/>
  </si>
  <si>
    <t>k_(Lung→A)^P</t>
    <phoneticPr fontId="3" type="noConversion"/>
  </si>
  <si>
    <t>k_(Lung→B)^P</t>
    <phoneticPr fontId="3" type="noConversion"/>
  </si>
  <si>
    <t>k_(B→Lung)^P</t>
    <phoneticPr fontId="3" type="noConversion"/>
  </si>
  <si>
    <t>k_(Kidney→U)^P</t>
    <phoneticPr fontId="3" type="noConversion"/>
  </si>
  <si>
    <t>k_(Kidney→B)^P</t>
    <phoneticPr fontId="3" type="noConversion"/>
  </si>
  <si>
    <t>k_(B→Kidney)^P</t>
    <phoneticPr fontId="3" type="noConversion"/>
  </si>
  <si>
    <t>k_(Fat→B)^P</t>
    <phoneticPr fontId="3" type="noConversion"/>
  </si>
  <si>
    <t>k_(B→Fat)^P</t>
    <phoneticPr fontId="3" type="noConversion"/>
  </si>
  <si>
    <t>k_(Muscle→B)^P</t>
    <phoneticPr fontId="3" type="noConversion"/>
  </si>
  <si>
    <t>k_(B→Muscle)^P</t>
    <phoneticPr fontId="3" type="noConversion"/>
  </si>
  <si>
    <r>
      <t>∑</t>
    </r>
    <r>
      <rPr>
        <sz val="8"/>
        <color theme="1"/>
        <rFont val="Times New Roman"/>
        <family val="1"/>
      </rPr>
      <t>k_(B</t>
    </r>
    <r>
      <rPr>
        <sz val="8"/>
        <color theme="1"/>
        <rFont val="DengXian"/>
        <family val="3"/>
        <charset val="134"/>
      </rPr>
      <t>→</t>
    </r>
    <r>
      <rPr>
        <sz val="8"/>
        <color theme="1"/>
        <rFont val="Times New Roman"/>
        <family val="1"/>
      </rPr>
      <t xml:space="preserve">Tissue,j)^P </t>
    </r>
  </si>
  <si>
    <t>Oral</t>
    <phoneticPr fontId="3" type="noConversion"/>
  </si>
  <si>
    <t>Inhalation</t>
    <phoneticPr fontId="3" type="noConversion"/>
  </si>
  <si>
    <t xml:space="preserve">Dermal </t>
    <phoneticPr fontId="3" type="noConversion"/>
  </si>
  <si>
    <t>ADD (mg/kg/d)</t>
    <phoneticPr fontId="3" type="noConversion"/>
  </si>
  <si>
    <t>m_(P,Blood)^s</t>
    <phoneticPr fontId="3" type="noConversion"/>
  </si>
  <si>
    <t>m_(P,Liver)^s</t>
    <phoneticPr fontId="3" type="noConversion"/>
  </si>
  <si>
    <t>m_(P,Lung)^s</t>
    <phoneticPr fontId="3" type="noConversion"/>
  </si>
  <si>
    <t>m_(P,Kidney)^s</t>
    <phoneticPr fontId="3" type="noConversion"/>
  </si>
  <si>
    <t>m_(P,Fat)^s</t>
    <phoneticPr fontId="3" type="noConversion"/>
  </si>
  <si>
    <t>m_(P,Muscle)^s</t>
    <phoneticPr fontId="3" type="noConversion"/>
  </si>
  <si>
    <t>1-OHN</t>
    <phoneticPr fontId="3" type="noConversion"/>
  </si>
  <si>
    <t>Production from the liver</t>
    <phoneticPr fontId="3" type="noConversion"/>
  </si>
  <si>
    <t>k_(PR,Liver)^M</t>
    <phoneticPr fontId="3" type="noConversion"/>
  </si>
  <si>
    <t>Kidney-urine partition</t>
    <phoneticPr fontId="3" type="noConversion"/>
  </si>
  <si>
    <t>2-OHN</t>
    <phoneticPr fontId="3" type="noConversion"/>
  </si>
  <si>
    <t>Chemical</t>
    <phoneticPr fontId="3" type="noConversion"/>
  </si>
  <si>
    <r>
      <t>K</t>
    </r>
    <r>
      <rPr>
        <sz val="7.5"/>
        <color theme="1"/>
        <rFont val="Times New Roman"/>
        <family val="1"/>
      </rPr>
      <t>A</t>
    </r>
    <r>
      <rPr>
        <sz val="9"/>
        <color theme="1"/>
        <rFont val="Times New Roman"/>
        <family val="1"/>
      </rPr>
      <t>w (dimensionless)</t>
    </r>
    <phoneticPr fontId="3" type="noConversion"/>
  </si>
  <si>
    <t>Parent compound property</t>
    <phoneticPr fontId="3" type="noConversion"/>
  </si>
  <si>
    <t>Metabolite property</t>
    <phoneticPr fontId="3" type="noConversion"/>
  </si>
  <si>
    <t>m_(M,Blood)^s</t>
    <phoneticPr fontId="3" type="noConversion"/>
  </si>
  <si>
    <t>m_(M,Liver)^s</t>
    <phoneticPr fontId="3" type="noConversion"/>
  </si>
  <si>
    <t>m_(M,Lung)^s</t>
    <phoneticPr fontId="3" type="noConversion"/>
  </si>
  <si>
    <t>m_(M,Kidney)^s</t>
    <phoneticPr fontId="3" type="noConversion"/>
  </si>
  <si>
    <t>m_(M,Fat)^s</t>
    <phoneticPr fontId="3" type="noConversion"/>
  </si>
  <si>
    <t>m_(M,Muscle)^s</t>
    <phoneticPr fontId="3" type="noConversion"/>
  </si>
  <si>
    <t>K_(Liver-Bile)^M</t>
    <phoneticPr fontId="3" type="noConversion"/>
  </si>
  <si>
    <t>K_(Liver-B)^M</t>
    <phoneticPr fontId="3" type="noConversion"/>
  </si>
  <si>
    <t>K_(Lung-A)^M</t>
    <phoneticPr fontId="3" type="noConversion"/>
  </si>
  <si>
    <t>K_(Lung-B)^M</t>
  </si>
  <si>
    <t>K_(Kidney-U)^M</t>
    <phoneticPr fontId="3" type="noConversion"/>
  </si>
  <si>
    <t>K_(Kidney-B)^M</t>
    <phoneticPr fontId="3" type="noConversion"/>
  </si>
  <si>
    <t>K_(Fat-B)^M</t>
    <phoneticPr fontId="3" type="noConversion"/>
  </si>
  <si>
    <t>K_(Muscle-B)^M</t>
    <phoneticPr fontId="3" type="noConversion"/>
  </si>
  <si>
    <t>k_(BioT,Liver)^M</t>
    <phoneticPr fontId="3" type="noConversion"/>
  </si>
  <si>
    <r>
      <t>k_(Liver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Bile)^M</t>
    </r>
    <phoneticPr fontId="3" type="noConversion"/>
  </si>
  <si>
    <r>
      <t>k_(Liver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B)^M</t>
    </r>
    <phoneticPr fontId="3" type="noConversion"/>
  </si>
  <si>
    <r>
      <t>k_(B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Liver)^M</t>
    </r>
    <phoneticPr fontId="3" type="noConversion"/>
  </si>
  <si>
    <r>
      <t>k_(Lung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A)^M</t>
    </r>
    <phoneticPr fontId="3" type="noConversion"/>
  </si>
  <si>
    <r>
      <t>k_(Lung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B)^M</t>
    </r>
    <phoneticPr fontId="3" type="noConversion"/>
  </si>
  <si>
    <r>
      <t>k_(B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Lung)^M</t>
    </r>
    <phoneticPr fontId="3" type="noConversion"/>
  </si>
  <si>
    <r>
      <t>k_(Kidney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U)^M</t>
    </r>
    <phoneticPr fontId="3" type="noConversion"/>
  </si>
  <si>
    <r>
      <t>k_(Kidney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B)^M</t>
    </r>
    <phoneticPr fontId="3" type="noConversion"/>
  </si>
  <si>
    <r>
      <t>k_(B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Kidney)^M</t>
    </r>
    <phoneticPr fontId="3" type="noConversion"/>
  </si>
  <si>
    <r>
      <t>k_(Fat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B)^M</t>
    </r>
    <phoneticPr fontId="3" type="noConversion"/>
  </si>
  <si>
    <r>
      <t>k_(B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Fat)^M</t>
    </r>
    <phoneticPr fontId="3" type="noConversion"/>
  </si>
  <si>
    <r>
      <t>k_(Muscle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B)^M</t>
    </r>
    <phoneticPr fontId="3" type="noConversion"/>
  </si>
  <si>
    <r>
      <t>k_(B</t>
    </r>
    <r>
      <rPr>
        <sz val="8"/>
        <color theme="1"/>
        <rFont val="宋体"/>
        <family val="3"/>
        <charset val="134"/>
      </rPr>
      <t>→</t>
    </r>
    <r>
      <rPr>
        <sz val="8"/>
        <color theme="1"/>
        <rFont val="Times New Roman"/>
        <family val="1"/>
      </rPr>
      <t>Muscle)^M</t>
    </r>
    <phoneticPr fontId="3" type="noConversion"/>
  </si>
  <si>
    <r>
      <t>∑</t>
    </r>
    <r>
      <rPr>
        <sz val="8"/>
        <color theme="1"/>
        <rFont val="Times New Roman"/>
        <family val="1"/>
      </rPr>
      <t>k_(B</t>
    </r>
    <r>
      <rPr>
        <sz val="8"/>
        <color theme="1"/>
        <rFont val="DengXian"/>
        <family val="3"/>
        <charset val="134"/>
      </rPr>
      <t>→</t>
    </r>
    <r>
      <rPr>
        <sz val="8"/>
        <color theme="1"/>
        <rFont val="Times New Roman"/>
        <family val="1"/>
      </rPr>
      <t>Tissue,j)^M</t>
    </r>
    <phoneticPr fontId="3" type="noConversion"/>
  </si>
  <si>
    <t>K_(Lung-B)^M</t>
    <phoneticPr fontId="3" type="noConversion"/>
  </si>
  <si>
    <t>Naphthalene</t>
    <phoneticPr fontId="3" type="noConversion"/>
  </si>
  <si>
    <t>Partition coefficients (dimensionless)</t>
    <phoneticPr fontId="3" type="noConversion"/>
  </si>
  <si>
    <r>
      <t>kg d</t>
    </r>
    <r>
      <rPr>
        <vertAlign val="superscript"/>
        <sz val="9"/>
        <color rgb="FF000000"/>
        <rFont val="Times New Roman"/>
        <family val="1"/>
      </rPr>
      <t>-1</t>
    </r>
    <phoneticPr fontId="3" type="noConversion"/>
  </si>
  <si>
    <t>Liver compartment (1/d)</t>
    <phoneticPr fontId="3" type="noConversion"/>
  </si>
  <si>
    <t>Lung compartment (1/d)</t>
    <phoneticPr fontId="3" type="noConversion"/>
  </si>
  <si>
    <t>Kidney compartment (1/d)</t>
    <phoneticPr fontId="3" type="noConversion"/>
  </si>
  <si>
    <t>Fat compartment (1/d)</t>
    <phoneticPr fontId="3" type="noConversion"/>
  </si>
  <si>
    <t>Muscle compartment (1/d)</t>
    <phoneticPr fontId="3" type="noConversion"/>
  </si>
  <si>
    <t>Blood compartment (1/d)</t>
    <phoneticPr fontId="3" type="noConversion"/>
  </si>
  <si>
    <t>Uptake efficiency (dimensionless)</t>
    <phoneticPr fontId="3" type="noConversion"/>
  </si>
  <si>
    <t>Steady-state mass (route-specific m can be calculated by setting route-specific ADDs as zero) (mg)</t>
    <phoneticPr fontId="3" type="noConversion"/>
  </si>
  <si>
    <t>Liver compartment (1/d)</t>
    <phoneticPr fontId="3" type="noConversion"/>
  </si>
  <si>
    <t>Biotransformation factor (Urine) (d/kg)</t>
    <phoneticPr fontId="3" type="noConversion"/>
  </si>
  <si>
    <t>IR</t>
    <phoneticPr fontId="3" type="noConversion"/>
  </si>
  <si>
    <t>ADD</t>
    <phoneticPr fontId="3" type="noConversion"/>
  </si>
  <si>
    <r>
      <rPr>
        <sz val="8"/>
        <color theme="1"/>
        <rFont val="DengXian"/>
        <family val="1"/>
        <charset val="134"/>
      </rPr>
      <t>〖</t>
    </r>
    <r>
      <rPr>
        <sz val="8"/>
        <color theme="1"/>
        <rFont val="Times New Roman"/>
        <family val="1"/>
      </rPr>
      <t>BF</t>
    </r>
    <r>
      <rPr>
        <sz val="8"/>
        <color theme="1"/>
        <rFont val="DengXian"/>
        <family val="1"/>
        <charset val="134"/>
      </rPr>
      <t>〗</t>
    </r>
    <r>
      <rPr>
        <sz val="8"/>
        <color theme="1"/>
        <rFont val="Times New Roman"/>
        <family val="1"/>
      </rPr>
      <t>_(P→M,i,Urine,r)</t>
    </r>
    <phoneticPr fontId="3" type="noConversion"/>
  </si>
  <si>
    <t>IR, 1-OHN</t>
    <phoneticPr fontId="3" type="noConversion"/>
  </si>
  <si>
    <t>ADD, 1-OHN</t>
    <phoneticPr fontId="3" type="noConversion"/>
  </si>
  <si>
    <t>c_urine, 1-OHN</t>
    <phoneticPr fontId="3" type="noConversion"/>
  </si>
  <si>
    <t>Urine measurement value (mg/L)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</si>
</sst>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.0000_);[Red]\(0.0000\)"/>
    <numFmt numFmtId="179" formatCode="0.0000000_);[Red]\(0.0000000\)"/>
  </numFmts>
  <fonts count="13">
    <font>
      <sz val="11"/>
      <color theme="1"/>
      <name val="等线"/>
      <family val="2"/>
      <scheme val="minor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等线"/>
      <family val="3"/>
      <charset val="134"/>
      <scheme val="minor"/>
    </font>
    <font>
      <vertAlign val="superscript"/>
      <sz val="9"/>
      <color rgb="FF000000"/>
      <name val="Times New Roman"/>
      <family val="1"/>
    </font>
    <font>
      <sz val="8"/>
      <color theme="1"/>
      <name val="DengXian"/>
      <family val="3"/>
      <charset val="134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7.5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宋体"/>
      <family val="3"/>
      <charset val="134"/>
    </font>
    <font>
      <sz val="8"/>
      <color theme="1"/>
      <name val="Times New Roman"/>
      <family val="1"/>
      <charset val="134"/>
    </font>
    <font>
      <sz val="8"/>
      <color theme="1"/>
      <name val="DengXian"/>
      <family val="1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1" fontId="1" fillId="5" borderId="1" xfId="0" applyNumberFormat="1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1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7" fontId="1" fillId="8" borderId="1" xfId="0" applyNumberFormat="1" applyFont="1" applyFill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1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77" fontId="1" fillId="5" borderId="2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center" vertical="center" wrapText="1"/>
    </xf>
    <xf numFmtId="177" fontId="1" fillId="5" borderId="4" xfId="0" applyNumberFormat="1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1A9C4"/>
      <color rgb="FFF2ACD6"/>
      <color rgb="FF9773AD"/>
      <color rgb="FFBF9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7"/>
  <sheetViews>
    <sheetView tabSelected="1" workbookViewId="0">
      <selection sqref="A1:C1"/>
    </sheetView>
  </sheetViews>
  <sheetFormatPr defaultColWidth="15.375" defaultRowHeight="11.25"/>
  <cols>
    <col min="1" max="1" width="15.375" style="1"/>
    <col min="2" max="3" width="8.625" style="1" customWidth="1"/>
    <col min="4" max="4" width="12.25" style="1" customWidth="1"/>
    <col min="5" max="7" width="8.875" style="1" customWidth="1"/>
    <col min="8" max="8" width="9.5" style="1" customWidth="1"/>
    <col min="9" max="9" width="8.25" style="1" customWidth="1"/>
    <col min="10" max="10" width="13.125" style="1" customWidth="1"/>
    <col min="11" max="11" width="13.5" style="1" customWidth="1"/>
    <col min="12" max="19" width="12.5" style="6" customWidth="1"/>
    <col min="20" max="33" width="12.5" style="7" customWidth="1"/>
    <col min="34" max="16384" width="15.375" style="1"/>
  </cols>
  <sheetData>
    <row r="1" spans="1:51" s="5" customFormat="1" ht="26.25" customHeight="1">
      <c r="A1" s="46" t="s">
        <v>31</v>
      </c>
      <c r="B1" s="47"/>
      <c r="C1" s="48"/>
      <c r="D1" s="49" t="s">
        <v>32</v>
      </c>
      <c r="E1" s="50"/>
      <c r="F1" s="50"/>
      <c r="G1" s="51"/>
      <c r="H1" s="39" t="s">
        <v>77</v>
      </c>
      <c r="I1" s="40"/>
      <c r="J1" s="40"/>
      <c r="K1" s="41"/>
      <c r="L1" s="52" t="s">
        <v>110</v>
      </c>
      <c r="M1" s="52"/>
      <c r="N1" s="52"/>
      <c r="O1" s="52"/>
      <c r="P1" s="52"/>
      <c r="Q1" s="52"/>
      <c r="R1" s="52"/>
      <c r="S1" s="52"/>
      <c r="T1" s="38" t="s">
        <v>112</v>
      </c>
      <c r="U1" s="38"/>
      <c r="V1" s="38"/>
      <c r="W1" s="38"/>
      <c r="X1" s="38" t="s">
        <v>113</v>
      </c>
      <c r="Y1" s="38"/>
      <c r="Z1" s="38"/>
      <c r="AA1" s="38" t="s">
        <v>114</v>
      </c>
      <c r="AB1" s="38"/>
      <c r="AC1" s="38"/>
      <c r="AD1" s="38" t="s">
        <v>115</v>
      </c>
      <c r="AE1" s="38"/>
      <c r="AF1" s="38" t="s">
        <v>116</v>
      </c>
      <c r="AG1" s="38"/>
      <c r="AH1" s="42" t="s">
        <v>117</v>
      </c>
      <c r="AI1" s="42"/>
      <c r="AJ1" s="42"/>
      <c r="AK1" s="42"/>
      <c r="AL1" s="42"/>
      <c r="AM1" s="42"/>
      <c r="AN1" s="33" t="s">
        <v>118</v>
      </c>
      <c r="AO1" s="33"/>
      <c r="AP1" s="33"/>
      <c r="AQ1" s="34" t="s">
        <v>63</v>
      </c>
      <c r="AR1" s="34"/>
      <c r="AS1" s="34"/>
      <c r="AT1" s="35" t="s">
        <v>119</v>
      </c>
      <c r="AU1" s="36"/>
      <c r="AV1" s="36"/>
      <c r="AW1" s="36"/>
      <c r="AX1" s="36"/>
      <c r="AY1" s="37"/>
    </row>
    <row r="2" spans="1:51" ht="13.5" customHeight="1">
      <c r="A2" s="2" t="s">
        <v>0</v>
      </c>
      <c r="B2" s="2" t="s">
        <v>1</v>
      </c>
      <c r="C2" s="2" t="s">
        <v>2</v>
      </c>
      <c r="D2" s="43" t="s">
        <v>26</v>
      </c>
      <c r="E2" s="44" t="s">
        <v>27</v>
      </c>
      <c r="F2" s="44"/>
      <c r="G2" s="45"/>
      <c r="H2" s="24" t="s">
        <v>75</v>
      </c>
      <c r="I2" s="24" t="s">
        <v>41</v>
      </c>
      <c r="J2" s="24" t="s">
        <v>35</v>
      </c>
      <c r="K2" s="24" t="s">
        <v>76</v>
      </c>
      <c r="L2" s="8" t="s">
        <v>40</v>
      </c>
      <c r="M2" s="8" t="s">
        <v>42</v>
      </c>
      <c r="N2" s="8" t="s">
        <v>43</v>
      </c>
      <c r="O2" s="8" t="s">
        <v>44</v>
      </c>
      <c r="P2" s="8" t="s">
        <v>45</v>
      </c>
      <c r="Q2" s="8" t="s">
        <v>46</v>
      </c>
      <c r="R2" s="8" t="s">
        <v>47</v>
      </c>
      <c r="S2" s="8" t="s">
        <v>48</v>
      </c>
      <c r="T2" s="13" t="s">
        <v>36</v>
      </c>
      <c r="U2" s="14" t="s">
        <v>37</v>
      </c>
      <c r="V2" s="14" t="s">
        <v>38</v>
      </c>
      <c r="W2" s="14" t="s">
        <v>39</v>
      </c>
      <c r="X2" s="14" t="s">
        <v>49</v>
      </c>
      <c r="Y2" s="14" t="s">
        <v>50</v>
      </c>
      <c r="Z2" s="14" t="s">
        <v>51</v>
      </c>
      <c r="AA2" s="14" t="s">
        <v>52</v>
      </c>
      <c r="AB2" s="14" t="s">
        <v>53</v>
      </c>
      <c r="AC2" s="14" t="s">
        <v>54</v>
      </c>
      <c r="AD2" s="14" t="s">
        <v>55</v>
      </c>
      <c r="AE2" s="14" t="s">
        <v>56</v>
      </c>
      <c r="AF2" s="14" t="s">
        <v>57</v>
      </c>
      <c r="AG2" s="14" t="s">
        <v>58</v>
      </c>
      <c r="AH2" s="15" t="s">
        <v>38</v>
      </c>
      <c r="AI2" s="15" t="s">
        <v>50</v>
      </c>
      <c r="AJ2" s="15" t="s">
        <v>53</v>
      </c>
      <c r="AK2" s="15" t="s">
        <v>55</v>
      </c>
      <c r="AL2" s="15" t="s">
        <v>57</v>
      </c>
      <c r="AM2" s="16" t="s">
        <v>59</v>
      </c>
      <c r="AN2" s="17" t="s">
        <v>60</v>
      </c>
      <c r="AO2" s="17" t="s">
        <v>61</v>
      </c>
      <c r="AP2" s="17" t="s">
        <v>62</v>
      </c>
      <c r="AQ2" s="18" t="s">
        <v>60</v>
      </c>
      <c r="AR2" s="18" t="s">
        <v>61</v>
      </c>
      <c r="AS2" s="18" t="s">
        <v>62</v>
      </c>
      <c r="AT2" s="19" t="s">
        <v>64</v>
      </c>
      <c r="AU2" s="19" t="s">
        <v>65</v>
      </c>
      <c r="AV2" s="19" t="s">
        <v>66</v>
      </c>
      <c r="AW2" s="19" t="s">
        <v>67</v>
      </c>
      <c r="AX2" s="19" t="s">
        <v>68</v>
      </c>
      <c r="AY2" s="19" t="s">
        <v>69</v>
      </c>
    </row>
    <row r="3" spans="1:51" ht="13.5" customHeight="1">
      <c r="A3" s="2" t="s">
        <v>3</v>
      </c>
      <c r="B3" s="2" t="s">
        <v>4</v>
      </c>
      <c r="C3" s="2">
        <v>10.4</v>
      </c>
      <c r="D3" s="43"/>
      <c r="E3" s="3" t="s">
        <v>34</v>
      </c>
      <c r="F3" s="4" t="s">
        <v>33</v>
      </c>
      <c r="G3" s="10" t="s">
        <v>28</v>
      </c>
      <c r="H3" s="11" t="s">
        <v>109</v>
      </c>
      <c r="I3" s="11">
        <v>3.3</v>
      </c>
      <c r="J3" s="12">
        <f>10^I3</f>
        <v>1995.2623149688804</v>
      </c>
      <c r="K3" s="12">
        <f>27.8/(8.314*298.15)</f>
        <v>1.121501766708188E-2</v>
      </c>
      <c r="L3" s="9">
        <f>($E$7+0.035*$F$7+($G$7/J3)*(0.83/1))/($E$5+0.035*$F$5+($G$5/J3)*(0.83/1))</f>
        <v>7.007148700199199</v>
      </c>
      <c r="M3" s="9">
        <f>($E$7+0.035*$F$7+($G$7/J3)*(0.83/1))/($E$6+0.035*$F$6+($G$6/J3)*(0.83/1))</f>
        <v>7.5016371089860456</v>
      </c>
      <c r="N3" s="9">
        <f>0.0012*($E$11+0.035*$F$11+($G$11/J3)*(0.83/1))/(0+0.035*0+(1/J3)*(0.83/1))/K3</f>
        <v>5.1542022999019208</v>
      </c>
      <c r="O3" s="9">
        <f>($E$11+0.035*$F$11+($G$11/J3)*(0.83/1))/($E$6+0.035*$F$6+($G$6/J3)*(0.83/1))</f>
        <v>3.9192900086208193</v>
      </c>
      <c r="P3" s="9">
        <f>($E$8+0.035*$F$8+($G$8/J3)*(0.83/1))/($E$4+0.035*$F$4+($G$4/J3)*(0.83/1))</f>
        <v>35.637962133667664</v>
      </c>
      <c r="Q3" s="9">
        <f>($E$8+0.035*$F$8+($G$8/J3)*(0.83/1))/($E$6+0.035*$F$6+($G$6/J3)*(0.83/1))</f>
        <v>2.7546326533439394</v>
      </c>
      <c r="R3" s="9">
        <f>($E$10+0.035*$F$10+($G$10/J3)*(0.83/1))/($E$6+0.035*$F$6+($G$6/J3)*(0.83/1))</f>
        <v>156.48916789502866</v>
      </c>
      <c r="S3" s="9">
        <f>($E$9+0.035*$F$9+($G$9/J3)*(0.83/1))/($E$6+0.035*$F$6+($G$6/J3)*(0.83/1))</f>
        <v>1.4334146437821318</v>
      </c>
      <c r="T3" s="26">
        <v>7.7759999999999998</v>
      </c>
      <c r="U3" s="25">
        <f>$C$5/(L3*$C$8)</f>
        <v>4.757046661844886E-2</v>
      </c>
      <c r="V3" s="14">
        <f>$C$13/(M3*$C$8)</f>
        <v>121.01062269332795</v>
      </c>
      <c r="W3" s="14">
        <f>$C$13/($C$7)</f>
        <v>333.46938775510199</v>
      </c>
      <c r="X3" s="14">
        <f>$C$3/(N3*$C$10)</f>
        <v>1.8343372852721291</v>
      </c>
      <c r="Y3" s="14">
        <f>$C$15/(O3*$C$10)</f>
        <v>50.101838836043626</v>
      </c>
      <c r="Z3" s="14">
        <f>$C$15/($C$7)</f>
        <v>44.08163265306122</v>
      </c>
      <c r="AA3" s="14">
        <f>$C$4/(P3*$C$9)</f>
        <v>0.14029982918906669</v>
      </c>
      <c r="AB3" s="14">
        <f>$C$14/(Q3*$C$9)</f>
        <v>1594.8890056175446</v>
      </c>
      <c r="AC3" s="14">
        <f>$C$14/($C$7)</f>
        <v>268.9795918367347</v>
      </c>
      <c r="AD3" s="14">
        <f>$C$16/(R3*$C$11)</f>
        <v>0.15932945179987382</v>
      </c>
      <c r="AE3" s="14">
        <f>$C$16/$C$7</f>
        <v>76.326530612244895</v>
      </c>
      <c r="AF3" s="14">
        <f>$C$17/(S3*$C$12)</f>
        <v>56.086774852164773</v>
      </c>
      <c r="AG3" s="14">
        <f>$C$17/($C$7)</f>
        <v>746.53061224489795</v>
      </c>
      <c r="AH3" s="14">
        <f>V3</f>
        <v>121.01062269332795</v>
      </c>
      <c r="AI3" s="14">
        <f>Y3</f>
        <v>50.101838836043626</v>
      </c>
      <c r="AJ3" s="14">
        <f>AB3</f>
        <v>1594.8890056175446</v>
      </c>
      <c r="AK3" s="14">
        <f>AD3</f>
        <v>0.15932945179987382</v>
      </c>
      <c r="AL3" s="14">
        <f>AF3</f>
        <v>56.086774852164773</v>
      </c>
      <c r="AM3" s="14">
        <f>W3+Z3+AC3+AE3+AG3</f>
        <v>1469.3877551020407</v>
      </c>
      <c r="AN3" s="20">
        <f>1/(0.05*((0.000037+(0.12/J3))*(0.006*J3+0.485))+1)</f>
        <v>0.99993950054385972</v>
      </c>
      <c r="AO3" s="17">
        <v>1</v>
      </c>
      <c r="AP3" s="17">
        <v>1</v>
      </c>
      <c r="AQ3" s="18">
        <v>1</v>
      </c>
      <c r="AR3" s="18">
        <v>1</v>
      </c>
      <c r="AS3" s="18">
        <v>1</v>
      </c>
      <c r="AT3" s="19">
        <f>$C$6*(AN3*AQ3*V3/(T3+U3+V3)+AO3*AR3*Y3/(X3+Y3)+AP3*AS3)/(AM3-V3*W3/(T3+U3+V3)-Y3*Z3/(X3+Y3)-AB3*AC3/(AA3+AB3)-AE3-AG3)</f>
        <v>9.3112860320436166</v>
      </c>
      <c r="AU3" s="19">
        <f>($C$6*AN3*AQ3+W3*AT3)/(T3+U3+V3)</f>
        <v>24.644269812863474</v>
      </c>
      <c r="AV3" s="19">
        <f>($C$6*AO3*AR3+Z3*AT3)/(X3+Y3)</f>
        <v>9.2509061365982372</v>
      </c>
      <c r="AW3" s="19">
        <f>AC3*AT3/(AA3+AB3)</f>
        <v>1.5702193732877601</v>
      </c>
      <c r="AX3" s="19">
        <f>AE3*AT3/AD3</f>
        <v>4460.5573566952316</v>
      </c>
      <c r="AY3" s="19">
        <f>AG3*AT3/AF3</f>
        <v>123.93581340005672</v>
      </c>
    </row>
    <row r="4" spans="1:51" ht="13.5" customHeight="1">
      <c r="A4" s="2" t="s">
        <v>5</v>
      </c>
      <c r="B4" s="2" t="s">
        <v>4</v>
      </c>
      <c r="C4" s="2">
        <v>1.5</v>
      </c>
      <c r="D4" s="3" t="s">
        <v>29</v>
      </c>
      <c r="E4" s="3">
        <v>0</v>
      </c>
      <c r="F4" s="3">
        <v>0</v>
      </c>
      <c r="G4" s="3">
        <v>0.95</v>
      </c>
    </row>
    <row r="5" spans="1:51" ht="13.5" customHeight="1">
      <c r="A5" s="2" t="s">
        <v>6</v>
      </c>
      <c r="B5" s="2" t="s">
        <v>111</v>
      </c>
      <c r="C5" s="2">
        <v>0.6</v>
      </c>
      <c r="D5" s="3" t="s">
        <v>30</v>
      </c>
      <c r="E5" s="3">
        <v>5.0000000000000001E-3</v>
      </c>
      <c r="F5" s="3">
        <v>2E-3</v>
      </c>
      <c r="G5" s="3">
        <v>0.97</v>
      </c>
    </row>
    <row r="6" spans="1:51" ht="13.5" customHeight="1">
      <c r="A6" s="2" t="s">
        <v>14</v>
      </c>
      <c r="B6" s="2" t="s">
        <v>7</v>
      </c>
      <c r="C6" s="2">
        <v>70</v>
      </c>
      <c r="D6" s="3" t="s">
        <v>8</v>
      </c>
      <c r="E6" s="3">
        <v>2E-3</v>
      </c>
      <c r="F6" s="3">
        <v>7.8E-2</v>
      </c>
      <c r="G6" s="3">
        <v>0.92</v>
      </c>
    </row>
    <row r="7" spans="1:51" ht="13.5" customHeight="1">
      <c r="A7" s="2" t="s">
        <v>16</v>
      </c>
      <c r="B7" s="2" t="s">
        <v>7</v>
      </c>
      <c r="C7" s="2">
        <v>4.9000000000000004</v>
      </c>
      <c r="D7" s="3" t="s">
        <v>9</v>
      </c>
      <c r="E7" s="3">
        <v>0.03</v>
      </c>
      <c r="F7" s="3">
        <v>0.23</v>
      </c>
      <c r="G7" s="3">
        <v>0.73</v>
      </c>
    </row>
    <row r="8" spans="1:51" ht="13.5" customHeight="1">
      <c r="A8" s="2" t="s">
        <v>15</v>
      </c>
      <c r="B8" s="2" t="s">
        <v>7</v>
      </c>
      <c r="C8" s="2">
        <v>1.8</v>
      </c>
      <c r="D8" s="3" t="s">
        <v>10</v>
      </c>
      <c r="E8" s="3">
        <v>7.0000000000000001E-3</v>
      </c>
      <c r="F8" s="3">
        <v>0.193</v>
      </c>
      <c r="G8" s="3">
        <v>0.79</v>
      </c>
    </row>
    <row r="9" spans="1:51" ht="13.5" customHeight="1">
      <c r="A9" s="2" t="s">
        <v>17</v>
      </c>
      <c r="B9" s="2" t="s">
        <v>7</v>
      </c>
      <c r="C9" s="2">
        <v>0.3</v>
      </c>
      <c r="D9" s="3" t="s">
        <v>13</v>
      </c>
      <c r="E9" s="3">
        <v>0</v>
      </c>
      <c r="F9" s="3">
        <v>0.2</v>
      </c>
      <c r="G9" s="3">
        <v>0.79</v>
      </c>
    </row>
    <row r="10" spans="1:51" ht="13.5" customHeight="1">
      <c r="A10" s="2" t="s">
        <v>18</v>
      </c>
      <c r="B10" s="2" t="s">
        <v>7</v>
      </c>
      <c r="C10" s="2">
        <v>1.1000000000000001</v>
      </c>
      <c r="D10" s="3" t="s">
        <v>12</v>
      </c>
      <c r="E10" s="3">
        <v>0.8</v>
      </c>
      <c r="F10" s="3">
        <v>0</v>
      </c>
      <c r="G10" s="3">
        <v>0.2</v>
      </c>
    </row>
    <row r="11" spans="1:51" ht="13.5" customHeight="1">
      <c r="A11" s="2" t="s">
        <v>19</v>
      </c>
      <c r="B11" s="2" t="s">
        <v>7</v>
      </c>
      <c r="C11" s="2">
        <v>15</v>
      </c>
      <c r="D11" s="3" t="s">
        <v>11</v>
      </c>
      <c r="E11" s="3">
        <v>1.4999999999999999E-2</v>
      </c>
      <c r="F11" s="3">
        <v>0.13400000000000001</v>
      </c>
      <c r="G11" s="3">
        <v>0.83699999999999997</v>
      </c>
    </row>
    <row r="12" spans="1:51" ht="13.5" customHeight="1">
      <c r="A12" s="2" t="s">
        <v>20</v>
      </c>
      <c r="B12" s="2" t="s">
        <v>7</v>
      </c>
      <c r="C12" s="2">
        <v>45.5</v>
      </c>
    </row>
    <row r="13" spans="1:51" ht="13.5" customHeight="1">
      <c r="A13" s="2" t="s">
        <v>21</v>
      </c>
      <c r="B13" s="2" t="s">
        <v>4</v>
      </c>
      <c r="C13" s="2">
        <v>1634</v>
      </c>
    </row>
    <row r="14" spans="1:51" ht="13.5" customHeight="1">
      <c r="A14" s="2" t="s">
        <v>22</v>
      </c>
      <c r="B14" s="2" t="s">
        <v>111</v>
      </c>
      <c r="C14" s="2">
        <v>1318</v>
      </c>
    </row>
    <row r="15" spans="1:51" ht="13.5" customHeight="1">
      <c r="A15" s="2" t="s">
        <v>23</v>
      </c>
      <c r="B15" s="2" t="s">
        <v>4</v>
      </c>
      <c r="C15" s="2">
        <v>216</v>
      </c>
    </row>
    <row r="16" spans="1:51" ht="13.5" customHeight="1">
      <c r="A16" s="2" t="s">
        <v>24</v>
      </c>
      <c r="B16" s="2" t="s">
        <v>4</v>
      </c>
      <c r="C16" s="2">
        <v>374</v>
      </c>
    </row>
    <row r="17" spans="1:3" ht="13.5" customHeight="1">
      <c r="A17" s="2" t="s">
        <v>25</v>
      </c>
      <c r="B17" s="2" t="s">
        <v>4</v>
      </c>
      <c r="C17" s="2">
        <v>3658</v>
      </c>
    </row>
  </sheetData>
  <mergeCells count="15">
    <mergeCell ref="D2:D3"/>
    <mergeCell ref="E2:G2"/>
    <mergeCell ref="A1:C1"/>
    <mergeCell ref="D1:G1"/>
    <mergeCell ref="L1:S1"/>
    <mergeCell ref="AN1:AP1"/>
    <mergeCell ref="AQ1:AS1"/>
    <mergeCell ref="AT1:AY1"/>
    <mergeCell ref="T1:W1"/>
    <mergeCell ref="H1:K1"/>
    <mergeCell ref="X1:Z1"/>
    <mergeCell ref="AA1:AC1"/>
    <mergeCell ref="AD1:AE1"/>
    <mergeCell ref="AF1:AG1"/>
    <mergeCell ref="AH1:AM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73CA-F235-4BE2-8AF7-0A6CA5291419}">
  <dimension ref="A1:AY17"/>
  <sheetViews>
    <sheetView workbookViewId="0">
      <selection sqref="A1:C1"/>
    </sheetView>
  </sheetViews>
  <sheetFormatPr defaultColWidth="15.375" defaultRowHeight="11.25"/>
  <cols>
    <col min="1" max="1" width="15.375" style="1"/>
    <col min="2" max="3" width="8.625" style="1" customWidth="1"/>
    <col min="4" max="4" width="12.25" style="1" customWidth="1"/>
    <col min="5" max="7" width="8.875" style="1" customWidth="1"/>
    <col min="8" max="8" width="8.75" style="1" customWidth="1"/>
    <col min="9" max="9" width="7.875" style="1" customWidth="1"/>
    <col min="10" max="10" width="13.25" style="1" customWidth="1"/>
    <col min="11" max="11" width="13.75" style="1" customWidth="1"/>
    <col min="12" max="21" width="12.5" style="6" customWidth="1"/>
    <col min="22" max="35" width="12.5" style="7" customWidth="1"/>
    <col min="36" max="16384" width="15.375" style="1"/>
  </cols>
  <sheetData>
    <row r="1" spans="1:51" s="5" customFormat="1" ht="26.25" customHeight="1">
      <c r="A1" s="46" t="s">
        <v>31</v>
      </c>
      <c r="B1" s="47"/>
      <c r="C1" s="48"/>
      <c r="D1" s="49" t="s">
        <v>32</v>
      </c>
      <c r="E1" s="50"/>
      <c r="F1" s="50"/>
      <c r="G1" s="51"/>
      <c r="H1" s="39" t="s">
        <v>78</v>
      </c>
      <c r="I1" s="40"/>
      <c r="J1" s="40"/>
      <c r="K1" s="41"/>
      <c r="L1" s="52" t="s">
        <v>110</v>
      </c>
      <c r="M1" s="52"/>
      <c r="N1" s="52"/>
      <c r="O1" s="52"/>
      <c r="P1" s="52"/>
      <c r="Q1" s="52"/>
      <c r="R1" s="52"/>
      <c r="S1" s="52"/>
      <c r="T1" s="21" t="s">
        <v>73</v>
      </c>
      <c r="U1" s="21" t="s">
        <v>71</v>
      </c>
      <c r="V1" s="38" t="s">
        <v>120</v>
      </c>
      <c r="W1" s="38"/>
      <c r="X1" s="38"/>
      <c r="Y1" s="38"/>
      <c r="Z1" s="38" t="s">
        <v>113</v>
      </c>
      <c r="AA1" s="38"/>
      <c r="AB1" s="38"/>
      <c r="AC1" s="38" t="s">
        <v>114</v>
      </c>
      <c r="AD1" s="38"/>
      <c r="AE1" s="38"/>
      <c r="AF1" s="38" t="s">
        <v>115</v>
      </c>
      <c r="AG1" s="38"/>
      <c r="AH1" s="38" t="s">
        <v>116</v>
      </c>
      <c r="AI1" s="38"/>
      <c r="AJ1" s="42" t="s">
        <v>117</v>
      </c>
      <c r="AK1" s="42"/>
      <c r="AL1" s="42"/>
      <c r="AM1" s="42"/>
      <c r="AN1" s="42"/>
      <c r="AO1" s="42"/>
      <c r="AP1" s="35" t="s">
        <v>119</v>
      </c>
      <c r="AQ1" s="36"/>
      <c r="AR1" s="36"/>
      <c r="AS1" s="36"/>
      <c r="AT1" s="36"/>
      <c r="AU1" s="37"/>
      <c r="AV1" s="27" t="s">
        <v>121</v>
      </c>
      <c r="AW1" s="27" t="s">
        <v>128</v>
      </c>
      <c r="AX1" s="27" t="s">
        <v>122</v>
      </c>
      <c r="AY1" s="28" t="s">
        <v>123</v>
      </c>
    </row>
    <row r="2" spans="1:51" ht="13.5" customHeight="1">
      <c r="A2" s="2" t="s">
        <v>0</v>
      </c>
      <c r="B2" s="2" t="s">
        <v>1</v>
      </c>
      <c r="C2" s="2" t="s">
        <v>2</v>
      </c>
      <c r="D2" s="43" t="s">
        <v>26</v>
      </c>
      <c r="E2" s="44" t="s">
        <v>27</v>
      </c>
      <c r="F2" s="44"/>
      <c r="G2" s="45"/>
      <c r="H2" s="24" t="s">
        <v>75</v>
      </c>
      <c r="I2" s="24" t="s">
        <v>41</v>
      </c>
      <c r="J2" s="24" t="s">
        <v>35</v>
      </c>
      <c r="K2" s="24" t="s">
        <v>76</v>
      </c>
      <c r="L2" s="8" t="s">
        <v>85</v>
      </c>
      <c r="M2" s="8" t="s">
        <v>86</v>
      </c>
      <c r="N2" s="8" t="s">
        <v>87</v>
      </c>
      <c r="O2" s="8" t="s">
        <v>88</v>
      </c>
      <c r="P2" s="8" t="s">
        <v>89</v>
      </c>
      <c r="Q2" s="8" t="s">
        <v>90</v>
      </c>
      <c r="R2" s="8" t="s">
        <v>91</v>
      </c>
      <c r="S2" s="8" t="s">
        <v>92</v>
      </c>
      <c r="T2" s="22" t="s">
        <v>89</v>
      </c>
      <c r="U2" s="22" t="s">
        <v>72</v>
      </c>
      <c r="V2" s="13" t="s">
        <v>93</v>
      </c>
      <c r="W2" s="14" t="s">
        <v>94</v>
      </c>
      <c r="X2" s="14" t="s">
        <v>95</v>
      </c>
      <c r="Y2" s="14" t="s">
        <v>96</v>
      </c>
      <c r="Z2" s="14" t="s">
        <v>97</v>
      </c>
      <c r="AA2" s="14" t="s">
        <v>98</v>
      </c>
      <c r="AB2" s="14" t="s">
        <v>99</v>
      </c>
      <c r="AC2" s="14" t="s">
        <v>100</v>
      </c>
      <c r="AD2" s="14" t="s">
        <v>101</v>
      </c>
      <c r="AE2" s="14" t="s">
        <v>102</v>
      </c>
      <c r="AF2" s="14" t="s">
        <v>103</v>
      </c>
      <c r="AG2" s="14" t="s">
        <v>104</v>
      </c>
      <c r="AH2" s="14" t="s">
        <v>105</v>
      </c>
      <c r="AI2" s="14" t="s">
        <v>106</v>
      </c>
      <c r="AJ2" s="15" t="s">
        <v>95</v>
      </c>
      <c r="AK2" s="15" t="s">
        <v>98</v>
      </c>
      <c r="AL2" s="15" t="s">
        <v>101</v>
      </c>
      <c r="AM2" s="15" t="s">
        <v>103</v>
      </c>
      <c r="AN2" s="15" t="s">
        <v>105</v>
      </c>
      <c r="AO2" s="16" t="s">
        <v>107</v>
      </c>
      <c r="AP2" s="19" t="s">
        <v>79</v>
      </c>
      <c r="AQ2" s="19" t="s">
        <v>80</v>
      </c>
      <c r="AR2" s="19" t="s">
        <v>81</v>
      </c>
      <c r="AS2" s="19" t="s">
        <v>82</v>
      </c>
      <c r="AT2" s="19" t="s">
        <v>83</v>
      </c>
      <c r="AU2" s="19" t="s">
        <v>84</v>
      </c>
      <c r="AV2" s="29" t="s">
        <v>124</v>
      </c>
      <c r="AW2" s="29" t="s">
        <v>127</v>
      </c>
      <c r="AX2" s="29" t="s">
        <v>125</v>
      </c>
      <c r="AY2" s="30" t="s">
        <v>126</v>
      </c>
    </row>
    <row r="3" spans="1:51" ht="13.5" customHeight="1">
      <c r="A3" s="2" t="s">
        <v>3</v>
      </c>
      <c r="B3" s="2" t="s">
        <v>4</v>
      </c>
      <c r="C3" s="2">
        <v>10.4</v>
      </c>
      <c r="D3" s="43"/>
      <c r="E3" s="3" t="s">
        <v>34</v>
      </c>
      <c r="F3" s="4" t="s">
        <v>33</v>
      </c>
      <c r="G3" s="10" t="s">
        <v>28</v>
      </c>
      <c r="H3" s="11" t="s">
        <v>70</v>
      </c>
      <c r="I3" s="11">
        <v>2.85</v>
      </c>
      <c r="J3" s="12">
        <f>10^I3</f>
        <v>707.94578438413873</v>
      </c>
      <c r="K3" s="12">
        <v>1.4700000000000001E-9</v>
      </c>
      <c r="L3" s="9">
        <f>($E$7+0.035*$F$7+($G$7/J3)*(0.83/1))/($E$5+0.035*$F$5+($G$5/J3)*(0.83/1))</f>
        <v>6.2678250314625092</v>
      </c>
      <c r="M3" s="9">
        <f>($E$7+0.035*$F$7+($G$7/J3)*(0.83/1))/($E$6+0.035*$F$6+($G$6/J3)*(0.83/1))</f>
        <v>6.697959050957107</v>
      </c>
      <c r="N3" s="9">
        <f>0.0012*($E$11+0.035*$F$11+($G$11/J3)*(0.83/1))/(0+0.035*0+(1/J3)*(0.83/1))/K3</f>
        <v>14393078.430807659</v>
      </c>
      <c r="O3" s="9">
        <f>($E$11+0.035*$F$11+($G$11/J3)*(0.83/1))/($E$6+0.035*$F$6+($G$6/J3)*(0.83/1))</f>
        <v>3.5587327950010645</v>
      </c>
      <c r="P3" s="9">
        <f>($E$8+0.035*$F$8+($G$8/J3)*(0.83/1))/($E$4+0.035*$F$4+($G$4/J3)*(0.83/1))</f>
        <v>13.181349732661799</v>
      </c>
      <c r="Q3" s="9">
        <f>($E$8+0.035*$F$8+($G$8/J3)*(0.83/1))/($E$6+0.035*$F$6+($G$6/J3)*(0.83/1))</f>
        <v>2.5274879178442178</v>
      </c>
      <c r="R3" s="9">
        <f>($E$10+0.035*$F$10+($G$10/J3)*(0.83/1))/($E$6+0.035*$F$6+($G$6/J3)*(0.83/1))</f>
        <v>137.76686259804029</v>
      </c>
      <c r="S3" s="9">
        <f>($E$9+0.035*$F$9+($G$9/J3)*(0.83/1))/($E$6+0.035*$F$6+($G$6/J3)*(0.83/1))</f>
        <v>1.3645598277967095</v>
      </c>
      <c r="T3" s="23">
        <f>($E$8+0.035*$F$8+($G$8/J3)*(0.83/1))/($E$4+0.035*$F$4+($G$4/J3)*(0.83/1))</f>
        <v>13.181349732661799</v>
      </c>
      <c r="U3" s="23">
        <v>0.5</v>
      </c>
      <c r="V3" s="26">
        <v>0</v>
      </c>
      <c r="W3" s="14">
        <f>$C$5/(L3*$C$8)</f>
        <v>5.3181658974222293E-2</v>
      </c>
      <c r="X3" s="14">
        <f>$C$13/(M3*$C$8)</f>
        <v>135.53050576623943</v>
      </c>
      <c r="Y3" s="14">
        <f>$C$13/($C$7)</f>
        <v>333.46938775510199</v>
      </c>
      <c r="Z3" s="14">
        <f>$C$3/(N3*$C$10)</f>
        <v>6.568813961513943E-7</v>
      </c>
      <c r="AA3" s="14">
        <f>$C$15/(O3*$C$10)</f>
        <v>55.177965774634004</v>
      </c>
      <c r="AB3" s="14">
        <f>$C$15/($C$7)</f>
        <v>44.08163265306122</v>
      </c>
      <c r="AC3" s="14">
        <f>$C$4/(P3*$C$9)</f>
        <v>0.37932382505644335</v>
      </c>
      <c r="AD3" s="14">
        <f>$C$14/(Q3*$C$9)</f>
        <v>1738.2212996217049</v>
      </c>
      <c r="AE3" s="14">
        <f>$C$14/($C$7)</f>
        <v>268.9795918367347</v>
      </c>
      <c r="AF3" s="14">
        <f>$C$16/(R3*$C$11)</f>
        <v>0.18098207989304976</v>
      </c>
      <c r="AG3" s="14">
        <f>$C$16/$C$7</f>
        <v>76.326530612244895</v>
      </c>
      <c r="AH3" s="14">
        <f>$C$17/(S3*$C$12)</f>
        <v>58.916877631826075</v>
      </c>
      <c r="AI3" s="14">
        <f>$C$17/($C$7)</f>
        <v>746.53061224489795</v>
      </c>
      <c r="AJ3" s="14">
        <f>X3</f>
        <v>135.53050576623943</v>
      </c>
      <c r="AK3" s="14">
        <f>AA3</f>
        <v>55.177965774634004</v>
      </c>
      <c r="AL3" s="14">
        <f>AD3</f>
        <v>1738.2212996217049</v>
      </c>
      <c r="AM3" s="14">
        <f>AF3</f>
        <v>0.18098207989304976</v>
      </c>
      <c r="AN3" s="14">
        <f>AH3</f>
        <v>58.916877631826075</v>
      </c>
      <c r="AO3" s="14">
        <f>Y3+AB3+AE3+AG3+AI3</f>
        <v>1469.3877551020407</v>
      </c>
      <c r="AP3" s="19">
        <f>'Parent compound'!AU3*(X3*U3/(V3+W3+X3))/(AO3-X3*Y3/(V3+W3+X3)-AA3*AB3/(Z3+AA3)-AD3*AE3/(AC3+AD3)-AG3-AI3)</f>
        <v>65.003526606831798</v>
      </c>
      <c r="AQ3" s="19">
        <f>(U3*'Parent compound'!AU3+Y3*AP3)/(V3+W3+X3)</f>
        <v>159.96768317997336</v>
      </c>
      <c r="AR3" s="19">
        <f>(AB3*AP3)/(Z3+AA3)</f>
        <v>51.931264712198889</v>
      </c>
      <c r="AS3" s="19">
        <f>AE3*AP3/(AC3+AD3)</f>
        <v>10.056721376293321</v>
      </c>
      <c r="AT3" s="19">
        <f>AG3*AP3/AF3</f>
        <v>27414.281382953421</v>
      </c>
      <c r="AU3" s="19">
        <f>AI3*AP3/AH3</f>
        <v>823.65400996168853</v>
      </c>
      <c r="AV3" s="31">
        <f>AS3/($C$9*T3*$C$6)</f>
        <v>3.6330990666499821E-2</v>
      </c>
      <c r="AW3" s="31"/>
      <c r="AX3" s="32">
        <f>AW3/1000*1/2/AV3</f>
        <v>0</v>
      </c>
      <c r="AY3" s="30">
        <f>AW3/1000*1/AV3/60</f>
        <v>0</v>
      </c>
    </row>
    <row r="4" spans="1:51" ht="13.5" customHeight="1">
      <c r="A4" s="2" t="s">
        <v>5</v>
      </c>
      <c r="B4" s="2" t="s">
        <v>4</v>
      </c>
      <c r="C4" s="2">
        <v>1.5</v>
      </c>
      <c r="D4" s="3" t="s">
        <v>29</v>
      </c>
      <c r="E4" s="3">
        <v>0</v>
      </c>
      <c r="F4" s="3">
        <v>0</v>
      </c>
      <c r="G4" s="3">
        <v>0.95</v>
      </c>
    </row>
    <row r="5" spans="1:51" ht="13.5" customHeight="1">
      <c r="A5" s="2" t="s">
        <v>6</v>
      </c>
      <c r="B5" s="2" t="s">
        <v>4</v>
      </c>
      <c r="C5" s="2">
        <v>0.6</v>
      </c>
      <c r="D5" s="3" t="s">
        <v>30</v>
      </c>
      <c r="E5" s="3">
        <v>5.0000000000000001E-3</v>
      </c>
      <c r="F5" s="3">
        <v>2E-3</v>
      </c>
      <c r="G5" s="3">
        <v>0.97</v>
      </c>
    </row>
    <row r="6" spans="1:51" ht="13.5" customHeight="1">
      <c r="A6" s="2" t="s">
        <v>14</v>
      </c>
      <c r="B6" s="2" t="s">
        <v>7</v>
      </c>
      <c r="C6" s="2">
        <v>70</v>
      </c>
      <c r="D6" s="3" t="s">
        <v>8</v>
      </c>
      <c r="E6" s="3">
        <v>2E-3</v>
      </c>
      <c r="F6" s="3">
        <v>7.8E-2</v>
      </c>
      <c r="G6" s="3">
        <v>0.92</v>
      </c>
    </row>
    <row r="7" spans="1:51" ht="13.5" customHeight="1">
      <c r="A7" s="2" t="s">
        <v>16</v>
      </c>
      <c r="B7" s="2" t="s">
        <v>7</v>
      </c>
      <c r="C7" s="2">
        <v>4.9000000000000004</v>
      </c>
      <c r="D7" s="3" t="s">
        <v>9</v>
      </c>
      <c r="E7" s="3">
        <v>0.03</v>
      </c>
      <c r="F7" s="3">
        <v>0.23</v>
      </c>
      <c r="G7" s="3">
        <v>0.73</v>
      </c>
    </row>
    <row r="8" spans="1:51" ht="13.5" customHeight="1">
      <c r="A8" s="2" t="s">
        <v>15</v>
      </c>
      <c r="B8" s="2" t="s">
        <v>7</v>
      </c>
      <c r="C8" s="2">
        <v>1.8</v>
      </c>
      <c r="D8" s="3" t="s">
        <v>10</v>
      </c>
      <c r="E8" s="3">
        <v>7.0000000000000001E-3</v>
      </c>
      <c r="F8" s="3">
        <v>0.193</v>
      </c>
      <c r="G8" s="3">
        <v>0.79</v>
      </c>
    </row>
    <row r="9" spans="1:51" ht="13.5" customHeight="1">
      <c r="A9" s="2" t="s">
        <v>17</v>
      </c>
      <c r="B9" s="2" t="s">
        <v>7</v>
      </c>
      <c r="C9" s="2">
        <v>0.3</v>
      </c>
      <c r="D9" s="3" t="s">
        <v>13</v>
      </c>
      <c r="E9" s="3">
        <v>0</v>
      </c>
      <c r="F9" s="3">
        <v>0.2</v>
      </c>
      <c r="G9" s="3">
        <v>0.79</v>
      </c>
    </row>
    <row r="10" spans="1:51" ht="13.5" customHeight="1">
      <c r="A10" s="2" t="s">
        <v>18</v>
      </c>
      <c r="B10" s="2" t="s">
        <v>7</v>
      </c>
      <c r="C10" s="2">
        <v>1.1000000000000001</v>
      </c>
      <c r="D10" s="3" t="s">
        <v>12</v>
      </c>
      <c r="E10" s="3">
        <v>0.8</v>
      </c>
      <c r="F10" s="3">
        <v>0</v>
      </c>
      <c r="G10" s="3">
        <v>0.2</v>
      </c>
    </row>
    <row r="11" spans="1:51" ht="13.5" customHeight="1">
      <c r="A11" s="2" t="s">
        <v>19</v>
      </c>
      <c r="B11" s="2" t="s">
        <v>7</v>
      </c>
      <c r="C11" s="2">
        <v>15</v>
      </c>
      <c r="D11" s="3" t="s">
        <v>11</v>
      </c>
      <c r="E11" s="3">
        <v>1.4999999999999999E-2</v>
      </c>
      <c r="F11" s="3">
        <v>0.13400000000000001</v>
      </c>
      <c r="G11" s="3">
        <v>0.83699999999999997</v>
      </c>
    </row>
    <row r="12" spans="1:51" ht="13.5" customHeight="1">
      <c r="A12" s="2" t="s">
        <v>20</v>
      </c>
      <c r="B12" s="2" t="s">
        <v>7</v>
      </c>
      <c r="C12" s="2">
        <v>45.5</v>
      </c>
    </row>
    <row r="13" spans="1:51" ht="13.5" customHeight="1">
      <c r="A13" s="2" t="s">
        <v>21</v>
      </c>
      <c r="B13" s="2" t="s">
        <v>4</v>
      </c>
      <c r="C13" s="2">
        <v>1634</v>
      </c>
    </row>
    <row r="14" spans="1:51" ht="13.5" customHeight="1">
      <c r="A14" s="2" t="s">
        <v>22</v>
      </c>
      <c r="B14" s="2" t="s">
        <v>4</v>
      </c>
      <c r="C14" s="2">
        <v>1318</v>
      </c>
    </row>
    <row r="15" spans="1:51" ht="13.5" customHeight="1">
      <c r="A15" s="2" t="s">
        <v>23</v>
      </c>
      <c r="B15" s="2" t="s">
        <v>4</v>
      </c>
      <c r="C15" s="2">
        <v>216</v>
      </c>
    </row>
    <row r="16" spans="1:51" ht="13.5" customHeight="1">
      <c r="A16" s="2" t="s">
        <v>24</v>
      </c>
      <c r="B16" s="2" t="s">
        <v>4</v>
      </c>
      <c r="C16" s="2">
        <v>374</v>
      </c>
    </row>
    <row r="17" spans="1:3" ht="13.5" customHeight="1">
      <c r="A17" s="2" t="s">
        <v>25</v>
      </c>
      <c r="B17" s="2" t="s">
        <v>4</v>
      </c>
      <c r="C17" s="2">
        <v>3658</v>
      </c>
    </row>
  </sheetData>
  <mergeCells count="13">
    <mergeCell ref="AP1:AU1"/>
    <mergeCell ref="A1:C1"/>
    <mergeCell ref="D1:G1"/>
    <mergeCell ref="L1:S1"/>
    <mergeCell ref="V1:Y1"/>
    <mergeCell ref="Z1:AB1"/>
    <mergeCell ref="AC1:AE1"/>
    <mergeCell ref="D2:D3"/>
    <mergeCell ref="E2:G2"/>
    <mergeCell ref="AF1:AG1"/>
    <mergeCell ref="AH1:AI1"/>
    <mergeCell ref="AJ1:AO1"/>
    <mergeCell ref="H1:K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0061-C87B-4C69-BF7E-57F6057C0371}">
  <dimension ref="A1:AY17"/>
  <sheetViews>
    <sheetView workbookViewId="0">
      <selection sqref="A1:C1"/>
    </sheetView>
  </sheetViews>
  <sheetFormatPr defaultColWidth="15.375" defaultRowHeight="11.25"/>
  <cols>
    <col min="1" max="1" width="15.375" style="1"/>
    <col min="2" max="3" width="8.625" style="1" customWidth="1"/>
    <col min="4" max="4" width="12.25" style="1" customWidth="1"/>
    <col min="5" max="7" width="8.875" style="1" customWidth="1"/>
    <col min="8" max="8" width="8.75" style="1" customWidth="1"/>
    <col min="9" max="9" width="7.875" style="1" customWidth="1"/>
    <col min="10" max="10" width="13.25" style="1" customWidth="1"/>
    <col min="11" max="11" width="13.75" style="1" customWidth="1"/>
    <col min="12" max="21" width="12.5" style="6" customWidth="1"/>
    <col min="22" max="35" width="12.5" style="7" customWidth="1"/>
    <col min="36" max="16384" width="15.375" style="1"/>
  </cols>
  <sheetData>
    <row r="1" spans="1:51" s="5" customFormat="1" ht="26.25" customHeight="1">
      <c r="A1" s="53" t="s">
        <v>31</v>
      </c>
      <c r="B1" s="53"/>
      <c r="C1" s="53"/>
      <c r="D1" s="54" t="s">
        <v>32</v>
      </c>
      <c r="E1" s="54"/>
      <c r="F1" s="54"/>
      <c r="G1" s="54"/>
      <c r="H1" s="39" t="s">
        <v>78</v>
      </c>
      <c r="I1" s="40"/>
      <c r="J1" s="40"/>
      <c r="K1" s="41"/>
      <c r="L1" s="52" t="s">
        <v>110</v>
      </c>
      <c r="M1" s="52"/>
      <c r="N1" s="52"/>
      <c r="O1" s="52"/>
      <c r="P1" s="52"/>
      <c r="Q1" s="52"/>
      <c r="R1" s="52"/>
      <c r="S1" s="52"/>
      <c r="T1" s="21" t="s">
        <v>73</v>
      </c>
      <c r="U1" s="21" t="s">
        <v>71</v>
      </c>
      <c r="V1" s="38" t="s">
        <v>120</v>
      </c>
      <c r="W1" s="38"/>
      <c r="X1" s="38"/>
      <c r="Y1" s="38"/>
      <c r="Z1" s="38" t="s">
        <v>113</v>
      </c>
      <c r="AA1" s="38"/>
      <c r="AB1" s="38"/>
      <c r="AC1" s="38" t="s">
        <v>114</v>
      </c>
      <c r="AD1" s="38"/>
      <c r="AE1" s="38"/>
      <c r="AF1" s="38" t="s">
        <v>115</v>
      </c>
      <c r="AG1" s="38"/>
      <c r="AH1" s="38" t="s">
        <v>116</v>
      </c>
      <c r="AI1" s="38"/>
      <c r="AJ1" s="42" t="s">
        <v>117</v>
      </c>
      <c r="AK1" s="42"/>
      <c r="AL1" s="42"/>
      <c r="AM1" s="42"/>
      <c r="AN1" s="42"/>
      <c r="AO1" s="42"/>
      <c r="AP1" s="35" t="s">
        <v>119</v>
      </c>
      <c r="AQ1" s="36"/>
      <c r="AR1" s="36"/>
      <c r="AS1" s="36"/>
      <c r="AT1" s="36"/>
      <c r="AU1" s="37"/>
      <c r="AV1" s="27" t="s">
        <v>121</v>
      </c>
      <c r="AW1" s="27" t="s">
        <v>128</v>
      </c>
      <c r="AX1" s="27" t="s">
        <v>122</v>
      </c>
      <c r="AY1" s="28" t="s">
        <v>123</v>
      </c>
    </row>
    <row r="2" spans="1:51" ht="13.5" customHeight="1">
      <c r="A2" s="2" t="s">
        <v>0</v>
      </c>
      <c r="B2" s="2" t="s">
        <v>1</v>
      </c>
      <c r="C2" s="2" t="s">
        <v>2</v>
      </c>
      <c r="D2" s="43" t="s">
        <v>26</v>
      </c>
      <c r="E2" s="44" t="s">
        <v>27</v>
      </c>
      <c r="F2" s="44"/>
      <c r="G2" s="45"/>
      <c r="H2" s="24" t="s">
        <v>75</v>
      </c>
      <c r="I2" s="24" t="s">
        <v>41</v>
      </c>
      <c r="J2" s="24" t="s">
        <v>35</v>
      </c>
      <c r="K2" s="24" t="s">
        <v>76</v>
      </c>
      <c r="L2" s="8" t="s">
        <v>85</v>
      </c>
      <c r="M2" s="8" t="s">
        <v>86</v>
      </c>
      <c r="N2" s="8" t="s">
        <v>87</v>
      </c>
      <c r="O2" s="8" t="s">
        <v>108</v>
      </c>
      <c r="P2" s="8" t="s">
        <v>89</v>
      </c>
      <c r="Q2" s="8" t="s">
        <v>90</v>
      </c>
      <c r="R2" s="8" t="s">
        <v>91</v>
      </c>
      <c r="S2" s="8" t="s">
        <v>92</v>
      </c>
      <c r="T2" s="22" t="s">
        <v>89</v>
      </c>
      <c r="U2" s="22" t="s">
        <v>72</v>
      </c>
      <c r="V2" s="13" t="s">
        <v>93</v>
      </c>
      <c r="W2" s="14" t="s">
        <v>94</v>
      </c>
      <c r="X2" s="14" t="s">
        <v>95</v>
      </c>
      <c r="Y2" s="14" t="s">
        <v>96</v>
      </c>
      <c r="Z2" s="14" t="s">
        <v>97</v>
      </c>
      <c r="AA2" s="14" t="s">
        <v>98</v>
      </c>
      <c r="AB2" s="14" t="s">
        <v>99</v>
      </c>
      <c r="AC2" s="14" t="s">
        <v>100</v>
      </c>
      <c r="AD2" s="14" t="s">
        <v>101</v>
      </c>
      <c r="AE2" s="14" t="s">
        <v>102</v>
      </c>
      <c r="AF2" s="14" t="s">
        <v>103</v>
      </c>
      <c r="AG2" s="14" t="s">
        <v>104</v>
      </c>
      <c r="AH2" s="14" t="s">
        <v>105</v>
      </c>
      <c r="AI2" s="14" t="s">
        <v>106</v>
      </c>
      <c r="AJ2" s="15" t="s">
        <v>95</v>
      </c>
      <c r="AK2" s="15" t="s">
        <v>98</v>
      </c>
      <c r="AL2" s="15" t="s">
        <v>101</v>
      </c>
      <c r="AM2" s="15" t="s">
        <v>103</v>
      </c>
      <c r="AN2" s="15" t="s">
        <v>105</v>
      </c>
      <c r="AO2" s="16" t="s">
        <v>107</v>
      </c>
      <c r="AP2" s="19" t="s">
        <v>79</v>
      </c>
      <c r="AQ2" s="19" t="s">
        <v>80</v>
      </c>
      <c r="AR2" s="19" t="s">
        <v>81</v>
      </c>
      <c r="AS2" s="19" t="s">
        <v>82</v>
      </c>
      <c r="AT2" s="19" t="s">
        <v>83</v>
      </c>
      <c r="AU2" s="19" t="s">
        <v>84</v>
      </c>
      <c r="AV2" s="29" t="s">
        <v>124</v>
      </c>
      <c r="AW2" s="29" t="s">
        <v>127</v>
      </c>
      <c r="AX2" s="29" t="s">
        <v>125</v>
      </c>
      <c r="AY2" s="30" t="s">
        <v>126</v>
      </c>
    </row>
    <row r="3" spans="1:51" ht="13.5" customHeight="1">
      <c r="A3" s="2" t="s">
        <v>3</v>
      </c>
      <c r="B3" s="2" t="s">
        <v>4</v>
      </c>
      <c r="C3" s="2">
        <v>10.4</v>
      </c>
      <c r="D3" s="43"/>
      <c r="E3" s="3" t="s">
        <v>34</v>
      </c>
      <c r="F3" s="4" t="s">
        <v>33</v>
      </c>
      <c r="G3" s="10" t="s">
        <v>28</v>
      </c>
      <c r="H3" s="11" t="s">
        <v>74</v>
      </c>
      <c r="I3" s="11">
        <v>2.7</v>
      </c>
      <c r="J3" s="12">
        <f>10^I3</f>
        <v>501.18723362727269</v>
      </c>
      <c r="K3" s="12">
        <v>6.7099999999999996E-10</v>
      </c>
      <c r="L3" s="9">
        <f>($E$7+0.035*$F$7+($G$7/J3)*(0.83/1))/($E$5+0.035*$F$5+($G$5/J3)*(0.83/1))</f>
        <v>5.88026684808331</v>
      </c>
      <c r="M3" s="9">
        <f>($E$7+0.035*$F$7+($G$7/J3)*(0.83/1))/($E$6+0.035*$F$6+($G$6/J3)*(0.83/1))</f>
        <v>6.27783045460958</v>
      </c>
      <c r="N3" s="9">
        <f>0.0012*($E$11+0.035*$F$11+($G$11/J3)*(0.83/1))/(0+0.035*0+(1/J3)*(0.83/1))/K3</f>
        <v>22759958.982538559</v>
      </c>
      <c r="O3" s="9">
        <f>($E$11+0.035*$F$11+($G$11/J3)*(0.83/1))/($E$6+0.035*$F$6+($G$6/J3)*(0.83/1))</f>
        <v>3.3702488684489866</v>
      </c>
      <c r="P3" s="9">
        <f>($E$8+0.035*$F$8+($G$8/J3)*(0.83/1))/($E$4+0.035*$F$4+($G$4/J3)*(0.83/1))</f>
        <v>9.5745471129272506</v>
      </c>
      <c r="Q3" s="9">
        <f>($E$8+0.035*$F$8+($G$8/J3)*(0.83/1))/($E$6+0.035*$F$6+($G$6/J3)*(0.83/1))</f>
        <v>2.4087463422346067</v>
      </c>
      <c r="R3" s="9">
        <f>($E$10+0.035*$F$10+($G$10/J3)*(0.83/1))/($E$6+0.035*$F$6+($G$6/J3)*(0.83/1))</f>
        <v>127.97964025666542</v>
      </c>
      <c r="S3" s="9">
        <f>($E$9+0.035*$F$9+($G$9/J3)*(0.83/1))/($E$6+0.035*$F$6+($G$6/J3)*(0.83/1))</f>
        <v>1.3285654679871735</v>
      </c>
      <c r="T3" s="23">
        <f>($E$8+0.035*$F$8+($G$8/J3)*(0.83/1))/($E$4+0.035*$F$4+($G$4/J3)*(0.83/1))</f>
        <v>9.5745471129272506</v>
      </c>
      <c r="U3" s="23">
        <v>0.5</v>
      </c>
      <c r="V3" s="26">
        <v>0</v>
      </c>
      <c r="W3" s="14">
        <f>$C$5/(L3*$C$8)</f>
        <v>5.6686769826097994E-2</v>
      </c>
      <c r="X3" s="14">
        <f>$C$13/(M3*$C$8)</f>
        <v>144.60055656826952</v>
      </c>
      <c r="Y3" s="14">
        <f>$C$13/($C$7)</f>
        <v>333.46938775510199</v>
      </c>
      <c r="Z3" s="14">
        <f>$C$3/(N3*$C$10)</f>
        <v>4.1540257000458486E-7</v>
      </c>
      <c r="AA3" s="14">
        <f>$C$15/(O3*$C$10)</f>
        <v>58.263838674324468</v>
      </c>
      <c r="AB3" s="14">
        <f>$C$15/($C$7)</f>
        <v>44.08163265306122</v>
      </c>
      <c r="AC3" s="14">
        <f>$C$4/(P3*$C$9)</f>
        <v>0.52221791182678068</v>
      </c>
      <c r="AD3" s="14">
        <f>$C$14/(Q3*$C$9)</f>
        <v>1823.9086682982213</v>
      </c>
      <c r="AE3" s="14">
        <f>$C$14/($C$7)</f>
        <v>268.9795918367347</v>
      </c>
      <c r="AF3" s="14">
        <f>$C$16/(R3*$C$11)</f>
        <v>0.19482265525460998</v>
      </c>
      <c r="AG3" s="14">
        <f>$C$16/$C$7</f>
        <v>76.326530612244895</v>
      </c>
      <c r="AH3" s="14">
        <f>$C$17/(S3*$C$12)</f>
        <v>60.513092002463949</v>
      </c>
      <c r="AI3" s="14">
        <f>$C$17/($C$7)</f>
        <v>746.53061224489795</v>
      </c>
      <c r="AJ3" s="14">
        <f>X3</f>
        <v>144.60055656826952</v>
      </c>
      <c r="AK3" s="14">
        <f>AA3</f>
        <v>58.263838674324468</v>
      </c>
      <c r="AL3" s="14">
        <f>AD3</f>
        <v>1823.9086682982213</v>
      </c>
      <c r="AM3" s="14">
        <f>AF3</f>
        <v>0.19482265525460998</v>
      </c>
      <c r="AN3" s="14">
        <f>AH3</f>
        <v>60.513092002463949</v>
      </c>
      <c r="AO3" s="14">
        <f>Y3+AB3+AE3+AG3+AI3</f>
        <v>1469.3877551020407</v>
      </c>
      <c r="AP3" s="19">
        <f>'Parent compound'!AU3*(X3*U3/(V3+W3+X3))/(AO3-X3*Y3/(V3+W3+X3)-AA3*AB3/(Z3+AA3)-AD3*AE3/(AC3+AD3)-AG3-AI3)</f>
        <v>59.312354778999108</v>
      </c>
      <c r="AQ3" s="19">
        <f>(U3*'Parent compound'!AU3+Y3*AP3)/(V3+W3+X3)</f>
        <v>136.8142812117355</v>
      </c>
      <c r="AR3" s="19">
        <f>(AB3*AP3)/(Z3+AA3)</f>
        <v>44.87492544268126</v>
      </c>
      <c r="AS3" s="19">
        <f>AE3*AP3/(AC3+AD3)</f>
        <v>8.7445422569402851</v>
      </c>
      <c r="AT3" s="19">
        <f>AG3*AP3/AF3</f>
        <v>23237.062736914333</v>
      </c>
      <c r="AU3" s="19">
        <f>AI3*AP3/AH3</f>
        <v>731.71750214069186</v>
      </c>
      <c r="AV3" s="31">
        <f>AS3/($C$9*T3*$C$6)</f>
        <v>4.3491015212384757E-2</v>
      </c>
      <c r="AW3" s="31"/>
      <c r="AX3" s="32">
        <f>AW3/1000*1/2/AV3</f>
        <v>0</v>
      </c>
      <c r="AY3" s="30">
        <f>AW3/1000*1/AV3/60</f>
        <v>0</v>
      </c>
    </row>
    <row r="4" spans="1:51" ht="13.5" customHeight="1">
      <c r="A4" s="2" t="s">
        <v>5</v>
      </c>
      <c r="B4" s="2" t="s">
        <v>4</v>
      </c>
      <c r="C4" s="2">
        <v>1.5</v>
      </c>
      <c r="D4" s="3" t="s">
        <v>29</v>
      </c>
      <c r="E4" s="3">
        <v>0</v>
      </c>
      <c r="F4" s="3">
        <v>0</v>
      </c>
      <c r="G4" s="3">
        <v>0.95</v>
      </c>
    </row>
    <row r="5" spans="1:51" ht="13.5" customHeight="1">
      <c r="A5" s="2" t="s">
        <v>6</v>
      </c>
      <c r="B5" s="2" t="s">
        <v>4</v>
      </c>
      <c r="C5" s="2">
        <v>0.6</v>
      </c>
      <c r="D5" s="3" t="s">
        <v>30</v>
      </c>
      <c r="E5" s="3">
        <v>5.0000000000000001E-3</v>
      </c>
      <c r="F5" s="3">
        <v>2E-3</v>
      </c>
      <c r="G5" s="3">
        <v>0.97</v>
      </c>
    </row>
    <row r="6" spans="1:51" ht="13.5" customHeight="1">
      <c r="A6" s="2" t="s">
        <v>14</v>
      </c>
      <c r="B6" s="2" t="s">
        <v>7</v>
      </c>
      <c r="C6" s="2">
        <v>70</v>
      </c>
      <c r="D6" s="3" t="s">
        <v>8</v>
      </c>
      <c r="E6" s="3">
        <v>2E-3</v>
      </c>
      <c r="F6" s="3">
        <v>7.8E-2</v>
      </c>
      <c r="G6" s="3">
        <v>0.92</v>
      </c>
    </row>
    <row r="7" spans="1:51" ht="13.5" customHeight="1">
      <c r="A7" s="2" t="s">
        <v>16</v>
      </c>
      <c r="B7" s="2" t="s">
        <v>7</v>
      </c>
      <c r="C7" s="2">
        <v>4.9000000000000004</v>
      </c>
      <c r="D7" s="3" t="s">
        <v>9</v>
      </c>
      <c r="E7" s="3">
        <v>0.03</v>
      </c>
      <c r="F7" s="3">
        <v>0.23</v>
      </c>
      <c r="G7" s="3">
        <v>0.73</v>
      </c>
    </row>
    <row r="8" spans="1:51" ht="13.5" customHeight="1">
      <c r="A8" s="2" t="s">
        <v>15</v>
      </c>
      <c r="B8" s="2" t="s">
        <v>7</v>
      </c>
      <c r="C8" s="2">
        <v>1.8</v>
      </c>
      <c r="D8" s="3" t="s">
        <v>10</v>
      </c>
      <c r="E8" s="3">
        <v>7.0000000000000001E-3</v>
      </c>
      <c r="F8" s="3">
        <v>0.193</v>
      </c>
      <c r="G8" s="3">
        <v>0.79</v>
      </c>
    </row>
    <row r="9" spans="1:51" ht="13.5" customHeight="1">
      <c r="A9" s="2" t="s">
        <v>17</v>
      </c>
      <c r="B9" s="2" t="s">
        <v>7</v>
      </c>
      <c r="C9" s="2">
        <v>0.3</v>
      </c>
      <c r="D9" s="3" t="s">
        <v>13</v>
      </c>
      <c r="E9" s="3">
        <v>0</v>
      </c>
      <c r="F9" s="3">
        <v>0.2</v>
      </c>
      <c r="G9" s="3">
        <v>0.79</v>
      </c>
    </row>
    <row r="10" spans="1:51" ht="13.5" customHeight="1">
      <c r="A10" s="2" t="s">
        <v>18</v>
      </c>
      <c r="B10" s="2" t="s">
        <v>7</v>
      </c>
      <c r="C10" s="2">
        <v>1.1000000000000001</v>
      </c>
      <c r="D10" s="3" t="s">
        <v>12</v>
      </c>
      <c r="E10" s="3">
        <v>0.8</v>
      </c>
      <c r="F10" s="3">
        <v>0</v>
      </c>
      <c r="G10" s="3">
        <v>0.2</v>
      </c>
    </row>
    <row r="11" spans="1:51" ht="13.5" customHeight="1">
      <c r="A11" s="2" t="s">
        <v>19</v>
      </c>
      <c r="B11" s="2" t="s">
        <v>7</v>
      </c>
      <c r="C11" s="2">
        <v>15</v>
      </c>
      <c r="D11" s="3" t="s">
        <v>11</v>
      </c>
      <c r="E11" s="3">
        <v>1.4999999999999999E-2</v>
      </c>
      <c r="F11" s="3">
        <v>0.13400000000000001</v>
      </c>
      <c r="G11" s="3">
        <v>0.83699999999999997</v>
      </c>
    </row>
    <row r="12" spans="1:51" ht="13.5" customHeight="1">
      <c r="A12" s="2" t="s">
        <v>20</v>
      </c>
      <c r="B12" s="2" t="s">
        <v>7</v>
      </c>
      <c r="C12" s="2">
        <v>45.5</v>
      </c>
    </row>
    <row r="13" spans="1:51" ht="13.5" customHeight="1">
      <c r="A13" s="2" t="s">
        <v>21</v>
      </c>
      <c r="B13" s="2" t="s">
        <v>4</v>
      </c>
      <c r="C13" s="2">
        <v>1634</v>
      </c>
    </row>
    <row r="14" spans="1:51" ht="13.5" customHeight="1">
      <c r="A14" s="2" t="s">
        <v>22</v>
      </c>
      <c r="B14" s="2" t="s">
        <v>4</v>
      </c>
      <c r="C14" s="2">
        <v>1318</v>
      </c>
    </row>
    <row r="15" spans="1:51" ht="13.5" customHeight="1">
      <c r="A15" s="2" t="s">
        <v>23</v>
      </c>
      <c r="B15" s="2" t="s">
        <v>4</v>
      </c>
      <c r="C15" s="2">
        <v>216</v>
      </c>
    </row>
    <row r="16" spans="1:51" ht="13.5" customHeight="1">
      <c r="A16" s="2" t="s">
        <v>24</v>
      </c>
      <c r="B16" s="2" t="s">
        <v>4</v>
      </c>
      <c r="C16" s="2">
        <v>374</v>
      </c>
    </row>
    <row r="17" spans="1:3" ht="13.5" customHeight="1">
      <c r="A17" s="2" t="s">
        <v>25</v>
      </c>
      <c r="B17" s="2" t="s">
        <v>4</v>
      </c>
      <c r="C17" s="2">
        <v>3658</v>
      </c>
    </row>
  </sheetData>
  <mergeCells count="13">
    <mergeCell ref="A1:C1"/>
    <mergeCell ref="D1:G1"/>
    <mergeCell ref="L1:S1"/>
    <mergeCell ref="V1:Y1"/>
    <mergeCell ref="Z1:AB1"/>
    <mergeCell ref="AF1:AG1"/>
    <mergeCell ref="AH1:AI1"/>
    <mergeCell ref="AJ1:AO1"/>
    <mergeCell ref="AP1:AU1"/>
    <mergeCell ref="D2:D3"/>
    <mergeCell ref="E2:G2"/>
    <mergeCell ref="AC1:AE1"/>
    <mergeCell ref="H1:K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Parent compound</vt:lpstr>
      <vt:lpstr>Metabolite 1</vt:lpstr>
      <vt:lpstr>Metabolite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</dc:creator>
  <cp:lastModifiedBy>1</cp:lastModifiedBy>
  <dcterms:created xsi:type="dcterms:W3CDTF">2015-06-05T18:17:20Z</dcterms:created>
  <dcterms:modified xsi:type="dcterms:W3CDTF">2023-05-19T13:23:42Z</dcterms:modified>
</cp:coreProperties>
</file>