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D:\Desktop\2022 EES Revision\"/>
    </mc:Choice>
  </mc:AlternateContent>
  <xr:revisionPtr revIDLastSave="0" documentId="13_ncr:1_{55BCB32A-1395-49B9-95D0-09168FB993E6}" xr6:coauthVersionLast="47" xr6:coauthVersionMax="47" xr10:uidLastSave="{00000000-0000-0000-0000-000000000000}"/>
  <bookViews>
    <workbookView xWindow="-110" yWindow="-110" windowWidth="25820" windowHeight="14160" xr2:uid="{00000000-000D-0000-FFFF-FFFF00000000}"/>
  </bookViews>
  <sheets>
    <sheet name="OPEX-Electrodialysis" sheetId="2" r:id="rId1"/>
    <sheet name="OPEX-Pumping" sheetId="1" r:id="rId2"/>
    <sheet name="CAPEX &amp; LCC" sheetId="3" r:id="rId3"/>
    <sheet name="Levelized Total Cost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2" l="1"/>
  <c r="C29" i="1"/>
  <c r="C28" i="1"/>
  <c r="C22" i="1"/>
  <c r="C35" i="1"/>
  <c r="C9" i="1"/>
  <c r="C8" i="1"/>
  <c r="C7" i="1"/>
  <c r="C6" i="1"/>
  <c r="C5" i="1"/>
  <c r="C3" i="1"/>
  <c r="C2" i="1"/>
  <c r="C4" i="2"/>
  <c r="C10" i="2"/>
  <c r="C23" i="2"/>
  <c r="C24" i="2" s="1"/>
  <c r="C25" i="2" s="1"/>
  <c r="C14" i="2"/>
  <c r="C21" i="3"/>
  <c r="C17" i="3"/>
  <c r="C18" i="3" s="1"/>
  <c r="C6" i="3"/>
  <c r="C8" i="3" s="1"/>
  <c r="C9" i="3" s="1"/>
  <c r="C22" i="3" l="1"/>
  <c r="C21" i="1"/>
  <c r="C25" i="1" s="1"/>
  <c r="C10" i="1"/>
  <c r="C4" i="1"/>
  <c r="C11" i="1"/>
  <c r="C15" i="1" l="1"/>
  <c r="C16" i="2" l="1"/>
  <c r="C17" i="2" s="1"/>
  <c r="C18" i="2" l="1"/>
  <c r="C19" i="2" s="1"/>
  <c r="C21" i="2" s="1"/>
  <c r="C33" i="2"/>
  <c r="C29" i="2"/>
  <c r="C23" i="1"/>
  <c r="C24" i="1" s="1"/>
  <c r="C13" i="1"/>
  <c r="C26" i="2" l="1"/>
  <c r="C28" i="2" s="1"/>
  <c r="C31" i="2"/>
  <c r="C14" i="1"/>
  <c r="C12" i="1"/>
  <c r="C32" i="2" l="1"/>
  <c r="C41" i="2" s="1"/>
  <c r="C42" i="2" s="1"/>
  <c r="C10" i="3"/>
  <c r="C11" i="3" s="1"/>
  <c r="C13" i="3" s="1"/>
  <c r="C15" i="3" s="1"/>
  <c r="C23" i="3" s="1"/>
  <c r="C26" i="1"/>
  <c r="C27" i="1" s="1"/>
  <c r="C30" i="1" s="1"/>
  <c r="C31" i="1" s="1"/>
  <c r="C17" i="1"/>
  <c r="C34" i="2"/>
  <c r="C18" i="1" l="1"/>
  <c r="C20" i="1" s="1"/>
  <c r="C32" i="1"/>
  <c r="C6" i="4"/>
  <c r="C35" i="2"/>
  <c r="C37" i="2" s="1"/>
  <c r="C43" i="2" s="1"/>
  <c r="C44" i="2" l="1"/>
  <c r="C38" i="2"/>
  <c r="C33" i="1"/>
  <c r="C34" i="1" s="1"/>
  <c r="C46" i="2" l="1"/>
  <c r="C2" i="4" s="1"/>
  <c r="C36" i="1"/>
  <c r="C3" i="4" s="1"/>
  <c r="C4" i="4" l="1"/>
  <c r="C5" i="4" s="1"/>
  <c r="C7" i="4" s="1"/>
</calcChain>
</file>

<file path=xl/sharedStrings.xml><?xml version="1.0" encoding="utf-8"?>
<sst xmlns="http://schemas.openxmlformats.org/spreadsheetml/2006/main" count="398" uniqueCount="241">
  <si>
    <t>Membrane width</t>
  </si>
  <si>
    <t>cm</t>
  </si>
  <si>
    <t>Membrane distance</t>
  </si>
  <si>
    <t>L/min</t>
  </si>
  <si>
    <t>cm/s</t>
  </si>
  <si>
    <t>Number of pairs</t>
  </si>
  <si>
    <t>Flow rate per pair</t>
  </si>
  <si>
    <t>d</t>
  </si>
  <si>
    <t>A</t>
  </si>
  <si>
    <t>n</t>
  </si>
  <si>
    <t>H</t>
  </si>
  <si>
    <t>W</t>
  </si>
  <si>
    <t>V</t>
  </si>
  <si>
    <t>Q</t>
  </si>
  <si>
    <t>q</t>
  </si>
  <si>
    <t>Pa</t>
  </si>
  <si>
    <t>Pressure drop per pair</t>
  </si>
  <si>
    <t>Membrane height/depth</t>
  </si>
  <si>
    <t>Pressure drop factor</t>
  </si>
  <si>
    <t>Total pressure drop</t>
  </si>
  <si>
    <t>fp</t>
  </si>
  <si>
    <t>Pumping efficiency</t>
  </si>
  <si>
    <t>ηp</t>
  </si>
  <si>
    <t>Pumping power</t>
  </si>
  <si>
    <t>Pp</t>
  </si>
  <si>
    <t>Ph</t>
  </si>
  <si>
    <t>Name</t>
  </si>
  <si>
    <t>Symbol</t>
  </si>
  <si>
    <t>Value</t>
  </si>
  <si>
    <t>Unit</t>
  </si>
  <si>
    <t>Re</t>
  </si>
  <si>
    <r>
      <t>V</t>
    </r>
    <r>
      <rPr>
        <sz val="11"/>
        <color theme="1"/>
        <rFont val="Calibri"/>
        <family val="2"/>
      </rPr>
      <t>°</t>
    </r>
  </si>
  <si>
    <t>Nominal average velocity</t>
  </si>
  <si>
    <t>%</t>
  </si>
  <si>
    <t>Adjusted average velocity</t>
  </si>
  <si>
    <t>V°'</t>
  </si>
  <si>
    <r>
      <t xml:space="preserve">Re = </t>
    </r>
    <r>
      <rPr>
        <sz val="11"/>
        <color theme="1"/>
        <rFont val="Calibri"/>
        <family val="2"/>
      </rPr>
      <t>ρ</t>
    </r>
    <r>
      <rPr>
        <sz val="11"/>
        <color theme="1"/>
        <rFont val="Arial Narrow"/>
        <family val="2"/>
      </rPr>
      <t>*V</t>
    </r>
    <r>
      <rPr>
        <sz val="11"/>
        <color theme="1"/>
        <rFont val="Calibri"/>
        <family val="2"/>
      </rPr>
      <t>°'</t>
    </r>
    <r>
      <rPr>
        <sz val="11"/>
        <color theme="1"/>
        <rFont val="Arial Narrow"/>
        <family val="2"/>
      </rPr>
      <t>*d/</t>
    </r>
    <r>
      <rPr>
        <sz val="11"/>
        <color theme="1"/>
        <rFont val="Calibri"/>
        <family val="2"/>
      </rPr>
      <t>µ</t>
    </r>
    <r>
      <rPr>
        <sz val="11"/>
        <color theme="1"/>
        <rFont val="Arial Narrow"/>
        <family val="2"/>
      </rPr>
      <t>, Re &lt;= 1,400, ρ = 1,000 kg/m3</t>
    </r>
  </si>
  <si>
    <t>Average current density</t>
  </si>
  <si>
    <t>mA/cm2</t>
  </si>
  <si>
    <t>i</t>
  </si>
  <si>
    <t>Initial source concentration</t>
  </si>
  <si>
    <t>Cs</t>
  </si>
  <si>
    <t>mM</t>
  </si>
  <si>
    <t>Recovery efficiency</t>
  </si>
  <si>
    <t>RE</t>
  </si>
  <si>
    <t>Final dilute concentration</t>
  </si>
  <si>
    <t>Cd</t>
  </si>
  <si>
    <r>
      <t>Cs</t>
    </r>
    <r>
      <rPr>
        <sz val="11"/>
        <color theme="1"/>
        <rFont val="Calibri"/>
        <family val="2"/>
      </rPr>
      <t>°</t>
    </r>
  </si>
  <si>
    <t>Daily operation time</t>
  </si>
  <si>
    <t>h</t>
  </si>
  <si>
    <t>t</t>
  </si>
  <si>
    <t>Coulombic efficiency</t>
  </si>
  <si>
    <t>CE</t>
  </si>
  <si>
    <t>2-5 M depending on requirement</t>
  </si>
  <si>
    <t>Ep</t>
  </si>
  <si>
    <t>kWh</t>
  </si>
  <si>
    <t>dch</t>
  </si>
  <si>
    <t>Area spacer porosity</t>
  </si>
  <si>
    <r>
      <t>delta-P = 48*µ*V</t>
    </r>
    <r>
      <rPr>
        <sz val="11"/>
        <color theme="1"/>
        <rFont val="Calibri"/>
        <family val="2"/>
      </rPr>
      <t>°</t>
    </r>
    <r>
      <rPr>
        <sz val="11"/>
        <color theme="1"/>
        <rFont val="Arial Narrow"/>
        <family val="2"/>
      </rPr>
      <t>'*H/(dch^2),  µ = 0.001 Pa.s</t>
    </r>
  </si>
  <si>
    <t>AEM area resistance</t>
  </si>
  <si>
    <t>CEM area resistance</t>
  </si>
  <si>
    <t>Average concentrate concentration</t>
  </si>
  <si>
    <t>R-AEM</t>
  </si>
  <si>
    <t>R-CEM</t>
  </si>
  <si>
    <r>
      <rPr>
        <sz val="11"/>
        <color theme="1"/>
        <rFont val="Calibri"/>
        <family val="2"/>
      </rPr>
      <t>Ω</t>
    </r>
    <r>
      <rPr>
        <sz val="11"/>
        <color theme="1"/>
        <rFont val="Arial Narrow"/>
        <family val="2"/>
      </rPr>
      <t>cm2</t>
    </r>
  </si>
  <si>
    <t>R-Cs°</t>
  </si>
  <si>
    <t>σ-Cs°</t>
  </si>
  <si>
    <t>mS/cm</t>
  </si>
  <si>
    <t>R-Cs°'</t>
  </si>
  <si>
    <t>Cc°</t>
  </si>
  <si>
    <t>Nominal average concentrate resistance</t>
  </si>
  <si>
    <t>R-Cc°</t>
  </si>
  <si>
    <t>Average concentrate conductivity</t>
  </si>
  <si>
    <t>σ-Cc°</t>
  </si>
  <si>
    <t>Adjusted average concentrate resistance</t>
  </si>
  <si>
    <t>R-Cc°'</t>
  </si>
  <si>
    <t>R-pair</t>
  </si>
  <si>
    <t>Area resistance per effective pair</t>
  </si>
  <si>
    <t>Resistance factor</t>
  </si>
  <si>
    <t>fR</t>
  </si>
  <si>
    <t>Overall area resistance per effective pair</t>
  </si>
  <si>
    <t>R-pair'</t>
  </si>
  <si>
    <t>R-pair' = R-pair*fR</t>
  </si>
  <si>
    <t>E-pair</t>
  </si>
  <si>
    <t>E-stack</t>
  </si>
  <si>
    <t>E-pair = i*R-pair'*n</t>
  </si>
  <si>
    <t>Voltage efficiency</t>
  </si>
  <si>
    <t>VE</t>
  </si>
  <si>
    <t>Nominal electrodialysis voltage per stack</t>
  </si>
  <si>
    <t>Adjusted electrodialysis voltage per stack</t>
  </si>
  <si>
    <t>E-stack'</t>
  </si>
  <si>
    <t>E-stack' = E-stack/VE</t>
  </si>
  <si>
    <t>Daily electrodialysis energy</t>
  </si>
  <si>
    <t>Ee</t>
  </si>
  <si>
    <t>Total average stack-current</t>
  </si>
  <si>
    <t>Is</t>
  </si>
  <si>
    <t>Energy intensity from electrodialysis</t>
  </si>
  <si>
    <t>Flow rate per stack</t>
  </si>
  <si>
    <r>
      <t>Pp = Ph/</t>
    </r>
    <r>
      <rPr>
        <sz val="11"/>
        <color theme="1"/>
        <rFont val="Calibri"/>
        <family val="2"/>
      </rPr>
      <t>η</t>
    </r>
    <r>
      <rPr>
        <sz val="11"/>
        <color theme="1"/>
        <rFont val="Arial Narrow"/>
        <family val="2"/>
      </rPr>
      <t>p</t>
    </r>
  </si>
  <si>
    <t>dch = 4*ɛ/[(2/d)+(1-ɛ)*(8/d)]</t>
  </si>
  <si>
    <r>
      <t xml:space="preserve">Energy Procedia, </t>
    </r>
    <r>
      <rPr>
        <b/>
        <i/>
        <sz val="11"/>
        <color theme="1"/>
        <rFont val="Arial Narrow"/>
        <family val="2"/>
      </rPr>
      <t>2012</t>
    </r>
    <r>
      <rPr>
        <i/>
        <sz val="11"/>
        <color theme="1"/>
        <rFont val="Arial Narrow"/>
        <family val="2"/>
      </rPr>
      <t>, 20, 170.</t>
    </r>
  </si>
  <si>
    <r>
      <t xml:space="preserve">J Membrane Sci, </t>
    </r>
    <r>
      <rPr>
        <b/>
        <i/>
        <sz val="11"/>
        <color theme="1"/>
        <rFont val="Arial Narrow"/>
        <family val="2"/>
      </rPr>
      <t>2014</t>
    </r>
    <r>
      <rPr>
        <i/>
        <sz val="11"/>
        <color theme="1"/>
        <rFont val="Arial Narrow"/>
        <family val="2"/>
      </rPr>
      <t>, 462, 96.</t>
    </r>
  </si>
  <si>
    <t>Note</t>
  </si>
  <si>
    <t>CRC Handbook</t>
  </si>
  <si>
    <t>Ccap-ED</t>
  </si>
  <si>
    <t>cm2/pair</t>
  </si>
  <si>
    <t>pair</t>
  </si>
  <si>
    <t>$/system</t>
  </si>
  <si>
    <t>Hangzhou Iontech Environmental Technology Co., Ltd.</t>
  </si>
  <si>
    <t>Effective membrane-pair area</t>
  </si>
  <si>
    <t>Total effective membrane-pair area</t>
  </si>
  <si>
    <t>Capacity factor</t>
  </si>
  <si>
    <t>300 days a year</t>
  </si>
  <si>
    <t>P-stack</t>
  </si>
  <si>
    <t>Average electrodialysis power input per stack</t>
  </si>
  <si>
    <t>Total effective pair-area per stack</t>
  </si>
  <si>
    <t>Cmain-ED</t>
  </si>
  <si>
    <t>19%, based on the average of 27% and 11%</t>
  </si>
  <si>
    <t>$</t>
  </si>
  <si>
    <t>Time of service</t>
  </si>
  <si>
    <t>Annual discount rate</t>
  </si>
  <si>
    <t>CRF</t>
  </si>
  <si>
    <t>Equal annual cost (EAC)</t>
  </si>
  <si>
    <t>ECA</t>
  </si>
  <si>
    <t>Total present value of cost (TPVC)</t>
  </si>
  <si>
    <t>TPVC</t>
  </si>
  <si>
    <t>Cost of commercial electrodialysis system</t>
  </si>
  <si>
    <t>Levelized capital cost (LCC)</t>
  </si>
  <si>
    <t>LCC</t>
  </si>
  <si>
    <t>Electricity cost</t>
  </si>
  <si>
    <t>$/kWh</t>
  </si>
  <si>
    <t>m3/day</t>
  </si>
  <si>
    <t>Vs-d</t>
  </si>
  <si>
    <t>m3</t>
  </si>
  <si>
    <t>m2/stack</t>
  </si>
  <si>
    <t>Electrodialysis energy cost</t>
  </si>
  <si>
    <t>year</t>
  </si>
  <si>
    <t>Capital recovery factor (CRF)</t>
  </si>
  <si>
    <t>Levelized Total Cost (LTC)</t>
  </si>
  <si>
    <t>LTC</t>
  </si>
  <si>
    <t>Levelized Capital Cost (LCC)</t>
  </si>
  <si>
    <t>Operational Expense (OPEX)</t>
  </si>
  <si>
    <t>OPEX-pumping</t>
  </si>
  <si>
    <t>OPEX-electrodialysis</t>
  </si>
  <si>
    <t>OPEX-others</t>
  </si>
  <si>
    <t>OPEX-p</t>
  </si>
  <si>
    <t>OPEX-o</t>
  </si>
  <si>
    <t>OPEX</t>
  </si>
  <si>
    <t>Assuming 10% of the sum of OPEX-pumping and OPEX-electrodialysis</t>
  </si>
  <si>
    <t>LTC=LCC+OPEX</t>
  </si>
  <si>
    <t>$/kmol-NO3-</t>
  </si>
  <si>
    <t>Containing maintenance expense (a form of OPEX)</t>
  </si>
  <si>
    <t>Cost of total maintenance</t>
  </si>
  <si>
    <t>Cost ratio of maintenance to system</t>
  </si>
  <si>
    <t>Source</t>
  </si>
  <si>
    <t>Gross membrane-pair area</t>
  </si>
  <si>
    <t>Effective-to-gross area ratio</t>
  </si>
  <si>
    <t>β</t>
  </si>
  <si>
    <t>A-pair</t>
  </si>
  <si>
    <t>A-stack</t>
  </si>
  <si>
    <t>A'-pair</t>
  </si>
  <si>
    <t>Daily production rate of NO3-</t>
  </si>
  <si>
    <t>Annual production rate of NO3-</t>
  </si>
  <si>
    <t>CF</t>
  </si>
  <si>
    <t>α</t>
  </si>
  <si>
    <t>γ</t>
  </si>
  <si>
    <t>kWh/kmol-NO3-</t>
  </si>
  <si>
    <t>kg-NO3-/day</t>
  </si>
  <si>
    <t>kmol-NO3-/day</t>
  </si>
  <si>
    <t>kmol-NO3-/year</t>
  </si>
  <si>
    <r>
      <t xml:space="preserve">Water Resour. Econ., </t>
    </r>
    <r>
      <rPr>
        <b/>
        <i/>
        <sz val="11"/>
        <color theme="1"/>
        <rFont val="Arial Narrow"/>
        <family val="2"/>
      </rPr>
      <t>2013</t>
    </r>
    <r>
      <rPr>
        <i/>
        <sz val="11"/>
        <color theme="1"/>
        <rFont val="Arial Narrow"/>
        <family val="2"/>
      </rPr>
      <t>, 2-3, 30.</t>
    </r>
  </si>
  <si>
    <t>3% for real and 2.5% for nominal</t>
  </si>
  <si>
    <t>replacement/repair of some membranes &amp; parts</t>
  </si>
  <si>
    <r>
      <rPr>
        <b/>
        <i/>
        <sz val="11"/>
        <color theme="1"/>
        <rFont val="Arial Narrow"/>
        <family val="2"/>
      </rPr>
      <t>2013</t>
    </r>
    <r>
      <rPr>
        <i/>
        <sz val="11"/>
        <color theme="1"/>
        <rFont val="Arial Narrow"/>
        <family val="2"/>
      </rPr>
      <t xml:space="preserve"> publication: NISTIR - 85-3273-28</t>
    </r>
  </si>
  <si>
    <r>
      <t xml:space="preserve">J. Environ. Qual., </t>
    </r>
    <r>
      <rPr>
        <b/>
        <i/>
        <sz val="11"/>
        <color theme="1"/>
        <rFont val="Arial Narrow"/>
        <family val="2"/>
      </rPr>
      <t>2017</t>
    </r>
    <r>
      <rPr>
        <i/>
        <sz val="11"/>
        <color theme="1"/>
        <rFont val="Arial Narrow"/>
        <family val="2"/>
      </rPr>
      <t>, 46, 1528.</t>
    </r>
  </si>
  <si>
    <t>Alibaba.com</t>
  </si>
  <si>
    <t>Volume spacer porosity</t>
  </si>
  <si>
    <t>ɛ-v</t>
  </si>
  <si>
    <t>ɛ-a</t>
  </si>
  <si>
    <t>Assuming 80% of pumping efficiency</t>
  </si>
  <si>
    <t>Assuming 80% of recovery efficiency</t>
  </si>
  <si>
    <t>Initial source concentration in ppm</t>
  </si>
  <si>
    <t>Initial source concentration in mM</t>
  </si>
  <si>
    <t>ppm NO3-N</t>
  </si>
  <si>
    <t>ppm NO3--N = mg NO3--N/L</t>
  </si>
  <si>
    <r>
      <t xml:space="preserve">Membranes, </t>
    </r>
    <r>
      <rPr>
        <b/>
        <i/>
        <sz val="11"/>
        <color theme="1"/>
        <rFont val="Arial Narrow"/>
        <family val="2"/>
      </rPr>
      <t>2021</t>
    </r>
    <r>
      <rPr>
        <i/>
        <sz val="11"/>
        <color theme="1"/>
        <rFont val="Arial Narrow"/>
        <family val="2"/>
      </rPr>
      <t>, 11, 217.</t>
    </r>
  </si>
  <si>
    <t>Δp</t>
  </si>
  <si>
    <r>
      <rPr>
        <sz val="11"/>
        <color theme="1"/>
        <rFont val="Calibri"/>
        <family val="2"/>
      </rPr>
      <t>Δ</t>
    </r>
    <r>
      <rPr>
        <sz val="11"/>
        <color theme="1"/>
        <rFont val="Arial Narrow"/>
        <family val="2"/>
      </rPr>
      <t>p-ch</t>
    </r>
  </si>
  <si>
    <t>Average source concentration</t>
  </si>
  <si>
    <t>per 1 kmol-NO3- recovery</t>
  </si>
  <si>
    <t>Source volume per 1 kmol-NO3- recovery</t>
  </si>
  <si>
    <t>Vs*</t>
  </si>
  <si>
    <t>Daily production rate of NO3- in mass</t>
  </si>
  <si>
    <t>Daily production rate of NO3- in mole</t>
  </si>
  <si>
    <t>Total volume of source feed</t>
  </si>
  <si>
    <t>Daily pumping energy consumption</t>
  </si>
  <si>
    <t>r-mol-d</t>
  </si>
  <si>
    <t>r-mass-d</t>
  </si>
  <si>
    <t>kWh/day</t>
  </si>
  <si>
    <t xml:space="preserve">Choosing 2 M as target concentration in concentrate </t>
  </si>
  <si>
    <t>Average source conductivity</t>
  </si>
  <si>
    <t>Assuming 80% of voltage efficiency</t>
  </si>
  <si>
    <t>Diffusion coefficient of NO3-</t>
  </si>
  <si>
    <t>D-NO3-</t>
  </si>
  <si>
    <t>cm2/s</t>
  </si>
  <si>
    <t>σ = σ0*C*(-0.0315*lgC^2-0.2336lgC+0.5529), σ0 = 121.55 mS/cm</t>
  </si>
  <si>
    <t>r-mol-a</t>
  </si>
  <si>
    <t>Rosenberg and Tirrell method (1957)</t>
  </si>
  <si>
    <r>
      <t xml:space="preserve">Environ. Sci. Water Res. Tech., </t>
    </r>
    <r>
      <rPr>
        <b/>
        <i/>
        <sz val="11"/>
        <color theme="1"/>
        <rFont val="Arial Narrow"/>
        <family val="2"/>
      </rPr>
      <t>2019</t>
    </r>
    <r>
      <rPr>
        <i/>
        <sz val="11"/>
        <color theme="1"/>
        <rFont val="Arial Narrow"/>
        <family val="2"/>
      </rPr>
      <t>, 5, 1172</t>
    </r>
  </si>
  <si>
    <t>OPEX-ed</t>
  </si>
  <si>
    <t>E-pair = iL*R-pair' + φDon</t>
  </si>
  <si>
    <t>Donnan potential across membrane pair</t>
  </si>
  <si>
    <t>φDon</t>
  </si>
  <si>
    <t>Assuming 10% additional resistance</t>
  </si>
  <si>
    <t>φDon = 2*0.059*lg(Cc°/Cs°)</t>
  </si>
  <si>
    <t>Pumping energy cost</t>
  </si>
  <si>
    <t>Pumping energy intensity</t>
  </si>
  <si>
    <t>iL°</t>
  </si>
  <si>
    <t>Average limiting current density</t>
  </si>
  <si>
    <t>iL° = 4.66*F*Cs°*(D^2/3)*(V°'/d*H)^1/3</t>
  </si>
  <si>
    <t>i = iL°*0.9</t>
  </si>
  <si>
    <t>R-pair = R-AEM + R-CEM + R-Cs°' + R-Cc°'</t>
  </si>
  <si>
    <t>fp = 0.5</t>
  </si>
  <si>
    <t>Δp = Δp-ch/fp</t>
  </si>
  <si>
    <t>Ph = Δp*Q</t>
  </si>
  <si>
    <t>100 ppm-NO3--N/L = 7.14 mM</t>
  </si>
  <si>
    <t>rmol-a = rmol-d*365*CF</t>
  </si>
  <si>
    <t>TPVC = Ccap-ED + Cmain-ED</t>
  </si>
  <si>
    <t>ECA = TPVC*CRF</t>
  </si>
  <si>
    <t>LCC = ECA/rmol-a</t>
  </si>
  <si>
    <t>Dimension of membrane - width</t>
  </si>
  <si>
    <t>Dimension of membrane - height</t>
  </si>
  <si>
    <t>Adjusted channel diameter</t>
  </si>
  <si>
    <t>Adjusted average diluate resistance</t>
  </si>
  <si>
    <t>Nominal average diluate resistance</t>
  </si>
  <si>
    <t>Nominal electrodialysis voltage per pair</t>
  </si>
  <si>
    <t>CRF = m*(1 + α)^m/((1 + α)^m - 1)</t>
  </si>
  <si>
    <t>D = D°*(-0.0315*lgC^2-0.2336lgC+0.5529), D°= 1.90 x 10^-5 cm2/s</t>
  </si>
  <si>
    <t>OPEX = OPEX-p + OPEX-e + OPEX-o</t>
  </si>
  <si>
    <t>Hydraulic power</t>
  </si>
  <si>
    <t>Subjected to total cost minimization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</si>
</sst>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"/>
    <numFmt numFmtId="167" formatCode="0.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i/>
      <sz val="11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2" borderId="1" xfId="0" applyFont="1" applyFill="1" applyBorder="1"/>
    <xf numFmtId="166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9" fontId="1" fillId="0" borderId="1" xfId="0" applyNumberFormat="1" applyFont="1" applyBorder="1"/>
    <xf numFmtId="165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/>
    </xf>
    <xf numFmtId="0" fontId="4" fillId="0" borderId="1" xfId="0" applyFont="1" applyBorder="1"/>
    <xf numFmtId="0" fontId="3" fillId="6" borderId="1" xfId="0" applyFont="1" applyFill="1" applyBorder="1"/>
    <xf numFmtId="0" fontId="3" fillId="6" borderId="1" xfId="0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/>
    <xf numFmtId="167" fontId="1" fillId="0" borderId="1" xfId="0" applyNumberFormat="1" applyFont="1" applyBorder="1" applyAlignment="1">
      <alignment horizontal="center"/>
    </xf>
    <xf numFmtId="0" fontId="1" fillId="7" borderId="1" xfId="0" applyFont="1" applyFill="1" applyBorder="1"/>
    <xf numFmtId="0" fontId="1" fillId="7" borderId="1" xfId="0" applyFont="1" applyFill="1" applyBorder="1" applyAlignment="1">
      <alignment horizontal="center"/>
    </xf>
    <xf numFmtId="2" fontId="1" fillId="7" borderId="1" xfId="0" applyNumberFormat="1" applyFont="1" applyFill="1" applyBorder="1" applyAlignment="1">
      <alignment horizontal="center"/>
    </xf>
    <xf numFmtId="2" fontId="1" fillId="0" borderId="0" xfId="0" applyNumberFormat="1" applyFont="1" applyAlignment="1">
      <alignment horizontal="center"/>
    </xf>
    <xf numFmtId="166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1" fillId="4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D59A-2ABE-41C6-AAFD-64BED3F5BC8D}">
  <sheetPr>
    <pageSetUpPr fitToPage="1"/>
  </sheetPr>
  <dimension ref="A1:F48"/>
  <sheetViews>
    <sheetView tabSelected="1" topLeftCell="A10" zoomScale="85" zoomScaleNormal="85" workbookViewId="0">
      <selection activeCell="I18" sqref="I18"/>
    </sheetView>
  </sheetViews>
  <sheetFormatPr defaultColWidth="8.7265625" defaultRowHeight="14" x14ac:dyDescent="0.3"/>
  <cols>
    <col min="1" max="1" width="34.1796875" style="1" bestFit="1" customWidth="1"/>
    <col min="2" max="2" width="8.7265625" style="2"/>
    <col min="3" max="3" width="9.1796875" style="2" bestFit="1" customWidth="1"/>
    <col min="4" max="4" width="12" style="2" customWidth="1"/>
    <col min="5" max="5" width="52.1796875" style="1" customWidth="1"/>
    <col min="6" max="6" width="36.7265625" style="1" customWidth="1"/>
    <col min="7" max="16384" width="8.7265625" style="1"/>
  </cols>
  <sheetData>
    <row r="1" spans="1:6" x14ac:dyDescent="0.3">
      <c r="A1" s="33" t="s">
        <v>26</v>
      </c>
      <c r="B1" s="35" t="s">
        <v>27</v>
      </c>
      <c r="C1" s="35" t="s">
        <v>28</v>
      </c>
      <c r="D1" s="35" t="s">
        <v>29</v>
      </c>
      <c r="E1" s="33" t="s">
        <v>102</v>
      </c>
      <c r="F1" s="33" t="s">
        <v>154</v>
      </c>
    </row>
    <row r="2" spans="1:6" x14ac:dyDescent="0.3">
      <c r="A2" s="3" t="s">
        <v>5</v>
      </c>
      <c r="B2" s="4" t="s">
        <v>9</v>
      </c>
      <c r="C2" s="4">
        <v>250</v>
      </c>
      <c r="D2" s="4"/>
      <c r="E2" s="3"/>
      <c r="F2" s="3"/>
    </row>
    <row r="3" spans="1:6" x14ac:dyDescent="0.3">
      <c r="A3" s="3" t="s">
        <v>109</v>
      </c>
      <c r="B3" s="4" t="s">
        <v>158</v>
      </c>
      <c r="C3" s="25">
        <v>4480</v>
      </c>
      <c r="D3" s="4" t="s">
        <v>105</v>
      </c>
      <c r="E3" s="3"/>
      <c r="F3" s="3"/>
    </row>
    <row r="4" spans="1:6" x14ac:dyDescent="0.3">
      <c r="A4" s="3" t="s">
        <v>110</v>
      </c>
      <c r="B4" s="4" t="s">
        <v>159</v>
      </c>
      <c r="C4" s="25">
        <f>C2*C3/10000</f>
        <v>112</v>
      </c>
      <c r="D4" s="4" t="s">
        <v>134</v>
      </c>
      <c r="E4" s="3"/>
      <c r="F4" s="3"/>
    </row>
    <row r="5" spans="1:6" x14ac:dyDescent="0.3">
      <c r="A5" s="3" t="s">
        <v>0</v>
      </c>
      <c r="B5" s="4" t="s">
        <v>11</v>
      </c>
      <c r="C5" s="25">
        <v>134</v>
      </c>
      <c r="D5" s="4" t="s">
        <v>1</v>
      </c>
      <c r="E5" s="3"/>
      <c r="F5" s="3"/>
    </row>
    <row r="6" spans="1:6" x14ac:dyDescent="0.3">
      <c r="A6" s="3" t="s">
        <v>17</v>
      </c>
      <c r="B6" s="4" t="s">
        <v>10</v>
      </c>
      <c r="C6" s="25">
        <v>33.5</v>
      </c>
      <c r="D6" s="4" t="s">
        <v>1</v>
      </c>
      <c r="E6" s="3"/>
      <c r="F6" s="3"/>
    </row>
    <row r="7" spans="1:6" x14ac:dyDescent="0.3">
      <c r="A7" s="3" t="s">
        <v>2</v>
      </c>
      <c r="B7" s="4" t="s">
        <v>7</v>
      </c>
      <c r="C7" s="25">
        <v>0.05</v>
      </c>
      <c r="D7" s="4" t="s">
        <v>1</v>
      </c>
      <c r="E7" s="3"/>
      <c r="F7" s="3"/>
    </row>
    <row r="8" spans="1:6" ht="14.5" x14ac:dyDescent="0.35">
      <c r="A8" s="3" t="s">
        <v>32</v>
      </c>
      <c r="B8" s="4" t="s">
        <v>31</v>
      </c>
      <c r="C8" s="25">
        <v>4</v>
      </c>
      <c r="D8" s="4" t="s">
        <v>4</v>
      </c>
      <c r="E8" s="3" t="s">
        <v>240</v>
      </c>
      <c r="F8" s="3"/>
    </row>
    <row r="9" spans="1:6" ht="14.5" x14ac:dyDescent="0.35">
      <c r="A9" s="3" t="s">
        <v>57</v>
      </c>
      <c r="B9" s="5" t="s">
        <v>178</v>
      </c>
      <c r="C9" s="25">
        <v>60</v>
      </c>
      <c r="D9" s="4" t="s">
        <v>33</v>
      </c>
      <c r="E9" s="3"/>
      <c r="F9" s="3"/>
    </row>
    <row r="10" spans="1:6" ht="14.5" x14ac:dyDescent="0.35">
      <c r="A10" s="3" t="s">
        <v>34</v>
      </c>
      <c r="B10" s="5" t="s">
        <v>35</v>
      </c>
      <c r="C10" s="47">
        <f>C8/(C9/100)</f>
        <v>6.666666666666667</v>
      </c>
      <c r="D10" s="4" t="s">
        <v>4</v>
      </c>
      <c r="E10" s="3"/>
      <c r="F10" s="3"/>
    </row>
    <row r="11" spans="1:6" ht="14.5" x14ac:dyDescent="0.35">
      <c r="A11" s="3" t="s">
        <v>59</v>
      </c>
      <c r="B11" s="4" t="s">
        <v>62</v>
      </c>
      <c r="C11" s="25">
        <v>2.5</v>
      </c>
      <c r="D11" s="4" t="s">
        <v>64</v>
      </c>
      <c r="E11" s="3"/>
      <c r="F11" s="3"/>
    </row>
    <row r="12" spans="1:6" ht="14.5" x14ac:dyDescent="0.35">
      <c r="A12" s="3" t="s">
        <v>60</v>
      </c>
      <c r="B12" s="4" t="s">
        <v>63</v>
      </c>
      <c r="C12" s="25">
        <v>2.5</v>
      </c>
      <c r="D12" s="4" t="s">
        <v>64</v>
      </c>
      <c r="E12" s="3"/>
      <c r="F12" s="3"/>
    </row>
    <row r="13" spans="1:6" x14ac:dyDescent="0.3">
      <c r="A13" s="24" t="s">
        <v>181</v>
      </c>
      <c r="B13" s="25" t="s">
        <v>41</v>
      </c>
      <c r="C13" s="25">
        <v>100</v>
      </c>
      <c r="D13" s="25" t="s">
        <v>183</v>
      </c>
      <c r="E13" s="3" t="s">
        <v>184</v>
      </c>
      <c r="F13" s="24"/>
    </row>
    <row r="14" spans="1:6" x14ac:dyDescent="0.3">
      <c r="A14" s="3" t="s">
        <v>182</v>
      </c>
      <c r="B14" s="4" t="s">
        <v>41</v>
      </c>
      <c r="C14" s="27">
        <f>C13/14</f>
        <v>7.1428571428571432</v>
      </c>
      <c r="D14" s="4" t="s">
        <v>42</v>
      </c>
      <c r="E14" s="3" t="s">
        <v>225</v>
      </c>
      <c r="F14" s="3"/>
    </row>
    <row r="15" spans="1:6" x14ac:dyDescent="0.3">
      <c r="A15" s="3" t="s">
        <v>43</v>
      </c>
      <c r="B15" s="4" t="s">
        <v>44</v>
      </c>
      <c r="C15" s="49">
        <v>80</v>
      </c>
      <c r="D15" s="4" t="s">
        <v>33</v>
      </c>
      <c r="E15" s="3"/>
      <c r="F15" s="3"/>
    </row>
    <row r="16" spans="1:6" x14ac:dyDescent="0.3">
      <c r="A16" s="3" t="s">
        <v>45</v>
      </c>
      <c r="B16" s="4" t="s">
        <v>46</v>
      </c>
      <c r="C16" s="27">
        <f>C14*(1-(C15/100))</f>
        <v>1.4285714285714284</v>
      </c>
      <c r="D16" s="4" t="s">
        <v>42</v>
      </c>
      <c r="E16" s="3"/>
      <c r="F16" s="3"/>
    </row>
    <row r="17" spans="1:6" ht="14.5" x14ac:dyDescent="0.35">
      <c r="A17" s="3" t="s">
        <v>188</v>
      </c>
      <c r="B17" s="4" t="s">
        <v>47</v>
      </c>
      <c r="C17" s="27">
        <f>(C14+C16)/2</f>
        <v>4.2857142857142856</v>
      </c>
      <c r="D17" s="4" t="s">
        <v>42</v>
      </c>
      <c r="E17" s="3"/>
      <c r="F17" s="3"/>
    </row>
    <row r="18" spans="1:6" x14ac:dyDescent="0.3">
      <c r="A18" s="3" t="s">
        <v>200</v>
      </c>
      <c r="B18" s="4" t="s">
        <v>66</v>
      </c>
      <c r="C18" s="27">
        <f>121.55*(C17/1000)*(-0.0315*(LOG10(C17/1000))^2-0.2336*(LOG10(C17/1000))+0.5529)</f>
        <v>0.48416611303073348</v>
      </c>
      <c r="D18" s="4" t="s">
        <v>67</v>
      </c>
      <c r="E18" s="3" t="s">
        <v>205</v>
      </c>
      <c r="F18" s="16" t="s">
        <v>103</v>
      </c>
    </row>
    <row r="19" spans="1:6" ht="14.5" x14ac:dyDescent="0.35">
      <c r="A19" s="3" t="s">
        <v>234</v>
      </c>
      <c r="B19" s="4" t="s">
        <v>65</v>
      </c>
      <c r="C19" s="47">
        <f>1000*C7/C18</f>
        <v>103.27034183994232</v>
      </c>
      <c r="D19" s="4" t="s">
        <v>64</v>
      </c>
      <c r="E19" s="3"/>
      <c r="F19" s="3"/>
    </row>
    <row r="20" spans="1:6" ht="14.5" x14ac:dyDescent="0.35">
      <c r="A20" s="3" t="s">
        <v>176</v>
      </c>
      <c r="B20" s="5" t="s">
        <v>177</v>
      </c>
      <c r="C20" s="25">
        <v>90</v>
      </c>
      <c r="D20" s="4" t="s">
        <v>33</v>
      </c>
      <c r="E20" s="3"/>
      <c r="F20" s="3"/>
    </row>
    <row r="21" spans="1:6" ht="14.5" x14ac:dyDescent="0.35">
      <c r="A21" s="3" t="s">
        <v>233</v>
      </c>
      <c r="B21" s="4" t="s">
        <v>68</v>
      </c>
      <c r="C21" s="47">
        <f>C19/(C20/100)</f>
        <v>114.74482426660258</v>
      </c>
      <c r="D21" s="4" t="s">
        <v>64</v>
      </c>
      <c r="E21" s="3" t="s">
        <v>205</v>
      </c>
      <c r="F21" s="16" t="s">
        <v>103</v>
      </c>
    </row>
    <row r="22" spans="1:6" x14ac:dyDescent="0.3">
      <c r="A22" s="3" t="s">
        <v>61</v>
      </c>
      <c r="B22" s="4" t="s">
        <v>69</v>
      </c>
      <c r="C22" s="25">
        <v>2000</v>
      </c>
      <c r="D22" s="4" t="s">
        <v>42</v>
      </c>
      <c r="E22" s="3" t="s">
        <v>199</v>
      </c>
      <c r="F22" s="3"/>
    </row>
    <row r="23" spans="1:6" x14ac:dyDescent="0.3">
      <c r="A23" s="3" t="s">
        <v>72</v>
      </c>
      <c r="B23" s="4" t="s">
        <v>73</v>
      </c>
      <c r="C23" s="8">
        <f>121.55*(C22/1000)*(-0.0315*(LOG10(C22/1000))^2-0.2336*(LOG10(C22/1000))+0.5529)</f>
        <v>116.62112140972427</v>
      </c>
      <c r="D23" s="4" t="s">
        <v>67</v>
      </c>
      <c r="E23" s="3"/>
      <c r="F23" s="3"/>
    </row>
    <row r="24" spans="1:6" ht="14.5" x14ac:dyDescent="0.35">
      <c r="A24" s="3" t="s">
        <v>70</v>
      </c>
      <c r="B24" s="4" t="s">
        <v>71</v>
      </c>
      <c r="C24" s="10">
        <f>1000*C7/C23</f>
        <v>0.42873880301952599</v>
      </c>
      <c r="D24" s="4" t="s">
        <v>64</v>
      </c>
      <c r="E24" s="3"/>
      <c r="F24" s="3"/>
    </row>
    <row r="25" spans="1:6" ht="14.5" x14ac:dyDescent="0.35">
      <c r="A25" s="3" t="s">
        <v>74</v>
      </c>
      <c r="B25" s="4" t="s">
        <v>75</v>
      </c>
      <c r="C25" s="10">
        <f>C24/(C20/100)</f>
        <v>0.4763764477994733</v>
      </c>
      <c r="D25" s="4" t="s">
        <v>64</v>
      </c>
      <c r="E25" s="3"/>
      <c r="F25" s="3"/>
    </row>
    <row r="26" spans="1:6" ht="14.5" x14ac:dyDescent="0.35">
      <c r="A26" s="3" t="s">
        <v>77</v>
      </c>
      <c r="B26" s="4" t="s">
        <v>76</v>
      </c>
      <c r="C26" s="8">
        <f>C11+C12+(C21+C25)</f>
        <v>120.22120071440204</v>
      </c>
      <c r="D26" s="4" t="s">
        <v>64</v>
      </c>
      <c r="E26" s="3" t="s">
        <v>221</v>
      </c>
      <c r="F26" s="3"/>
    </row>
    <row r="27" spans="1:6" x14ac:dyDescent="0.3">
      <c r="A27" s="3" t="s">
        <v>78</v>
      </c>
      <c r="B27" s="4" t="s">
        <v>79</v>
      </c>
      <c r="C27" s="4">
        <v>1.1000000000000001</v>
      </c>
      <c r="D27" s="4"/>
      <c r="E27" s="3" t="s">
        <v>213</v>
      </c>
      <c r="F27" s="3"/>
    </row>
    <row r="28" spans="1:6" ht="14.5" x14ac:dyDescent="0.35">
      <c r="A28" s="3" t="s">
        <v>80</v>
      </c>
      <c r="B28" s="4" t="s">
        <v>81</v>
      </c>
      <c r="C28" s="8">
        <f>C26*C27</f>
        <v>132.24332078584226</v>
      </c>
      <c r="D28" s="4" t="s">
        <v>64</v>
      </c>
      <c r="E28" s="3" t="s">
        <v>82</v>
      </c>
      <c r="F28" s="3"/>
    </row>
    <row r="29" spans="1:6" x14ac:dyDescent="0.3">
      <c r="A29" s="3" t="s">
        <v>202</v>
      </c>
      <c r="B29" s="4" t="s">
        <v>203</v>
      </c>
      <c r="C29" s="42">
        <f>1.9*0.00001*(-0.0315*(LOG10(C17/1000))^2-0.2336*LOG10(C17/1000)+0.5529)</f>
        <v>1.7659150701518598E-5</v>
      </c>
      <c r="D29" s="4" t="s">
        <v>204</v>
      </c>
      <c r="E29" s="3" t="s">
        <v>237</v>
      </c>
      <c r="F29" s="16" t="s">
        <v>103</v>
      </c>
    </row>
    <row r="30" spans="1:6" x14ac:dyDescent="0.3">
      <c r="A30" s="3" t="s">
        <v>218</v>
      </c>
      <c r="B30" s="4" t="s">
        <v>217</v>
      </c>
      <c r="C30" s="6">
        <f>4.66*96485*(C17/1000)*(C29^(2/3))*(C10/(C6*C7))^(1/3)</f>
        <v>2.0708411403481692</v>
      </c>
      <c r="D30" s="4" t="s">
        <v>38</v>
      </c>
      <c r="E30" s="3" t="s">
        <v>219</v>
      </c>
      <c r="F30" s="16" t="s">
        <v>207</v>
      </c>
    </row>
    <row r="31" spans="1:6" x14ac:dyDescent="0.3">
      <c r="A31" s="3" t="s">
        <v>37</v>
      </c>
      <c r="B31" s="4" t="s">
        <v>39</v>
      </c>
      <c r="C31" s="10">
        <f>C30*0.9</f>
        <v>1.8637570263133523</v>
      </c>
      <c r="D31" s="4" t="s">
        <v>38</v>
      </c>
      <c r="E31" s="3" t="s">
        <v>220</v>
      </c>
      <c r="F31" s="36" t="s">
        <v>208</v>
      </c>
    </row>
    <row r="32" spans="1:6" x14ac:dyDescent="0.3">
      <c r="A32" s="3" t="s">
        <v>94</v>
      </c>
      <c r="B32" s="4" t="s">
        <v>95</v>
      </c>
      <c r="C32" s="10">
        <f>C31*C3/1000</f>
        <v>8.3496314778838183</v>
      </c>
      <c r="D32" s="4" t="s">
        <v>8</v>
      </c>
      <c r="E32" s="3"/>
      <c r="F32" s="3"/>
    </row>
    <row r="33" spans="1:6" x14ac:dyDescent="0.3">
      <c r="A33" s="3" t="s">
        <v>211</v>
      </c>
      <c r="B33" s="4" t="s">
        <v>212</v>
      </c>
      <c r="C33" s="6">
        <f>2*0.059*LOG10(C22/C17)</f>
        <v>0.31494280015311188</v>
      </c>
      <c r="D33" s="4" t="s">
        <v>12</v>
      </c>
      <c r="E33" s="3" t="s">
        <v>214</v>
      </c>
      <c r="F33" s="3"/>
    </row>
    <row r="34" spans="1:6" x14ac:dyDescent="0.3">
      <c r="A34" s="3" t="s">
        <v>235</v>
      </c>
      <c r="B34" s="4" t="s">
        <v>83</v>
      </c>
      <c r="C34" s="6">
        <f>(C31*C28/1000)+C33</f>
        <v>0.56141221845073597</v>
      </c>
      <c r="D34" s="4" t="s">
        <v>12</v>
      </c>
      <c r="E34" s="3" t="s">
        <v>210</v>
      </c>
      <c r="F34" s="36" t="s">
        <v>185</v>
      </c>
    </row>
    <row r="35" spans="1:6" x14ac:dyDescent="0.3">
      <c r="A35" s="3" t="s">
        <v>88</v>
      </c>
      <c r="B35" s="4" t="s">
        <v>84</v>
      </c>
      <c r="C35" s="8">
        <f>C34*C2</f>
        <v>140.35305461268399</v>
      </c>
      <c r="D35" s="4" t="s">
        <v>12</v>
      </c>
      <c r="E35" s="3" t="s">
        <v>85</v>
      </c>
      <c r="F35" s="3"/>
    </row>
    <row r="36" spans="1:6" x14ac:dyDescent="0.3">
      <c r="A36" s="3" t="s">
        <v>86</v>
      </c>
      <c r="B36" s="4" t="s">
        <v>87</v>
      </c>
      <c r="C36" s="9">
        <v>80</v>
      </c>
      <c r="D36" s="4" t="s">
        <v>33</v>
      </c>
      <c r="E36" s="3" t="s">
        <v>201</v>
      </c>
      <c r="F36" s="3"/>
    </row>
    <row r="37" spans="1:6" x14ac:dyDescent="0.3">
      <c r="A37" s="3" t="s">
        <v>89</v>
      </c>
      <c r="B37" s="4" t="s">
        <v>90</v>
      </c>
      <c r="C37" s="8">
        <f>C35/(C36/100)</f>
        <v>175.44131826585499</v>
      </c>
      <c r="D37" s="4" t="s">
        <v>12</v>
      </c>
      <c r="E37" s="3" t="s">
        <v>91</v>
      </c>
      <c r="F37" s="3"/>
    </row>
    <row r="38" spans="1:6" x14ac:dyDescent="0.3">
      <c r="A38" s="3" t="s">
        <v>114</v>
      </c>
      <c r="B38" s="4" t="s">
        <v>113</v>
      </c>
      <c r="C38" s="8">
        <f>C32*C37</f>
        <v>1464.8703535140162</v>
      </c>
      <c r="D38" s="4" t="s">
        <v>11</v>
      </c>
      <c r="E38" s="3"/>
      <c r="F38" s="3"/>
    </row>
    <row r="39" spans="1:6" x14ac:dyDescent="0.3">
      <c r="A39" s="3" t="s">
        <v>48</v>
      </c>
      <c r="B39" s="4" t="s">
        <v>50</v>
      </c>
      <c r="C39" s="4">
        <v>24</v>
      </c>
      <c r="D39" s="4" t="s">
        <v>49</v>
      </c>
      <c r="E39" s="3"/>
      <c r="F39" s="3"/>
    </row>
    <row r="40" spans="1:6" x14ac:dyDescent="0.3">
      <c r="A40" s="3" t="s">
        <v>51</v>
      </c>
      <c r="B40" s="4" t="s">
        <v>52</v>
      </c>
      <c r="C40" s="4">
        <v>90</v>
      </c>
      <c r="D40" s="4" t="s">
        <v>33</v>
      </c>
      <c r="E40" s="3"/>
      <c r="F40" s="3"/>
    </row>
    <row r="41" spans="1:6" x14ac:dyDescent="0.3">
      <c r="A41" s="3" t="s">
        <v>193</v>
      </c>
      <c r="B41" s="4" t="s">
        <v>196</v>
      </c>
      <c r="C41" s="6">
        <f>C2*C32*C39*3600*(C40/100)*0.001/96485</f>
        <v>1.6823012481739279</v>
      </c>
      <c r="D41" s="4" t="s">
        <v>168</v>
      </c>
      <c r="E41" s="3"/>
      <c r="F41" s="3"/>
    </row>
    <row r="42" spans="1:6" x14ac:dyDescent="0.3">
      <c r="A42" s="3" t="s">
        <v>192</v>
      </c>
      <c r="B42" s="4" t="s">
        <v>197</v>
      </c>
      <c r="C42" s="9">
        <f>C41*62</f>
        <v>104.30267738678353</v>
      </c>
      <c r="D42" s="4" t="s">
        <v>167</v>
      </c>
      <c r="E42" s="3" t="s">
        <v>53</v>
      </c>
      <c r="F42" s="3"/>
    </row>
    <row r="43" spans="1:6" x14ac:dyDescent="0.3">
      <c r="A43" s="3" t="s">
        <v>92</v>
      </c>
      <c r="B43" s="4" t="s">
        <v>93</v>
      </c>
      <c r="C43" s="6">
        <f>C37*C32*C39/1000</f>
        <v>35.156888484336392</v>
      </c>
      <c r="D43" s="4" t="s">
        <v>198</v>
      </c>
      <c r="E43" s="3"/>
      <c r="F43" s="3"/>
    </row>
    <row r="44" spans="1:6" x14ac:dyDescent="0.3">
      <c r="A44" s="43" t="s">
        <v>96</v>
      </c>
      <c r="B44" s="44"/>
      <c r="C44" s="45">
        <f>C43/C41</f>
        <v>20.898093324544469</v>
      </c>
      <c r="D44" s="44" t="s">
        <v>166</v>
      </c>
      <c r="E44" s="43"/>
      <c r="F44" s="43"/>
    </row>
    <row r="45" spans="1:6" x14ac:dyDescent="0.3">
      <c r="A45" s="24" t="s">
        <v>129</v>
      </c>
      <c r="B45" s="25"/>
      <c r="C45" s="26">
        <v>7.0000000000000007E-2</v>
      </c>
      <c r="D45" s="25" t="s">
        <v>130</v>
      </c>
      <c r="E45" s="24"/>
      <c r="F45" s="3"/>
    </row>
    <row r="46" spans="1:6" x14ac:dyDescent="0.3">
      <c r="A46" s="11" t="s">
        <v>135</v>
      </c>
      <c r="B46" s="12" t="s">
        <v>209</v>
      </c>
      <c r="C46" s="28">
        <f>C44*C45</f>
        <v>1.462866532718113</v>
      </c>
      <c r="D46" s="12" t="s">
        <v>150</v>
      </c>
      <c r="E46" s="11"/>
      <c r="F46" s="11"/>
    </row>
    <row r="47" spans="1:6" x14ac:dyDescent="0.3">
      <c r="C47" s="46"/>
    </row>
    <row r="48" spans="1:6" x14ac:dyDescent="0.3">
      <c r="C48" s="46"/>
    </row>
  </sheetData>
  <pageMargins left="0.25" right="0.25" top="0.75" bottom="0.75" header="0.3" footer="0.3"/>
  <pageSetup scale="3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6"/>
  <sheetViews>
    <sheetView zoomScale="85" zoomScaleNormal="85" workbookViewId="0">
      <selection activeCell="C11" sqref="C11"/>
    </sheetView>
  </sheetViews>
  <sheetFormatPr defaultColWidth="8.7265625" defaultRowHeight="14" x14ac:dyDescent="0.3"/>
  <cols>
    <col min="1" max="1" width="31.453125" style="1" bestFit="1" customWidth="1"/>
    <col min="2" max="2" width="7.7265625" style="2" bestFit="1" customWidth="1"/>
    <col min="3" max="3" width="9.54296875" style="2" bestFit="1" customWidth="1"/>
    <col min="4" max="4" width="12.453125" style="2" bestFit="1" customWidth="1"/>
    <col min="5" max="5" width="35" style="1" customWidth="1"/>
    <col min="6" max="7" width="25.81640625" style="1" customWidth="1"/>
    <col min="8" max="16384" width="8.7265625" style="1"/>
  </cols>
  <sheetData>
    <row r="1" spans="1:6" x14ac:dyDescent="0.3">
      <c r="A1" s="33" t="s">
        <v>26</v>
      </c>
      <c r="B1" s="35" t="s">
        <v>27</v>
      </c>
      <c r="C1" s="35" t="s">
        <v>28</v>
      </c>
      <c r="D1" s="35" t="s">
        <v>29</v>
      </c>
      <c r="E1" s="33" t="s">
        <v>102</v>
      </c>
      <c r="F1" s="33" t="s">
        <v>154</v>
      </c>
    </row>
    <row r="2" spans="1:6" x14ac:dyDescent="0.3">
      <c r="A2" s="3" t="s">
        <v>5</v>
      </c>
      <c r="B2" s="4" t="s">
        <v>9</v>
      </c>
      <c r="C2" s="4">
        <f>'OPEX-Electrodialysis'!C2</f>
        <v>250</v>
      </c>
      <c r="D2" s="4"/>
      <c r="E2" s="3"/>
      <c r="F2" s="3"/>
    </row>
    <row r="3" spans="1:6" x14ac:dyDescent="0.3">
      <c r="A3" s="3" t="s">
        <v>109</v>
      </c>
      <c r="B3" s="4" t="s">
        <v>158</v>
      </c>
      <c r="C3" s="4">
        <f>'OPEX-Electrodialysis'!C3</f>
        <v>4480</v>
      </c>
      <c r="D3" s="4" t="s">
        <v>105</v>
      </c>
      <c r="E3" s="3"/>
      <c r="F3" s="3"/>
    </row>
    <row r="4" spans="1:6" x14ac:dyDescent="0.3">
      <c r="A4" s="3" t="s">
        <v>110</v>
      </c>
      <c r="B4" s="4" t="s">
        <v>159</v>
      </c>
      <c r="C4" s="4">
        <f>C2*C3/10000</f>
        <v>112</v>
      </c>
      <c r="D4" s="4" t="s">
        <v>134</v>
      </c>
      <c r="E4" s="3"/>
      <c r="F4" s="3"/>
    </row>
    <row r="5" spans="1:6" x14ac:dyDescent="0.3">
      <c r="A5" s="3" t="s">
        <v>0</v>
      </c>
      <c r="B5" s="4" t="s">
        <v>11</v>
      </c>
      <c r="C5" s="4">
        <f>'OPEX-Electrodialysis'!C5</f>
        <v>134</v>
      </c>
      <c r="D5" s="4" t="s">
        <v>1</v>
      </c>
      <c r="E5" s="3"/>
      <c r="F5" s="3"/>
    </row>
    <row r="6" spans="1:6" x14ac:dyDescent="0.3">
      <c r="A6" s="3" t="s">
        <v>17</v>
      </c>
      <c r="B6" s="4" t="s">
        <v>10</v>
      </c>
      <c r="C6" s="4">
        <f>'OPEX-Electrodialysis'!C6</f>
        <v>33.5</v>
      </c>
      <c r="D6" s="4" t="s">
        <v>1</v>
      </c>
      <c r="E6" s="24"/>
      <c r="F6" s="3"/>
    </row>
    <row r="7" spans="1:6" x14ac:dyDescent="0.3">
      <c r="A7" s="3" t="s">
        <v>2</v>
      </c>
      <c r="B7" s="4" t="s">
        <v>7</v>
      </c>
      <c r="C7" s="4">
        <f>'OPEX-Electrodialysis'!C7</f>
        <v>0.05</v>
      </c>
      <c r="D7" s="4" t="s">
        <v>1</v>
      </c>
      <c r="E7" s="24"/>
      <c r="F7" s="3"/>
    </row>
    <row r="8" spans="1:6" ht="14.5" x14ac:dyDescent="0.35">
      <c r="A8" s="3" t="s">
        <v>32</v>
      </c>
      <c r="B8" s="4" t="s">
        <v>31</v>
      </c>
      <c r="C8" s="4">
        <f>'OPEX-Electrodialysis'!C8</f>
        <v>4</v>
      </c>
      <c r="D8" s="4" t="s">
        <v>4</v>
      </c>
      <c r="E8" s="24"/>
      <c r="F8" s="36" t="s">
        <v>185</v>
      </c>
    </row>
    <row r="9" spans="1:6" ht="14.5" x14ac:dyDescent="0.35">
      <c r="A9" s="3" t="s">
        <v>57</v>
      </c>
      <c r="B9" s="5" t="s">
        <v>178</v>
      </c>
      <c r="C9" s="4">
        <f>'OPEX-Electrodialysis'!C9</f>
        <v>60</v>
      </c>
      <c r="D9" s="4" t="s">
        <v>33</v>
      </c>
      <c r="E9" s="24"/>
      <c r="F9" s="3"/>
    </row>
    <row r="10" spans="1:6" ht="14.5" x14ac:dyDescent="0.35">
      <c r="A10" s="3" t="s">
        <v>34</v>
      </c>
      <c r="B10" s="5" t="s">
        <v>35</v>
      </c>
      <c r="C10" s="8">
        <f>C8/(C9/100)</f>
        <v>6.666666666666667</v>
      </c>
      <c r="D10" s="4" t="s">
        <v>4</v>
      </c>
      <c r="E10" s="24"/>
      <c r="F10" s="3"/>
    </row>
    <row r="11" spans="1:6" ht="14.5" x14ac:dyDescent="0.35">
      <c r="A11" s="3" t="s">
        <v>232</v>
      </c>
      <c r="B11" s="5" t="s">
        <v>56</v>
      </c>
      <c r="C11" s="6">
        <f>4*(C9/100)/((2/C7)+(1-C9/100)*(8/C7))</f>
        <v>2.3076923076923075E-2</v>
      </c>
      <c r="D11" s="4" t="s">
        <v>1</v>
      </c>
      <c r="E11" s="24" t="s">
        <v>99</v>
      </c>
      <c r="F11" s="36" t="s">
        <v>100</v>
      </c>
    </row>
    <row r="12" spans="1:6" ht="14.5" x14ac:dyDescent="0.35">
      <c r="A12" s="24" t="s">
        <v>30</v>
      </c>
      <c r="B12" s="25" t="s">
        <v>30</v>
      </c>
      <c r="C12" s="47">
        <f>1000*(C10/100)*(C7/100)/0.001</f>
        <v>33.333333333333336</v>
      </c>
      <c r="D12" s="25"/>
      <c r="E12" s="24" t="s">
        <v>36</v>
      </c>
      <c r="F12" s="24"/>
    </row>
    <row r="13" spans="1:6" x14ac:dyDescent="0.3">
      <c r="A13" s="3" t="s">
        <v>6</v>
      </c>
      <c r="B13" s="4" t="s">
        <v>14</v>
      </c>
      <c r="C13" s="4">
        <f>C8*C5*C7*0.001*60</f>
        <v>1.6080000000000001</v>
      </c>
      <c r="D13" s="4" t="s">
        <v>3</v>
      </c>
      <c r="E13" s="24"/>
      <c r="F13" s="3"/>
    </row>
    <row r="14" spans="1:6" x14ac:dyDescent="0.3">
      <c r="A14" s="3" t="s">
        <v>97</v>
      </c>
      <c r="B14" s="4" t="s">
        <v>13</v>
      </c>
      <c r="C14" s="4">
        <f>C10*C5*C7*0.001*60*C2</f>
        <v>670.00000000000011</v>
      </c>
      <c r="D14" s="4" t="s">
        <v>3</v>
      </c>
      <c r="E14" s="24"/>
      <c r="F14" s="3"/>
    </row>
    <row r="15" spans="1:6" ht="14.5" x14ac:dyDescent="0.35">
      <c r="A15" s="3" t="s">
        <v>16</v>
      </c>
      <c r="B15" s="4" t="s">
        <v>187</v>
      </c>
      <c r="C15" s="9">
        <f>48*0.001*(C10/100)*(C6/100)/((C11/100)^2)</f>
        <v>20129.777777777785</v>
      </c>
      <c r="D15" s="4" t="s">
        <v>15</v>
      </c>
      <c r="E15" s="48" t="s">
        <v>58</v>
      </c>
      <c r="F15" s="36" t="s">
        <v>101</v>
      </c>
    </row>
    <row r="16" spans="1:6" x14ac:dyDescent="0.3">
      <c r="A16" s="3" t="s">
        <v>18</v>
      </c>
      <c r="B16" s="4" t="s">
        <v>20</v>
      </c>
      <c r="C16" s="4">
        <v>0.5</v>
      </c>
      <c r="D16" s="4"/>
      <c r="E16" s="24" t="s">
        <v>222</v>
      </c>
      <c r="F16" s="36" t="s">
        <v>101</v>
      </c>
    </row>
    <row r="17" spans="1:6" ht="14.5" x14ac:dyDescent="0.35">
      <c r="A17" s="3" t="s">
        <v>19</v>
      </c>
      <c r="B17" s="5" t="s">
        <v>186</v>
      </c>
      <c r="C17" s="9">
        <f>C15/C16</f>
        <v>40259.555555555569</v>
      </c>
      <c r="D17" s="4" t="s">
        <v>15</v>
      </c>
      <c r="E17" s="24" t="s">
        <v>223</v>
      </c>
      <c r="F17" s="3"/>
    </row>
    <row r="18" spans="1:6" x14ac:dyDescent="0.3">
      <c r="A18" s="3" t="s">
        <v>239</v>
      </c>
      <c r="B18" s="4" t="s">
        <v>25</v>
      </c>
      <c r="C18" s="10">
        <f>C17*C14*0.001/60</f>
        <v>449.56503703703726</v>
      </c>
      <c r="D18" s="4" t="s">
        <v>11</v>
      </c>
      <c r="E18" s="24" t="s">
        <v>224</v>
      </c>
      <c r="F18" s="3"/>
    </row>
    <row r="19" spans="1:6" ht="14.5" x14ac:dyDescent="0.35">
      <c r="A19" s="3" t="s">
        <v>21</v>
      </c>
      <c r="B19" s="5" t="s">
        <v>22</v>
      </c>
      <c r="C19" s="4">
        <v>0.8</v>
      </c>
      <c r="D19" s="4" t="s">
        <v>11</v>
      </c>
      <c r="E19" s="24" t="s">
        <v>179</v>
      </c>
      <c r="F19" s="3"/>
    </row>
    <row r="20" spans="1:6" ht="14.5" x14ac:dyDescent="0.35">
      <c r="A20" s="3" t="s">
        <v>23</v>
      </c>
      <c r="B20" s="4" t="s">
        <v>24</v>
      </c>
      <c r="C20" s="10">
        <f>C18/C19</f>
        <v>561.9562962962965</v>
      </c>
      <c r="D20" s="4" t="s">
        <v>11</v>
      </c>
      <c r="E20" s="24" t="s">
        <v>98</v>
      </c>
      <c r="F20" s="3"/>
    </row>
    <row r="21" spans="1:6" x14ac:dyDescent="0.3">
      <c r="A21" s="3" t="s">
        <v>40</v>
      </c>
      <c r="B21" s="4" t="s">
        <v>41</v>
      </c>
      <c r="C21" s="10">
        <f>'OPEX-Electrodialysis'!C14</f>
        <v>7.1428571428571432</v>
      </c>
      <c r="D21" s="4" t="s">
        <v>42</v>
      </c>
      <c r="E21" s="24" t="s">
        <v>225</v>
      </c>
      <c r="F21" s="3"/>
    </row>
    <row r="22" spans="1:6" x14ac:dyDescent="0.3">
      <c r="A22" s="3" t="s">
        <v>43</v>
      </c>
      <c r="B22" s="4" t="s">
        <v>44</v>
      </c>
      <c r="C22" s="9">
        <f>'OPEX-Electrodialysis'!C15</f>
        <v>80</v>
      </c>
      <c r="D22" s="4" t="s">
        <v>33</v>
      </c>
      <c r="E22" s="24" t="s">
        <v>180</v>
      </c>
      <c r="F22" s="3"/>
    </row>
    <row r="23" spans="1:6" x14ac:dyDescent="0.3">
      <c r="A23" s="3" t="s">
        <v>45</v>
      </c>
      <c r="B23" s="4" t="s">
        <v>46</v>
      </c>
      <c r="C23" s="10">
        <f>C21*(1-(C22/100))</f>
        <v>1.4285714285714284</v>
      </c>
      <c r="D23" s="4" t="s">
        <v>42</v>
      </c>
      <c r="E23" s="24"/>
      <c r="F23" s="3"/>
    </row>
    <row r="24" spans="1:6" ht="14.5" x14ac:dyDescent="0.35">
      <c r="A24" s="3" t="s">
        <v>188</v>
      </c>
      <c r="B24" s="4" t="s">
        <v>47</v>
      </c>
      <c r="C24" s="10">
        <f>(C21+C23)/2</f>
        <v>4.2857142857142856</v>
      </c>
      <c r="D24" s="4" t="s">
        <v>42</v>
      </c>
      <c r="E24" s="24"/>
      <c r="F24" s="3"/>
    </row>
    <row r="25" spans="1:6" x14ac:dyDescent="0.3">
      <c r="A25" s="3" t="s">
        <v>190</v>
      </c>
      <c r="B25" s="4" t="s">
        <v>191</v>
      </c>
      <c r="C25" s="8">
        <f>(1/(C21/1000))/(C22/100)</f>
        <v>175</v>
      </c>
      <c r="D25" s="4" t="s">
        <v>133</v>
      </c>
      <c r="E25" s="24" t="s">
        <v>189</v>
      </c>
      <c r="F25" s="3"/>
    </row>
    <row r="26" spans="1:6" x14ac:dyDescent="0.3">
      <c r="A26" s="3" t="s">
        <v>37</v>
      </c>
      <c r="B26" s="4" t="s">
        <v>39</v>
      </c>
      <c r="C26" s="10">
        <f>'OPEX-Electrodialysis'!C31</f>
        <v>1.8637570263133523</v>
      </c>
      <c r="D26" s="4" t="s">
        <v>38</v>
      </c>
      <c r="E26" s="24"/>
      <c r="F26" s="3"/>
    </row>
    <row r="27" spans="1:6" x14ac:dyDescent="0.3">
      <c r="A27" s="3" t="s">
        <v>94</v>
      </c>
      <c r="B27" s="4" t="s">
        <v>95</v>
      </c>
      <c r="C27" s="10">
        <f>C3*C26/1000</f>
        <v>8.3496314778838183</v>
      </c>
      <c r="D27" s="4" t="s">
        <v>8</v>
      </c>
      <c r="E27" s="24"/>
      <c r="F27" s="3"/>
    </row>
    <row r="28" spans="1:6" x14ac:dyDescent="0.3">
      <c r="A28" s="3" t="s">
        <v>48</v>
      </c>
      <c r="B28" s="4" t="s">
        <v>50</v>
      </c>
      <c r="C28" s="4">
        <f>'OPEX-Electrodialysis'!C39</f>
        <v>24</v>
      </c>
      <c r="D28" s="4" t="s">
        <v>49</v>
      </c>
      <c r="E28" s="24"/>
      <c r="F28" s="3"/>
    </row>
    <row r="29" spans="1:6" x14ac:dyDescent="0.3">
      <c r="A29" s="3" t="s">
        <v>51</v>
      </c>
      <c r="B29" s="4" t="s">
        <v>52</v>
      </c>
      <c r="C29" s="4">
        <f>'OPEX-Electrodialysis'!C40</f>
        <v>90</v>
      </c>
      <c r="D29" s="4" t="s">
        <v>33</v>
      </c>
      <c r="E29" s="24"/>
      <c r="F29" s="3"/>
    </row>
    <row r="30" spans="1:6" x14ac:dyDescent="0.3">
      <c r="A30" s="3" t="s">
        <v>193</v>
      </c>
      <c r="B30" s="4" t="s">
        <v>196</v>
      </c>
      <c r="C30" s="6">
        <f>C2*C27*C28*3600*(C29/100)*0.001/96485</f>
        <v>1.6823012481739279</v>
      </c>
      <c r="D30" s="4" t="s">
        <v>168</v>
      </c>
      <c r="E30" s="24"/>
      <c r="F30" s="3"/>
    </row>
    <row r="31" spans="1:6" x14ac:dyDescent="0.3">
      <c r="A31" s="3" t="s">
        <v>192</v>
      </c>
      <c r="B31" s="4" t="s">
        <v>197</v>
      </c>
      <c r="C31" s="8">
        <f>C30*62</f>
        <v>104.30267738678353</v>
      </c>
      <c r="D31" s="4" t="s">
        <v>167</v>
      </c>
      <c r="E31" s="24" t="s">
        <v>53</v>
      </c>
      <c r="F31" s="3"/>
    </row>
    <row r="32" spans="1:6" x14ac:dyDescent="0.3">
      <c r="A32" s="3" t="s">
        <v>194</v>
      </c>
      <c r="B32" s="4" t="s">
        <v>132</v>
      </c>
      <c r="C32" s="8">
        <f>(C30/(C21/1000))/(C22/100)</f>
        <v>294.40271843043735</v>
      </c>
      <c r="D32" s="4" t="s">
        <v>131</v>
      </c>
      <c r="E32" s="24"/>
      <c r="F32" s="3"/>
    </row>
    <row r="33" spans="1:6" x14ac:dyDescent="0.3">
      <c r="A33" s="3" t="s">
        <v>195</v>
      </c>
      <c r="B33" s="4" t="s">
        <v>54</v>
      </c>
      <c r="C33" s="6">
        <f>C20*C28/1000</f>
        <v>13.486951111111116</v>
      </c>
      <c r="D33" s="4" t="s">
        <v>55</v>
      </c>
      <c r="E33" s="24"/>
      <c r="F33" s="3"/>
    </row>
    <row r="34" spans="1:6" x14ac:dyDescent="0.3">
      <c r="A34" s="43" t="s">
        <v>216</v>
      </c>
      <c r="B34" s="44"/>
      <c r="C34" s="45">
        <f>C33/C30</f>
        <v>8.0169655260915214</v>
      </c>
      <c r="D34" s="44" t="s">
        <v>166</v>
      </c>
      <c r="E34" s="43"/>
      <c r="F34" s="43"/>
    </row>
    <row r="35" spans="1:6" x14ac:dyDescent="0.3">
      <c r="A35" s="24" t="s">
        <v>129</v>
      </c>
      <c r="B35" s="25"/>
      <c r="C35" s="26">
        <f>'OPEX-Electrodialysis'!C45</f>
        <v>7.0000000000000007E-2</v>
      </c>
      <c r="D35" s="25" t="s">
        <v>130</v>
      </c>
      <c r="E35" s="24"/>
      <c r="F35" s="3"/>
    </row>
    <row r="36" spans="1:6" x14ac:dyDescent="0.3">
      <c r="A36" s="11" t="s">
        <v>215</v>
      </c>
      <c r="B36" s="12" t="s">
        <v>145</v>
      </c>
      <c r="C36" s="28">
        <f>C34*C35</f>
        <v>0.56118758682640657</v>
      </c>
      <c r="D36" s="12" t="s">
        <v>150</v>
      </c>
      <c r="E36" s="11"/>
      <c r="F36" s="11"/>
    </row>
  </sheetData>
  <pageMargins left="0.25" right="0.25" top="0.75" bottom="0.75" header="0.3" footer="0.3"/>
  <pageSetup scale="97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69B7D-5770-4862-AB37-E7F0B796BA28}">
  <sheetPr>
    <pageSetUpPr fitToPage="1"/>
  </sheetPr>
  <dimension ref="A1:F23"/>
  <sheetViews>
    <sheetView zoomScale="85" zoomScaleNormal="85" workbookViewId="0">
      <selection activeCell="F24" sqref="A1:F24"/>
    </sheetView>
  </sheetViews>
  <sheetFormatPr defaultColWidth="8.7265625" defaultRowHeight="14" x14ac:dyDescent="0.3"/>
  <cols>
    <col min="1" max="1" width="30.81640625" style="1" bestFit="1" customWidth="1"/>
    <col min="2" max="2" width="8.453125" style="14" bestFit="1" customWidth="1"/>
    <col min="3" max="3" width="8.7265625" style="14"/>
    <col min="4" max="4" width="12.453125" style="14" bestFit="1" customWidth="1"/>
    <col min="5" max="5" width="44.81640625" style="1" bestFit="1" customWidth="1"/>
    <col min="6" max="6" width="31.6328125" style="1" customWidth="1"/>
    <col min="7" max="16384" width="8.7265625" style="1"/>
  </cols>
  <sheetData>
    <row r="1" spans="1:6" x14ac:dyDescent="0.3">
      <c r="A1" s="33" t="s">
        <v>26</v>
      </c>
      <c r="B1" s="35" t="s">
        <v>27</v>
      </c>
      <c r="C1" s="35" t="s">
        <v>28</v>
      </c>
      <c r="D1" s="35" t="s">
        <v>29</v>
      </c>
      <c r="E1" s="33" t="s">
        <v>102</v>
      </c>
      <c r="F1" s="33" t="s">
        <v>154</v>
      </c>
    </row>
    <row r="2" spans="1:6" x14ac:dyDescent="0.3">
      <c r="A2" s="3" t="s">
        <v>126</v>
      </c>
      <c r="B2" s="13" t="s">
        <v>104</v>
      </c>
      <c r="C2" s="15">
        <v>35000</v>
      </c>
      <c r="D2" s="13" t="s">
        <v>107</v>
      </c>
      <c r="E2" s="16" t="s">
        <v>108</v>
      </c>
      <c r="F2" s="36" t="s">
        <v>175</v>
      </c>
    </row>
    <row r="3" spans="1:6" x14ac:dyDescent="0.3">
      <c r="A3" s="3" t="s">
        <v>5</v>
      </c>
      <c r="B3" s="13" t="s">
        <v>9</v>
      </c>
      <c r="C3" s="13">
        <v>250</v>
      </c>
      <c r="D3" s="13" t="s">
        <v>106</v>
      </c>
      <c r="E3" s="3"/>
      <c r="F3" s="3"/>
    </row>
    <row r="4" spans="1:6" x14ac:dyDescent="0.3">
      <c r="A4" s="3" t="s">
        <v>230</v>
      </c>
      <c r="B4" s="13" t="s">
        <v>11</v>
      </c>
      <c r="C4" s="13">
        <v>40</v>
      </c>
      <c r="D4" s="13" t="s">
        <v>1</v>
      </c>
      <c r="E4" s="3"/>
      <c r="F4" s="3"/>
    </row>
    <row r="5" spans="1:6" x14ac:dyDescent="0.3">
      <c r="A5" s="3" t="s">
        <v>231</v>
      </c>
      <c r="B5" s="13" t="s">
        <v>10</v>
      </c>
      <c r="C5" s="13">
        <v>160</v>
      </c>
      <c r="D5" s="13" t="s">
        <v>1</v>
      </c>
      <c r="E5" s="3"/>
      <c r="F5" s="3"/>
    </row>
    <row r="6" spans="1:6" x14ac:dyDescent="0.3">
      <c r="A6" s="3" t="s">
        <v>155</v>
      </c>
      <c r="B6" s="13" t="s">
        <v>160</v>
      </c>
      <c r="C6" s="13">
        <f>C4*C5</f>
        <v>6400</v>
      </c>
      <c r="D6" s="13" t="s">
        <v>105</v>
      </c>
      <c r="E6" s="3"/>
      <c r="F6" s="3"/>
    </row>
    <row r="7" spans="1:6" x14ac:dyDescent="0.3">
      <c r="A7" s="3" t="s">
        <v>156</v>
      </c>
      <c r="B7" s="13" t="s">
        <v>157</v>
      </c>
      <c r="C7" s="13">
        <v>70</v>
      </c>
      <c r="D7" s="13" t="s">
        <v>33</v>
      </c>
      <c r="E7" s="3"/>
      <c r="F7" s="3"/>
    </row>
    <row r="8" spans="1:6" x14ac:dyDescent="0.3">
      <c r="A8" s="3" t="s">
        <v>109</v>
      </c>
      <c r="B8" s="13" t="s">
        <v>158</v>
      </c>
      <c r="C8" s="13">
        <f>C6*(C7/100)</f>
        <v>4480</v>
      </c>
      <c r="D8" s="13" t="s">
        <v>105</v>
      </c>
      <c r="E8" s="17"/>
      <c r="F8" s="3"/>
    </row>
    <row r="9" spans="1:6" x14ac:dyDescent="0.3">
      <c r="A9" s="3" t="s">
        <v>115</v>
      </c>
      <c r="B9" s="13" t="s">
        <v>159</v>
      </c>
      <c r="C9" s="13">
        <f>C3*C8/10000</f>
        <v>112</v>
      </c>
      <c r="D9" s="13" t="s">
        <v>134</v>
      </c>
      <c r="E9" s="3"/>
      <c r="F9" s="3"/>
    </row>
    <row r="10" spans="1:6" x14ac:dyDescent="0.3">
      <c r="A10" s="3" t="s">
        <v>37</v>
      </c>
      <c r="B10" s="4" t="s">
        <v>39</v>
      </c>
      <c r="C10" s="10">
        <f>'OPEX-Electrodialysis'!C31</f>
        <v>1.8637570263133523</v>
      </c>
      <c r="D10" s="4" t="s">
        <v>38</v>
      </c>
      <c r="E10" s="3"/>
      <c r="F10" s="3"/>
    </row>
    <row r="11" spans="1:6" x14ac:dyDescent="0.3">
      <c r="A11" s="3" t="s">
        <v>94</v>
      </c>
      <c r="B11" s="4" t="s">
        <v>95</v>
      </c>
      <c r="C11" s="10">
        <f>C10*C8/1000</f>
        <v>8.3496314778838183</v>
      </c>
      <c r="D11" s="4" t="s">
        <v>8</v>
      </c>
      <c r="E11" s="3"/>
      <c r="F11" s="3"/>
    </row>
    <row r="12" spans="1:6" x14ac:dyDescent="0.3">
      <c r="A12" s="3" t="s">
        <v>51</v>
      </c>
      <c r="B12" s="4" t="s">
        <v>52</v>
      </c>
      <c r="C12" s="4">
        <v>90</v>
      </c>
      <c r="D12" s="4" t="s">
        <v>33</v>
      </c>
      <c r="E12" s="3"/>
      <c r="F12" s="3"/>
    </row>
    <row r="13" spans="1:6" x14ac:dyDescent="0.3">
      <c r="A13" s="3" t="s">
        <v>161</v>
      </c>
      <c r="B13" s="13" t="s">
        <v>196</v>
      </c>
      <c r="C13" s="18">
        <f>C3*C11*(C12/100)*3600*24*0.001/96485</f>
        <v>1.6823012481739283</v>
      </c>
      <c r="D13" s="13" t="s">
        <v>168</v>
      </c>
      <c r="E13" s="3"/>
      <c r="F13" s="3"/>
    </row>
    <row r="14" spans="1:6" x14ac:dyDescent="0.3">
      <c r="A14" s="3" t="s">
        <v>111</v>
      </c>
      <c r="B14" s="13" t="s">
        <v>163</v>
      </c>
      <c r="C14" s="13">
        <v>83.3</v>
      </c>
      <c r="D14" s="13" t="s">
        <v>33</v>
      </c>
      <c r="E14" s="3" t="s">
        <v>112</v>
      </c>
      <c r="F14" s="3"/>
    </row>
    <row r="15" spans="1:6" x14ac:dyDescent="0.3">
      <c r="A15" s="3" t="s">
        <v>162</v>
      </c>
      <c r="B15" s="13" t="s">
        <v>206</v>
      </c>
      <c r="C15" s="19">
        <f>C13*365*(C14/100)</f>
        <v>511.49528300104197</v>
      </c>
      <c r="D15" s="13" t="s">
        <v>169</v>
      </c>
      <c r="E15" s="3" t="s">
        <v>226</v>
      </c>
      <c r="F15" s="3"/>
    </row>
    <row r="16" spans="1:6" x14ac:dyDescent="0.3">
      <c r="A16" s="3" t="s">
        <v>153</v>
      </c>
      <c r="B16" s="13" t="s">
        <v>165</v>
      </c>
      <c r="C16" s="13">
        <v>19</v>
      </c>
      <c r="D16" s="13" t="s">
        <v>33</v>
      </c>
      <c r="E16" s="3" t="s">
        <v>117</v>
      </c>
      <c r="F16" s="36" t="s">
        <v>174</v>
      </c>
    </row>
    <row r="17" spans="1:6" x14ac:dyDescent="0.3">
      <c r="A17" s="3" t="s">
        <v>152</v>
      </c>
      <c r="B17" s="13" t="s">
        <v>116</v>
      </c>
      <c r="C17" s="13">
        <f>C2*(C16/100)</f>
        <v>6650</v>
      </c>
      <c r="D17" s="13" t="s">
        <v>118</v>
      </c>
      <c r="E17" s="3" t="s">
        <v>172</v>
      </c>
      <c r="F17" s="36" t="s">
        <v>174</v>
      </c>
    </row>
    <row r="18" spans="1:6" x14ac:dyDescent="0.3">
      <c r="A18" s="3" t="s">
        <v>124</v>
      </c>
      <c r="B18" s="13" t="s">
        <v>125</v>
      </c>
      <c r="C18" s="15">
        <f>C2+C17</f>
        <v>41650</v>
      </c>
      <c r="D18" s="13" t="s">
        <v>118</v>
      </c>
      <c r="E18" s="3" t="s">
        <v>227</v>
      </c>
      <c r="F18" s="36" t="s">
        <v>170</v>
      </c>
    </row>
    <row r="19" spans="1:6" x14ac:dyDescent="0.3">
      <c r="A19" s="3" t="s">
        <v>119</v>
      </c>
      <c r="B19" s="13" t="s">
        <v>50</v>
      </c>
      <c r="C19" s="13">
        <v>40</v>
      </c>
      <c r="D19" s="13" t="s">
        <v>136</v>
      </c>
      <c r="E19" s="3"/>
      <c r="F19" s="3"/>
    </row>
    <row r="20" spans="1:6" x14ac:dyDescent="0.3">
      <c r="A20" s="3" t="s">
        <v>120</v>
      </c>
      <c r="B20" s="13" t="s">
        <v>164</v>
      </c>
      <c r="C20" s="13">
        <v>3</v>
      </c>
      <c r="D20" s="13" t="s">
        <v>33</v>
      </c>
      <c r="E20" s="3" t="s">
        <v>171</v>
      </c>
      <c r="F20" s="36" t="s">
        <v>173</v>
      </c>
    </row>
    <row r="21" spans="1:6" x14ac:dyDescent="0.3">
      <c r="A21" s="3" t="s">
        <v>137</v>
      </c>
      <c r="B21" s="13" t="s">
        <v>121</v>
      </c>
      <c r="C21" s="20">
        <f>(C20/100)*(1+(C20/100))^C19/((1+(C20/100))^C19-1)</f>
        <v>4.3262377890462896E-2</v>
      </c>
      <c r="D21" s="13"/>
      <c r="E21" s="3" t="s">
        <v>236</v>
      </c>
      <c r="F21" s="3"/>
    </row>
    <row r="22" spans="1:6" x14ac:dyDescent="0.3">
      <c r="A22" s="3" t="s">
        <v>122</v>
      </c>
      <c r="B22" s="13" t="s">
        <v>123</v>
      </c>
      <c r="C22" s="21">
        <f>C18*C21</f>
        <v>1801.8780391377795</v>
      </c>
      <c r="D22" s="13" t="s">
        <v>118</v>
      </c>
      <c r="E22" s="3" t="s">
        <v>228</v>
      </c>
      <c r="F22" s="36" t="s">
        <v>170</v>
      </c>
    </row>
    <row r="23" spans="1:6" x14ac:dyDescent="0.3">
      <c r="A23" s="11" t="s">
        <v>127</v>
      </c>
      <c r="B23" s="22" t="s">
        <v>128</v>
      </c>
      <c r="C23" s="23">
        <f>C22/C15</f>
        <v>3.5227657009187099</v>
      </c>
      <c r="D23" s="22" t="s">
        <v>150</v>
      </c>
      <c r="E23" s="11" t="s">
        <v>229</v>
      </c>
      <c r="F23" s="11"/>
    </row>
  </sheetData>
  <pageMargins left="0.7" right="0.7" top="0.75" bottom="0.75" header="0.3" footer="0.3"/>
  <pageSetup scale="86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23288-3FBA-4661-B927-87AE7DB08330}">
  <sheetPr>
    <pageSetUpPr fitToPage="1"/>
  </sheetPr>
  <dimension ref="A1:F7"/>
  <sheetViews>
    <sheetView workbookViewId="0">
      <selection activeCell="A3" sqref="A3"/>
    </sheetView>
  </sheetViews>
  <sheetFormatPr defaultColWidth="8.7265625" defaultRowHeight="14" x14ac:dyDescent="0.3"/>
  <cols>
    <col min="1" max="1" width="31.54296875" style="1" bestFit="1" customWidth="1"/>
    <col min="2" max="3" width="8.7265625" style="14"/>
    <col min="4" max="4" width="11" style="14" bestFit="1" customWidth="1"/>
    <col min="5" max="5" width="53.54296875" style="1" bestFit="1" customWidth="1"/>
    <col min="6" max="6" width="14.54296875" style="1" bestFit="1" customWidth="1"/>
    <col min="7" max="16384" width="8.7265625" style="1"/>
  </cols>
  <sheetData>
    <row r="1" spans="1:6" x14ac:dyDescent="0.3">
      <c r="A1" s="33" t="s">
        <v>26</v>
      </c>
      <c r="B1" s="34" t="s">
        <v>27</v>
      </c>
      <c r="C1" s="34" t="s">
        <v>28</v>
      </c>
      <c r="D1" s="34" t="s">
        <v>29</v>
      </c>
      <c r="E1" s="33" t="s">
        <v>102</v>
      </c>
      <c r="F1" s="33" t="s">
        <v>154</v>
      </c>
    </row>
    <row r="2" spans="1:6" x14ac:dyDescent="0.3">
      <c r="A2" s="3" t="s">
        <v>143</v>
      </c>
      <c r="B2" s="13" t="s">
        <v>209</v>
      </c>
      <c r="C2" s="21">
        <f>'OPEX-Electrodialysis'!C46</f>
        <v>1.462866532718113</v>
      </c>
      <c r="D2" s="13" t="s">
        <v>150</v>
      </c>
      <c r="E2" s="3"/>
      <c r="F2" s="3"/>
    </row>
    <row r="3" spans="1:6" x14ac:dyDescent="0.3">
      <c r="A3" s="3" t="s">
        <v>142</v>
      </c>
      <c r="B3" s="13" t="s">
        <v>145</v>
      </c>
      <c r="C3" s="21">
        <f>'OPEX-Pumping'!C36</f>
        <v>0.56118758682640657</v>
      </c>
      <c r="D3" s="13" t="s">
        <v>150</v>
      </c>
      <c r="E3" s="3"/>
      <c r="F3" s="3"/>
    </row>
    <row r="4" spans="1:6" x14ac:dyDescent="0.3">
      <c r="A4" s="3" t="s">
        <v>144</v>
      </c>
      <c r="B4" s="13" t="s">
        <v>146</v>
      </c>
      <c r="C4" s="21">
        <f>(C2+C3)*0.1</f>
        <v>0.20240541195445197</v>
      </c>
      <c r="D4" s="13" t="s">
        <v>150</v>
      </c>
      <c r="E4" s="3" t="s">
        <v>148</v>
      </c>
      <c r="F4" s="3"/>
    </row>
    <row r="5" spans="1:6" x14ac:dyDescent="0.3">
      <c r="A5" s="29" t="s">
        <v>141</v>
      </c>
      <c r="B5" s="30" t="s">
        <v>147</v>
      </c>
      <c r="C5" s="31">
        <f>SUM(C2:C4)</f>
        <v>2.2264595314989717</v>
      </c>
      <c r="D5" s="32" t="s">
        <v>150</v>
      </c>
      <c r="E5" s="7" t="s">
        <v>238</v>
      </c>
      <c r="F5" s="7"/>
    </row>
    <row r="6" spans="1:6" x14ac:dyDescent="0.3">
      <c r="A6" s="29" t="s">
        <v>140</v>
      </c>
      <c r="B6" s="30" t="s">
        <v>128</v>
      </c>
      <c r="C6" s="31">
        <f>'CAPEX &amp; LCC'!C23</f>
        <v>3.5227657009187099</v>
      </c>
      <c r="D6" s="32" t="s">
        <v>150</v>
      </c>
      <c r="E6" s="7" t="s">
        <v>151</v>
      </c>
      <c r="F6" s="7"/>
    </row>
    <row r="7" spans="1:6" x14ac:dyDescent="0.3">
      <c r="A7" s="37" t="s">
        <v>138</v>
      </c>
      <c r="B7" s="38" t="s">
        <v>139</v>
      </c>
      <c r="C7" s="39">
        <f>C5+C6</f>
        <v>5.7492252324176816</v>
      </c>
      <c r="D7" s="40" t="s">
        <v>150</v>
      </c>
      <c r="E7" s="41" t="s">
        <v>149</v>
      </c>
      <c r="F7" s="41"/>
    </row>
  </sheetData>
  <pageMargins left="0.25" right="0.25" top="0.75" bottom="0.75" header="0.3" footer="0.3"/>
  <pageSetup scale="8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OPEX-Electrodialysis</vt:lpstr>
      <vt:lpstr>OPEX-Pumping</vt:lpstr>
      <vt:lpstr>CAPEX &amp; LCC</vt:lpstr>
      <vt:lpstr>Levelized Total Cost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Gu, Shuang</dc:creator>
  <cp:lastModifiedBy>Gu, Shuang</cp:lastModifiedBy>
  <cp:lastPrinted>2022-05-06T14:49:41Z</cp:lastPrinted>
  <dcterms:created xsi:type="dcterms:W3CDTF">2015-06-05T18:17:20Z</dcterms:created>
  <dcterms:modified xsi:type="dcterms:W3CDTF">2022-12-10T23:44:22Z</dcterms:modified>
</cp:coreProperties>
</file>