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esktop\2022 EES Revision\"/>
    </mc:Choice>
  </mc:AlternateContent>
  <xr:revisionPtr revIDLastSave="0" documentId="13_ncr:1_{F6078CC3-0FB5-4CBB-B5C5-FD0EA8E83CF2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OPEX" sheetId="1" r:id="rId1"/>
    <sheet name="CAPEX &amp; LCC" sheetId="2" r:id="rId2"/>
    <sheet name="Levelized Total Co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2" l="1"/>
  <c r="C52" i="2"/>
  <c r="C4" i="1"/>
  <c r="C6" i="1" s="1"/>
  <c r="C28" i="2"/>
  <c r="C27" i="2"/>
  <c r="C22" i="2"/>
  <c r="C24" i="2" s="1"/>
  <c r="C18" i="2"/>
  <c r="C20" i="2" s="1"/>
  <c r="C21" i="1"/>
  <c r="C20" i="1"/>
  <c r="C27" i="1" s="1"/>
  <c r="C25" i="2" s="1"/>
  <c r="C25" i="1"/>
  <c r="C3" i="2" l="1"/>
  <c r="C7" i="2" s="1"/>
  <c r="C42" i="2"/>
  <c r="C10" i="1"/>
  <c r="C9" i="2"/>
  <c r="C10" i="2" s="1"/>
  <c r="C12" i="2" s="1"/>
  <c r="C13" i="1"/>
  <c r="C24" i="1"/>
  <c r="C28" i="1"/>
  <c r="C5" i="2" l="1"/>
  <c r="C32" i="1"/>
  <c r="C33" i="1" s="1"/>
  <c r="C13" i="2"/>
  <c r="C15" i="2" s="1"/>
  <c r="C16" i="2" s="1"/>
  <c r="C14" i="1"/>
  <c r="C44" i="2"/>
  <c r="C46" i="2" s="1"/>
  <c r="C2" i="2"/>
  <c r="C15" i="1"/>
  <c r="C16" i="1" s="1"/>
  <c r="C29" i="1"/>
  <c r="C30" i="1" s="1"/>
  <c r="C3" i="3" l="1"/>
  <c r="C34" i="2"/>
  <c r="C18" i="1"/>
  <c r="C2" i="3" s="1"/>
  <c r="C34" i="1"/>
  <c r="C35" i="1" l="1"/>
  <c r="C35" i="2"/>
  <c r="C36" i="2" s="1"/>
  <c r="C4" i="3" l="1"/>
  <c r="C5" i="3" s="1"/>
  <c r="C36" i="1"/>
  <c r="C38" i="2"/>
  <c r="C37" i="2"/>
  <c r="C39" i="2" l="1"/>
  <c r="C48" i="2" l="1"/>
  <c r="C49" i="2" s="1"/>
  <c r="C53" i="2" s="1"/>
  <c r="C54" i="2" s="1"/>
  <c r="C6" i="3" s="1"/>
  <c r="C7" i="3" s="1"/>
</calcChain>
</file>

<file path=xl/sharedStrings.xml><?xml version="1.0" encoding="utf-8"?>
<sst xmlns="http://schemas.openxmlformats.org/spreadsheetml/2006/main" count="332" uniqueCount="239">
  <si>
    <t>Name</t>
  </si>
  <si>
    <t>Symbol</t>
  </si>
  <si>
    <t>Value</t>
  </si>
  <si>
    <t>Unit</t>
  </si>
  <si>
    <t>Note</t>
  </si>
  <si>
    <t>Source</t>
  </si>
  <si>
    <t>n</t>
  </si>
  <si>
    <t>W</t>
  </si>
  <si>
    <t>cm</t>
  </si>
  <si>
    <t>%</t>
  </si>
  <si>
    <t>A</t>
  </si>
  <si>
    <t>cm2/cell</t>
  </si>
  <si>
    <t>Current density</t>
  </si>
  <si>
    <t>i</t>
  </si>
  <si>
    <t>mA/cm2</t>
  </si>
  <si>
    <t>Coulombic efficiency</t>
  </si>
  <si>
    <t>CE</t>
  </si>
  <si>
    <t>Total current</t>
  </si>
  <si>
    <t>I-cell</t>
  </si>
  <si>
    <t>E</t>
  </si>
  <si>
    <t>V</t>
  </si>
  <si>
    <t>Daily operation time</t>
  </si>
  <si>
    <t>t</t>
  </si>
  <si>
    <t>h</t>
  </si>
  <si>
    <t>r-mol-d</t>
  </si>
  <si>
    <t>r-mass-d</t>
  </si>
  <si>
    <t>Ee</t>
  </si>
  <si>
    <t>kWh/day</t>
  </si>
  <si>
    <t>Electricity cost</t>
  </si>
  <si>
    <t>$/kWh</t>
  </si>
  <si>
    <t>Daily production rate of HN3 in mole</t>
  </si>
  <si>
    <t>Daily production rate of NH3 in mass</t>
  </si>
  <si>
    <t>Daily electrolysis energy</t>
  </si>
  <si>
    <t>Energy intensity from electrolysis</t>
  </si>
  <si>
    <t>kmol-NH3/day</t>
  </si>
  <si>
    <t>kg-NH3/day</t>
  </si>
  <si>
    <t>kWh/kmol-NH3</t>
  </si>
  <si>
    <t>$/kmol-NH3</t>
  </si>
  <si>
    <t>A/cell</t>
  </si>
  <si>
    <t>Number of cells per pack</t>
  </si>
  <si>
    <t>Electrode area per fin</t>
  </si>
  <si>
    <t>m</t>
  </si>
  <si>
    <t>fin/cell</t>
  </si>
  <si>
    <t>cm2/fin</t>
  </si>
  <si>
    <t>Number of electrode fins</t>
  </si>
  <si>
    <t>Cell voltage</t>
  </si>
  <si>
    <t>Power of electrolysis</t>
  </si>
  <si>
    <t>P</t>
  </si>
  <si>
    <t>kW</t>
  </si>
  <si>
    <t>40 cm x 35 cm x 2</t>
  </si>
  <si>
    <t>Density</t>
  </si>
  <si>
    <t>g/cm3</t>
  </si>
  <si>
    <t>mPa.s</t>
  </si>
  <si>
    <t>T</t>
  </si>
  <si>
    <t>oC</t>
  </si>
  <si>
    <t>Viscosity</t>
  </si>
  <si>
    <t>Re</t>
  </si>
  <si>
    <t>rps</t>
  </si>
  <si>
    <t>round/s</t>
  </si>
  <si>
    <t>Diameter of impeller</t>
  </si>
  <si>
    <t>Reynolds # (Re)</t>
  </si>
  <si>
    <t>Froude # (Fr)</t>
  </si>
  <si>
    <t>Fr</t>
  </si>
  <si>
    <t>Power #, P0</t>
  </si>
  <si>
    <t>P0</t>
  </si>
  <si>
    <t>µ</t>
  </si>
  <si>
    <t>ρ</t>
  </si>
  <si>
    <t>di</t>
  </si>
  <si>
    <t>Power of stirring</t>
  </si>
  <si>
    <t>Daily stirring energy</t>
  </si>
  <si>
    <t>Es</t>
  </si>
  <si>
    <t>kWh</t>
  </si>
  <si>
    <t>Energy intensity from stirring</t>
  </si>
  <si>
    <t>OPEX-s</t>
  </si>
  <si>
    <t>Power rating per cell</t>
  </si>
  <si>
    <t>Pcell</t>
  </si>
  <si>
    <t>Cost of cathode materials</t>
  </si>
  <si>
    <t>C-cm</t>
  </si>
  <si>
    <t>Total area of electrode</t>
  </si>
  <si>
    <t>A-cell</t>
  </si>
  <si>
    <t>A-fin</t>
  </si>
  <si>
    <t>m2/cell</t>
  </si>
  <si>
    <t>Price of cathode material</t>
  </si>
  <si>
    <t>$/cell</t>
  </si>
  <si>
    <t>Price of anode material</t>
  </si>
  <si>
    <t>Cost of anode materials</t>
  </si>
  <si>
    <t>C-am</t>
  </si>
  <si>
    <t>Volume of NaOH-KOH-H2O electrolyte</t>
  </si>
  <si>
    <t>50 cm x 50 cm x 40 cm</t>
  </si>
  <si>
    <t>L</t>
  </si>
  <si>
    <t>Ve</t>
  </si>
  <si>
    <t>Density of NaOH-KOH-H2O electrolyte</t>
  </si>
  <si>
    <t>Weight of NaOH</t>
  </si>
  <si>
    <t>kg/cell</t>
  </si>
  <si>
    <t>25wt.% in NaOH, based on 40wt.% in H2O</t>
  </si>
  <si>
    <t>Price of NaOH</t>
  </si>
  <si>
    <t>$/ton-NaOH</t>
  </si>
  <si>
    <t>$/ton</t>
  </si>
  <si>
    <t>Cost of NaOH</t>
  </si>
  <si>
    <t>Weight of KOH</t>
  </si>
  <si>
    <t>Price of KOH</t>
  </si>
  <si>
    <t>Cost of KOH</t>
  </si>
  <si>
    <t>35wt.% in NaOH, based on 40wt.% in H2O</t>
  </si>
  <si>
    <t>www.statista.com</t>
  </si>
  <si>
    <t>Five-year average 2015-2019</t>
  </si>
  <si>
    <t>$/ton-KOH</t>
  </si>
  <si>
    <t>Five-year average 2016-2020</t>
  </si>
  <si>
    <t>tradingeconomics.com</t>
  </si>
  <si>
    <t>Cost of NaOH-KOH-H2O electrolyte</t>
  </si>
  <si>
    <t>Price of cell body - PTFE</t>
  </si>
  <si>
    <t>2017 price</t>
  </si>
  <si>
    <t>Weight of PTFE</t>
  </si>
  <si>
    <t>Volume of PTFE</t>
  </si>
  <si>
    <t>m3/cell</t>
  </si>
  <si>
    <t>Based on 2.2 g/cm3 of PTFE density</t>
  </si>
  <si>
    <t>Cost of cell body - PTFE</t>
  </si>
  <si>
    <t>50 cm x 50 cm x 40 cm @ 1 cm</t>
  </si>
  <si>
    <t>Weight of stainless steel</t>
  </si>
  <si>
    <t>Volume of stainless steel</t>
  </si>
  <si>
    <t>www.focus-economics.com</t>
  </si>
  <si>
    <t>Price of cell body - stainless steel</t>
  </si>
  <si>
    <t>Cost of cell body - stainless steel</t>
  </si>
  <si>
    <t>Based on 7.8 g/cm3 of stainless steel density</t>
  </si>
  <si>
    <t>C-electrolyte</t>
  </si>
  <si>
    <t>Cost of stirring motor and parts</t>
  </si>
  <si>
    <t>picclick.com</t>
  </si>
  <si>
    <t>C-stirrer</t>
  </si>
  <si>
    <t>100-W motor, and corrosion-resistant rod/blades</t>
  </si>
  <si>
    <t>Strategic Analysis Report: $37/stack</t>
  </si>
  <si>
    <t>Strategic Analysis Report: $33/stack</t>
  </si>
  <si>
    <t>Cost of coolant gaskets</t>
  </si>
  <si>
    <t>Cost of cell assembly</t>
  </si>
  <si>
    <t>Cost of temperature conditioning</t>
  </si>
  <si>
    <t>Strategic Analysis Report: $42/stack</t>
  </si>
  <si>
    <t>C-gasket</t>
  </si>
  <si>
    <t>C-assembly</t>
  </si>
  <si>
    <t>C-conditioning</t>
  </si>
  <si>
    <t>Power of heating</t>
  </si>
  <si>
    <t>P-stirring</t>
  </si>
  <si>
    <t>P-heating</t>
  </si>
  <si>
    <t>5% of electrolysis power</t>
  </si>
  <si>
    <t>P-electrolysis</t>
  </si>
  <si>
    <t>Cost of current collectors</t>
  </si>
  <si>
    <t>C-collector</t>
  </si>
  <si>
    <t>Strategic Analysis Report: $4/stack</t>
  </si>
  <si>
    <t>Cost of Balance-Of-Plant (BOP)</t>
  </si>
  <si>
    <t>C-BOP</t>
  </si>
  <si>
    <t>Strategic Analysis Report: $29.44/stack</t>
  </si>
  <si>
    <t>Cost of Combined Heat and Power (CHP)</t>
  </si>
  <si>
    <t>C-CHP</t>
  </si>
  <si>
    <t>Strategic Analysis Report: $10.61/stack</t>
  </si>
  <si>
    <t>Cost of Power Electronics (PE)</t>
  </si>
  <si>
    <t>C-PE</t>
  </si>
  <si>
    <t>Strategic Analysis Report: $325.90/stack</t>
  </si>
  <si>
    <t>C-m&amp;p</t>
  </si>
  <si>
    <t>Strategic Analysis Report</t>
  </si>
  <si>
    <t>10% of the cost of all materials and parts</t>
  </si>
  <si>
    <t>50% of the cost of all materials and parts &amp; sales markup</t>
  </si>
  <si>
    <t>C-others</t>
  </si>
  <si>
    <t>Cost of all other parts and minor materials</t>
  </si>
  <si>
    <t>Cost of all identified materials and parts</t>
  </si>
  <si>
    <t>10% of all identified materials and parts</t>
  </si>
  <si>
    <t>Cost of System Installation</t>
  </si>
  <si>
    <t>C-SI</t>
  </si>
  <si>
    <t>Sales Markup (SM)</t>
  </si>
  <si>
    <t>C-SM</t>
  </si>
  <si>
    <t>Cost Contingency</t>
  </si>
  <si>
    <t>C-CC</t>
  </si>
  <si>
    <t>70% of the cost of all materials and parts</t>
  </si>
  <si>
    <t>CAPEX</t>
  </si>
  <si>
    <t>Capital Expenses, CAPEX</t>
  </si>
  <si>
    <t>Cost ratio of maintenance to system</t>
  </si>
  <si>
    <t>γ</t>
  </si>
  <si>
    <r>
      <t xml:space="preserve">J. Environ. Qual., </t>
    </r>
    <r>
      <rPr>
        <b/>
        <i/>
        <sz val="11"/>
        <color theme="1"/>
        <rFont val="Arial Narrow"/>
        <family val="2"/>
      </rPr>
      <t>2017</t>
    </r>
    <r>
      <rPr>
        <i/>
        <sz val="11"/>
        <color theme="1"/>
        <rFont val="Arial Narrow"/>
        <family val="2"/>
      </rPr>
      <t>, 46, 1528.</t>
    </r>
  </si>
  <si>
    <t>Cost of total maintenance</t>
  </si>
  <si>
    <t>$</t>
  </si>
  <si>
    <t>Total present value of cost (TPVC)</t>
  </si>
  <si>
    <t>TPVC</t>
  </si>
  <si>
    <r>
      <t xml:space="preserve">Water Resour. Econ., </t>
    </r>
    <r>
      <rPr>
        <b/>
        <i/>
        <sz val="11"/>
        <color theme="1"/>
        <rFont val="Arial Narrow"/>
        <family val="2"/>
      </rPr>
      <t>2013</t>
    </r>
    <r>
      <rPr>
        <i/>
        <sz val="11"/>
        <color theme="1"/>
        <rFont val="Arial Narrow"/>
        <family val="2"/>
      </rPr>
      <t>, 2-3, 30.</t>
    </r>
  </si>
  <si>
    <t>Time of service</t>
  </si>
  <si>
    <t>year</t>
  </si>
  <si>
    <t>Annual discount rate</t>
  </si>
  <si>
    <t>α</t>
  </si>
  <si>
    <t>3% for real and 2.5% for nominal</t>
  </si>
  <si>
    <r>
      <rPr>
        <b/>
        <i/>
        <sz val="11"/>
        <color theme="1"/>
        <rFont val="Arial Narrow"/>
        <family val="2"/>
      </rPr>
      <t>2013</t>
    </r>
    <r>
      <rPr>
        <i/>
        <sz val="11"/>
        <color theme="1"/>
        <rFont val="Arial Narrow"/>
        <family val="2"/>
      </rPr>
      <t xml:space="preserve"> publication: NISTIR - 85-3273-28</t>
    </r>
  </si>
  <si>
    <t>Capital recovery factor (CRF)</t>
  </si>
  <si>
    <t>CRF</t>
  </si>
  <si>
    <t>Equal annual cost (EAC)</t>
  </si>
  <si>
    <t>ECA</t>
  </si>
  <si>
    <t>LCC</t>
  </si>
  <si>
    <t>Cmain-El</t>
  </si>
  <si>
    <t>Average current density</t>
  </si>
  <si>
    <t>Total average stack-current</t>
  </si>
  <si>
    <t>Is</t>
  </si>
  <si>
    <t>Capacity factor</t>
  </si>
  <si>
    <t>CF</t>
  </si>
  <si>
    <t>r-mol-a</t>
  </si>
  <si>
    <t>Annual production rate of NH3</t>
  </si>
  <si>
    <t>* Proceedings of International conference: CFCs; F. COTANA, ASDRUBALI F, &amp; SANTARPIA L (1994). Thermophysical properties of H2O-NaOH-KOH mixtures: experimental data.</t>
  </si>
  <si>
    <t>See *</t>
  </si>
  <si>
    <t>OPEX</t>
  </si>
  <si>
    <t>Containing maintenance expense (a form of OPEX)</t>
  </si>
  <si>
    <t>LTC</t>
  </si>
  <si>
    <t>Operational Expenses (OPEX)</t>
  </si>
  <si>
    <t>kmol-NH3/year</t>
  </si>
  <si>
    <t>OPEX-h</t>
  </si>
  <si>
    <t>Daily production rate of NH3</t>
  </si>
  <si>
    <t>Replacement/repair of some electrodes &amp; parts</t>
  </si>
  <si>
    <r>
      <t xml:space="preserve">Food Process Engineering and Technology, </t>
    </r>
    <r>
      <rPr>
        <b/>
        <i/>
        <sz val="11"/>
        <color theme="1"/>
        <rFont val="Arial Narrow"/>
        <family val="2"/>
      </rPr>
      <t>2009</t>
    </r>
  </si>
  <si>
    <t>300 days a year</t>
  </si>
  <si>
    <t>$/m2</t>
  </si>
  <si>
    <t>www.made-in-china.com</t>
  </si>
  <si>
    <t>Nickel cloth with 200 mesh count, current price</t>
  </si>
  <si>
    <t>Energy intensity from heating</t>
  </si>
  <si>
    <t>C-body</t>
  </si>
  <si>
    <t>C-liner</t>
  </si>
  <si>
    <t>Assuming 19% fo total capital cost</t>
  </si>
  <si>
    <t>rmol-a = rmol-d*365*CF</t>
  </si>
  <si>
    <t>TPVC = Ccap-ED + Cmain-ED</t>
  </si>
  <si>
    <t>ECA = TPVC*CRF</t>
  </si>
  <si>
    <t>LCC = ECA/rmol-a</t>
  </si>
  <si>
    <t>ρ = 1.61061 - 0.0008*T</t>
  </si>
  <si>
    <r>
      <t>Re = di^2*rps*d/</t>
    </r>
    <r>
      <rPr>
        <sz val="11"/>
        <color theme="1"/>
        <rFont val="Calibri"/>
        <family val="2"/>
      </rPr>
      <t>µ</t>
    </r>
    <r>
      <rPr>
        <sz val="11"/>
        <color theme="1"/>
        <rFont val="Arial Narrow"/>
        <family val="2"/>
      </rPr>
      <t>, Re &lt; 10</t>
    </r>
  </si>
  <si>
    <t>Fr = ρ*rps^2/g, g = 9.81 m/s2</t>
  </si>
  <si>
    <t>P0 = 6, when Re &gt; 6,000</t>
  </si>
  <si>
    <t>P = P0*di^5*rps^3*ρ</t>
  </si>
  <si>
    <t>LTC = LCC + OPEX</t>
  </si>
  <si>
    <t>Rotation frequency</t>
  </si>
  <si>
    <r>
      <t>CRF = m*(1 + α)^</t>
    </r>
    <r>
      <rPr>
        <sz val="11"/>
        <color theme="1"/>
        <rFont val="Calibri"/>
        <family val="2"/>
      </rPr>
      <t>m/((1 + α)^m - 1)</t>
    </r>
  </si>
  <si>
    <t>OPEX-electrolysis</t>
  </si>
  <si>
    <t>OPEX-mixing</t>
  </si>
  <si>
    <t>OPEX-heating</t>
  </si>
  <si>
    <t>OPEX-m</t>
  </si>
  <si>
    <t>OPEX-el</t>
  </si>
  <si>
    <t>Levelized Capital Cost (LCC)</t>
  </si>
  <si>
    <t>Levelized Total Cost (LTC)</t>
  </si>
  <si>
    <t>OPEX = OPEX-el + OPEX-m + OPEX-h</t>
  </si>
  <si>
    <t>Operation temperature</t>
  </si>
  <si>
    <t>µ = 2341.3*(T*^(-1.492))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</si>
</sst>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1" applyFont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6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7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" fillId="9" borderId="2" xfId="0" applyFont="1" applyFill="1" applyBorder="1"/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2" fontId="2" fillId="7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85" zoomScaleNormal="85" workbookViewId="0">
      <selection activeCell="A37" sqref="A37"/>
    </sheetView>
  </sheetViews>
  <sheetFormatPr defaultRowHeight="14" x14ac:dyDescent="0.3"/>
  <cols>
    <col min="1" max="1" width="29.08984375" style="8" customWidth="1"/>
    <col min="2" max="2" width="10.54296875" style="16" bestFit="1" customWidth="1"/>
    <col min="3" max="3" width="9.453125" style="16" bestFit="1" customWidth="1"/>
    <col min="4" max="4" width="12.453125" style="16" bestFit="1" customWidth="1"/>
    <col min="5" max="5" width="39.26953125" style="8" bestFit="1" customWidth="1"/>
    <col min="6" max="6" width="39.36328125" style="8" customWidth="1"/>
    <col min="7" max="16384" width="8.7265625" style="8"/>
  </cols>
  <sheetData>
    <row r="1" spans="1:6" x14ac:dyDescent="0.3">
      <c r="A1" s="1" t="s">
        <v>0</v>
      </c>
      <c r="B1" s="9" t="s">
        <v>1</v>
      </c>
      <c r="C1" s="9" t="s">
        <v>2</v>
      </c>
      <c r="D1" s="9" t="s">
        <v>3</v>
      </c>
      <c r="E1" s="1" t="s">
        <v>4</v>
      </c>
      <c r="F1" s="1" t="s">
        <v>5</v>
      </c>
    </row>
    <row r="2" spans="1:6" x14ac:dyDescent="0.3">
      <c r="A2" s="2" t="s">
        <v>40</v>
      </c>
      <c r="B2" s="10" t="s">
        <v>80</v>
      </c>
      <c r="C2" s="10">
        <v>2800</v>
      </c>
      <c r="D2" s="10" t="s">
        <v>43</v>
      </c>
      <c r="E2" s="2" t="s">
        <v>49</v>
      </c>
      <c r="F2" s="2"/>
    </row>
    <row r="3" spans="1:6" x14ac:dyDescent="0.3">
      <c r="A3" s="2" t="s">
        <v>44</v>
      </c>
      <c r="B3" s="10" t="s">
        <v>6</v>
      </c>
      <c r="C3" s="13">
        <v>12</v>
      </c>
      <c r="D3" s="10" t="s">
        <v>42</v>
      </c>
      <c r="E3" s="2"/>
      <c r="F3" s="2"/>
    </row>
    <row r="4" spans="1:6" x14ac:dyDescent="0.3">
      <c r="A4" s="2" t="s">
        <v>78</v>
      </c>
      <c r="B4" s="10" t="s">
        <v>79</v>
      </c>
      <c r="C4" s="13">
        <f>C2*C3</f>
        <v>33600</v>
      </c>
      <c r="D4" s="10" t="s">
        <v>11</v>
      </c>
      <c r="E4" s="2"/>
      <c r="F4" s="2"/>
    </row>
    <row r="5" spans="1:6" x14ac:dyDescent="0.3">
      <c r="A5" s="2" t="s">
        <v>12</v>
      </c>
      <c r="B5" s="10" t="s">
        <v>13</v>
      </c>
      <c r="C5" s="13">
        <v>250</v>
      </c>
      <c r="D5" s="10" t="s">
        <v>14</v>
      </c>
      <c r="E5" s="2"/>
      <c r="F5" s="2"/>
    </row>
    <row r="6" spans="1:6" x14ac:dyDescent="0.3">
      <c r="A6" s="2" t="s">
        <v>17</v>
      </c>
      <c r="B6" s="10" t="s">
        <v>18</v>
      </c>
      <c r="C6" s="13">
        <f>C4*(C5/1000)</f>
        <v>8400</v>
      </c>
      <c r="D6" s="10" t="s">
        <v>38</v>
      </c>
      <c r="E6" s="2"/>
      <c r="F6" s="2"/>
    </row>
    <row r="7" spans="1:6" x14ac:dyDescent="0.3">
      <c r="A7" s="2" t="s">
        <v>39</v>
      </c>
      <c r="B7" s="10" t="s">
        <v>41</v>
      </c>
      <c r="C7" s="13">
        <v>1</v>
      </c>
      <c r="D7" s="10"/>
      <c r="E7" s="2"/>
      <c r="F7" s="2"/>
    </row>
    <row r="8" spans="1:6" x14ac:dyDescent="0.3">
      <c r="A8" s="2" t="s">
        <v>237</v>
      </c>
      <c r="B8" s="10" t="s">
        <v>53</v>
      </c>
      <c r="C8" s="13">
        <v>120</v>
      </c>
      <c r="D8" s="10" t="s">
        <v>54</v>
      </c>
      <c r="E8" s="2"/>
      <c r="F8" s="2"/>
    </row>
    <row r="9" spans="1:6" x14ac:dyDescent="0.3">
      <c r="A9" s="2" t="s">
        <v>45</v>
      </c>
      <c r="B9" s="10" t="s">
        <v>19</v>
      </c>
      <c r="C9" s="38">
        <v>2.7</v>
      </c>
      <c r="D9" s="10" t="s">
        <v>20</v>
      </c>
      <c r="E9" s="2"/>
      <c r="F9" s="2"/>
    </row>
    <row r="10" spans="1:6" x14ac:dyDescent="0.3">
      <c r="A10" s="2" t="s">
        <v>46</v>
      </c>
      <c r="B10" s="10" t="s">
        <v>141</v>
      </c>
      <c r="C10" s="13">
        <f>C6*C7*C9/1000</f>
        <v>22.68</v>
      </c>
      <c r="D10" s="10" t="s">
        <v>48</v>
      </c>
      <c r="E10" s="2"/>
      <c r="F10" s="2"/>
    </row>
    <row r="11" spans="1:6" x14ac:dyDescent="0.3">
      <c r="A11" s="2" t="s">
        <v>21</v>
      </c>
      <c r="B11" s="10" t="s">
        <v>22</v>
      </c>
      <c r="C11" s="13">
        <v>24</v>
      </c>
      <c r="D11" s="10" t="s">
        <v>23</v>
      </c>
      <c r="E11" s="2"/>
      <c r="F11" s="2"/>
    </row>
    <row r="12" spans="1:6" x14ac:dyDescent="0.3">
      <c r="A12" s="2" t="s">
        <v>15</v>
      </c>
      <c r="B12" s="10" t="s">
        <v>16</v>
      </c>
      <c r="C12" s="13">
        <v>90</v>
      </c>
      <c r="D12" s="10" t="s">
        <v>9</v>
      </c>
      <c r="E12" s="2"/>
      <c r="F12" s="2"/>
    </row>
    <row r="13" spans="1:6" x14ac:dyDescent="0.3">
      <c r="A13" s="2" t="s">
        <v>30</v>
      </c>
      <c r="B13" s="10" t="s">
        <v>24</v>
      </c>
      <c r="C13" s="55">
        <f>0.001*C7*C6*C11*3600*(C12/100)*(1/8)/96485</f>
        <v>0.84622480178266068</v>
      </c>
      <c r="D13" s="10" t="s">
        <v>34</v>
      </c>
      <c r="E13" s="2"/>
      <c r="F13" s="2"/>
    </row>
    <row r="14" spans="1:6" x14ac:dyDescent="0.3">
      <c r="A14" s="2" t="s">
        <v>31</v>
      </c>
      <c r="B14" s="10" t="s">
        <v>25</v>
      </c>
      <c r="C14" s="56">
        <f>C13*17</f>
        <v>14.385821630305232</v>
      </c>
      <c r="D14" s="10" t="s">
        <v>35</v>
      </c>
      <c r="E14" s="2"/>
      <c r="F14" s="2"/>
    </row>
    <row r="15" spans="1:6" x14ac:dyDescent="0.3">
      <c r="A15" s="2" t="s">
        <v>32</v>
      </c>
      <c r="B15" s="10" t="s">
        <v>26</v>
      </c>
      <c r="C15" s="55">
        <f>C10*C11</f>
        <v>544.31999999999994</v>
      </c>
      <c r="D15" s="10" t="s">
        <v>27</v>
      </c>
      <c r="E15" s="2"/>
      <c r="F15" s="2"/>
    </row>
    <row r="16" spans="1:6" x14ac:dyDescent="0.3">
      <c r="A16" s="2" t="s">
        <v>33</v>
      </c>
      <c r="B16" s="10"/>
      <c r="C16" s="38">
        <f>C15/C13</f>
        <v>643.23333333333312</v>
      </c>
      <c r="D16" s="10" t="s">
        <v>36</v>
      </c>
      <c r="E16" s="2"/>
      <c r="F16" s="2"/>
    </row>
    <row r="17" spans="1:6" x14ac:dyDescent="0.3">
      <c r="A17" s="6" t="s">
        <v>28</v>
      </c>
      <c r="B17" s="13"/>
      <c r="C17" s="55">
        <v>7.0000000000000007E-2</v>
      </c>
      <c r="D17" s="13" t="s">
        <v>29</v>
      </c>
      <c r="E17" s="6"/>
      <c r="F17" s="2"/>
    </row>
    <row r="18" spans="1:6" x14ac:dyDescent="0.3">
      <c r="A18" s="7" t="s">
        <v>229</v>
      </c>
      <c r="B18" s="14" t="s">
        <v>233</v>
      </c>
      <c r="C18" s="15">
        <f>C16*C17</f>
        <v>45.026333333333319</v>
      </c>
      <c r="D18" s="14" t="s">
        <v>37</v>
      </c>
      <c r="E18" s="7"/>
      <c r="F18" s="7"/>
    </row>
    <row r="19" spans="1:6" x14ac:dyDescent="0.3">
      <c r="A19" s="2"/>
      <c r="B19" s="10"/>
      <c r="C19" s="10"/>
      <c r="D19" s="10"/>
      <c r="E19" s="2"/>
      <c r="F19" s="2"/>
    </row>
    <row r="20" spans="1:6" ht="14.5" x14ac:dyDescent="0.3">
      <c r="A20" s="2" t="s">
        <v>50</v>
      </c>
      <c r="B20" s="17" t="s">
        <v>66</v>
      </c>
      <c r="C20" s="12">
        <f>1.61061-0.0008*C8</f>
        <v>1.51461</v>
      </c>
      <c r="D20" s="10" t="s">
        <v>51</v>
      </c>
      <c r="E20" s="2" t="s">
        <v>221</v>
      </c>
      <c r="F20" s="2" t="s">
        <v>199</v>
      </c>
    </row>
    <row r="21" spans="1:6" x14ac:dyDescent="0.3">
      <c r="A21" s="2" t="s">
        <v>55</v>
      </c>
      <c r="B21" s="10" t="s">
        <v>65</v>
      </c>
      <c r="C21" s="12">
        <f>2341.3*(C8^(-1.492))</f>
        <v>1.8506259429656975</v>
      </c>
      <c r="D21" s="10" t="s">
        <v>52</v>
      </c>
      <c r="E21" s="2" t="s">
        <v>238</v>
      </c>
      <c r="F21" s="2" t="s">
        <v>199</v>
      </c>
    </row>
    <row r="22" spans="1:6" x14ac:dyDescent="0.3">
      <c r="A22" s="2" t="s">
        <v>59</v>
      </c>
      <c r="B22" s="10" t="s">
        <v>67</v>
      </c>
      <c r="C22" s="12">
        <v>15</v>
      </c>
      <c r="D22" s="10" t="s">
        <v>8</v>
      </c>
      <c r="E22" s="2"/>
      <c r="F22" s="2"/>
    </row>
    <row r="23" spans="1:6" x14ac:dyDescent="0.3">
      <c r="A23" s="2" t="s">
        <v>227</v>
      </c>
      <c r="B23" s="10" t="s">
        <v>57</v>
      </c>
      <c r="C23" s="12">
        <v>5</v>
      </c>
      <c r="D23" s="10" t="s">
        <v>58</v>
      </c>
      <c r="E23" s="2"/>
      <c r="F23" s="2"/>
    </row>
    <row r="24" spans="1:6" ht="14.5" x14ac:dyDescent="0.35">
      <c r="A24" s="2" t="s">
        <v>60</v>
      </c>
      <c r="B24" s="10" t="s">
        <v>56</v>
      </c>
      <c r="C24" s="19">
        <f>(C22*0.01)^2*C23*(C20*1000)/(C21*0.001)</f>
        <v>92073.5093159549</v>
      </c>
      <c r="D24" s="10"/>
      <c r="E24" s="2" t="s">
        <v>222</v>
      </c>
      <c r="F24" s="2"/>
    </row>
    <row r="25" spans="1:6" x14ac:dyDescent="0.3">
      <c r="A25" s="2" t="s">
        <v>61</v>
      </c>
      <c r="B25" s="10" t="s">
        <v>62</v>
      </c>
      <c r="C25" s="18">
        <f>(C22*0.01)*(C23^2)/9.81</f>
        <v>0.38226299694189603</v>
      </c>
      <c r="D25" s="10"/>
      <c r="E25" s="2" t="s">
        <v>223</v>
      </c>
      <c r="F25" s="2"/>
    </row>
    <row r="26" spans="1:6" x14ac:dyDescent="0.3">
      <c r="A26" s="2" t="s">
        <v>63</v>
      </c>
      <c r="B26" s="10" t="s">
        <v>64</v>
      </c>
      <c r="C26" s="10">
        <v>6</v>
      </c>
      <c r="D26" s="10"/>
      <c r="E26" s="2" t="s">
        <v>224</v>
      </c>
      <c r="F26" s="27" t="s">
        <v>208</v>
      </c>
    </row>
    <row r="27" spans="1:6" x14ac:dyDescent="0.3">
      <c r="A27" s="2" t="s">
        <v>68</v>
      </c>
      <c r="B27" s="10" t="s">
        <v>138</v>
      </c>
      <c r="C27" s="11">
        <f>C26*((C22/100)^5)*(C23^3)*(C20*1000)/1000</f>
        <v>8.6261772656249985E-2</v>
      </c>
      <c r="D27" s="10" t="s">
        <v>48</v>
      </c>
      <c r="E27" s="2" t="s">
        <v>225</v>
      </c>
      <c r="F27" s="2"/>
    </row>
    <row r="28" spans="1:6" x14ac:dyDescent="0.3">
      <c r="A28" s="2" t="s">
        <v>69</v>
      </c>
      <c r="B28" s="10" t="s">
        <v>70</v>
      </c>
      <c r="C28" s="12">
        <f>C27*C11</f>
        <v>2.0702825437499994</v>
      </c>
      <c r="D28" s="10" t="s">
        <v>71</v>
      </c>
      <c r="E28" s="2"/>
      <c r="F28" s="2"/>
    </row>
    <row r="29" spans="1:6" x14ac:dyDescent="0.3">
      <c r="A29" s="2" t="s">
        <v>72</v>
      </c>
      <c r="B29" s="10"/>
      <c r="C29" s="12">
        <f>C28/C13</f>
        <v>2.4464923970424097</v>
      </c>
      <c r="D29" s="10" t="s">
        <v>36</v>
      </c>
      <c r="E29" s="2"/>
      <c r="F29" s="2"/>
    </row>
    <row r="30" spans="1:6" x14ac:dyDescent="0.3">
      <c r="A30" s="7" t="s">
        <v>230</v>
      </c>
      <c r="B30" s="14" t="s">
        <v>73</v>
      </c>
      <c r="C30" s="15">
        <f>C29*C17</f>
        <v>0.17125446779296868</v>
      </c>
      <c r="D30" s="14" t="s">
        <v>37</v>
      </c>
      <c r="E30" s="7"/>
      <c r="F30" s="7"/>
    </row>
    <row r="31" spans="1:6" x14ac:dyDescent="0.3">
      <c r="A31" s="2"/>
      <c r="B31" s="10"/>
      <c r="C31" s="10"/>
      <c r="D31" s="10"/>
      <c r="E31" s="2"/>
      <c r="F31" s="2"/>
    </row>
    <row r="32" spans="1:6" x14ac:dyDescent="0.3">
      <c r="A32" s="2" t="s">
        <v>137</v>
      </c>
      <c r="B32" s="10" t="s">
        <v>139</v>
      </c>
      <c r="C32" s="11">
        <f>0.05*C10</f>
        <v>1.1340000000000001</v>
      </c>
      <c r="D32" s="10" t="s">
        <v>48</v>
      </c>
      <c r="E32" s="2" t="s">
        <v>140</v>
      </c>
      <c r="F32" s="2"/>
    </row>
    <row r="33" spans="1:6" x14ac:dyDescent="0.3">
      <c r="A33" s="2" t="s">
        <v>69</v>
      </c>
      <c r="B33" s="10" t="s">
        <v>70</v>
      </c>
      <c r="C33" s="12">
        <f>C32*C11</f>
        <v>27.216000000000001</v>
      </c>
      <c r="D33" s="10" t="s">
        <v>71</v>
      </c>
      <c r="E33" s="2"/>
      <c r="F33" s="2"/>
    </row>
    <row r="34" spans="1:6" x14ac:dyDescent="0.3">
      <c r="A34" s="2" t="s">
        <v>213</v>
      </c>
      <c r="B34" s="10"/>
      <c r="C34" s="12">
        <f>C33/C13</f>
        <v>32.161666666666662</v>
      </c>
      <c r="D34" s="10" t="s">
        <v>36</v>
      </c>
      <c r="E34" s="2"/>
      <c r="F34" s="2"/>
    </row>
    <row r="35" spans="1:6" x14ac:dyDescent="0.3">
      <c r="A35" s="7" t="s">
        <v>231</v>
      </c>
      <c r="B35" s="14" t="s">
        <v>205</v>
      </c>
      <c r="C35" s="15">
        <f>C34*C17</f>
        <v>2.2513166666666664</v>
      </c>
      <c r="D35" s="14" t="s">
        <v>37</v>
      </c>
      <c r="E35" s="7"/>
      <c r="F35" s="7"/>
    </row>
    <row r="36" spans="1:6" x14ac:dyDescent="0.3">
      <c r="A36" s="29" t="s">
        <v>203</v>
      </c>
      <c r="B36" s="30" t="s">
        <v>200</v>
      </c>
      <c r="C36" s="31">
        <f>C18+C30+C35</f>
        <v>47.448904467792957</v>
      </c>
      <c r="D36" s="30" t="s">
        <v>37</v>
      </c>
      <c r="E36" s="29"/>
      <c r="F36" s="29"/>
    </row>
    <row r="37" spans="1:6" x14ac:dyDescent="0.3">
      <c r="A37" s="57" t="s">
        <v>198</v>
      </c>
    </row>
    <row r="38" spans="1:6" x14ac:dyDescent="0.3">
      <c r="A38" s="37"/>
    </row>
  </sheetData>
  <pageMargins left="0.25" right="0.25" top="0.75" bottom="0.75" header="0.3" footer="0.3"/>
  <pageSetup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4A0B-A36D-402A-B57C-B64DB385FC03}">
  <sheetPr>
    <pageSetUpPr fitToPage="1"/>
  </sheetPr>
  <dimension ref="A1:F54"/>
  <sheetViews>
    <sheetView zoomScale="70" zoomScaleNormal="70" workbookViewId="0">
      <selection activeCell="K17" sqref="K17"/>
    </sheetView>
  </sheetViews>
  <sheetFormatPr defaultRowHeight="14" x14ac:dyDescent="0.3"/>
  <cols>
    <col min="1" max="1" width="31.54296875" style="8" bestFit="1" customWidth="1"/>
    <col min="2" max="2" width="11.26953125" style="20" bestFit="1" customWidth="1"/>
    <col min="3" max="3" width="9.08984375" style="20" customWidth="1"/>
    <col min="4" max="4" width="12.36328125" style="20" bestFit="1" customWidth="1"/>
    <col min="5" max="5" width="43.08984375" style="8" bestFit="1" customWidth="1"/>
    <col min="6" max="6" width="36.7265625" style="8" customWidth="1"/>
    <col min="7" max="16384" width="8.7265625" style="8"/>
  </cols>
  <sheetData>
    <row r="1" spans="1:6" x14ac:dyDescent="0.3">
      <c r="A1" s="1" t="s">
        <v>0</v>
      </c>
      <c r="B1" s="9" t="s">
        <v>1</v>
      </c>
      <c r="C1" s="9" t="s">
        <v>2</v>
      </c>
      <c r="D1" s="9" t="s">
        <v>3</v>
      </c>
      <c r="E1" s="1" t="s">
        <v>4</v>
      </c>
      <c r="F1" s="1" t="s">
        <v>5</v>
      </c>
    </row>
    <row r="2" spans="1:6" x14ac:dyDescent="0.3">
      <c r="A2" s="2" t="s">
        <v>74</v>
      </c>
      <c r="B2" s="3" t="s">
        <v>75</v>
      </c>
      <c r="C2" s="5">
        <f>OPEX!C10+OPEX!C27</f>
        <v>22.76626177265625</v>
      </c>
      <c r="D2" s="3" t="s">
        <v>48</v>
      </c>
      <c r="E2" s="2"/>
      <c r="F2" s="2"/>
    </row>
    <row r="3" spans="1:6" x14ac:dyDescent="0.3">
      <c r="A3" s="2" t="s">
        <v>78</v>
      </c>
      <c r="B3" s="10" t="s">
        <v>79</v>
      </c>
      <c r="C3" s="11">
        <f>OPEX!C4/10000</f>
        <v>3.36</v>
      </c>
      <c r="D3" s="10" t="s">
        <v>81</v>
      </c>
      <c r="E3" s="2"/>
      <c r="F3" s="2"/>
    </row>
    <row r="4" spans="1:6" x14ac:dyDescent="0.3">
      <c r="A4" s="2" t="s">
        <v>82</v>
      </c>
      <c r="B4" s="3"/>
      <c r="C4" s="5">
        <v>29.97</v>
      </c>
      <c r="D4" s="3" t="s">
        <v>210</v>
      </c>
      <c r="E4" s="2" t="s">
        <v>212</v>
      </c>
      <c r="F4" s="2" t="s">
        <v>211</v>
      </c>
    </row>
    <row r="5" spans="1:6" x14ac:dyDescent="0.3">
      <c r="A5" s="22" t="s">
        <v>76</v>
      </c>
      <c r="B5" s="23" t="s">
        <v>77</v>
      </c>
      <c r="C5" s="24">
        <f>C3*C4</f>
        <v>100.69919999999999</v>
      </c>
      <c r="D5" s="23" t="s">
        <v>83</v>
      </c>
      <c r="E5" s="22"/>
      <c r="F5" s="22"/>
    </row>
    <row r="6" spans="1:6" x14ac:dyDescent="0.3">
      <c r="A6" s="2" t="s">
        <v>84</v>
      </c>
      <c r="B6" s="3"/>
      <c r="C6" s="5">
        <v>29.97</v>
      </c>
      <c r="D6" s="3" t="s">
        <v>210</v>
      </c>
      <c r="E6" s="2" t="s">
        <v>212</v>
      </c>
      <c r="F6" s="2" t="s">
        <v>211</v>
      </c>
    </row>
    <row r="7" spans="1:6" x14ac:dyDescent="0.3">
      <c r="A7" s="22" t="s">
        <v>85</v>
      </c>
      <c r="B7" s="23" t="s">
        <v>86</v>
      </c>
      <c r="C7" s="24">
        <f>C3*C6</f>
        <v>100.69919999999999</v>
      </c>
      <c r="D7" s="23" t="s">
        <v>83</v>
      </c>
      <c r="E7" s="22"/>
      <c r="F7" s="22"/>
    </row>
    <row r="8" spans="1:6" x14ac:dyDescent="0.3">
      <c r="A8" s="2" t="s">
        <v>87</v>
      </c>
      <c r="B8" s="3" t="s">
        <v>90</v>
      </c>
      <c r="C8" s="3">
        <v>100</v>
      </c>
      <c r="D8" s="3" t="s">
        <v>89</v>
      </c>
      <c r="E8" s="2" t="s">
        <v>88</v>
      </c>
      <c r="F8" s="2"/>
    </row>
    <row r="9" spans="1:6" x14ac:dyDescent="0.3">
      <c r="A9" s="2" t="s">
        <v>91</v>
      </c>
      <c r="B9" s="10" t="s">
        <v>66</v>
      </c>
      <c r="C9" s="5">
        <f>OPEX!C20</f>
        <v>1.51461</v>
      </c>
      <c r="D9" s="10" t="s">
        <v>51</v>
      </c>
      <c r="E9" s="2"/>
      <c r="F9" s="2"/>
    </row>
    <row r="10" spans="1:6" x14ac:dyDescent="0.3">
      <c r="A10" s="2" t="s">
        <v>92</v>
      </c>
      <c r="B10" s="3"/>
      <c r="C10" s="5">
        <f>0.25*C8*C9</f>
        <v>37.865250000000003</v>
      </c>
      <c r="D10" s="3" t="s">
        <v>93</v>
      </c>
      <c r="E10" s="2" t="s">
        <v>94</v>
      </c>
      <c r="F10" s="2"/>
    </row>
    <row r="11" spans="1:6" x14ac:dyDescent="0.3">
      <c r="A11" s="2" t="s">
        <v>95</v>
      </c>
      <c r="B11" s="3"/>
      <c r="C11" s="3">
        <v>282</v>
      </c>
      <c r="D11" s="3" t="s">
        <v>96</v>
      </c>
      <c r="E11" s="2" t="s">
        <v>106</v>
      </c>
      <c r="F11" s="21" t="s">
        <v>107</v>
      </c>
    </row>
    <row r="12" spans="1:6" x14ac:dyDescent="0.3">
      <c r="A12" s="2" t="s">
        <v>98</v>
      </c>
      <c r="B12" s="3"/>
      <c r="C12" s="5">
        <f>C10*C11/1000</f>
        <v>10.6780005</v>
      </c>
      <c r="D12" s="3" t="s">
        <v>83</v>
      </c>
      <c r="E12" s="2"/>
      <c r="F12" s="2"/>
    </row>
    <row r="13" spans="1:6" x14ac:dyDescent="0.3">
      <c r="A13" s="2" t="s">
        <v>99</v>
      </c>
      <c r="B13" s="3"/>
      <c r="C13" s="5">
        <f>0.35*C8*C9</f>
        <v>53.01135</v>
      </c>
      <c r="D13" s="3" t="s">
        <v>93</v>
      </c>
      <c r="E13" s="2" t="s">
        <v>102</v>
      </c>
      <c r="F13" s="2"/>
    </row>
    <row r="14" spans="1:6" x14ac:dyDescent="0.3">
      <c r="A14" s="2" t="s">
        <v>100</v>
      </c>
      <c r="B14" s="3"/>
      <c r="C14" s="3">
        <v>235.6</v>
      </c>
      <c r="D14" s="3" t="s">
        <v>105</v>
      </c>
      <c r="E14" s="2" t="s">
        <v>106</v>
      </c>
      <c r="F14" s="2" t="s">
        <v>103</v>
      </c>
    </row>
    <row r="15" spans="1:6" x14ac:dyDescent="0.3">
      <c r="A15" s="2" t="s">
        <v>101</v>
      </c>
      <c r="B15" s="3"/>
      <c r="C15" s="5">
        <f>C13*C14/1000</f>
        <v>12.489474060000001</v>
      </c>
      <c r="D15" s="3" t="s">
        <v>83</v>
      </c>
      <c r="E15" s="2"/>
      <c r="F15" s="2"/>
    </row>
    <row r="16" spans="1:6" x14ac:dyDescent="0.3">
      <c r="A16" s="22" t="s">
        <v>108</v>
      </c>
      <c r="B16" s="23" t="s">
        <v>123</v>
      </c>
      <c r="C16" s="24">
        <f>C12+C15</f>
        <v>23.167474560000002</v>
      </c>
      <c r="D16" s="23" t="s">
        <v>83</v>
      </c>
      <c r="E16" s="22"/>
      <c r="F16" s="22"/>
    </row>
    <row r="17" spans="1:6" x14ac:dyDescent="0.3">
      <c r="A17" s="2" t="s">
        <v>112</v>
      </c>
      <c r="B17" s="3"/>
      <c r="C17" s="3">
        <v>1.2500000000000001E-2</v>
      </c>
      <c r="D17" s="3" t="s">
        <v>113</v>
      </c>
      <c r="E17" s="2" t="s">
        <v>116</v>
      </c>
      <c r="F17" s="2"/>
    </row>
    <row r="18" spans="1:6" x14ac:dyDescent="0.3">
      <c r="A18" s="2" t="s">
        <v>111</v>
      </c>
      <c r="B18" s="3"/>
      <c r="C18" s="3">
        <f>C17*2.2*1000</f>
        <v>27.500000000000004</v>
      </c>
      <c r="D18" s="3" t="s">
        <v>93</v>
      </c>
      <c r="E18" s="2" t="s">
        <v>114</v>
      </c>
      <c r="F18" s="2"/>
    </row>
    <row r="19" spans="1:6" x14ac:dyDescent="0.3">
      <c r="A19" s="2" t="s">
        <v>109</v>
      </c>
      <c r="B19" s="3"/>
      <c r="C19" s="25">
        <v>13000</v>
      </c>
      <c r="D19" s="3" t="s">
        <v>97</v>
      </c>
      <c r="E19" s="2" t="s">
        <v>110</v>
      </c>
      <c r="F19" s="2" t="s">
        <v>103</v>
      </c>
    </row>
    <row r="20" spans="1:6" x14ac:dyDescent="0.3">
      <c r="A20" s="22" t="s">
        <v>115</v>
      </c>
      <c r="B20" s="23" t="s">
        <v>214</v>
      </c>
      <c r="C20" s="24">
        <f>C18*C19/1000</f>
        <v>357.50000000000006</v>
      </c>
      <c r="D20" s="23" t="s">
        <v>83</v>
      </c>
      <c r="E20" s="22"/>
      <c r="F20" s="22"/>
    </row>
    <row r="21" spans="1:6" x14ac:dyDescent="0.3">
      <c r="A21" s="2" t="s">
        <v>118</v>
      </c>
      <c r="B21" s="3"/>
      <c r="C21" s="3">
        <v>1.2500000000000001E-2</v>
      </c>
      <c r="D21" s="3" t="s">
        <v>113</v>
      </c>
      <c r="E21" s="2" t="s">
        <v>116</v>
      </c>
      <c r="F21" s="2"/>
    </row>
    <row r="22" spans="1:6" x14ac:dyDescent="0.3">
      <c r="A22" s="2" t="s">
        <v>117</v>
      </c>
      <c r="B22" s="3"/>
      <c r="C22" s="3">
        <f>C21*7.8*1000</f>
        <v>97.5</v>
      </c>
      <c r="D22" s="3" t="s">
        <v>93</v>
      </c>
      <c r="E22" s="2" t="s">
        <v>122</v>
      </c>
      <c r="F22" s="2"/>
    </row>
    <row r="23" spans="1:6" x14ac:dyDescent="0.3">
      <c r="A23" s="2" t="s">
        <v>120</v>
      </c>
      <c r="B23" s="3"/>
      <c r="C23" s="25">
        <v>535.6</v>
      </c>
      <c r="D23" s="3" t="s">
        <v>97</v>
      </c>
      <c r="E23" s="2" t="s">
        <v>104</v>
      </c>
      <c r="F23" s="2" t="s">
        <v>119</v>
      </c>
    </row>
    <row r="24" spans="1:6" x14ac:dyDescent="0.3">
      <c r="A24" s="22" t="s">
        <v>121</v>
      </c>
      <c r="B24" s="23" t="s">
        <v>215</v>
      </c>
      <c r="C24" s="24">
        <f>C22*C23/1000</f>
        <v>52.220999999999997</v>
      </c>
      <c r="D24" s="23" t="s">
        <v>83</v>
      </c>
      <c r="E24" s="22"/>
      <c r="F24" s="22"/>
    </row>
    <row r="25" spans="1:6" x14ac:dyDescent="0.3">
      <c r="A25" s="2" t="s">
        <v>68</v>
      </c>
      <c r="B25" s="10" t="s">
        <v>47</v>
      </c>
      <c r="C25" s="19">
        <f>OPEX!C27*1000</f>
        <v>86.261772656249988</v>
      </c>
      <c r="D25" s="10" t="s">
        <v>7</v>
      </c>
      <c r="E25" s="2"/>
      <c r="F25" s="2"/>
    </row>
    <row r="26" spans="1:6" x14ac:dyDescent="0.3">
      <c r="A26" s="22" t="s">
        <v>124</v>
      </c>
      <c r="B26" s="39" t="s">
        <v>126</v>
      </c>
      <c r="C26" s="40">
        <v>47.5</v>
      </c>
      <c r="D26" s="39" t="s">
        <v>83</v>
      </c>
      <c r="E26" s="22" t="s">
        <v>127</v>
      </c>
      <c r="F26" s="22" t="s">
        <v>125</v>
      </c>
    </row>
    <row r="27" spans="1:6" x14ac:dyDescent="0.3">
      <c r="A27" s="26" t="s">
        <v>130</v>
      </c>
      <c r="B27" s="23" t="s">
        <v>134</v>
      </c>
      <c r="C27" s="24">
        <f>37</f>
        <v>37</v>
      </c>
      <c r="D27" s="23" t="s">
        <v>83</v>
      </c>
      <c r="E27" s="22"/>
      <c r="F27" s="22" t="s">
        <v>128</v>
      </c>
    </row>
    <row r="28" spans="1:6" x14ac:dyDescent="0.3">
      <c r="A28" s="26" t="s">
        <v>131</v>
      </c>
      <c r="B28" s="23" t="s">
        <v>135</v>
      </c>
      <c r="C28" s="24">
        <f>33</f>
        <v>33</v>
      </c>
      <c r="D28" s="23" t="s">
        <v>83</v>
      </c>
      <c r="E28" s="22"/>
      <c r="F28" s="22" t="s">
        <v>129</v>
      </c>
    </row>
    <row r="29" spans="1:6" x14ac:dyDescent="0.3">
      <c r="A29" s="26" t="s">
        <v>132</v>
      </c>
      <c r="B29" s="23" t="s">
        <v>136</v>
      </c>
      <c r="C29" s="24">
        <v>42</v>
      </c>
      <c r="D29" s="23" t="s">
        <v>83</v>
      </c>
      <c r="E29" s="22"/>
      <c r="F29" s="22" t="s">
        <v>133</v>
      </c>
    </row>
    <row r="30" spans="1:6" x14ac:dyDescent="0.3">
      <c r="A30" s="22" t="s">
        <v>142</v>
      </c>
      <c r="B30" s="23" t="s">
        <v>143</v>
      </c>
      <c r="C30" s="24">
        <v>4</v>
      </c>
      <c r="D30" s="23" t="s">
        <v>83</v>
      </c>
      <c r="E30" s="22"/>
      <c r="F30" s="22" t="s">
        <v>144</v>
      </c>
    </row>
    <row r="31" spans="1:6" x14ac:dyDescent="0.3">
      <c r="A31" s="22" t="s">
        <v>145</v>
      </c>
      <c r="B31" s="23" t="s">
        <v>146</v>
      </c>
      <c r="C31" s="24">
        <v>29.4</v>
      </c>
      <c r="D31" s="23" t="s">
        <v>83</v>
      </c>
      <c r="E31" s="22"/>
      <c r="F31" s="22" t="s">
        <v>147</v>
      </c>
    </row>
    <row r="32" spans="1:6" x14ac:dyDescent="0.3">
      <c r="A32" s="22" t="s">
        <v>148</v>
      </c>
      <c r="B32" s="23" t="s">
        <v>149</v>
      </c>
      <c r="C32" s="24">
        <v>10.61</v>
      </c>
      <c r="D32" s="23" t="s">
        <v>83</v>
      </c>
      <c r="E32" s="22"/>
      <c r="F32" s="22" t="s">
        <v>150</v>
      </c>
    </row>
    <row r="33" spans="1:6" x14ac:dyDescent="0.3">
      <c r="A33" s="22" t="s">
        <v>151</v>
      </c>
      <c r="B33" s="23" t="s">
        <v>152</v>
      </c>
      <c r="C33" s="24">
        <v>325.89999999999998</v>
      </c>
      <c r="D33" s="23" t="s">
        <v>83</v>
      </c>
      <c r="E33" s="22"/>
      <c r="F33" s="22" t="s">
        <v>153</v>
      </c>
    </row>
    <row r="34" spans="1:6" x14ac:dyDescent="0.3">
      <c r="A34" s="32" t="s">
        <v>160</v>
      </c>
      <c r="B34" s="33" t="s">
        <v>154</v>
      </c>
      <c r="C34" s="34">
        <f>SUM(C26:C33)+C24+C16+C7+C5+C20</f>
        <v>1163.69687456</v>
      </c>
      <c r="D34" s="33" t="s">
        <v>83</v>
      </c>
      <c r="E34" s="32"/>
      <c r="F34" s="32" t="s">
        <v>155</v>
      </c>
    </row>
    <row r="35" spans="1:6" x14ac:dyDescent="0.3">
      <c r="A35" s="32" t="s">
        <v>159</v>
      </c>
      <c r="B35" s="33" t="s">
        <v>158</v>
      </c>
      <c r="C35" s="34">
        <f>0.1*C34</f>
        <v>116.36968745600001</v>
      </c>
      <c r="D35" s="33" t="s">
        <v>83</v>
      </c>
      <c r="E35" s="32" t="s">
        <v>161</v>
      </c>
      <c r="F35" s="32"/>
    </row>
    <row r="36" spans="1:6" x14ac:dyDescent="0.3">
      <c r="A36" s="32" t="s">
        <v>166</v>
      </c>
      <c r="B36" s="33" t="s">
        <v>167</v>
      </c>
      <c r="C36" s="34">
        <f>0.1*(C34+C35)</f>
        <v>128.00665620160001</v>
      </c>
      <c r="D36" s="33" t="s">
        <v>83</v>
      </c>
      <c r="E36" s="32" t="s">
        <v>156</v>
      </c>
      <c r="F36" s="32" t="s">
        <v>155</v>
      </c>
    </row>
    <row r="37" spans="1:6" x14ac:dyDescent="0.3">
      <c r="A37" s="32" t="s">
        <v>164</v>
      </c>
      <c r="B37" s="33" t="s">
        <v>165</v>
      </c>
      <c r="C37" s="34">
        <f>0.58*(C34+C35+C36)</f>
        <v>816.68246656620795</v>
      </c>
      <c r="D37" s="33" t="s">
        <v>83</v>
      </c>
      <c r="E37" s="32" t="s">
        <v>157</v>
      </c>
      <c r="F37" s="32" t="s">
        <v>155</v>
      </c>
    </row>
    <row r="38" spans="1:6" x14ac:dyDescent="0.3">
      <c r="A38" s="32" t="s">
        <v>162</v>
      </c>
      <c r="B38" s="33" t="s">
        <v>163</v>
      </c>
      <c r="C38" s="34">
        <f>0.7*SUM(C34:C35)</f>
        <v>896.04659341119998</v>
      </c>
      <c r="D38" s="33" t="s">
        <v>83</v>
      </c>
      <c r="E38" s="32" t="s">
        <v>168</v>
      </c>
      <c r="F38" s="32" t="s">
        <v>155</v>
      </c>
    </row>
    <row r="39" spans="1:6" x14ac:dyDescent="0.3">
      <c r="A39" s="29" t="s">
        <v>170</v>
      </c>
      <c r="B39" s="35" t="s">
        <v>169</v>
      </c>
      <c r="C39" s="36">
        <f>SUM(C34:C38)</f>
        <v>3120.8022781950076</v>
      </c>
      <c r="D39" s="35" t="s">
        <v>83</v>
      </c>
      <c r="E39" s="29"/>
      <c r="F39" s="29"/>
    </row>
    <row r="40" spans="1:6" x14ac:dyDescent="0.3">
      <c r="A40" s="2"/>
      <c r="B40" s="3"/>
      <c r="C40" s="3"/>
      <c r="D40" s="3"/>
      <c r="E40" s="2"/>
      <c r="F40" s="2"/>
    </row>
    <row r="41" spans="1:6" x14ac:dyDescent="0.3">
      <c r="A41" s="2" t="s">
        <v>191</v>
      </c>
      <c r="B41" s="3" t="s">
        <v>13</v>
      </c>
      <c r="C41" s="4">
        <f>OPEX!C5</f>
        <v>250</v>
      </c>
      <c r="D41" s="3" t="s">
        <v>14</v>
      </c>
      <c r="E41" s="2"/>
      <c r="F41" s="2"/>
    </row>
    <row r="42" spans="1:6" x14ac:dyDescent="0.3">
      <c r="A42" s="2" t="s">
        <v>192</v>
      </c>
      <c r="B42" s="3" t="s">
        <v>193</v>
      </c>
      <c r="C42" s="4">
        <f>OPEX!C6</f>
        <v>8400</v>
      </c>
      <c r="D42" s="3" t="s">
        <v>10</v>
      </c>
      <c r="E42" s="2"/>
      <c r="F42" s="2"/>
    </row>
    <row r="43" spans="1:6" x14ac:dyDescent="0.3">
      <c r="A43" s="2" t="s">
        <v>15</v>
      </c>
      <c r="B43" s="3" t="s">
        <v>16</v>
      </c>
      <c r="C43" s="3">
        <v>90</v>
      </c>
      <c r="D43" s="3" t="s">
        <v>9</v>
      </c>
      <c r="E43" s="2"/>
      <c r="F43" s="2"/>
    </row>
    <row r="44" spans="1:6" x14ac:dyDescent="0.3">
      <c r="A44" s="2" t="s">
        <v>206</v>
      </c>
      <c r="B44" s="10" t="s">
        <v>24</v>
      </c>
      <c r="C44" s="11">
        <f>OPEX!C13</f>
        <v>0.84622480178266068</v>
      </c>
      <c r="D44" s="10" t="s">
        <v>34</v>
      </c>
      <c r="E44" s="2"/>
      <c r="F44" s="2"/>
    </row>
    <row r="45" spans="1:6" x14ac:dyDescent="0.3">
      <c r="A45" s="2" t="s">
        <v>194</v>
      </c>
      <c r="B45" s="10" t="s">
        <v>195</v>
      </c>
      <c r="C45" s="10">
        <v>83.33</v>
      </c>
      <c r="D45" s="10" t="s">
        <v>9</v>
      </c>
      <c r="E45" s="2" t="s">
        <v>209</v>
      </c>
      <c r="F45" s="2"/>
    </row>
    <row r="46" spans="1:6" x14ac:dyDescent="0.3">
      <c r="A46" s="2" t="s">
        <v>197</v>
      </c>
      <c r="B46" s="10" t="s">
        <v>196</v>
      </c>
      <c r="C46" s="19">
        <f>C44*365*(C45/100)</f>
        <v>257.38308147380422</v>
      </c>
      <c r="D46" s="10" t="s">
        <v>204</v>
      </c>
      <c r="E46" s="2" t="s">
        <v>217</v>
      </c>
      <c r="F46" s="2"/>
    </row>
    <row r="47" spans="1:6" ht="14.5" x14ac:dyDescent="0.3">
      <c r="A47" s="2" t="s">
        <v>171</v>
      </c>
      <c r="B47" s="17" t="s">
        <v>172</v>
      </c>
      <c r="C47" s="10">
        <v>19</v>
      </c>
      <c r="D47" s="10" t="s">
        <v>9</v>
      </c>
      <c r="E47" s="2" t="s">
        <v>216</v>
      </c>
      <c r="F47" s="27"/>
    </row>
    <row r="48" spans="1:6" x14ac:dyDescent="0.3">
      <c r="A48" s="2" t="s">
        <v>174</v>
      </c>
      <c r="B48" s="10" t="s">
        <v>190</v>
      </c>
      <c r="C48" s="12">
        <f>C39*(C47/100)</f>
        <v>592.95243285705146</v>
      </c>
      <c r="D48" s="10" t="s">
        <v>175</v>
      </c>
      <c r="E48" s="2" t="s">
        <v>207</v>
      </c>
      <c r="F48" s="27" t="s">
        <v>173</v>
      </c>
    </row>
    <row r="49" spans="1:6" x14ac:dyDescent="0.3">
      <c r="A49" s="2" t="s">
        <v>176</v>
      </c>
      <c r="B49" s="10" t="s">
        <v>177</v>
      </c>
      <c r="C49" s="28">
        <f>C39+C48</f>
        <v>3713.7547110520591</v>
      </c>
      <c r="D49" s="10" t="s">
        <v>175</v>
      </c>
      <c r="E49" s="2" t="s">
        <v>218</v>
      </c>
      <c r="F49" s="27" t="s">
        <v>178</v>
      </c>
    </row>
    <row r="50" spans="1:6" x14ac:dyDescent="0.3">
      <c r="A50" s="2" t="s">
        <v>179</v>
      </c>
      <c r="B50" s="10" t="s">
        <v>22</v>
      </c>
      <c r="C50" s="10">
        <v>20</v>
      </c>
      <c r="D50" s="10" t="s">
        <v>180</v>
      </c>
      <c r="E50" s="2"/>
      <c r="F50" s="2"/>
    </row>
    <row r="51" spans="1:6" ht="14.5" x14ac:dyDescent="0.3">
      <c r="A51" s="2" t="s">
        <v>181</v>
      </c>
      <c r="B51" s="17" t="s">
        <v>182</v>
      </c>
      <c r="C51" s="10">
        <v>3</v>
      </c>
      <c r="D51" s="10" t="s">
        <v>9</v>
      </c>
      <c r="E51" s="2" t="s">
        <v>183</v>
      </c>
      <c r="F51" s="27" t="s">
        <v>184</v>
      </c>
    </row>
    <row r="52" spans="1:6" ht="14.5" x14ac:dyDescent="0.35">
      <c r="A52" s="2" t="s">
        <v>185</v>
      </c>
      <c r="B52" s="10" t="s">
        <v>186</v>
      </c>
      <c r="C52" s="18">
        <f>(C51/100)*(1+(C51/100))^C50/((1+(C51/100))^C50-1)</f>
        <v>6.7215707596859159E-2</v>
      </c>
      <c r="D52" s="10"/>
      <c r="E52" s="2" t="s">
        <v>228</v>
      </c>
      <c r="F52" s="2"/>
    </row>
    <row r="53" spans="1:6" x14ac:dyDescent="0.3">
      <c r="A53" s="2" t="s">
        <v>187</v>
      </c>
      <c r="B53" s="10" t="s">
        <v>188</v>
      </c>
      <c r="C53" s="12">
        <f>C49*C52</f>
        <v>249.62265074453339</v>
      </c>
      <c r="D53" s="10" t="s">
        <v>175</v>
      </c>
      <c r="E53" s="2" t="s">
        <v>219</v>
      </c>
      <c r="F53" s="27" t="s">
        <v>178</v>
      </c>
    </row>
    <row r="54" spans="1:6" x14ac:dyDescent="0.3">
      <c r="A54" s="29" t="s">
        <v>234</v>
      </c>
      <c r="B54" s="30" t="s">
        <v>189</v>
      </c>
      <c r="C54" s="53">
        <f>C53/C46</f>
        <v>0.96984871466751521</v>
      </c>
      <c r="D54" s="30" t="s">
        <v>37</v>
      </c>
      <c r="E54" s="29" t="s">
        <v>220</v>
      </c>
      <c r="F54" s="29"/>
    </row>
  </sheetData>
  <pageMargins left="0.25" right="0.25" top="0.75" bottom="0.75" header="0.3" footer="0.3"/>
  <pageSetup scale="6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F4CA-EABC-4FB4-8086-CF785BC25875}">
  <dimension ref="A1:F8"/>
  <sheetViews>
    <sheetView zoomScale="85" zoomScaleNormal="85" workbookViewId="0">
      <selection activeCell="E26" sqref="E26"/>
    </sheetView>
  </sheetViews>
  <sheetFormatPr defaultRowHeight="14.5" x14ac:dyDescent="0.35"/>
  <cols>
    <col min="1" max="1" width="30.90625" bestFit="1" customWidth="1"/>
    <col min="2" max="2" width="9.81640625" bestFit="1" customWidth="1"/>
    <col min="4" max="4" width="10.453125" bestFit="1" customWidth="1"/>
    <col min="5" max="5" width="53.54296875" bestFit="1" customWidth="1"/>
    <col min="6" max="6" width="17.6328125" bestFit="1" customWidth="1"/>
  </cols>
  <sheetData>
    <row r="1" spans="1:6" x14ac:dyDescent="0.35">
      <c r="A1" s="1" t="s">
        <v>0</v>
      </c>
      <c r="B1" s="9" t="s">
        <v>1</v>
      </c>
      <c r="C1" s="9" t="s">
        <v>2</v>
      </c>
      <c r="D1" s="9" t="s">
        <v>3</v>
      </c>
      <c r="E1" s="1" t="s">
        <v>4</v>
      </c>
      <c r="F1" s="1" t="s">
        <v>5</v>
      </c>
    </row>
    <row r="2" spans="1:6" x14ac:dyDescent="0.35">
      <c r="A2" s="7" t="s">
        <v>229</v>
      </c>
      <c r="B2" s="14" t="s">
        <v>233</v>
      </c>
      <c r="C2" s="15">
        <f>OPEX!C18</f>
        <v>45.026333333333319</v>
      </c>
      <c r="D2" s="14" t="s">
        <v>37</v>
      </c>
      <c r="E2" s="7"/>
      <c r="F2" s="7"/>
    </row>
    <row r="3" spans="1:6" x14ac:dyDescent="0.35">
      <c r="A3" s="7" t="s">
        <v>230</v>
      </c>
      <c r="B3" s="14" t="s">
        <v>232</v>
      </c>
      <c r="C3" s="15">
        <f>OPEX!C30</f>
        <v>0.17125446779296868</v>
      </c>
      <c r="D3" s="14" t="s">
        <v>37</v>
      </c>
      <c r="E3" s="7"/>
      <c r="F3" s="7"/>
    </row>
    <row r="4" spans="1:6" x14ac:dyDescent="0.35">
      <c r="A4" s="7" t="s">
        <v>231</v>
      </c>
      <c r="B4" s="14" t="s">
        <v>205</v>
      </c>
      <c r="C4" s="15">
        <f>OPEX!C35</f>
        <v>2.2513166666666664</v>
      </c>
      <c r="D4" s="14" t="s">
        <v>37</v>
      </c>
      <c r="E4" s="7"/>
      <c r="F4" s="7"/>
    </row>
    <row r="5" spans="1:6" x14ac:dyDescent="0.35">
      <c r="A5" s="41" t="s">
        <v>203</v>
      </c>
      <c r="B5" s="42" t="s">
        <v>200</v>
      </c>
      <c r="C5" s="54">
        <f>SUM(C2:C4)</f>
        <v>47.448904467792957</v>
      </c>
      <c r="D5" s="45" t="s">
        <v>37</v>
      </c>
      <c r="E5" s="46" t="s">
        <v>236</v>
      </c>
      <c r="F5" s="46"/>
    </row>
    <row r="6" spans="1:6" x14ac:dyDescent="0.35">
      <c r="A6" s="43" t="s">
        <v>234</v>
      </c>
      <c r="B6" s="44" t="s">
        <v>189</v>
      </c>
      <c r="C6" s="54">
        <f>'CAPEX &amp; LCC'!C54</f>
        <v>0.96984871466751521</v>
      </c>
      <c r="D6" s="45" t="s">
        <v>37</v>
      </c>
      <c r="E6" s="46" t="s">
        <v>201</v>
      </c>
      <c r="F6" s="46"/>
    </row>
    <row r="7" spans="1:6" x14ac:dyDescent="0.35">
      <c r="A7" s="48" t="s">
        <v>235</v>
      </c>
      <c r="B7" s="49" t="s">
        <v>202</v>
      </c>
      <c r="C7" s="50">
        <f>C5+C6</f>
        <v>48.41875318246047</v>
      </c>
      <c r="D7" s="51" t="s">
        <v>37</v>
      </c>
      <c r="E7" s="52" t="s">
        <v>226</v>
      </c>
      <c r="F7" s="47"/>
    </row>
    <row r="8" spans="1:6" x14ac:dyDescent="0.35">
      <c r="A8" s="8"/>
      <c r="B8" s="16"/>
      <c r="C8" s="16"/>
      <c r="D8" s="16"/>
      <c r="E8" s="8"/>
      <c r="F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OPEX</vt:lpstr>
      <vt:lpstr>CAPEX &amp; LCC</vt:lpstr>
      <vt:lpstr>Levelized Total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Gu, Shuang</dc:creator>
  <cp:lastModifiedBy>Gu, Shuang</cp:lastModifiedBy>
  <cp:lastPrinted>2022-05-16T14:07:07Z</cp:lastPrinted>
  <dcterms:created xsi:type="dcterms:W3CDTF">2015-06-05T18:17:20Z</dcterms:created>
  <dcterms:modified xsi:type="dcterms:W3CDTF">2022-12-11T00:09:03Z</dcterms:modified>
</cp:coreProperties>
</file>