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universityofcambridgecloud-my.sharepoint.com/personal/jhje2_cam_ac_uk/Documents/PhD/In_progress_papers/Engineering considerations/"/>
    </mc:Choice>
  </mc:AlternateContent>
  <xr:revisionPtr revIDLastSave="0" documentId="8_{C80EC162-FFA4-4134-B637-ECB4A4EAFBB5}" xr6:coauthVersionLast="47" xr6:coauthVersionMax="47" xr10:uidLastSave="{00000000-0000-0000-0000-000000000000}"/>
  <bookViews>
    <workbookView xWindow="-120" yWindow="-120" windowWidth="29040" windowHeight="16440" xr2:uid="{439A2587-22C4-4EEB-8E37-DA6CEF88969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1" l="1"/>
  <c r="E9" i="1"/>
  <c r="V15" i="1"/>
  <c r="L18" i="1"/>
  <c r="B61" i="1"/>
  <c r="O45" i="1" l="1"/>
  <c r="C8" i="1"/>
  <c r="B23" i="1"/>
  <c r="L22" i="1"/>
  <c r="L15" i="1"/>
  <c r="L23" i="1"/>
  <c r="B46" i="1" l="1"/>
  <c r="V106" i="1"/>
  <c r="U106" i="1"/>
  <c r="W106" i="1" s="1"/>
  <c r="V105" i="1"/>
  <c r="U105" i="1"/>
  <c r="V104" i="1"/>
  <c r="U104" i="1"/>
  <c r="W104" i="1" s="1"/>
  <c r="V103" i="1"/>
  <c r="U103" i="1"/>
  <c r="W103" i="1" s="1"/>
  <c r="V102" i="1"/>
  <c r="U102" i="1"/>
  <c r="V101" i="1"/>
  <c r="U101" i="1"/>
  <c r="V100" i="1"/>
  <c r="U100" i="1"/>
  <c r="V99" i="1"/>
  <c r="U99" i="1"/>
  <c r="W99" i="1" s="1"/>
  <c r="V98" i="1"/>
  <c r="U98" i="1"/>
  <c r="V97" i="1"/>
  <c r="U97" i="1"/>
  <c r="W97" i="1" s="1"/>
  <c r="V96" i="1"/>
  <c r="U96" i="1"/>
  <c r="V95" i="1"/>
  <c r="U95" i="1"/>
  <c r="W95" i="1" s="1"/>
  <c r="V94" i="1"/>
  <c r="U94" i="1"/>
  <c r="V93" i="1"/>
  <c r="U93" i="1"/>
  <c r="W93" i="1" s="1"/>
  <c r="V92" i="1"/>
  <c r="U92" i="1"/>
  <c r="W92" i="1" s="1"/>
  <c r="V91" i="1"/>
  <c r="U91" i="1"/>
  <c r="V90" i="1"/>
  <c r="U90" i="1"/>
  <c r="V89" i="1"/>
  <c r="U89" i="1"/>
  <c r="V88" i="1"/>
  <c r="U88" i="1"/>
  <c r="V87" i="1"/>
  <c r="U87" i="1"/>
  <c r="W87" i="1" s="1"/>
  <c r="V86" i="1"/>
  <c r="U86" i="1"/>
  <c r="W86" i="1" s="1"/>
  <c r="V85" i="1"/>
  <c r="U85" i="1"/>
  <c r="V84" i="1"/>
  <c r="U84" i="1"/>
  <c r="V83" i="1"/>
  <c r="U83" i="1"/>
  <c r="W83" i="1" s="1"/>
  <c r="V82" i="1"/>
  <c r="U82" i="1"/>
  <c r="W82" i="1" s="1"/>
  <c r="V81" i="1"/>
  <c r="U81" i="1"/>
  <c r="W81" i="1" s="1"/>
  <c r="V80" i="1"/>
  <c r="U80" i="1"/>
  <c r="W80" i="1" s="1"/>
  <c r="V79" i="1"/>
  <c r="U79" i="1"/>
  <c r="W79" i="1" s="1"/>
  <c r="V78" i="1"/>
  <c r="U78" i="1"/>
  <c r="W78" i="1" s="1"/>
  <c r="V77" i="1"/>
  <c r="U77" i="1"/>
  <c r="V76" i="1"/>
  <c r="U76" i="1"/>
  <c r="W76" i="1" s="1"/>
  <c r="V75" i="1"/>
  <c r="U75" i="1"/>
  <c r="W75" i="1" s="1"/>
  <c r="V74" i="1"/>
  <c r="U74" i="1"/>
  <c r="W74" i="1" s="1"/>
  <c r="V73" i="1"/>
  <c r="U73" i="1"/>
  <c r="W73" i="1" s="1"/>
  <c r="V72" i="1"/>
  <c r="U72" i="1"/>
  <c r="W72" i="1" s="1"/>
  <c r="V71" i="1"/>
  <c r="U71" i="1"/>
  <c r="V70" i="1"/>
  <c r="U70" i="1"/>
  <c r="W70" i="1" s="1"/>
  <c r="V69" i="1"/>
  <c r="U69" i="1"/>
  <c r="W69" i="1" s="1"/>
  <c r="V68" i="1"/>
  <c r="U68" i="1"/>
  <c r="V67" i="1"/>
  <c r="U67" i="1"/>
  <c r="W67" i="1" s="1"/>
  <c r="V66" i="1"/>
  <c r="U66" i="1"/>
  <c r="W66" i="1" s="1"/>
  <c r="V65" i="1"/>
  <c r="U65" i="1"/>
  <c r="W65" i="1" s="1"/>
  <c r="V64" i="1"/>
  <c r="U64" i="1"/>
  <c r="W64" i="1" s="1"/>
  <c r="V63" i="1"/>
  <c r="U63" i="1"/>
  <c r="W63" i="1" s="1"/>
  <c r="V62" i="1"/>
  <c r="U62" i="1"/>
  <c r="W62" i="1" s="1"/>
  <c r="V61" i="1"/>
  <c r="U61" i="1"/>
  <c r="W61" i="1" s="1"/>
  <c r="V60" i="1"/>
  <c r="U60" i="1"/>
  <c r="W60" i="1" s="1"/>
  <c r="V59" i="1"/>
  <c r="U59" i="1"/>
  <c r="W59" i="1" s="1"/>
  <c r="V58" i="1"/>
  <c r="U58" i="1"/>
  <c r="W58" i="1" s="1"/>
  <c r="V57" i="1"/>
  <c r="U57" i="1"/>
  <c r="W57" i="1" s="1"/>
  <c r="V56" i="1"/>
  <c r="U56" i="1"/>
  <c r="W56" i="1" s="1"/>
  <c r="V55" i="1"/>
  <c r="U55" i="1"/>
  <c r="W55" i="1" s="1"/>
  <c r="V54" i="1"/>
  <c r="U54" i="1"/>
  <c r="V53" i="1"/>
  <c r="U53" i="1"/>
  <c r="V52" i="1"/>
  <c r="U52" i="1"/>
  <c r="V51" i="1"/>
  <c r="U51" i="1"/>
  <c r="W51" i="1" s="1"/>
  <c r="V50" i="1"/>
  <c r="U50" i="1"/>
  <c r="W50" i="1" s="1"/>
  <c r="V49" i="1"/>
  <c r="U49" i="1"/>
  <c r="W49" i="1" s="1"/>
  <c r="V48" i="1"/>
  <c r="U48" i="1"/>
  <c r="W48" i="1" s="1"/>
  <c r="V47" i="1"/>
  <c r="U47" i="1"/>
  <c r="W47" i="1" s="1"/>
  <c r="V46" i="1"/>
  <c r="U46" i="1"/>
  <c r="W46" i="1" s="1"/>
  <c r="V45" i="1"/>
  <c r="U45" i="1"/>
  <c r="W45" i="1" s="1"/>
  <c r="V44" i="1"/>
  <c r="U44" i="1"/>
  <c r="W44" i="1" s="1"/>
  <c r="V43" i="1"/>
  <c r="U43" i="1"/>
  <c r="W43" i="1" s="1"/>
  <c r="V42" i="1"/>
  <c r="U42" i="1"/>
  <c r="W42" i="1" s="1"/>
  <c r="V41" i="1"/>
  <c r="U41" i="1"/>
  <c r="W41" i="1" s="1"/>
  <c r="V40" i="1"/>
  <c r="U40" i="1"/>
  <c r="W40" i="1" s="1"/>
  <c r="V39" i="1"/>
  <c r="U39" i="1"/>
  <c r="W39" i="1" s="1"/>
  <c r="V38" i="1"/>
  <c r="U38" i="1"/>
  <c r="W38" i="1" s="1"/>
  <c r="V37" i="1"/>
  <c r="U37" i="1"/>
  <c r="W37" i="1" s="1"/>
  <c r="V36" i="1"/>
  <c r="U36" i="1"/>
  <c r="V35" i="1"/>
  <c r="U35" i="1"/>
  <c r="V34" i="1"/>
  <c r="U34" i="1"/>
  <c r="W34" i="1" s="1"/>
  <c r="V33" i="1"/>
  <c r="U33" i="1"/>
  <c r="W33" i="1" s="1"/>
  <c r="V32" i="1"/>
  <c r="U32" i="1"/>
  <c r="W32" i="1" s="1"/>
  <c r="V31" i="1"/>
  <c r="U31" i="1"/>
  <c r="W31" i="1" s="1"/>
  <c r="V30" i="1"/>
  <c r="U30" i="1"/>
  <c r="W30" i="1" s="1"/>
  <c r="V29" i="1"/>
  <c r="U29" i="1"/>
  <c r="W29" i="1" s="1"/>
  <c r="V28" i="1"/>
  <c r="U28" i="1"/>
  <c r="W28" i="1" s="1"/>
  <c r="V27" i="1"/>
  <c r="U27" i="1"/>
  <c r="W27" i="1" s="1"/>
  <c r="V26" i="1"/>
  <c r="U26" i="1"/>
  <c r="W26" i="1" s="1"/>
  <c r="V25" i="1"/>
  <c r="U25" i="1"/>
  <c r="W25" i="1" s="1"/>
  <c r="V24" i="1"/>
  <c r="U24" i="1"/>
  <c r="W24" i="1" s="1"/>
  <c r="V23" i="1"/>
  <c r="U23" i="1"/>
  <c r="V22" i="1"/>
  <c r="U22" i="1"/>
  <c r="W22" i="1" s="1"/>
  <c r="V21" i="1"/>
  <c r="U21" i="1"/>
  <c r="W21" i="1" s="1"/>
  <c r="V20" i="1"/>
  <c r="U20" i="1"/>
  <c r="V19" i="1"/>
  <c r="U19" i="1"/>
  <c r="W19" i="1" s="1"/>
  <c r="V18" i="1"/>
  <c r="U18" i="1"/>
  <c r="W18" i="1" s="1"/>
  <c r="V17" i="1"/>
  <c r="U17" i="1"/>
  <c r="W17" i="1" s="1"/>
  <c r="V16" i="1"/>
  <c r="U16" i="1"/>
  <c r="W16" i="1" s="1"/>
  <c r="U15" i="1"/>
  <c r="W15" i="1" s="1"/>
  <c r="V14" i="1"/>
  <c r="U14" i="1"/>
  <c r="W14" i="1" s="1"/>
  <c r="V13" i="1"/>
  <c r="U13" i="1"/>
  <c r="W13" i="1" s="1"/>
  <c r="V12" i="1"/>
  <c r="U12" i="1"/>
  <c r="V11" i="1"/>
  <c r="V10" i="1"/>
  <c r="V9" i="1"/>
  <c r="V8" i="1"/>
  <c r="V7" i="1"/>
  <c r="U11" i="1"/>
  <c r="W11" i="1" s="1"/>
  <c r="U10" i="1"/>
  <c r="W10" i="1" s="1"/>
  <c r="U9" i="1"/>
  <c r="W9" i="1" s="1"/>
  <c r="U7" i="1"/>
  <c r="W7" i="1" s="1"/>
  <c r="U8" i="1"/>
  <c r="W8" i="1" s="1"/>
  <c r="O58" i="1"/>
  <c r="O56" i="1"/>
  <c r="L61" i="1"/>
  <c r="J60" i="1"/>
  <c r="L60" i="1" s="1"/>
  <c r="L47" i="1"/>
  <c r="L46" i="1"/>
  <c r="L45" i="1"/>
  <c r="L44" i="1"/>
  <c r="L43" i="1"/>
  <c r="L42" i="1"/>
  <c r="L41" i="1"/>
  <c r="G49" i="1"/>
  <c r="O21" i="1"/>
  <c r="B13" i="1"/>
  <c r="L32" i="1"/>
  <c r="L14" i="1"/>
  <c r="C10" i="1"/>
  <c r="D8" i="1"/>
  <c r="E10" i="1"/>
  <c r="W35" i="1" l="1"/>
  <c r="W94" i="1"/>
  <c r="W96" i="1"/>
  <c r="W71" i="1"/>
  <c r="W105" i="1"/>
  <c r="W102" i="1"/>
  <c r="W12" i="1"/>
  <c r="L33" i="1"/>
  <c r="L34" i="1" s="1"/>
  <c r="L17" i="1"/>
  <c r="L16" i="1"/>
  <c r="W23" i="1"/>
  <c r="W91" i="1"/>
  <c r="W90" i="1"/>
  <c r="W88" i="1"/>
  <c r="W68" i="1"/>
  <c r="W85" i="1"/>
  <c r="W101" i="1"/>
  <c r="W89" i="1"/>
  <c r="W98" i="1"/>
  <c r="O59" i="1"/>
  <c r="O60" i="1" s="1"/>
  <c r="W20" i="1"/>
  <c r="W100" i="1"/>
  <c r="W52" i="1"/>
  <c r="W36" i="1"/>
  <c r="W77" i="1"/>
  <c r="W84" i="1"/>
  <c r="W54" i="1"/>
  <c r="W53" i="1"/>
  <c r="C14" i="1"/>
  <c r="D14" i="1" s="1"/>
  <c r="L24" i="1"/>
  <c r="L29" i="1"/>
  <c r="O12" i="1"/>
  <c r="L25" i="1"/>
  <c r="L26" i="1"/>
  <c r="L28" i="1" l="1"/>
  <c r="L20" i="1"/>
  <c r="L19" i="1"/>
  <c r="L31" i="1" l="1"/>
  <c r="L30" i="1"/>
  <c r="B10" i="1" l="1"/>
  <c r="B47" i="1" s="1"/>
  <c r="B48" i="1" s="1"/>
  <c r="O57" i="1" s="1"/>
  <c r="B50" i="1" l="1"/>
  <c r="B51" i="1" s="1"/>
  <c r="B52" i="1" s="1"/>
  <c r="O61" i="1"/>
  <c r="O54" i="1"/>
  <c r="O55" i="1" s="1"/>
  <c r="D10" i="1"/>
  <c r="B34" i="1"/>
  <c r="B33" i="1"/>
  <c r="D9" i="1" l="1"/>
  <c r="C9" i="1" s="1"/>
  <c r="D7" i="1"/>
  <c r="G21" i="1"/>
  <c r="E14" i="1"/>
  <c r="G22" i="1"/>
  <c r="O20" i="1"/>
  <c r="D11" i="1"/>
  <c r="B36" i="1"/>
  <c r="B37" i="1" s="1"/>
  <c r="D13" i="1"/>
  <c r="C11" i="1"/>
  <c r="E8" i="1"/>
  <c r="C13" i="1" l="1"/>
  <c r="G46" i="1"/>
  <c r="C7" i="1"/>
  <c r="D12" i="1"/>
  <c r="O35" i="1"/>
  <c r="G23" i="1"/>
  <c r="E12" i="1"/>
  <c r="C12" i="1" l="1"/>
  <c r="D19" i="1"/>
  <c r="G20" i="1"/>
  <c r="B49" i="1" s="1"/>
  <c r="B35" i="1"/>
  <c r="O36" i="1"/>
  <c r="O38" i="1" s="1"/>
  <c r="O37" i="1"/>
  <c r="O39" i="1" s="1"/>
  <c r="E19" i="1"/>
  <c r="H20" i="1"/>
  <c r="O11" i="1" l="1"/>
  <c r="C15" i="1"/>
  <c r="O40" i="1"/>
  <c r="O41" i="1"/>
  <c r="O42" i="1" s="1"/>
  <c r="C19" i="1"/>
  <c r="D46" i="1"/>
  <c r="B54" i="1"/>
  <c r="D47" i="1"/>
  <c r="B53" i="1"/>
  <c r="D48" i="1"/>
  <c r="O23" i="1" l="1"/>
  <c r="O22" i="1"/>
  <c r="O24" i="1"/>
  <c r="O13" i="1"/>
  <c r="B19" i="1"/>
  <c r="O43" i="1"/>
  <c r="O44" i="1" s="1"/>
  <c r="G52" i="1" s="1"/>
  <c r="D15" i="1"/>
  <c r="C16" i="1"/>
  <c r="C18" i="1" l="1"/>
  <c r="C17" i="1"/>
  <c r="E15" i="1"/>
  <c r="D17" i="1"/>
  <c r="G17" i="1" s="1"/>
  <c r="D16" i="1"/>
  <c r="B16" i="1" s="1"/>
  <c r="D18" i="1"/>
  <c r="G47" i="1"/>
  <c r="G48" i="1" s="1"/>
  <c r="G50" i="1" s="1"/>
  <c r="G53" i="1"/>
  <c r="H52" i="1" s="1"/>
  <c r="E18" i="1" l="1"/>
  <c r="E16" i="1"/>
  <c r="E17" i="1"/>
  <c r="G16" i="1"/>
  <c r="G18" i="1" s="1"/>
  <c r="G24" i="1"/>
  <c r="B17" i="1"/>
  <c r="B18" i="1"/>
</calcChain>
</file>

<file path=xl/sharedStrings.xml><?xml version="1.0" encoding="utf-8"?>
<sst xmlns="http://schemas.openxmlformats.org/spreadsheetml/2006/main" count="327" uniqueCount="301">
  <si>
    <t>Notes</t>
  </si>
  <si>
    <t>Copper</t>
  </si>
  <si>
    <t>Lithium</t>
  </si>
  <si>
    <t>Separator</t>
  </si>
  <si>
    <t>Porosity</t>
  </si>
  <si>
    <t>Carbon</t>
  </si>
  <si>
    <t>Aluminium</t>
  </si>
  <si>
    <t>Oxygen</t>
  </si>
  <si>
    <t>Casing</t>
  </si>
  <si>
    <t>Average Wh/kg</t>
  </si>
  <si>
    <t>Average Wh/L</t>
  </si>
  <si>
    <t>Pore fill</t>
  </si>
  <si>
    <t>kg/L</t>
  </si>
  <si>
    <t>Pore space</t>
  </si>
  <si>
    <t>Li2O2/g</t>
  </si>
  <si>
    <t>Li2O2/mL</t>
  </si>
  <si>
    <t>Excess Li</t>
  </si>
  <si>
    <t>Density (kg/m3)</t>
  </si>
  <si>
    <t>Mass (g)</t>
  </si>
  <si>
    <t>Volume (mL)</t>
  </si>
  <si>
    <t>Thickness (um)</t>
  </si>
  <si>
    <t>Electrolyte in pores</t>
  </si>
  <si>
    <t>Electrolyte excess</t>
  </si>
  <si>
    <t>Volume (incl. pores)</t>
  </si>
  <si>
    <t>1 is stoichiometric, 1.5 is 50% more etc.</t>
  </si>
  <si>
    <t>Li current collector</t>
  </si>
  <si>
    <t>Carbon current collector</t>
  </si>
  <si>
    <t>Anode material</t>
  </si>
  <si>
    <t>Oxygen in Li2O2 at full discharge</t>
  </si>
  <si>
    <t>Carbon (mAh/g)</t>
  </si>
  <si>
    <t>Discharge voltage (V)</t>
  </si>
  <si>
    <t>Cell capacity (Ah)</t>
  </si>
  <si>
    <t>Cell energy (Wh)</t>
  </si>
  <si>
    <t>Carbon thickness (um)</t>
  </si>
  <si>
    <t>Casing (g/mL)</t>
  </si>
  <si>
    <t>Average over discharge</t>
  </si>
  <si>
    <t>Total (discharge)</t>
  </si>
  <si>
    <t>Total (half discharge)</t>
  </si>
  <si>
    <t>Total (charge, excluding case)</t>
  </si>
  <si>
    <t>Total (charge)</t>
  </si>
  <si>
    <t>Other&amp;intermediate calculations</t>
  </si>
  <si>
    <t>Input cells</t>
  </si>
  <si>
    <t>Cell design</t>
  </si>
  <si>
    <t>Cathode material - Values are for cathode material only, does not include pores</t>
  </si>
  <si>
    <t>Li2O2 density (kg/m3)</t>
  </si>
  <si>
    <t>g Li2O2/g carbon</t>
  </si>
  <si>
    <t>Assuming 2D stacked structure</t>
  </si>
  <si>
    <t>Assuming isolated spherical particles</t>
  </si>
  <si>
    <t>Assuming uniform coating on 2D stack</t>
  </si>
  <si>
    <t>Carbon width (nm)</t>
  </si>
  <si>
    <t>Carbon radius (nm)</t>
  </si>
  <si>
    <t>Li2O2 crystal size (nm)</t>
  </si>
  <si>
    <t>O2 Diffusion</t>
  </si>
  <si>
    <t>C rate</t>
  </si>
  <si>
    <t>e- process</t>
  </si>
  <si>
    <t>mA/g</t>
  </si>
  <si>
    <t>mA/cm2</t>
  </si>
  <si>
    <t>J0 (mol O2/cm2/s)</t>
  </si>
  <si>
    <t>J0 (mol O2/m2/s)</t>
  </si>
  <si>
    <t>DC (mol O2/m/s)</t>
  </si>
  <si>
    <t>Porosity (%)</t>
  </si>
  <si>
    <t>mgc/cm2</t>
  </si>
  <si>
    <t>Grain diameter</t>
  </si>
  <si>
    <t>Sphericity</t>
  </si>
  <si>
    <t>Kozeny-Carman equation</t>
  </si>
  <si>
    <t>Even if this is changed Li2O2 is assumed to be the discharge product elsewhere</t>
  </si>
  <si>
    <t>τ</t>
  </si>
  <si>
    <t>Permeability (m2)</t>
  </si>
  <si>
    <t>DME</t>
  </si>
  <si>
    <t>G2</t>
  </si>
  <si>
    <t>G3</t>
  </si>
  <si>
    <t>G4</t>
  </si>
  <si>
    <t>C6F14</t>
  </si>
  <si>
    <t>C10F18</t>
  </si>
  <si>
    <t>G2+1M LiTFSI</t>
  </si>
  <si>
    <t>Tetramethylene sulfone</t>
  </si>
  <si>
    <t>Ethylene carbonate</t>
  </si>
  <si>
    <t>DMSO</t>
  </si>
  <si>
    <t>PC</t>
  </si>
  <si>
    <t>NMP</t>
  </si>
  <si>
    <t>THF</t>
  </si>
  <si>
    <t>1M LiPF6 PC:DME (1:1)</t>
  </si>
  <si>
    <t>With accounting for porosity</t>
  </si>
  <si>
    <t>Surface flux of O2</t>
  </si>
  <si>
    <t>O2 Pressurisation (turbo charger)</t>
  </si>
  <si>
    <t>O2 fraction in air</t>
  </si>
  <si>
    <t>Pressure ratio</t>
  </si>
  <si>
    <t>Gamma</t>
  </si>
  <si>
    <t>Adiabatic compression</t>
  </si>
  <si>
    <t>Temperature air (K)</t>
  </si>
  <si>
    <t>Alpha</t>
  </si>
  <si>
    <t>Lost energy (no recovery)</t>
  </si>
  <si>
    <t>Lost energy (w/ turbine)</t>
  </si>
  <si>
    <t>Isothermal compression - intercooled</t>
  </si>
  <si>
    <t>Heat load (J)</t>
  </si>
  <si>
    <t>Work done compression (J)</t>
  </si>
  <si>
    <t>Work out turbine (J)</t>
  </si>
  <si>
    <t>Cell energy out (J)</t>
  </si>
  <si>
    <t>Adiabatic compression + cooling</t>
  </si>
  <si>
    <t>Temperature air out (K)</t>
  </si>
  <si>
    <t>Electrolyte evaporation</t>
  </si>
  <si>
    <t>Cycles till electrolyte top up</t>
  </si>
  <si>
    <t>Electrolyte RFM</t>
  </si>
  <si>
    <t>Mol of O2</t>
  </si>
  <si>
    <t>Charging O2 pressure (bar)</t>
  </si>
  <si>
    <t>Charging total pressure (bar)</t>
  </si>
  <si>
    <t>Discharge pressure (bar)</t>
  </si>
  <si>
    <t>Mol of air needed discharge</t>
  </si>
  <si>
    <t>Mol of gas released charge</t>
  </si>
  <si>
    <t>Vol of air discharge (m3)</t>
  </si>
  <si>
    <t>Vol of gas charge (m3)</t>
  </si>
  <si>
    <t>Total gas per cycle</t>
  </si>
  <si>
    <t>Mol of solvent lost</t>
  </si>
  <si>
    <t>Acceptable partial pressure (Pa)</t>
  </si>
  <si>
    <t>T boil (K)</t>
  </si>
  <si>
    <t>Molar volume (m3/mol)</t>
  </si>
  <si>
    <t>Pressure vessel</t>
  </si>
  <si>
    <t>For cell pressure</t>
  </si>
  <si>
    <t>Material density (kg/m3)</t>
  </si>
  <si>
    <t>Max working stress</t>
  </si>
  <si>
    <t>Safety factor</t>
  </si>
  <si>
    <t>Vessel mass</t>
  </si>
  <si>
    <t>Vessel density</t>
  </si>
  <si>
    <t>Mass increase %</t>
  </si>
  <si>
    <t>For O2 storage</t>
  </si>
  <si>
    <t>O2 pressure</t>
  </si>
  <si>
    <t>Mass increase due to O2 %</t>
  </si>
  <si>
    <t>Mass increase total %</t>
  </si>
  <si>
    <t>Mass increase due to tank %</t>
  </si>
  <si>
    <t>Shape factor</t>
  </si>
  <si>
    <t>Vessel mass (g)</t>
  </si>
  <si>
    <t>Pumping</t>
  </si>
  <si>
    <t>Dissolved O2 usage</t>
  </si>
  <si>
    <t>Pressure drop (Pa)</t>
  </si>
  <si>
    <t>Energy out from dissolve O2 (J/m3 fluid)</t>
  </si>
  <si>
    <t>Energy in/Energy out</t>
  </si>
  <si>
    <t>Reynolds number (&lt;1 for dacy to apply)</t>
  </si>
  <si>
    <t>Note Reynolds likely overestimate as uses full length</t>
  </si>
  <si>
    <t>Flow velocity (m/s)</t>
  </si>
  <si>
    <t>Cathode length new (um)</t>
  </si>
  <si>
    <t>O2 concentration (mM)</t>
  </si>
  <si>
    <t>Flow velocity factor</t>
  </si>
  <si>
    <t>D E5</t>
  </si>
  <si>
    <t>C (mM1bar)</t>
  </si>
  <si>
    <t>DC</t>
  </si>
  <si>
    <t>DMC</t>
  </si>
  <si>
    <t>DEC</t>
  </si>
  <si>
    <t>EMC</t>
  </si>
  <si>
    <t>0.5M LiPF6 PC:DME (1:2)</t>
  </si>
  <si>
    <t>Li+ diffusivity (m^2/s)</t>
  </si>
  <si>
    <t>Transference number Li+</t>
  </si>
  <si>
    <t>Sand capacity (mAh/cm2)</t>
  </si>
  <si>
    <t>j/FcD</t>
  </si>
  <si>
    <t>Limiting current (mA/cm2)</t>
  </si>
  <si>
    <t>-ve ion diffusion</t>
  </si>
  <si>
    <t>Conductivity ohm.m</t>
  </si>
  <si>
    <t>iR drop</t>
  </si>
  <si>
    <t>Conductivity - Assumes Nernst-Einstein</t>
  </si>
  <si>
    <t>Dispersion</t>
  </si>
  <si>
    <t>Polarity</t>
  </si>
  <si>
    <t>H-bonding</t>
  </si>
  <si>
    <t>Target</t>
  </si>
  <si>
    <t>Test</t>
  </si>
  <si>
    <t>O2</t>
  </si>
  <si>
    <t>CO2</t>
  </si>
  <si>
    <t>H2O</t>
  </si>
  <si>
    <t>R</t>
  </si>
  <si>
    <t>E Vap</t>
  </si>
  <si>
    <t>Conc</t>
  </si>
  <si>
    <t>Perfluorobutane</t>
  </si>
  <si>
    <t>Perfluoropentane (PFC 5050)</t>
  </si>
  <si>
    <t>HFC-43-10mee</t>
  </si>
  <si>
    <t>OS-30 (Decamethyltetrasiloxane)</t>
  </si>
  <si>
    <t>Perfluoroheptane</t>
  </si>
  <si>
    <t>Perfluorohexane (PFC 5060)</t>
  </si>
  <si>
    <t>OS-20 (Octamethyltrisiloxane)</t>
  </si>
  <si>
    <t>Perfluoro Dimethylcyclohexane</t>
  </si>
  <si>
    <t>Perfluoromethylcyclohexane</t>
  </si>
  <si>
    <t>1,2-Dichlorotetrafluoroethane (Freon 114)</t>
  </si>
  <si>
    <t>OS-10 (Hexamethyldisiloxane)</t>
  </si>
  <si>
    <t>Octamethylcyclotetrasiloxane</t>
  </si>
  <si>
    <t>Decamethylcyclopentasiloxane</t>
  </si>
  <si>
    <t>Chlorodifluoromethane (Freon 22)</t>
  </si>
  <si>
    <t>1-Butene</t>
  </si>
  <si>
    <t>Propane</t>
  </si>
  <si>
    <t>HCFC 225cb</t>
  </si>
  <si>
    <t>Propylene</t>
  </si>
  <si>
    <t>HFE 8200</t>
  </si>
  <si>
    <t>HFE 7000</t>
  </si>
  <si>
    <t>HFE 7500</t>
  </si>
  <si>
    <t>HFE 7100</t>
  </si>
  <si>
    <t>1-Pentene</t>
  </si>
  <si>
    <t>HFC 338pcc</t>
  </si>
  <si>
    <t>3-Methyl-1-Butene</t>
  </si>
  <si>
    <t>Hexafluoro-1,3-Butadiene</t>
  </si>
  <si>
    <t>Isopentane</t>
  </si>
  <si>
    <t>Methane (Liquid B.P.)</t>
  </si>
  <si>
    <t>2,2,4-Trimethylpentane</t>
  </si>
  <si>
    <t>Butane</t>
  </si>
  <si>
    <t>Tetraethylorthosilicate</t>
  </si>
  <si>
    <t>HCFC-225ca:cb (45:55)</t>
  </si>
  <si>
    <t>Trichlorosilane</t>
  </si>
  <si>
    <t>Methyl Ethyl Ether</t>
  </si>
  <si>
    <t>Vinyl Trifluoro Acetate</t>
  </si>
  <si>
    <t>Lauryl Methacrylate</t>
  </si>
  <si>
    <t>Vinyl Trimethyl Silane</t>
  </si>
  <si>
    <t>2-Butene (Trans)</t>
  </si>
  <si>
    <t>Bromotrifluoromethane (Freon 1381)</t>
  </si>
  <si>
    <t>Diethyl Ether</t>
  </si>
  <si>
    <t>Isobutylene</t>
  </si>
  <si>
    <t>2-Methyl-1-Butene</t>
  </si>
  <si>
    <t>Diethyl ether (ethoxyethane)</t>
  </si>
  <si>
    <t>Butyl Stearate</t>
  </si>
  <si>
    <t>2-Butene (Cis)</t>
  </si>
  <si>
    <t>Pentane</t>
  </si>
  <si>
    <t>1-Hexene</t>
  </si>
  <si>
    <t>Isoprene (2-Methyl-1,3-Butadiene)</t>
  </si>
  <si>
    <t>Ethyl Butyl Ether</t>
  </si>
  <si>
    <t>2-Methyl-2-Butene</t>
  </si>
  <si>
    <t>Trimethyl Amine</t>
  </si>
  <si>
    <t>Diisopropylamine</t>
  </si>
  <si>
    <t>Fluoroprene</t>
  </si>
  <si>
    <t>Vinyl Isopropyl Ether</t>
  </si>
  <si>
    <t>2-Ethyl-1-Butene</t>
  </si>
  <si>
    <t>1,1,2-Trichlorotrifluoroethane (Freon113)</t>
  </si>
  <si>
    <t>1,3-Butadiene</t>
  </si>
  <si>
    <t>Ethyl Isopropenyl Ether</t>
  </si>
  <si>
    <t>Acetonemethyloxime</t>
  </si>
  <si>
    <t>1-Heptene</t>
  </si>
  <si>
    <t>Diethyl Amine</t>
  </si>
  <si>
    <t>Ethylene</t>
  </si>
  <si>
    <t>1,3-Pentadiene (Trans)</t>
  </si>
  <si>
    <t>Methyl-t-Butyl Ether</t>
  </si>
  <si>
    <t>Vinyl Propyl Ether</t>
  </si>
  <si>
    <t>1-Methyl Vinyl Methyl Ether</t>
  </si>
  <si>
    <t>Hexane</t>
  </si>
  <si>
    <t>Vinyl Ether</t>
  </si>
  <si>
    <t>1,2-Butadiene</t>
  </si>
  <si>
    <t>Dibutyl Amine</t>
  </si>
  <si>
    <t>1,1-Diethoxy Ethane</t>
  </si>
  <si>
    <t>Dichlorodifluoromethane (Freon 12)</t>
  </si>
  <si>
    <t>3-Methyl-1,2-Butadiene</t>
  </si>
  <si>
    <t>HCFC 225ca</t>
  </si>
  <si>
    <t>Isopropyl Amine (2-Propan Amine)</t>
  </si>
  <si>
    <t>Butyl Isopropenyl Ether</t>
  </si>
  <si>
    <t>Ethylene Glycol Di-t-Butyl Ether</t>
  </si>
  <si>
    <t>Di-n-Propyl Ether</t>
  </si>
  <si>
    <t>Isopropyl Ether</t>
  </si>
  <si>
    <t>Isobutyl Isobutyrate</t>
  </si>
  <si>
    <t>t-Butyl Acetate</t>
  </si>
  <si>
    <t>Ethyl Acetylene</t>
  </si>
  <si>
    <t>Methyl Ethyl Ketoxime</t>
  </si>
  <si>
    <t>Ethyl Vinylether</t>
  </si>
  <si>
    <t>Perfluoro Ethylene (Tetrafluoro Ethylene</t>
  </si>
  <si>
    <t>Methyl 1-Propenyl Ether</t>
  </si>
  <si>
    <t>Dipropyl Amine</t>
  </si>
  <si>
    <t>2-Ethyl-1,3-Butadiene</t>
  </si>
  <si>
    <t>Allyl Methyl Ether</t>
  </si>
  <si>
    <t>1-Octene</t>
  </si>
  <si>
    <t>Allyl Ethylether</t>
  </si>
  <si>
    <t>Vinyl Isobutyl Ether</t>
  </si>
  <si>
    <t>Di-n-Butyl Ether</t>
  </si>
  <si>
    <t>Di-sec-Butyl Ether</t>
  </si>
  <si>
    <t>Dimethoxymethane</t>
  </si>
  <si>
    <t>Electrolyte mass fraction</t>
  </si>
  <si>
    <t>Sand time (s)</t>
  </si>
  <si>
    <t>Energy required to pump (J/m3 fluid)</t>
  </si>
  <si>
    <t>Power (W/m3 fluid)</t>
  </si>
  <si>
    <t>Depth of discharge</t>
  </si>
  <si>
    <t>Radius (m)</t>
  </si>
  <si>
    <t>Temperature (K)</t>
  </si>
  <si>
    <t>Diffusivity (m^2/s)</t>
  </si>
  <si>
    <t>Moles of O2 gas considered</t>
  </si>
  <si>
    <t>Data in above table is from:</t>
  </si>
  <si>
    <t>Results of particular importance</t>
  </si>
  <si>
    <r>
      <t xml:space="preserve">A. Schürmann, R. Haas, M. Murat, N. Kuritz, M. Balaish, Y. Ein-Eli, J. Janek, A. Natan and D. Schröder, </t>
    </r>
    <r>
      <rPr>
        <i/>
        <sz val="11"/>
        <color theme="1"/>
        <rFont val="Calibri"/>
        <family val="2"/>
        <scheme val="minor"/>
      </rPr>
      <t>Journal of The Electrochemical Society</t>
    </r>
    <r>
      <rPr>
        <sz val="11"/>
        <color theme="1"/>
        <rFont val="Calibri"/>
        <family val="2"/>
        <scheme val="minor"/>
      </rPr>
      <t xml:space="preserve">, 2018, </t>
    </r>
    <r>
      <rPr>
        <b/>
        <sz val="11"/>
        <color theme="1"/>
        <rFont val="Calibri"/>
        <family val="2"/>
        <scheme val="minor"/>
      </rPr>
      <t>165</t>
    </r>
    <r>
      <rPr>
        <sz val="11"/>
        <color theme="1"/>
        <rFont val="Calibri"/>
        <family val="2"/>
        <scheme val="minor"/>
      </rPr>
      <t>, A3095–A3099.</t>
    </r>
  </si>
  <si>
    <r>
      <t xml:space="preserve">R. Haas, M. Murat, M. Weiss, J. Janek, A. Natan and D. Schröder, </t>
    </r>
    <r>
      <rPr>
        <i/>
        <sz val="11"/>
        <color theme="1"/>
        <rFont val="Calibri"/>
        <family val="2"/>
        <scheme val="minor"/>
      </rPr>
      <t>J. Electrochem. Soc.</t>
    </r>
    <r>
      <rPr>
        <sz val="11"/>
        <color theme="1"/>
        <rFont val="Calibri"/>
        <family val="2"/>
        <scheme val="minor"/>
      </rPr>
      <t xml:space="preserve">, 2021, </t>
    </r>
    <r>
      <rPr>
        <b/>
        <sz val="11"/>
        <color theme="1"/>
        <rFont val="Calibri"/>
        <family val="2"/>
        <scheme val="minor"/>
      </rPr>
      <t>168</t>
    </r>
    <r>
      <rPr>
        <sz val="11"/>
        <color theme="1"/>
        <rFont val="Calibri"/>
        <family val="2"/>
        <scheme val="minor"/>
      </rPr>
      <t>, 070504.</t>
    </r>
  </si>
  <si>
    <r>
      <t xml:space="preserve">Hansen solubility parameters </t>
    </r>
    <r>
      <rPr>
        <sz val="9"/>
        <color theme="1"/>
        <rFont val="Calibri"/>
        <family val="2"/>
        <scheme val="minor"/>
      </rPr>
      <t>- Data from M. Díaz de los Ríos and E. Hernández Ramos, SN Appl. Sci., 2020, 2, 676.</t>
    </r>
  </si>
  <si>
    <t>Li+ concentration (M)</t>
  </si>
  <si>
    <t>Separation factor (multiples separator thickness)</t>
  </si>
  <si>
    <t>Tortuosity factor</t>
  </si>
  <si>
    <t>Accounting for tortuosity</t>
  </si>
  <si>
    <t>Diffusivity - Calculates independently</t>
  </si>
  <si>
    <t>Viscosity (Pa.s)</t>
  </si>
  <si>
    <t>Resistivity (mS/cm)</t>
  </si>
  <si>
    <t>J. Read, K. Mutolo, M. Ervin, W. Behl, J. Wolfenstine, A. Driedger and D. Foster, J. Electrochem. Soc., 2003, 150, A1351.</t>
  </si>
  <si>
    <t>Other cells can be modified but take care as this can break other calculations!</t>
  </si>
  <si>
    <t>O2 utilisation</t>
  </si>
  <si>
    <t>Values are for separator material only, does not include pores</t>
  </si>
  <si>
    <t>Turbine efficiency</t>
  </si>
  <si>
    <t>Electrolyte not in pores of separator or carbon</t>
  </si>
  <si>
    <t>T output gas (K)</t>
  </si>
  <si>
    <t>Including pores</t>
  </si>
  <si>
    <t>Separator thickness</t>
  </si>
  <si>
    <t>Acceptable electrolyte loss</t>
  </si>
  <si>
    <t>Surface area to volume (m2/g)</t>
  </si>
  <si>
    <t>Electrolyte/O2 diffusion ratio</t>
  </si>
  <si>
    <t>Equivalent overpotential</t>
  </si>
  <si>
    <t>Uses g Li2O2/g carbon in case this is being varied independently</t>
  </si>
  <si>
    <t>Viscosity factor (multiples elec. Evap. Number)</t>
  </si>
  <si>
    <t>Viscosity (mPa.S)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</si>
</sst>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E+00"/>
    <numFmt numFmtId="167" formatCode="_-* #,##0.0_-;\-* #,##0.0_-;_-* &quot;-&quot;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6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thin">
        <color indexed="64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medium">
        <color indexed="64"/>
      </right>
      <top style="thin">
        <color rgb="FF7F7F7F"/>
      </top>
      <bottom style="thin">
        <color indexed="64"/>
      </bottom>
      <diagonal/>
    </border>
    <border>
      <left style="thin">
        <color indexed="64"/>
      </left>
      <right/>
      <top style="thin">
        <color rgb="FF7F7F7F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 style="medium">
        <color indexed="64"/>
      </right>
      <top style="thin">
        <color rgb="FF7F7F7F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/>
      <top style="thin">
        <color rgb="FF7F7F7F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rgb="FF7F7F7F"/>
      </bottom>
      <diagonal/>
    </border>
    <border>
      <left style="thin">
        <color indexed="64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rgb="FF7F7F7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5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2" fillId="2" borderId="1" xfId="2"/>
    <xf numFmtId="0" fontId="0" fillId="0" borderId="2" xfId="0" applyBorder="1"/>
    <xf numFmtId="43" fontId="0" fillId="0" borderId="0" xfId="0" applyNumberFormat="1"/>
    <xf numFmtId="0" fontId="3" fillId="3" borderId="1" xfId="3"/>
    <xf numFmtId="0" fontId="5" fillId="0" borderId="0" xfId="4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64" fontId="0" fillId="0" borderId="0" xfId="1" applyNumberFormat="1" applyFont="1" applyBorder="1"/>
    <xf numFmtId="9" fontId="2" fillId="2" borderId="1" xfId="2" applyNumberForma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6" fillId="0" borderId="12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9" xfId="0" applyBorder="1"/>
    <xf numFmtId="0" fontId="0" fillId="0" borderId="23" xfId="0" applyBorder="1"/>
    <xf numFmtId="0" fontId="0" fillId="0" borderId="21" xfId="0" applyBorder="1"/>
    <xf numFmtId="165" fontId="5" fillId="0" borderId="19" xfId="1" applyNumberFormat="1" applyFont="1" applyBorder="1"/>
    <xf numFmtId="165" fontId="5" fillId="0" borderId="21" xfId="1" applyNumberFormat="1" applyFont="1" applyBorder="1"/>
    <xf numFmtId="0" fontId="4" fillId="0" borderId="0" xfId="0" applyFont="1"/>
    <xf numFmtId="164" fontId="2" fillId="2" borderId="1" xfId="1" applyNumberFormat="1" applyFont="1" applyFill="1" applyBorder="1"/>
    <xf numFmtId="43" fontId="0" fillId="0" borderId="0" xfId="1" applyFont="1" applyBorder="1"/>
    <xf numFmtId="164" fontId="5" fillId="0" borderId="0" xfId="4" applyNumberFormat="1" applyBorder="1"/>
    <xf numFmtId="164" fontId="5" fillId="0" borderId="0" xfId="4" applyNumberFormat="1"/>
    <xf numFmtId="164" fontId="5" fillId="0" borderId="3" xfId="4" applyNumberFormat="1" applyBorder="1"/>
    <xf numFmtId="164" fontId="5" fillId="0" borderId="2" xfId="4" applyNumberFormat="1" applyBorder="1"/>
    <xf numFmtId="164" fontId="0" fillId="0" borderId="19" xfId="1" applyNumberFormat="1" applyFont="1" applyBorder="1"/>
    <xf numFmtId="165" fontId="2" fillId="2" borderId="18" xfId="1" applyNumberFormat="1" applyFont="1" applyFill="1" applyBorder="1"/>
    <xf numFmtId="165" fontId="0" fillId="0" borderId="19" xfId="1" applyNumberFormat="1" applyFont="1" applyBorder="1"/>
    <xf numFmtId="165" fontId="2" fillId="2" borderId="20" xfId="1" applyNumberFormat="1" applyFont="1" applyFill="1" applyBorder="1"/>
    <xf numFmtId="0" fontId="0" fillId="0" borderId="26" xfId="0" applyBorder="1"/>
    <xf numFmtId="164" fontId="5" fillId="0" borderId="10" xfId="4" applyNumberFormat="1" applyBorder="1"/>
    <xf numFmtId="0" fontId="0" fillId="0" borderId="0" xfId="0" applyAlignment="1">
      <alignment horizontal="left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11" fontId="0" fillId="0" borderId="0" xfId="0" applyNumberFormat="1"/>
    <xf numFmtId="0" fontId="7" fillId="0" borderId="26" xfId="0" applyFont="1" applyBorder="1"/>
    <xf numFmtId="0" fontId="0" fillId="0" borderId="31" xfId="0" applyBorder="1"/>
    <xf numFmtId="0" fontId="0" fillId="0" borderId="32" xfId="0" applyBorder="1"/>
    <xf numFmtId="9" fontId="2" fillId="2" borderId="33" xfId="2" applyNumberFormat="1" applyBorder="1"/>
    <xf numFmtId="9" fontId="2" fillId="2" borderId="34" xfId="2" applyNumberFormat="1" applyBorder="1"/>
    <xf numFmtId="0" fontId="2" fillId="2" borderId="34" xfId="2" applyBorder="1"/>
    <xf numFmtId="0" fontId="2" fillId="2" borderId="35" xfId="2" applyBorder="1"/>
    <xf numFmtId="9" fontId="2" fillId="2" borderId="35" xfId="2" applyNumberFormat="1" applyBorder="1"/>
    <xf numFmtId="164" fontId="5" fillId="0" borderId="24" xfId="1" applyNumberFormat="1" applyFont="1" applyBorder="1"/>
    <xf numFmtId="165" fontId="5" fillId="0" borderId="24" xfId="1" applyNumberFormat="1" applyFont="1" applyBorder="1"/>
    <xf numFmtId="165" fontId="5" fillId="0" borderId="24" xfId="4" applyNumberFormat="1" applyBorder="1"/>
    <xf numFmtId="43" fontId="5" fillId="0" borderId="24" xfId="4" applyNumberFormat="1" applyBorder="1"/>
    <xf numFmtId="165" fontId="5" fillId="0" borderId="30" xfId="1" applyNumberFormat="1" applyFont="1" applyBorder="1"/>
    <xf numFmtId="165" fontId="5" fillId="0" borderId="36" xfId="1" applyNumberFormat="1" applyFont="1" applyBorder="1"/>
    <xf numFmtId="0" fontId="2" fillId="2" borderId="33" xfId="2" applyBorder="1"/>
    <xf numFmtId="0" fontId="2" fillId="2" borderId="37" xfId="2" applyBorder="1"/>
    <xf numFmtId="0" fontId="2" fillId="2" borderId="38" xfId="2" applyBorder="1"/>
    <xf numFmtId="9" fontId="5" fillId="0" borderId="24" xfId="4" applyNumberFormat="1" applyBorder="1"/>
    <xf numFmtId="0" fontId="6" fillId="0" borderId="16" xfId="0" applyFont="1" applyBorder="1"/>
    <xf numFmtId="164" fontId="2" fillId="2" borderId="33" xfId="1" applyNumberFormat="1" applyFont="1" applyFill="1" applyBorder="1"/>
    <xf numFmtId="164" fontId="2" fillId="2" borderId="34" xfId="1" applyNumberFormat="1" applyFont="1" applyFill="1" applyBorder="1"/>
    <xf numFmtId="166" fontId="0" fillId="0" borderId="7" xfId="0" applyNumberFormat="1" applyBorder="1"/>
    <xf numFmtId="164" fontId="1" fillId="0" borderId="0" xfId="1" applyNumberFormat="1" applyFont="1" applyBorder="1"/>
    <xf numFmtId="164" fontId="1" fillId="0" borderId="10" xfId="1" applyNumberFormat="1" applyFont="1" applyBorder="1"/>
    <xf numFmtId="166" fontId="0" fillId="0" borderId="11" xfId="0" applyNumberFormat="1" applyBorder="1"/>
    <xf numFmtId="0" fontId="0" fillId="0" borderId="12" xfId="0" applyBorder="1"/>
    <xf numFmtId="164" fontId="0" fillId="0" borderId="21" xfId="1" applyNumberFormat="1" applyFont="1" applyBorder="1"/>
    <xf numFmtId="49" fontId="0" fillId="0" borderId="6" xfId="0" applyNumberFormat="1" applyBorder="1"/>
    <xf numFmtId="43" fontId="0" fillId="0" borderId="7" xfId="1" applyFont="1" applyBorder="1"/>
    <xf numFmtId="43" fontId="0" fillId="0" borderId="6" xfId="0" applyNumberFormat="1" applyBorder="1"/>
    <xf numFmtId="0" fontId="0" fillId="0" borderId="41" xfId="0" applyBorder="1"/>
    <xf numFmtId="164" fontId="0" fillId="0" borderId="10" xfId="1" applyNumberFormat="1" applyFont="1" applyBorder="1"/>
    <xf numFmtId="43" fontId="0" fillId="0" borderId="11" xfId="1" applyFont="1" applyBorder="1"/>
    <xf numFmtId="43" fontId="5" fillId="0" borderId="19" xfId="1" applyFont="1" applyBorder="1"/>
    <xf numFmtId="165" fontId="3" fillId="3" borderId="1" xfId="3" applyNumberFormat="1"/>
    <xf numFmtId="164" fontId="5" fillId="0" borderId="0" xfId="4" applyNumberFormat="1" applyFill="1" applyBorder="1"/>
    <xf numFmtId="164" fontId="5" fillId="0" borderId="39" xfId="4" applyNumberFormat="1" applyBorder="1"/>
    <xf numFmtId="165" fontId="5" fillId="0" borderId="0" xfId="4" applyNumberFormat="1" applyFill="1" applyBorder="1" applyAlignment="1">
      <alignment horizontal="left" indent="1"/>
    </xf>
    <xf numFmtId="165" fontId="5" fillId="0" borderId="10" xfId="4" applyNumberFormat="1" applyBorder="1" applyAlignment="1">
      <alignment horizontal="left" indent="1"/>
    </xf>
    <xf numFmtId="164" fontId="3" fillId="3" borderId="1" xfId="3" applyNumberFormat="1"/>
    <xf numFmtId="165" fontId="5" fillId="0" borderId="19" xfId="4" applyNumberFormat="1" applyBorder="1"/>
    <xf numFmtId="164" fontId="5" fillId="0" borderId="19" xfId="4" applyNumberFormat="1" applyBorder="1"/>
    <xf numFmtId="9" fontId="5" fillId="0" borderId="19" xfId="4" applyNumberFormat="1" applyBorder="1"/>
    <xf numFmtId="166" fontId="5" fillId="0" borderId="19" xfId="4" applyNumberFormat="1" applyBorder="1"/>
    <xf numFmtId="43" fontId="5" fillId="0" borderId="26" xfId="4" applyNumberFormat="1" applyBorder="1"/>
    <xf numFmtId="11" fontId="5" fillId="0" borderId="19" xfId="4" applyNumberFormat="1" applyBorder="1"/>
    <xf numFmtId="11" fontId="5" fillId="0" borderId="23" xfId="4" applyNumberFormat="1" applyBorder="1"/>
    <xf numFmtId="166" fontId="5" fillId="0" borderId="24" xfId="4" applyNumberFormat="1" applyBorder="1"/>
    <xf numFmtId="43" fontId="5" fillId="0" borderId="30" xfId="4" applyNumberFormat="1" applyBorder="1"/>
    <xf numFmtId="164" fontId="5" fillId="0" borderId="24" xfId="4" applyNumberFormat="1" applyBorder="1"/>
    <xf numFmtId="9" fontId="3" fillId="3" borderId="42" xfId="3" applyNumberFormat="1" applyBorder="1"/>
    <xf numFmtId="9" fontId="3" fillId="3" borderId="43" xfId="3" applyNumberFormat="1" applyBorder="1"/>
    <xf numFmtId="9" fontId="3" fillId="3" borderId="44" xfId="3" applyNumberFormat="1" applyBorder="1"/>
    <xf numFmtId="165" fontId="3" fillId="3" borderId="44" xfId="3" applyNumberFormat="1" applyBorder="1"/>
    <xf numFmtId="43" fontId="3" fillId="3" borderId="43" xfId="3" applyNumberFormat="1" applyBorder="1"/>
    <xf numFmtId="0" fontId="0" fillId="0" borderId="25" xfId="0" applyBorder="1"/>
    <xf numFmtId="166" fontId="3" fillId="3" borderId="44" xfId="3" applyNumberFormat="1" applyBorder="1"/>
    <xf numFmtId="11" fontId="5" fillId="0" borderId="24" xfId="4" applyNumberFormat="1" applyBorder="1"/>
    <xf numFmtId="11" fontId="5" fillId="0" borderId="25" xfId="4" applyNumberFormat="1" applyBorder="1"/>
    <xf numFmtId="164" fontId="3" fillId="3" borderId="44" xfId="3" applyNumberFormat="1" applyBorder="1"/>
    <xf numFmtId="43" fontId="3" fillId="3" borderId="44" xfId="3" applyNumberFormat="1" applyBorder="1"/>
    <xf numFmtId="164" fontId="0" fillId="0" borderId="23" xfId="1" applyNumberFormat="1" applyFont="1" applyBorder="1"/>
    <xf numFmtId="164" fontId="0" fillId="0" borderId="2" xfId="1" applyNumberFormat="1" applyFont="1" applyBorder="1"/>
    <xf numFmtId="43" fontId="0" fillId="0" borderId="15" xfId="1" applyFont="1" applyBorder="1"/>
    <xf numFmtId="164" fontId="2" fillId="2" borderId="45" xfId="1" applyNumberFormat="1" applyFont="1" applyFill="1" applyBorder="1"/>
    <xf numFmtId="164" fontId="0" fillId="0" borderId="40" xfId="1" applyNumberFormat="1" applyFont="1" applyBorder="1"/>
    <xf numFmtId="164" fontId="0" fillId="0" borderId="46" xfId="1" applyNumberFormat="1" applyFont="1" applyBorder="1"/>
    <xf numFmtId="43" fontId="0" fillId="0" borderId="32" xfId="1" applyFont="1" applyBorder="1"/>
    <xf numFmtId="11" fontId="2" fillId="2" borderId="44" xfId="2" applyNumberFormat="1" applyBorder="1"/>
    <xf numFmtId="0" fontId="2" fillId="2" borderId="44" xfId="2" applyBorder="1"/>
    <xf numFmtId="0" fontId="2" fillId="2" borderId="47" xfId="2" applyBorder="1"/>
    <xf numFmtId="0" fontId="2" fillId="2" borderId="41" xfId="2" applyBorder="1"/>
    <xf numFmtId="0" fontId="2" fillId="2" borderId="48" xfId="2" applyBorder="1"/>
    <xf numFmtId="0" fontId="2" fillId="2" borderId="22" xfId="2" applyBorder="1"/>
    <xf numFmtId="0" fontId="2" fillId="2" borderId="49" xfId="2" applyBorder="1"/>
    <xf numFmtId="0" fontId="2" fillId="2" borderId="50" xfId="2" applyBorder="1"/>
    <xf numFmtId="0" fontId="0" fillId="0" borderId="19" xfId="0" applyBorder="1" applyAlignment="1">
      <alignment horizontal="left"/>
    </xf>
    <xf numFmtId="9" fontId="2" fillId="2" borderId="51" xfId="2" applyNumberFormat="1" applyBorder="1" applyAlignment="1">
      <alignment horizontal="right"/>
    </xf>
    <xf numFmtId="0" fontId="2" fillId="2" borderId="52" xfId="2" applyBorder="1"/>
    <xf numFmtId="11" fontId="2" fillId="2" borderId="52" xfId="2" applyNumberFormat="1" applyBorder="1"/>
    <xf numFmtId="0" fontId="2" fillId="2" borderId="53" xfId="2" applyBorder="1"/>
    <xf numFmtId="166" fontId="3" fillId="3" borderId="22" xfId="3" applyNumberFormat="1" applyBorder="1"/>
    <xf numFmtId="166" fontId="3" fillId="3" borderId="50" xfId="3" applyNumberFormat="1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164" fontId="5" fillId="0" borderId="57" xfId="4" applyNumberFormat="1" applyBorder="1"/>
    <xf numFmtId="167" fontId="0" fillId="0" borderId="0" xfId="0" applyNumberFormat="1"/>
    <xf numFmtId="9" fontId="0" fillId="0" borderId="0" xfId="5" applyFont="1"/>
    <xf numFmtId="9" fontId="0" fillId="0" borderId="0" xfId="0" applyNumberFormat="1"/>
    <xf numFmtId="0" fontId="0" fillId="0" borderId="58" xfId="0" applyBorder="1"/>
    <xf numFmtId="43" fontId="5" fillId="0" borderId="24" xfId="4" applyNumberFormat="1" applyFill="1" applyBorder="1"/>
    <xf numFmtId="164" fontId="5" fillId="0" borderId="24" xfId="4" applyNumberFormat="1" applyFill="1" applyBorder="1"/>
    <xf numFmtId="166" fontId="5" fillId="0" borderId="25" xfId="4" applyNumberFormat="1" applyFill="1" applyBorder="1"/>
    <xf numFmtId="43" fontId="2" fillId="2" borderId="34" xfId="2" applyNumberFormat="1" applyBorder="1"/>
    <xf numFmtId="11" fontId="2" fillId="2" borderId="33" xfId="2" applyNumberFormat="1" applyBorder="1"/>
    <xf numFmtId="11" fontId="2" fillId="2" borderId="34" xfId="2" applyNumberFormat="1" applyBorder="1"/>
    <xf numFmtId="166" fontId="3" fillId="3" borderId="1" xfId="3" applyNumberFormat="1"/>
    <xf numFmtId="0" fontId="0" fillId="0" borderId="0" xfId="0" applyAlignment="1">
      <alignment vertical="center"/>
    </xf>
    <xf numFmtId="11" fontId="3" fillId="3" borderId="43" xfId="3" applyNumberFormat="1" applyBorder="1"/>
    <xf numFmtId="165" fontId="3" fillId="3" borderId="59" xfId="3" applyNumberFormat="1" applyBorder="1"/>
  </cellXfs>
  <cellStyles count="6">
    <cellStyle name="Calculation" xfId="3" builtinId="22"/>
    <cellStyle name="Comma" xfId="1" builtinId="3"/>
    <cellStyle name="Explanatory Text" xfId="4" builtinId="53"/>
    <cellStyle name="Input" xfId="2" builtinId="20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80A32-FC60-4544-9BF6-2D5747D60F41}">
  <sheetPr codeName="Sheet1"/>
  <dimension ref="A1:W106"/>
  <sheetViews>
    <sheetView tabSelected="1" topLeftCell="A22" zoomScaleNormal="100" workbookViewId="0">
      <selection activeCell="N55" sqref="N55"/>
    </sheetView>
  </sheetViews>
  <sheetFormatPr defaultRowHeight="15" x14ac:dyDescent="0.25"/>
  <cols>
    <col min="1" max="1" width="28.28515625" bestFit="1" customWidth="1"/>
    <col min="2" max="2" width="15.140625" customWidth="1"/>
    <col min="3" max="3" width="8.7109375" customWidth="1"/>
    <col min="4" max="4" width="11.42578125" bestFit="1" customWidth="1"/>
    <col min="5" max="5" width="13.42578125" bestFit="1" customWidth="1"/>
    <col min="6" max="6" width="39.42578125" customWidth="1"/>
    <col min="7" max="7" width="9.85546875" customWidth="1"/>
    <col min="9" max="9" width="21.42578125" bestFit="1" customWidth="1"/>
    <col min="11" max="11" width="24.28515625" customWidth="1"/>
    <col min="12" max="12" width="9.28515625" bestFit="1" customWidth="1"/>
    <col min="14" max="14" width="27.5703125" bestFit="1" customWidth="1"/>
    <col min="17" max="17" width="27.7109375" customWidth="1"/>
    <col min="18" max="18" width="9.5703125" bestFit="1" customWidth="1"/>
    <col min="20" max="20" width="9.5703125" bestFit="1" customWidth="1"/>
  </cols>
  <sheetData>
    <row r="1" spans="1:23" x14ac:dyDescent="0.25">
      <c r="A1" s="4" t="s">
        <v>274</v>
      </c>
    </row>
    <row r="2" spans="1:23" x14ac:dyDescent="0.25">
      <c r="A2" s="5" t="s">
        <v>40</v>
      </c>
    </row>
    <row r="3" spans="1:23" x14ac:dyDescent="0.25">
      <c r="A3" s="1" t="s">
        <v>41</v>
      </c>
      <c r="B3" t="s">
        <v>286</v>
      </c>
    </row>
    <row r="4" spans="1:23" ht="15.75" thickBot="1" x14ac:dyDescent="0.3"/>
    <row r="5" spans="1:23" ht="15.75" thickBot="1" x14ac:dyDescent="0.3">
      <c r="A5" s="16" t="s">
        <v>42</v>
      </c>
      <c r="B5" s="17"/>
      <c r="C5" s="17"/>
      <c r="D5" s="17"/>
      <c r="E5" s="17"/>
      <c r="F5" s="17"/>
      <c r="G5" s="17"/>
      <c r="H5" s="17"/>
      <c r="I5" s="18"/>
      <c r="K5" s="16" t="s">
        <v>84</v>
      </c>
      <c r="L5" s="18"/>
      <c r="N5" s="16" t="s">
        <v>116</v>
      </c>
      <c r="O5" s="18"/>
      <c r="Q5" s="16" t="s">
        <v>277</v>
      </c>
      <c r="R5" s="17"/>
      <c r="S5" s="17"/>
      <c r="T5" s="17"/>
      <c r="U5" s="17"/>
      <c r="V5" s="17"/>
      <c r="W5" s="18"/>
    </row>
    <row r="6" spans="1:23" x14ac:dyDescent="0.25">
      <c r="A6" s="8"/>
      <c r="B6" s="22" t="s">
        <v>17</v>
      </c>
      <c r="C6" t="s">
        <v>18</v>
      </c>
      <c r="D6" t="s">
        <v>19</v>
      </c>
      <c r="E6" t="s">
        <v>20</v>
      </c>
      <c r="F6" s="22" t="s">
        <v>0</v>
      </c>
      <c r="G6" s="22"/>
      <c r="I6" s="9"/>
      <c r="K6" s="6" t="s">
        <v>85</v>
      </c>
      <c r="L6" s="48">
        <v>0.21</v>
      </c>
      <c r="N6" s="41" t="s">
        <v>117</v>
      </c>
      <c r="O6" s="43"/>
      <c r="Q6" s="41"/>
      <c r="R6" s="75" t="s">
        <v>158</v>
      </c>
      <c r="S6" s="42" t="s">
        <v>159</v>
      </c>
      <c r="T6" s="42" t="s">
        <v>160</v>
      </c>
      <c r="U6" s="75" t="s">
        <v>166</v>
      </c>
      <c r="V6" s="42" t="s">
        <v>167</v>
      </c>
      <c r="W6" s="43" t="s">
        <v>168</v>
      </c>
    </row>
    <row r="7" spans="1:23" x14ac:dyDescent="0.25">
      <c r="A7" s="8" t="s">
        <v>1</v>
      </c>
      <c r="B7" s="35">
        <v>8960</v>
      </c>
      <c r="C7" s="30">
        <f>B7*D7/1000</f>
        <v>1.2000000000000002</v>
      </c>
      <c r="D7" s="30">
        <f>D$10/E$10*E7</f>
        <v>0.13392857142857145</v>
      </c>
      <c r="E7" s="28">
        <v>1.5</v>
      </c>
      <c r="F7" s="22" t="s">
        <v>25</v>
      </c>
      <c r="G7" s="22"/>
      <c r="I7" s="9"/>
      <c r="K7" s="8" t="s">
        <v>287</v>
      </c>
      <c r="L7" s="49">
        <v>0.5</v>
      </c>
      <c r="N7" s="8" t="s">
        <v>118</v>
      </c>
      <c r="O7" s="60">
        <v>7900</v>
      </c>
      <c r="Q7" s="46" t="s">
        <v>161</v>
      </c>
      <c r="R7" s="109">
        <v>6.7</v>
      </c>
      <c r="S7" s="109">
        <v>0</v>
      </c>
      <c r="T7" s="109">
        <v>3.8</v>
      </c>
      <c r="U7" s="110">
        <f>(4*(R7-R$7)^2+(S7-S$7)^2+(T7-T$7)^2)^0.5</f>
        <v>0</v>
      </c>
      <c r="V7" s="111">
        <f>SQRT(R7^2+S7^2+T7^2)</f>
        <v>7.7025969646606853</v>
      </c>
      <c r="W7" s="112">
        <f>10^(-8.89*10^-2*U7-1.1)/V7*1000</f>
        <v>10.312473031740311</v>
      </c>
    </row>
    <row r="8" spans="1:23" x14ac:dyDescent="0.25">
      <c r="A8" s="8" t="s">
        <v>2</v>
      </c>
      <c r="B8" s="35">
        <v>530</v>
      </c>
      <c r="C8" s="30">
        <f>B22*3600/96485*6.94*B24</f>
        <v>2.3304762398300256</v>
      </c>
      <c r="D8" s="31">
        <f>C8/B8*1000</f>
        <v>4.3971249808113697</v>
      </c>
      <c r="E8" s="30">
        <f>E$10/D$10*D8</f>
        <v>49.247799785087338</v>
      </c>
      <c r="F8" s="22" t="s">
        <v>27</v>
      </c>
      <c r="G8" s="22"/>
      <c r="I8" s="9"/>
      <c r="K8" s="8" t="s">
        <v>86</v>
      </c>
      <c r="L8" s="50">
        <v>20</v>
      </c>
      <c r="N8" s="8" t="s">
        <v>119</v>
      </c>
      <c r="O8" s="50">
        <v>275</v>
      </c>
      <c r="Q8" s="12" t="s">
        <v>162</v>
      </c>
      <c r="R8" s="84">
        <v>8.1797498235573407</v>
      </c>
      <c r="S8" s="84">
        <v>0</v>
      </c>
      <c r="T8" s="84">
        <v>13</v>
      </c>
      <c r="U8" s="106">
        <f>(4*(R8-R$7)^2+(S8-S$7)^2+(T8-T$7)^2)^0.5</f>
        <v>9.6642970857311656</v>
      </c>
      <c r="V8" s="107">
        <f t="shared" ref="V8:V11" si="0">SQRT(R8^2+S8^2+T8^2)</f>
        <v>15.359306858578819</v>
      </c>
      <c r="W8" s="108">
        <f>10^(-8.89*10^-2*U8-1.1)/V8*1000</f>
        <v>0.71527388984182461</v>
      </c>
    </row>
    <row r="9" spans="1:23" x14ac:dyDescent="0.25">
      <c r="A9" s="8" t="s">
        <v>3</v>
      </c>
      <c r="B9" s="35">
        <v>855</v>
      </c>
      <c r="C9" s="30">
        <f>B9*D9/1000</f>
        <v>0.51529017857142867</v>
      </c>
      <c r="D9" s="30">
        <f>D$10/E$10*E9</f>
        <v>0.60267857142857151</v>
      </c>
      <c r="E9" s="31">
        <f>B26*(1-H9)</f>
        <v>6.7499999999999991</v>
      </c>
      <c r="F9" s="22" t="s">
        <v>288</v>
      </c>
      <c r="G9" s="22" t="s">
        <v>4</v>
      </c>
      <c r="H9" s="11">
        <v>0.55000000000000004</v>
      </c>
      <c r="I9" s="9" t="s">
        <v>23</v>
      </c>
      <c r="J9" s="132"/>
      <c r="K9" s="8" t="s">
        <v>87</v>
      </c>
      <c r="L9" s="50">
        <v>1.4</v>
      </c>
      <c r="N9" s="8" t="s">
        <v>129</v>
      </c>
      <c r="O9" s="61">
        <v>2</v>
      </c>
      <c r="Q9" s="8" t="s">
        <v>163</v>
      </c>
      <c r="R9" s="34">
        <v>6.7</v>
      </c>
      <c r="S9" s="10">
        <v>0</v>
      </c>
      <c r="T9" s="10">
        <v>3.8</v>
      </c>
      <c r="U9" s="34">
        <f t="shared" ref="U9:U11" si="1">(4*(R9-R$7)^2+(S9-S$7)^2+(T9-T$7)^2)^0.5</f>
        <v>0</v>
      </c>
      <c r="V9" s="10">
        <f t="shared" si="0"/>
        <v>7.7025969646606853</v>
      </c>
      <c r="W9" s="73">
        <f t="shared" ref="W9:W72" si="2">10^(-8.89*10^-2*U9-1.1)/V9*1000</f>
        <v>10.312473031740311</v>
      </c>
    </row>
    <row r="10" spans="1:23" x14ac:dyDescent="0.25">
      <c r="A10" s="8" t="s">
        <v>5</v>
      </c>
      <c r="B10" s="35">
        <f>2100</f>
        <v>2100</v>
      </c>
      <c r="C10" s="30">
        <f>B22/B20*1000</f>
        <v>3.75</v>
      </c>
      <c r="D10" s="31">
        <f>C10/B10*1000</f>
        <v>1.7857142857142856</v>
      </c>
      <c r="E10" s="30">
        <f>(1-$H$10)*$B$25</f>
        <v>19.999999999999996</v>
      </c>
      <c r="F10" s="22" t="s">
        <v>43</v>
      </c>
      <c r="G10" s="22" t="s">
        <v>4</v>
      </c>
      <c r="H10" s="11">
        <v>0.8</v>
      </c>
      <c r="I10" s="9" t="s">
        <v>23</v>
      </c>
      <c r="J10" s="132"/>
      <c r="K10" s="8" t="s">
        <v>89</v>
      </c>
      <c r="L10" s="50">
        <v>298</v>
      </c>
      <c r="N10" s="12" t="s">
        <v>120</v>
      </c>
      <c r="O10" s="51">
        <v>2</v>
      </c>
      <c r="Q10" s="8" t="s">
        <v>164</v>
      </c>
      <c r="R10" s="34">
        <v>15.6</v>
      </c>
      <c r="S10" s="10">
        <v>5.2</v>
      </c>
      <c r="T10" s="10">
        <v>5.8</v>
      </c>
      <c r="U10" s="34">
        <f t="shared" si="1"/>
        <v>18.651541491254818</v>
      </c>
      <c r="V10" s="10">
        <f t="shared" si="0"/>
        <v>17.436742815101677</v>
      </c>
      <c r="W10" s="73">
        <f t="shared" si="2"/>
        <v>0.10009504968878838</v>
      </c>
    </row>
    <row r="11" spans="1:23" x14ac:dyDescent="0.25">
      <c r="A11" s="8" t="s">
        <v>6</v>
      </c>
      <c r="B11" s="35">
        <v>2700</v>
      </c>
      <c r="C11" s="30">
        <f>B11*D11/1000</f>
        <v>0.36160714285714296</v>
      </c>
      <c r="D11" s="30">
        <f>D$10/E$10*E11</f>
        <v>0.13392857142857145</v>
      </c>
      <c r="E11" s="28">
        <v>1.5</v>
      </c>
      <c r="F11" s="22" t="s">
        <v>26</v>
      </c>
      <c r="G11" s="22"/>
      <c r="I11" s="9"/>
      <c r="K11" s="8" t="s">
        <v>272</v>
      </c>
      <c r="L11" s="50">
        <v>1</v>
      </c>
      <c r="N11" s="8" t="s">
        <v>130</v>
      </c>
      <c r="O11" s="56">
        <f>O9*MAX(O28,O30)*10^5*O7/(O8*10^6/O10)*D19/1000</f>
        <v>3.6370327748108835</v>
      </c>
      <c r="Q11" s="12" t="s">
        <v>165</v>
      </c>
      <c r="R11" s="106">
        <v>15.5</v>
      </c>
      <c r="S11" s="107">
        <v>16</v>
      </c>
      <c r="T11" s="107">
        <v>42.3</v>
      </c>
      <c r="U11" s="106">
        <f t="shared" si="1"/>
        <v>45.254944481238738</v>
      </c>
      <c r="V11" s="107">
        <f t="shared" si="0"/>
        <v>47.807321614999516</v>
      </c>
      <c r="W11" s="108">
        <f t="shared" si="2"/>
        <v>1.5752192933004075E-4</v>
      </c>
    </row>
    <row r="12" spans="1:23" x14ac:dyDescent="0.25">
      <c r="A12" s="8" t="s">
        <v>21</v>
      </c>
      <c r="B12" s="35">
        <v>1100</v>
      </c>
      <c r="C12" s="30">
        <f>B12*D12/1000</f>
        <v>8.6674107142857171</v>
      </c>
      <c r="D12" s="31">
        <f>D10/(1-H10)*H10+D9/(1-H9)*H9</f>
        <v>7.8794642857142883</v>
      </c>
      <c r="E12" s="30">
        <f>E$10/D$10*D12</f>
        <v>88.250000000000028</v>
      </c>
      <c r="F12" s="22"/>
      <c r="G12" s="22"/>
      <c r="I12" s="9"/>
      <c r="K12" s="12" t="s">
        <v>289</v>
      </c>
      <c r="L12" s="52">
        <v>0.8</v>
      </c>
      <c r="N12" s="8" t="s">
        <v>122</v>
      </c>
      <c r="O12" s="55">
        <f>O9*MAX(O28,O30)*10^5*O7/(O8*10^6/O10)</f>
        <v>229.81818181818181</v>
      </c>
      <c r="Q12" s="8" t="s">
        <v>169</v>
      </c>
      <c r="R12" s="34">
        <v>10.6</v>
      </c>
      <c r="S12" s="10">
        <v>0</v>
      </c>
      <c r="T12" s="10">
        <v>0</v>
      </c>
      <c r="U12" s="34">
        <f t="shared" ref="U12:U75" si="3">(4*(R12-R$7)^2+(S12-S$7)^2+(T12-T$7)^2)^0.5</f>
        <v>8.6764047853935438</v>
      </c>
      <c r="V12" s="10">
        <f t="shared" ref="V12:V75" si="4">SQRT(R12^2+S12^2+T12^2)</f>
        <v>10.6</v>
      </c>
      <c r="W12" s="73">
        <f t="shared" si="2"/>
        <v>1.2687082072356788</v>
      </c>
    </row>
    <row r="13" spans="1:23" x14ac:dyDescent="0.25">
      <c r="A13" s="8" t="s">
        <v>22</v>
      </c>
      <c r="B13" s="58">
        <f>B12</f>
        <v>1100</v>
      </c>
      <c r="C13" s="30">
        <f>B13*D13/1000</f>
        <v>0.98214285714285732</v>
      </c>
      <c r="D13" s="30">
        <f>D$10/E$10*E13</f>
        <v>0.89285714285714302</v>
      </c>
      <c r="E13" s="28">
        <v>10</v>
      </c>
      <c r="F13" s="22" t="s">
        <v>290</v>
      </c>
      <c r="G13" s="22"/>
      <c r="I13" s="9"/>
      <c r="K13" s="46" t="s">
        <v>88</v>
      </c>
      <c r="L13" s="47"/>
      <c r="N13" s="12" t="s">
        <v>123</v>
      </c>
      <c r="O13" s="97">
        <f>(C19+C14/2+O11)/(C19+C14/2)-1</f>
        <v>0.18558297851219496</v>
      </c>
      <c r="Q13" s="8" t="s">
        <v>170</v>
      </c>
      <c r="R13" s="34">
        <v>11.3</v>
      </c>
      <c r="S13" s="10">
        <v>0</v>
      </c>
      <c r="T13" s="10">
        <v>0</v>
      </c>
      <c r="U13" s="34">
        <f t="shared" si="3"/>
        <v>9.9538937105034435</v>
      </c>
      <c r="V13" s="10">
        <f t="shared" si="4"/>
        <v>11.3</v>
      </c>
      <c r="W13" s="73">
        <f t="shared" si="2"/>
        <v>0.91626354044209835</v>
      </c>
    </row>
    <row r="14" spans="1:23" x14ac:dyDescent="0.25">
      <c r="A14" s="8" t="s">
        <v>7</v>
      </c>
      <c r="B14" s="36"/>
      <c r="C14" s="30">
        <f>C8/B24/6.94*16</f>
        <v>3.5819039228895684</v>
      </c>
      <c r="D14" s="30">
        <f>C14/32*(19.86-25.99)</f>
        <v>-0.68615847022853282</v>
      </c>
      <c r="E14" s="131">
        <f>E$10/D$10*D14</f>
        <v>-7.6849748665595667</v>
      </c>
      <c r="F14" s="22" t="s">
        <v>28</v>
      </c>
      <c r="G14" s="22"/>
      <c r="I14" s="9"/>
      <c r="K14" s="8" t="s">
        <v>291</v>
      </c>
      <c r="L14" s="98">
        <f>L10*L8^((L9-1)/L9)</f>
        <v>701.35697430777498</v>
      </c>
      <c r="N14" s="46" t="s">
        <v>124</v>
      </c>
      <c r="O14" s="47"/>
      <c r="Q14" s="8" t="s">
        <v>171</v>
      </c>
      <c r="R14" s="34">
        <v>11.6</v>
      </c>
      <c r="S14" s="10">
        <v>0</v>
      </c>
      <c r="T14" s="10">
        <v>0</v>
      </c>
      <c r="U14" s="34">
        <f t="shared" si="3"/>
        <v>10.510946674776729</v>
      </c>
      <c r="V14" s="10">
        <f t="shared" si="4"/>
        <v>11.6</v>
      </c>
      <c r="W14" s="73">
        <f t="shared" si="2"/>
        <v>0.79637726152301147</v>
      </c>
    </row>
    <row r="15" spans="1:23" x14ac:dyDescent="0.25">
      <c r="A15" s="12" t="s">
        <v>8</v>
      </c>
      <c r="B15" s="37">
        <v>7850</v>
      </c>
      <c r="C15" s="32">
        <f>D19/B28</f>
        <v>2.6376160682304666</v>
      </c>
      <c r="D15" s="33">
        <f>C15/B15*1000</f>
        <v>0.33600204690833968</v>
      </c>
      <c r="E15" s="81">
        <f>E$10/D$10*D15</f>
        <v>3.763222925373404</v>
      </c>
      <c r="F15" s="2"/>
      <c r="G15" s="23"/>
      <c r="H15" s="2"/>
      <c r="I15" s="19"/>
      <c r="K15" s="8" t="s">
        <v>90</v>
      </c>
      <c r="L15" s="53">
        <f>1/(L9-1)</f>
        <v>2.5000000000000004</v>
      </c>
      <c r="N15" s="8" t="s">
        <v>125</v>
      </c>
      <c r="O15" s="60">
        <v>300</v>
      </c>
      <c r="Q15" s="8" t="s">
        <v>172</v>
      </c>
      <c r="R15" s="34">
        <v>11.7</v>
      </c>
      <c r="S15" s="10">
        <v>2.4</v>
      </c>
      <c r="T15" s="10">
        <v>0</v>
      </c>
      <c r="U15" s="34">
        <f t="shared" si="3"/>
        <v>10.963576058932595</v>
      </c>
      <c r="V15" s="10">
        <f>SQRT(R15^2+S15^2+T15^2)</f>
        <v>11.943617542436629</v>
      </c>
      <c r="W15" s="73">
        <f t="shared" si="2"/>
        <v>0.70502123885346968</v>
      </c>
    </row>
    <row r="16" spans="1:23" x14ac:dyDescent="0.25">
      <c r="A16" s="8" t="s">
        <v>36</v>
      </c>
      <c r="B16" s="25">
        <f>C16/D16*1000</f>
        <v>1552.5433778366128</v>
      </c>
      <c r="C16" s="30">
        <f>SUM(C7:C15)</f>
        <v>24.026447123807209</v>
      </c>
      <c r="D16" s="84">
        <f>SUM(D7:D13,D15,D14)</f>
        <v>15.475539986062609</v>
      </c>
      <c r="E16" s="82">
        <f>SUM(E7:E13,E15,E14)</f>
        <v>173.32604784390119</v>
      </c>
      <c r="F16" s="22" t="s">
        <v>9</v>
      </c>
      <c r="G16" s="79">
        <f>B23/C17*1000</f>
        <v>701.58095810727912</v>
      </c>
      <c r="H16" s="38"/>
      <c r="I16" s="9"/>
      <c r="K16" s="8" t="s">
        <v>95</v>
      </c>
      <c r="L16" s="54">
        <f>L15*L11*8.3145*(L14-L10)/L6/L7/L12</f>
        <v>99812.844133392748</v>
      </c>
      <c r="N16" s="8" t="s">
        <v>118</v>
      </c>
      <c r="O16" s="50">
        <v>1580</v>
      </c>
      <c r="Q16" s="8" t="s">
        <v>173</v>
      </c>
      <c r="R16" s="34">
        <v>12</v>
      </c>
      <c r="S16" s="10">
        <v>0</v>
      </c>
      <c r="T16" s="10">
        <v>0</v>
      </c>
      <c r="U16" s="34">
        <f t="shared" si="3"/>
        <v>11.260550608207398</v>
      </c>
      <c r="V16" s="10">
        <f t="shared" si="4"/>
        <v>12</v>
      </c>
      <c r="W16" s="73">
        <f t="shared" si="2"/>
        <v>0.66032205769380736</v>
      </c>
    </row>
    <row r="17" spans="1:23" x14ac:dyDescent="0.25">
      <c r="A17" s="8" t="s">
        <v>37</v>
      </c>
      <c r="B17" s="25">
        <f>C17/D17*1000</f>
        <v>1405.6533539030436</v>
      </c>
      <c r="C17" s="30">
        <f>C16-C14/2</f>
        <v>22.235495162362426</v>
      </c>
      <c r="D17" s="80">
        <f>SUM(D7:D13,D15,D14/2)</f>
        <v>15.818619221176874</v>
      </c>
      <c r="E17" s="82">
        <f>SUM(E7:E13,E15,E14/2)</f>
        <v>177.16853527718098</v>
      </c>
      <c r="F17" s="22" t="s">
        <v>10</v>
      </c>
      <c r="G17" s="79">
        <f>B23/D17*1000</f>
        <v>986.1796267980078</v>
      </c>
      <c r="H17" s="22"/>
      <c r="I17" s="9"/>
      <c r="K17" s="8" t="s">
        <v>96</v>
      </c>
      <c r="L17" s="54">
        <f>L15*L11*8.3145*(L14-L10)*(1-L6*L7)/L6/L7*L12</f>
        <v>57172.79711960737</v>
      </c>
      <c r="N17" s="8" t="s">
        <v>119</v>
      </c>
      <c r="O17" s="50">
        <v>500</v>
      </c>
      <c r="Q17" s="8" t="s">
        <v>174</v>
      </c>
      <c r="R17" s="34">
        <v>12.1</v>
      </c>
      <c r="S17" s="10">
        <v>0</v>
      </c>
      <c r="T17" s="10">
        <v>0</v>
      </c>
      <c r="U17" s="34">
        <f t="shared" si="3"/>
        <v>11.449017425089368</v>
      </c>
      <c r="V17" s="10">
        <f t="shared" si="4"/>
        <v>12.1</v>
      </c>
      <c r="W17" s="73">
        <f t="shared" si="2"/>
        <v>0.63008186594401983</v>
      </c>
    </row>
    <row r="18" spans="1:23" x14ac:dyDescent="0.25">
      <c r="A18" s="8" t="s">
        <v>39</v>
      </c>
      <c r="B18" s="25">
        <f t="shared" ref="B18:B19" si="5">C18/D18*1000</f>
        <v>1264.9996691999502</v>
      </c>
      <c r="C18" s="30">
        <f>C16-C14</f>
        <v>20.444543200917639</v>
      </c>
      <c r="D18" s="84">
        <f>SUM(D7:D13,D15)</f>
        <v>16.161698456291141</v>
      </c>
      <c r="E18" s="82">
        <f>SUM(E7:E13,E15)</f>
        <v>181.01102271046076</v>
      </c>
      <c r="F18" s="22" t="s">
        <v>12</v>
      </c>
      <c r="G18" s="78">
        <f>G17/G16</f>
        <v>1.4056533539030438</v>
      </c>
      <c r="H18" s="22"/>
      <c r="I18" s="9"/>
      <c r="K18" s="8" t="s">
        <v>97</v>
      </c>
      <c r="L18" s="54">
        <f>B43*B21*96485</f>
        <v>501722</v>
      </c>
      <c r="N18" s="8" t="s">
        <v>129</v>
      </c>
      <c r="O18" s="50">
        <v>2</v>
      </c>
      <c r="Q18" s="8" t="s">
        <v>175</v>
      </c>
      <c r="R18" s="34">
        <v>12.2</v>
      </c>
      <c r="S18" s="10">
        <v>1.8</v>
      </c>
      <c r="T18" s="10">
        <v>0</v>
      </c>
      <c r="U18" s="34">
        <f t="shared" si="3"/>
        <v>11.776247280012422</v>
      </c>
      <c r="V18" s="10">
        <f t="shared" si="4"/>
        <v>12.332072007574396</v>
      </c>
      <c r="W18" s="73">
        <f t="shared" si="2"/>
        <v>0.57817001539925517</v>
      </c>
    </row>
    <row r="19" spans="1:23" ht="15.75" thickBot="1" x14ac:dyDescent="0.3">
      <c r="A19" s="13" t="s">
        <v>38</v>
      </c>
      <c r="B19" s="26">
        <f t="shared" si="5"/>
        <v>1125.1907449791422</v>
      </c>
      <c r="C19" s="39">
        <f>SUM(C7:C13)</f>
        <v>17.806927132687171</v>
      </c>
      <c r="D19" s="39">
        <f>SUM(D7:D13)</f>
        <v>15.8256964093828</v>
      </c>
      <c r="E19" s="83">
        <f>SUM(E7:E13)</f>
        <v>177.24779978508735</v>
      </c>
      <c r="F19" s="24"/>
      <c r="G19" s="24"/>
      <c r="H19" s="24"/>
      <c r="I19" s="15"/>
      <c r="K19" s="8" t="s">
        <v>91</v>
      </c>
      <c r="L19" s="97">
        <f>L16/L$18</f>
        <v>0.19894053705716064</v>
      </c>
      <c r="N19" s="12" t="s">
        <v>120</v>
      </c>
      <c r="O19" s="51">
        <v>2</v>
      </c>
      <c r="Q19" s="8" t="s">
        <v>176</v>
      </c>
      <c r="R19" s="34">
        <v>12.4</v>
      </c>
      <c r="S19" s="10">
        <v>0</v>
      </c>
      <c r="T19" s="10">
        <v>0</v>
      </c>
      <c r="U19" s="34">
        <f t="shared" si="3"/>
        <v>12.016655108639842</v>
      </c>
      <c r="V19" s="10">
        <f t="shared" si="4"/>
        <v>12.4</v>
      </c>
      <c r="W19" s="73">
        <f t="shared" si="2"/>
        <v>0.54739102905990222</v>
      </c>
    </row>
    <row r="20" spans="1:23" x14ac:dyDescent="0.25">
      <c r="A20" s="6" t="s">
        <v>29</v>
      </c>
      <c r="B20" s="117">
        <v>1600</v>
      </c>
      <c r="C20" s="21"/>
      <c r="D20" s="7"/>
      <c r="E20" s="7"/>
      <c r="F20" s="6" t="s">
        <v>11</v>
      </c>
      <c r="G20" s="95">
        <f>G23/G21</f>
        <v>0.31124574239047986</v>
      </c>
      <c r="H20" s="27" t="str">
        <f>IF(G20&gt;1,"ERROR PORES&gt;100% FULL","")</f>
        <v/>
      </c>
      <c r="K20" s="12" t="s">
        <v>92</v>
      </c>
      <c r="L20" s="97">
        <f>(L16-L17)/L$18</f>
        <v>8.4987397430819012E-2</v>
      </c>
      <c r="N20" s="8" t="s">
        <v>121</v>
      </c>
      <c r="O20" s="56">
        <f>O18*O16/(O17*10^6/O19)*C14/32*8.3145*L10*1000</f>
        <v>3.5056086350417166</v>
      </c>
      <c r="Q20" s="8" t="s">
        <v>177</v>
      </c>
      <c r="R20" s="34">
        <v>12.4</v>
      </c>
      <c r="S20" s="10">
        <v>0</v>
      </c>
      <c r="T20" s="10">
        <v>0</v>
      </c>
      <c r="U20" s="34">
        <f t="shared" si="3"/>
        <v>12.016655108639842</v>
      </c>
      <c r="V20" s="10">
        <f t="shared" si="4"/>
        <v>12.4</v>
      </c>
      <c r="W20" s="73">
        <f t="shared" si="2"/>
        <v>0.54739102905990222</v>
      </c>
    </row>
    <row r="21" spans="1:23" x14ac:dyDescent="0.25">
      <c r="A21" s="8" t="s">
        <v>30</v>
      </c>
      <c r="B21" s="118">
        <v>2.6</v>
      </c>
      <c r="C21" s="121" t="s">
        <v>35</v>
      </c>
      <c r="D21" s="40"/>
      <c r="E21" s="40"/>
      <c r="F21" s="8" t="s">
        <v>13</v>
      </c>
      <c r="G21" s="94">
        <f>D10/(1-H10)*H10</f>
        <v>7.142857142857145</v>
      </c>
      <c r="H21" s="27"/>
      <c r="K21" s="46" t="s">
        <v>93</v>
      </c>
      <c r="L21" s="47"/>
      <c r="N21" s="8" t="s">
        <v>122</v>
      </c>
      <c r="O21" s="55">
        <f>O18*O16/(O17*10^6/O19)*O15*10^5</f>
        <v>379.2</v>
      </c>
      <c r="Q21" s="74" t="s">
        <v>178</v>
      </c>
      <c r="R21" s="34">
        <v>12.6</v>
      </c>
      <c r="S21" s="10">
        <v>1.8</v>
      </c>
      <c r="T21" s="10">
        <v>0</v>
      </c>
      <c r="U21" s="34">
        <f t="shared" si="3"/>
        <v>12.526771331831679</v>
      </c>
      <c r="V21" s="10">
        <f t="shared" si="4"/>
        <v>12.727922061357855</v>
      </c>
      <c r="W21" s="73">
        <f t="shared" si="2"/>
        <v>0.48041053365035413</v>
      </c>
    </row>
    <row r="22" spans="1:23" x14ac:dyDescent="0.25">
      <c r="A22" s="8" t="s">
        <v>31</v>
      </c>
      <c r="B22" s="118">
        <v>6</v>
      </c>
      <c r="C22" s="22"/>
      <c r="F22" s="8" t="s">
        <v>14</v>
      </c>
      <c r="G22" s="94">
        <f>C14+C8/B24</f>
        <v>5.1355547494429192</v>
      </c>
      <c r="H22" s="27"/>
      <c r="K22" s="8" t="s">
        <v>95</v>
      </c>
      <c r="L22" s="54">
        <f>L11*8.3145*L10*LN(L8)/L6/L7/L12</f>
        <v>88364.151959077004</v>
      </c>
      <c r="N22" s="8" t="s">
        <v>128</v>
      </c>
      <c r="O22" s="97">
        <f>(C19+C14/2+O20)/(C19+C14/2)-1</f>
        <v>0.17887693960166207</v>
      </c>
      <c r="Q22" s="8" t="s">
        <v>179</v>
      </c>
      <c r="R22" s="34">
        <v>12.6</v>
      </c>
      <c r="S22" s="10">
        <v>2</v>
      </c>
      <c r="T22" s="10">
        <v>0</v>
      </c>
      <c r="U22" s="34">
        <f t="shared" si="3"/>
        <v>12.557069721873809</v>
      </c>
      <c r="V22" s="10">
        <f t="shared" si="4"/>
        <v>12.75774274705365</v>
      </c>
      <c r="W22" s="73">
        <f t="shared" si="2"/>
        <v>0.47632421580818068</v>
      </c>
    </row>
    <row r="23" spans="1:23" x14ac:dyDescent="0.25">
      <c r="A23" s="8" t="s">
        <v>32</v>
      </c>
      <c r="B23" s="4">
        <f>B21*B22</f>
        <v>15.600000000000001</v>
      </c>
      <c r="C23" s="22"/>
      <c r="F23" s="8" t="s">
        <v>15</v>
      </c>
      <c r="G23" s="94">
        <f>G22/B27*1000</f>
        <v>2.2231838742177139</v>
      </c>
      <c r="H23" s="27"/>
      <c r="K23" s="8" t="s">
        <v>96</v>
      </c>
      <c r="L23" s="54">
        <f>L11*8.3145*L10*LN(L8)*(1-L6*L7)/L6/L7*L12</f>
        <v>50614.986242159313</v>
      </c>
      <c r="N23" s="8" t="s">
        <v>126</v>
      </c>
      <c r="O23" s="97">
        <f>(C19+C14)/(C19+C14/2)-1</f>
        <v>9.13849887961109E-2</v>
      </c>
      <c r="Q23" s="8" t="s">
        <v>180</v>
      </c>
      <c r="R23" s="34">
        <v>12.8</v>
      </c>
      <c r="S23" s="10">
        <v>1.3</v>
      </c>
      <c r="T23" s="10">
        <v>1</v>
      </c>
      <c r="U23" s="34">
        <f t="shared" si="3"/>
        <v>12.584514293368658</v>
      </c>
      <c r="V23" s="10">
        <f t="shared" si="4"/>
        <v>12.904650324592295</v>
      </c>
      <c r="W23" s="73">
        <f t="shared" si="2"/>
        <v>0.4682636416670346</v>
      </c>
    </row>
    <row r="24" spans="1:23" ht="15.75" thickBot="1" x14ac:dyDescent="0.3">
      <c r="A24" s="8" t="s">
        <v>16</v>
      </c>
      <c r="B24" s="118">
        <v>1.5</v>
      </c>
      <c r="C24" s="121" t="s">
        <v>24</v>
      </c>
      <c r="D24" s="40"/>
      <c r="E24" s="40"/>
      <c r="F24" s="13" t="s">
        <v>264</v>
      </c>
      <c r="G24" s="96">
        <f>(C12+C13)/C17</f>
        <v>0.43397070768912666</v>
      </c>
      <c r="H24" s="27"/>
      <c r="K24" s="8" t="s">
        <v>91</v>
      </c>
      <c r="L24" s="97">
        <f>L22/L$18</f>
        <v>0.17612174064337821</v>
      </c>
      <c r="N24" s="13" t="s">
        <v>127</v>
      </c>
      <c r="O24" s="96">
        <f>(C19+C14+O20)/(C19+C14/2)-1</f>
        <v>0.27026192839777297</v>
      </c>
      <c r="Q24" s="8" t="s">
        <v>181</v>
      </c>
      <c r="R24" s="34">
        <v>12.9</v>
      </c>
      <c r="S24" s="10">
        <v>1.3</v>
      </c>
      <c r="T24" s="10">
        <v>1</v>
      </c>
      <c r="U24" s="34">
        <f t="shared" si="3"/>
        <v>12.778497564267875</v>
      </c>
      <c r="V24" s="10">
        <f t="shared" si="4"/>
        <v>13.003845585056753</v>
      </c>
      <c r="W24" s="73">
        <f t="shared" si="2"/>
        <v>0.44660107358487139</v>
      </c>
    </row>
    <row r="25" spans="1:23" x14ac:dyDescent="0.25">
      <c r="A25" s="8" t="s">
        <v>33</v>
      </c>
      <c r="B25" s="118">
        <v>100</v>
      </c>
      <c r="C25" s="22" t="s">
        <v>292</v>
      </c>
      <c r="E25" s="9"/>
      <c r="K25" s="8" t="s">
        <v>92</v>
      </c>
      <c r="L25" s="97">
        <f>(L22-L23)/L$18</f>
        <v>7.523920760285116E-2</v>
      </c>
      <c r="Q25" s="8" t="s">
        <v>182</v>
      </c>
      <c r="R25" s="34">
        <v>12.3</v>
      </c>
      <c r="S25" s="10">
        <v>6.3</v>
      </c>
      <c r="T25" s="10">
        <v>5.7</v>
      </c>
      <c r="U25" s="34">
        <f t="shared" si="3"/>
        <v>12.989996150884728</v>
      </c>
      <c r="V25" s="10">
        <f t="shared" si="4"/>
        <v>14.948913003961191</v>
      </c>
      <c r="W25" s="73">
        <f t="shared" si="2"/>
        <v>0.3720315123599065</v>
      </c>
    </row>
    <row r="26" spans="1:23" ht="15.75" thickBot="1" x14ac:dyDescent="0.3">
      <c r="A26" s="8" t="s">
        <v>293</v>
      </c>
      <c r="B26" s="119">
        <v>15</v>
      </c>
      <c r="C26" s="22" t="s">
        <v>292</v>
      </c>
      <c r="E26" s="9"/>
      <c r="K26" s="12" t="s">
        <v>94</v>
      </c>
      <c r="L26" s="57">
        <f>L22</f>
        <v>88364.151959077004</v>
      </c>
      <c r="Q26" s="8" t="s">
        <v>183</v>
      </c>
      <c r="R26" s="34">
        <v>13.2</v>
      </c>
      <c r="S26" s="10">
        <v>1.3</v>
      </c>
      <c r="T26" s="10">
        <v>3.9</v>
      </c>
      <c r="U26" s="34">
        <f t="shared" si="3"/>
        <v>13.06522100846365</v>
      </c>
      <c r="V26" s="10">
        <f t="shared" si="4"/>
        <v>13.825339055516865</v>
      </c>
      <c r="W26" s="73">
        <f t="shared" si="2"/>
        <v>0.39611935344318372</v>
      </c>
    </row>
    <row r="27" spans="1:23" ht="15.75" thickBot="1" x14ac:dyDescent="0.3">
      <c r="A27" s="8" t="s">
        <v>44</v>
      </c>
      <c r="B27" s="119">
        <v>2310</v>
      </c>
      <c r="C27" s="22"/>
      <c r="E27" s="9"/>
      <c r="G27" s="133"/>
      <c r="K27" s="46" t="s">
        <v>98</v>
      </c>
      <c r="L27" s="47"/>
      <c r="N27" s="16" t="s">
        <v>100</v>
      </c>
      <c r="O27" s="18"/>
      <c r="Q27" s="8" t="s">
        <v>184</v>
      </c>
      <c r="R27" s="34">
        <v>13.1</v>
      </c>
      <c r="S27" s="10">
        <v>0</v>
      </c>
      <c r="T27" s="10">
        <v>0</v>
      </c>
      <c r="U27" s="34">
        <f t="shared" si="3"/>
        <v>13.352153384379614</v>
      </c>
      <c r="V27" s="10">
        <f t="shared" si="4"/>
        <v>13.1</v>
      </c>
      <c r="W27" s="73">
        <f t="shared" si="2"/>
        <v>0.39420512708516348</v>
      </c>
    </row>
    <row r="28" spans="1:23" ht="15.75" thickBot="1" x14ac:dyDescent="0.3">
      <c r="A28" s="13" t="s">
        <v>34</v>
      </c>
      <c r="B28" s="120">
        <v>6</v>
      </c>
      <c r="C28" s="24"/>
      <c r="D28" s="14"/>
      <c r="E28" s="15"/>
      <c r="G28" s="133"/>
      <c r="K28" s="8" t="s">
        <v>95</v>
      </c>
      <c r="L28" s="54">
        <f>L16</f>
        <v>99812.844133392748</v>
      </c>
      <c r="N28" s="8" t="s">
        <v>106</v>
      </c>
      <c r="O28" s="59">
        <v>20</v>
      </c>
      <c r="Q28" s="8" t="s">
        <v>185</v>
      </c>
      <c r="R28" s="34">
        <v>13.1</v>
      </c>
      <c r="S28" s="10">
        <v>2.9</v>
      </c>
      <c r="T28" s="10">
        <v>1</v>
      </c>
      <c r="U28" s="34">
        <f t="shared" si="3"/>
        <v>13.419761547807024</v>
      </c>
      <c r="V28" s="10">
        <f t="shared" si="4"/>
        <v>13.454367320688103</v>
      </c>
      <c r="W28" s="73">
        <f t="shared" si="2"/>
        <v>0.37854709534638081</v>
      </c>
    </row>
    <row r="29" spans="1:23" x14ac:dyDescent="0.25">
      <c r="G29" s="133"/>
      <c r="K29" s="8" t="s">
        <v>96</v>
      </c>
      <c r="L29" s="54">
        <f>L15*L11*8.3145*(L10-L32)/L6/L7*(1-L6*L7)*L12</f>
        <v>24292.18524341139</v>
      </c>
      <c r="N29" s="8" t="s">
        <v>104</v>
      </c>
      <c r="O29" s="50">
        <v>10</v>
      </c>
      <c r="Q29" s="8" t="s">
        <v>186</v>
      </c>
      <c r="R29" s="34">
        <v>13.3</v>
      </c>
      <c r="S29" s="10">
        <v>1.6</v>
      </c>
      <c r="T29" s="10">
        <v>1.5</v>
      </c>
      <c r="U29" s="34">
        <f t="shared" si="3"/>
        <v>13.494072772888103</v>
      </c>
      <c r="V29" s="10">
        <f t="shared" si="4"/>
        <v>13.479614237803693</v>
      </c>
      <c r="W29" s="73">
        <f t="shared" si="2"/>
        <v>0.37213409915132212</v>
      </c>
    </row>
    <row r="30" spans="1:23" ht="15.75" thickBot="1" x14ac:dyDescent="0.3">
      <c r="G30" s="133"/>
      <c r="K30" s="8" t="s">
        <v>91</v>
      </c>
      <c r="L30" s="97">
        <f>L28/L$18</f>
        <v>0.19894053705716064</v>
      </c>
      <c r="N30" s="8" t="s">
        <v>105</v>
      </c>
      <c r="O30" s="50">
        <v>20</v>
      </c>
      <c r="Q30" s="8" t="s">
        <v>187</v>
      </c>
      <c r="R30" s="34">
        <v>13</v>
      </c>
      <c r="S30" s="10">
        <v>4</v>
      </c>
      <c r="T30" s="10">
        <v>1</v>
      </c>
      <c r="U30" s="34">
        <f t="shared" si="3"/>
        <v>13.512956745287095</v>
      </c>
      <c r="V30" s="10">
        <f t="shared" si="4"/>
        <v>13.638181696985855</v>
      </c>
      <c r="W30" s="73">
        <f t="shared" si="2"/>
        <v>0.36638836452884338</v>
      </c>
    </row>
    <row r="31" spans="1:23" ht="15.75" thickBot="1" x14ac:dyDescent="0.3">
      <c r="A31" s="16" t="s">
        <v>5</v>
      </c>
      <c r="B31" s="17"/>
      <c r="C31" s="17"/>
      <c r="D31" s="17"/>
      <c r="E31" s="18"/>
      <c r="G31" s="133"/>
      <c r="K31" s="8" t="s">
        <v>92</v>
      </c>
      <c r="L31" s="97">
        <f>(L28-L29)/L$18</f>
        <v>0.15052291685431646</v>
      </c>
      <c r="N31" s="8" t="s">
        <v>294</v>
      </c>
      <c r="O31" s="49">
        <v>0.2</v>
      </c>
      <c r="Q31" s="8" t="s">
        <v>188</v>
      </c>
      <c r="R31" s="34">
        <v>13</v>
      </c>
      <c r="S31" s="10">
        <v>4.2</v>
      </c>
      <c r="T31" s="10">
        <v>1</v>
      </c>
      <c r="U31" s="34">
        <f t="shared" si="3"/>
        <v>13.57350360076572</v>
      </c>
      <c r="V31" s="10">
        <f t="shared" si="4"/>
        <v>13.698175060934211</v>
      </c>
      <c r="W31" s="73">
        <f t="shared" si="2"/>
        <v>0.36029050563222381</v>
      </c>
    </row>
    <row r="32" spans="1:23" x14ac:dyDescent="0.25">
      <c r="A32" s="41" t="s">
        <v>295</v>
      </c>
      <c r="B32" s="116">
        <v>62</v>
      </c>
      <c r="C32" s="75"/>
      <c r="D32" s="42"/>
      <c r="E32" s="43"/>
      <c r="G32" s="133"/>
      <c r="K32" s="8" t="s">
        <v>99</v>
      </c>
      <c r="L32" s="54">
        <f>L10*(1/L8)^((L9-1)/L9)</f>
        <v>126.61740490660655</v>
      </c>
      <c r="N32" s="8" t="s">
        <v>101</v>
      </c>
      <c r="O32" s="50">
        <v>100</v>
      </c>
      <c r="Q32" s="8" t="s">
        <v>189</v>
      </c>
      <c r="R32" s="34">
        <v>13.3</v>
      </c>
      <c r="S32" s="10">
        <v>2</v>
      </c>
      <c r="T32" s="10">
        <v>1</v>
      </c>
      <c r="U32" s="34">
        <f t="shared" si="3"/>
        <v>13.641114323983947</v>
      </c>
      <c r="V32" s="10">
        <f t="shared" si="4"/>
        <v>13.486660075793415</v>
      </c>
      <c r="W32" s="73">
        <f t="shared" si="2"/>
        <v>0.36091133760216004</v>
      </c>
    </row>
    <row r="33" spans="1:23" x14ac:dyDescent="0.25">
      <c r="A33" s="8" t="s">
        <v>49</v>
      </c>
      <c r="B33" s="86">
        <f>2/(B32*1000)/B10*10^9</f>
        <v>15.360983102918588</v>
      </c>
      <c r="C33" s="22" t="s">
        <v>46</v>
      </c>
      <c r="E33" s="9"/>
      <c r="G33" s="133"/>
      <c r="H33" s="134"/>
      <c r="K33" s="8" t="s">
        <v>94</v>
      </c>
      <c r="L33" s="54">
        <f>(L14-L10)*(L15+1)*8.3145*L11/L7/L6</f>
        <v>111790.38542939986</v>
      </c>
      <c r="N33" s="8" t="s">
        <v>296</v>
      </c>
      <c r="O33" s="49">
        <v>0.1</v>
      </c>
      <c r="Q33" s="8" t="s">
        <v>190</v>
      </c>
      <c r="R33" s="34">
        <v>13.7</v>
      </c>
      <c r="S33" s="10">
        <v>2.2000000000000002</v>
      </c>
      <c r="T33" s="10">
        <v>1</v>
      </c>
      <c r="U33" s="34">
        <f t="shared" si="3"/>
        <v>14.445760623795479</v>
      </c>
      <c r="V33" s="10">
        <f t="shared" si="4"/>
        <v>13.91150602918318</v>
      </c>
      <c r="W33" s="73">
        <f t="shared" si="2"/>
        <v>0.29675478623420826</v>
      </c>
    </row>
    <row r="34" spans="1:23" ht="15.75" thickBot="1" x14ac:dyDescent="0.3">
      <c r="A34" s="8" t="s">
        <v>50</v>
      </c>
      <c r="B34" s="86">
        <f>3/(B32*1000)/B10*10^9</f>
        <v>23.041474654377879</v>
      </c>
      <c r="C34" s="22" t="s">
        <v>47</v>
      </c>
      <c r="E34" s="9"/>
      <c r="G34" s="133"/>
      <c r="K34" s="13" t="s">
        <v>297</v>
      </c>
      <c r="L34" s="99">
        <f>L33/L18*B21</f>
        <v>0.57931484391045174</v>
      </c>
      <c r="N34" s="12" t="s">
        <v>102</v>
      </c>
      <c r="O34" s="51">
        <v>137</v>
      </c>
      <c r="Q34" s="8" t="s">
        <v>191</v>
      </c>
      <c r="R34" s="34">
        <v>13.9</v>
      </c>
      <c r="S34" s="10">
        <v>1.4</v>
      </c>
      <c r="T34" s="10">
        <v>3.8</v>
      </c>
      <c r="U34" s="34">
        <f t="shared" si="3"/>
        <v>14.467895493125461</v>
      </c>
      <c r="V34" s="10">
        <f t="shared" si="4"/>
        <v>14.477914214416385</v>
      </c>
      <c r="W34" s="73">
        <f t="shared" si="2"/>
        <v>0.28385600857890347</v>
      </c>
    </row>
    <row r="35" spans="1:23" x14ac:dyDescent="0.25">
      <c r="A35" s="8" t="s">
        <v>51</v>
      </c>
      <c r="B35" s="84">
        <f>G23/D10*B33</f>
        <v>19.124162358862058</v>
      </c>
      <c r="C35" s="22" t="s">
        <v>48</v>
      </c>
      <c r="E35" s="9"/>
      <c r="G35" s="133"/>
      <c r="N35" s="8" t="s">
        <v>103</v>
      </c>
      <c r="O35" s="56">
        <f>G22/45.881</f>
        <v>0.11193205792033563</v>
      </c>
      <c r="Q35" s="8" t="s">
        <v>192</v>
      </c>
      <c r="R35" s="34">
        <v>13.7</v>
      </c>
      <c r="S35" s="10">
        <v>0</v>
      </c>
      <c r="T35" s="10">
        <v>0</v>
      </c>
      <c r="U35" s="34">
        <f t="shared" si="3"/>
        <v>14.506550244630869</v>
      </c>
      <c r="V35" s="10">
        <f t="shared" si="4"/>
        <v>13.7</v>
      </c>
      <c r="W35" s="73">
        <f t="shared" si="2"/>
        <v>0.29760972331366364</v>
      </c>
    </row>
    <row r="36" spans="1:23" x14ac:dyDescent="0.25">
      <c r="A36" s="8" t="s">
        <v>45</v>
      </c>
      <c r="B36" s="86">
        <f>G22/C10</f>
        <v>1.3694812665181118</v>
      </c>
      <c r="C36" s="22"/>
      <c r="E36" s="9"/>
      <c r="G36" s="133"/>
      <c r="N36" s="8" t="s">
        <v>107</v>
      </c>
      <c r="O36" s="56">
        <f>O35*(1/(L6*L7)-1)</f>
        <v>0.95408754132095608</v>
      </c>
      <c r="Q36" s="8" t="s">
        <v>193</v>
      </c>
      <c r="R36" s="34">
        <v>14</v>
      </c>
      <c r="S36" s="10">
        <v>1.4</v>
      </c>
      <c r="T36" s="10">
        <v>3.8</v>
      </c>
      <c r="U36" s="34">
        <f t="shared" si="3"/>
        <v>14.666969693839283</v>
      </c>
      <c r="V36" s="10">
        <f t="shared" si="4"/>
        <v>14.573949361789344</v>
      </c>
      <c r="W36" s="73">
        <f t="shared" si="2"/>
        <v>0.27072548350117176</v>
      </c>
    </row>
    <row r="37" spans="1:23" ht="15.75" thickBot="1" x14ac:dyDescent="0.3">
      <c r="A37" s="13" t="s">
        <v>29</v>
      </c>
      <c r="B37" s="145">
        <f>B36/45.881*2*96485/3.6</f>
        <v>1599.9651271768271</v>
      </c>
      <c r="C37" s="24" t="s">
        <v>298</v>
      </c>
      <c r="D37" s="14"/>
      <c r="E37" s="15"/>
      <c r="N37" s="8" t="s">
        <v>108</v>
      </c>
      <c r="O37" s="56">
        <f>O35*(O30/O29)</f>
        <v>0.22386411584067126</v>
      </c>
      <c r="Q37" s="8" t="s">
        <v>194</v>
      </c>
      <c r="R37" s="34">
        <v>13.8</v>
      </c>
      <c r="S37" s="10">
        <v>0</v>
      </c>
      <c r="T37" s="10">
        <v>0</v>
      </c>
      <c r="U37" s="34">
        <f t="shared" si="3"/>
        <v>14.699659860010369</v>
      </c>
      <c r="V37" s="10">
        <f t="shared" si="4"/>
        <v>13.8</v>
      </c>
      <c r="W37" s="73">
        <f t="shared" si="2"/>
        <v>0.28400183886673913</v>
      </c>
    </row>
    <row r="38" spans="1:23" x14ac:dyDescent="0.25">
      <c r="N38" s="8" t="s">
        <v>109</v>
      </c>
      <c r="O38" s="102">
        <f>O36*8.3145*L10/O28/10^5</f>
        <v>1.1819813684846505E-3</v>
      </c>
      <c r="Q38" s="8" t="s">
        <v>195</v>
      </c>
      <c r="R38" s="34">
        <v>13.8</v>
      </c>
      <c r="S38" s="10">
        <v>0</v>
      </c>
      <c r="T38" s="10">
        <v>0</v>
      </c>
      <c r="U38" s="34">
        <f t="shared" si="3"/>
        <v>14.699659860010369</v>
      </c>
      <c r="V38" s="10">
        <f t="shared" si="4"/>
        <v>13.8</v>
      </c>
      <c r="W38" s="73">
        <f t="shared" si="2"/>
        <v>0.28400183886673913</v>
      </c>
    </row>
    <row r="39" spans="1:23" ht="15.75" thickBot="1" x14ac:dyDescent="0.3">
      <c r="N39" s="8" t="s">
        <v>110</v>
      </c>
      <c r="O39" s="102">
        <f>O37*8.3145*L10/O30/10^5</f>
        <v>2.7733641048243194E-4</v>
      </c>
      <c r="Q39" s="8" t="s">
        <v>196</v>
      </c>
      <c r="R39" s="34">
        <v>14</v>
      </c>
      <c r="S39" s="10">
        <v>0</v>
      </c>
      <c r="T39" s="10">
        <v>0</v>
      </c>
      <c r="U39" s="34">
        <f t="shared" si="3"/>
        <v>15.086417732516887</v>
      </c>
      <c r="V39" s="10">
        <f t="shared" si="4"/>
        <v>14</v>
      </c>
      <c r="W39" s="73">
        <f t="shared" si="2"/>
        <v>0.25863626973770848</v>
      </c>
    </row>
    <row r="40" spans="1:23" ht="15.75" thickBot="1" x14ac:dyDescent="0.3">
      <c r="A40" s="16" t="s">
        <v>52</v>
      </c>
      <c r="B40" s="17"/>
      <c r="C40" s="17"/>
      <c r="D40" s="17"/>
      <c r="E40" s="17"/>
      <c r="F40" s="63" t="s">
        <v>131</v>
      </c>
      <c r="G40" s="18"/>
      <c r="I40" s="70"/>
      <c r="J40" s="20" t="s">
        <v>142</v>
      </c>
      <c r="K40" s="17" t="s">
        <v>143</v>
      </c>
      <c r="L40" s="18" t="s">
        <v>144</v>
      </c>
      <c r="N40" s="8" t="s">
        <v>111</v>
      </c>
      <c r="O40" s="102">
        <f>O38+O39</f>
        <v>1.4593177789670824E-3</v>
      </c>
      <c r="Q40" s="8" t="s">
        <v>197</v>
      </c>
      <c r="R40" s="34">
        <v>14.1</v>
      </c>
      <c r="S40" s="10">
        <v>0</v>
      </c>
      <c r="T40" s="10">
        <v>0</v>
      </c>
      <c r="U40" s="34">
        <f t="shared" si="3"/>
        <v>15.280052355931245</v>
      </c>
      <c r="V40" s="10">
        <f t="shared" si="4"/>
        <v>14.1</v>
      </c>
      <c r="W40" s="73">
        <f t="shared" si="2"/>
        <v>0.24682220790606585</v>
      </c>
    </row>
    <row r="41" spans="1:23" x14ac:dyDescent="0.25">
      <c r="A41" s="6" t="s">
        <v>268</v>
      </c>
      <c r="B41" s="122">
        <v>1</v>
      </c>
      <c r="C41" s="21"/>
      <c r="D41" s="7"/>
      <c r="E41" s="7"/>
      <c r="F41" s="21" t="s">
        <v>299</v>
      </c>
      <c r="G41" s="64">
        <v>1</v>
      </c>
      <c r="I41" s="8" t="s">
        <v>68</v>
      </c>
      <c r="J41" s="34">
        <v>7.43</v>
      </c>
      <c r="K41" s="10">
        <v>10</v>
      </c>
      <c r="L41" s="66">
        <f>J41/100/100*10^-5*K41</f>
        <v>7.4299999999999997E-8</v>
      </c>
      <c r="N41" s="8" t="s">
        <v>112</v>
      </c>
      <c r="O41" s="102">
        <f>(C12+C13)*O31/O34</f>
        <v>1.4086939520333686E-2</v>
      </c>
      <c r="Q41" s="8" t="s">
        <v>198</v>
      </c>
      <c r="R41" s="34">
        <v>14.1</v>
      </c>
      <c r="S41" s="10">
        <v>0</v>
      </c>
      <c r="T41" s="10">
        <v>0</v>
      </c>
      <c r="U41" s="34">
        <f t="shared" si="3"/>
        <v>15.280052355931245</v>
      </c>
      <c r="V41" s="10">
        <f t="shared" si="4"/>
        <v>14.1</v>
      </c>
      <c r="W41" s="73">
        <f t="shared" si="2"/>
        <v>0.24682220790606585</v>
      </c>
    </row>
    <row r="42" spans="1:23" x14ac:dyDescent="0.25">
      <c r="A42" s="8" t="s">
        <v>53</v>
      </c>
      <c r="B42" s="123">
        <v>0.25</v>
      </c>
      <c r="C42" s="22"/>
      <c r="F42" s="22" t="s">
        <v>139</v>
      </c>
      <c r="G42" s="65">
        <v>200</v>
      </c>
      <c r="I42" s="8" t="s">
        <v>69</v>
      </c>
      <c r="J42" s="34">
        <v>2.95</v>
      </c>
      <c r="K42" s="10">
        <v>7.1</v>
      </c>
      <c r="L42" s="66">
        <f>J42/100/100*10^-5*K42</f>
        <v>2.0945E-8</v>
      </c>
      <c r="N42" s="8" t="s">
        <v>113</v>
      </c>
      <c r="O42" s="104">
        <f>O41*8.3145*L10/(O40*O32*O33)</f>
        <v>2391.7687003008828</v>
      </c>
      <c r="Q42" s="8" t="s">
        <v>199</v>
      </c>
      <c r="R42" s="34">
        <v>13.9</v>
      </c>
      <c r="S42" s="10">
        <v>4.3</v>
      </c>
      <c r="T42" s="10">
        <v>0.6</v>
      </c>
      <c r="U42" s="34">
        <f t="shared" si="3"/>
        <v>15.36522046701576</v>
      </c>
      <c r="V42" s="10">
        <f t="shared" si="4"/>
        <v>14.562280041257276</v>
      </c>
      <c r="W42" s="73">
        <f t="shared" si="2"/>
        <v>0.23485646621268746</v>
      </c>
    </row>
    <row r="43" spans="1:23" x14ac:dyDescent="0.25">
      <c r="A43" s="8" t="s">
        <v>54</v>
      </c>
      <c r="B43" s="123">
        <v>2</v>
      </c>
      <c r="C43" s="22" t="s">
        <v>65</v>
      </c>
      <c r="F43" s="22" t="s">
        <v>141</v>
      </c>
      <c r="G43" s="65">
        <v>2</v>
      </c>
      <c r="I43" s="8" t="s">
        <v>70</v>
      </c>
      <c r="J43" s="34">
        <v>2.38</v>
      </c>
      <c r="K43" s="10">
        <v>5</v>
      </c>
      <c r="L43" s="66">
        <f t="shared" ref="L43:L46" si="6">J43/100/100*10^-5*K43</f>
        <v>1.1900000000000001E-8</v>
      </c>
      <c r="N43" s="8" t="s">
        <v>114</v>
      </c>
      <c r="O43" s="98">
        <f>(1-(LN(O42)-LN(10^5))/10.5)*L10</f>
        <v>403.94998489796143</v>
      </c>
      <c r="Q43" s="8" t="s">
        <v>200</v>
      </c>
      <c r="R43" s="34">
        <v>14.1</v>
      </c>
      <c r="S43" s="10">
        <v>3.2</v>
      </c>
      <c r="T43" s="10">
        <v>1</v>
      </c>
      <c r="U43" s="34">
        <f t="shared" si="3"/>
        <v>15.398701243936125</v>
      </c>
      <c r="V43" s="10">
        <f t="shared" si="4"/>
        <v>14.493101807411691</v>
      </c>
      <c r="W43" s="73">
        <f t="shared" si="2"/>
        <v>0.23436573483541684</v>
      </c>
    </row>
    <row r="44" spans="1:23" x14ac:dyDescent="0.25">
      <c r="A44" s="8" t="s">
        <v>62</v>
      </c>
      <c r="B44" s="124">
        <v>9.9999999999999995E-8</v>
      </c>
      <c r="C44" s="22" t="s">
        <v>64</v>
      </c>
      <c r="F44" s="22" t="s">
        <v>140</v>
      </c>
      <c r="G44" s="65">
        <v>3.5</v>
      </c>
      <c r="I44" s="8" t="s">
        <v>71</v>
      </c>
      <c r="J44" s="34">
        <v>1.23</v>
      </c>
      <c r="K44" s="10">
        <v>4.3</v>
      </c>
      <c r="L44" s="66">
        <f t="shared" si="6"/>
        <v>5.2890000000000002E-9</v>
      </c>
      <c r="N44" s="8" t="s">
        <v>300</v>
      </c>
      <c r="O44" s="105">
        <f>6.022*10^23*6.626*10^-34/O45*EXP(3.8*O43/L10)*1000</f>
        <v>0.55300948694303187</v>
      </c>
      <c r="Q44" s="8" t="s">
        <v>201</v>
      </c>
      <c r="R44" s="34">
        <v>14.2</v>
      </c>
      <c r="S44" s="10">
        <v>3.6</v>
      </c>
      <c r="T44" s="10">
        <v>3.8</v>
      </c>
      <c r="U44" s="34">
        <f t="shared" si="3"/>
        <v>15.425952158618928</v>
      </c>
      <c r="V44" s="10">
        <f t="shared" si="4"/>
        <v>15.134067529914091</v>
      </c>
      <c r="W44" s="73">
        <f t="shared" si="2"/>
        <v>0.2231912608403113</v>
      </c>
    </row>
    <row r="45" spans="1:23" ht="15.75" thickBot="1" x14ac:dyDescent="0.3">
      <c r="A45" s="12" t="s">
        <v>63</v>
      </c>
      <c r="B45" s="125">
        <v>1</v>
      </c>
      <c r="C45" s="23"/>
      <c r="D45" s="2"/>
      <c r="E45" s="2"/>
      <c r="F45" s="23" t="s">
        <v>132</v>
      </c>
      <c r="G45" s="52">
        <v>0.5</v>
      </c>
      <c r="I45" s="8" t="s">
        <v>72</v>
      </c>
      <c r="J45" s="34">
        <v>7.3</v>
      </c>
      <c r="K45" s="10">
        <v>20.6</v>
      </c>
      <c r="L45" s="66">
        <f t="shared" si="6"/>
        <v>1.5038E-7</v>
      </c>
      <c r="N45" s="13" t="s">
        <v>115</v>
      </c>
      <c r="O45" s="103">
        <f>O34/10^3/B12</f>
        <v>1.2454545454545455E-4</v>
      </c>
      <c r="Q45" s="8" t="s">
        <v>202</v>
      </c>
      <c r="R45" s="34">
        <v>14</v>
      </c>
      <c r="S45" s="10">
        <v>4.7</v>
      </c>
      <c r="T45" s="10">
        <v>6</v>
      </c>
      <c r="U45" s="34">
        <f t="shared" si="3"/>
        <v>15.49483785007123</v>
      </c>
      <c r="V45" s="10">
        <f t="shared" si="4"/>
        <v>15.940200751558933</v>
      </c>
      <c r="W45" s="73">
        <f t="shared" si="2"/>
        <v>0.20893689120927356</v>
      </c>
    </row>
    <row r="46" spans="1:23" x14ac:dyDescent="0.25">
      <c r="A46" s="8" t="s">
        <v>55</v>
      </c>
      <c r="B46" s="85">
        <f>B20*B42</f>
        <v>400</v>
      </c>
      <c r="C46" s="45" t="s">
        <v>66</v>
      </c>
      <c r="D46" s="89">
        <f>(3-B49)/2</f>
        <v>1.2244982969561919</v>
      </c>
      <c r="E46" s="128"/>
      <c r="F46" s="22" t="s">
        <v>138</v>
      </c>
      <c r="G46" s="92">
        <f>B23*0.25*10^6*G42/10^6/(G49*(D12+D13))*G43</f>
        <v>2.0253909657277737E-4</v>
      </c>
      <c r="I46" s="8" t="s">
        <v>73</v>
      </c>
      <c r="J46" s="34">
        <v>2.25</v>
      </c>
      <c r="K46" s="10">
        <v>16.100000000000001</v>
      </c>
      <c r="L46" s="66">
        <f t="shared" si="6"/>
        <v>3.6225000000000008E-8</v>
      </c>
      <c r="Q46" s="8" t="s">
        <v>203</v>
      </c>
      <c r="R46" s="34">
        <v>13.9</v>
      </c>
      <c r="S46" s="10">
        <v>4.3</v>
      </c>
      <c r="T46" s="10">
        <v>7.6</v>
      </c>
      <c r="U46" s="34">
        <f t="shared" si="3"/>
        <v>15.501290268877622</v>
      </c>
      <c r="V46" s="10">
        <f t="shared" si="4"/>
        <v>16.415236824365344</v>
      </c>
      <c r="W46" s="73">
        <f t="shared" si="2"/>
        <v>0.20262272063551226</v>
      </c>
    </row>
    <row r="47" spans="1:23" ht="15.75" thickBot="1" x14ac:dyDescent="0.3">
      <c r="A47" s="8" t="s">
        <v>61</v>
      </c>
      <c r="B47" s="86">
        <f>E10/1000/10*B10</f>
        <v>4.1999999999999993</v>
      </c>
      <c r="C47" s="22" t="s">
        <v>67</v>
      </c>
      <c r="D47" s="90">
        <f>B45^2*B49^3*B44^2/180/(1-B49)^2</f>
        <v>4.6100353168834515E-17</v>
      </c>
      <c r="E47" s="129"/>
      <c r="F47" s="22" t="s">
        <v>133</v>
      </c>
      <c r="G47" s="92">
        <f>G46*O44/1000*G41*G42*10^-6/D47</f>
        <v>485922.70636805828</v>
      </c>
      <c r="I47" s="8" t="s">
        <v>74</v>
      </c>
      <c r="J47" s="34">
        <v>1.78</v>
      </c>
      <c r="K47" s="10">
        <v>5.9</v>
      </c>
      <c r="L47" s="66">
        <f>J47/100/100*10^-5*K47</f>
        <v>1.0502E-8</v>
      </c>
      <c r="Q47" s="8" t="s">
        <v>204</v>
      </c>
      <c r="R47" s="34">
        <v>14.4</v>
      </c>
      <c r="S47" s="10">
        <v>2.2000000000000002</v>
      </c>
      <c r="T47" s="10">
        <v>5.0999999999999996</v>
      </c>
      <c r="U47" s="34">
        <f t="shared" si="3"/>
        <v>15.610573339887297</v>
      </c>
      <c r="V47" s="10">
        <f t="shared" si="4"/>
        <v>15.434053258946594</v>
      </c>
      <c r="W47" s="73">
        <f t="shared" si="2"/>
        <v>0.21073663232396964</v>
      </c>
    </row>
    <row r="48" spans="1:23" ht="15.75" thickBot="1" x14ac:dyDescent="0.3">
      <c r="A48" s="8" t="s">
        <v>56</v>
      </c>
      <c r="B48" s="86">
        <f>B46*B47/1000</f>
        <v>1.6799999999999997</v>
      </c>
      <c r="C48" s="22" t="s">
        <v>67</v>
      </c>
      <c r="D48" s="91">
        <f>B49^3*(B44/2)^2/9/5/(1-B49)^3</f>
        <v>1.0267417123843579E-16</v>
      </c>
      <c r="E48" s="130"/>
      <c r="F48" s="22" t="s">
        <v>266</v>
      </c>
      <c r="G48" s="92">
        <f>G47</f>
        <v>485922.70636805828</v>
      </c>
      <c r="I48" s="8" t="s">
        <v>75</v>
      </c>
      <c r="J48" s="34"/>
      <c r="K48" s="10">
        <v>1.5719215707564993</v>
      </c>
      <c r="L48" s="66"/>
      <c r="N48" s="16" t="s">
        <v>157</v>
      </c>
      <c r="O48" s="18"/>
      <c r="Q48" s="8" t="s">
        <v>205</v>
      </c>
      <c r="R48" s="34">
        <v>14.5</v>
      </c>
      <c r="S48" s="10">
        <v>1</v>
      </c>
      <c r="T48" s="10">
        <v>2.5</v>
      </c>
      <c r="U48" s="34">
        <f t="shared" si="3"/>
        <v>15.685981002156034</v>
      </c>
      <c r="V48" s="10">
        <f t="shared" si="4"/>
        <v>14.747881203752625</v>
      </c>
      <c r="W48" s="73">
        <f t="shared" si="2"/>
        <v>0.21716341286701524</v>
      </c>
    </row>
    <row r="49" spans="1:23" x14ac:dyDescent="0.25">
      <c r="A49" s="8" t="s">
        <v>60</v>
      </c>
      <c r="B49" s="87">
        <f>H10*(1-G20*B41)</f>
        <v>0.55100340608761611</v>
      </c>
      <c r="C49" s="38"/>
      <c r="E49" s="135"/>
      <c r="F49" t="s">
        <v>134</v>
      </c>
      <c r="G49" s="92">
        <f>G44*G45*B21*B43*96485</f>
        <v>878013.5</v>
      </c>
      <c r="I49" s="8" t="s">
        <v>76</v>
      </c>
      <c r="J49" s="34"/>
      <c r="K49" s="10">
        <v>1.682000112126002</v>
      </c>
      <c r="L49" s="66"/>
      <c r="N49" s="8" t="s">
        <v>149</v>
      </c>
      <c r="O49" s="113">
        <v>3E-11</v>
      </c>
      <c r="Q49" s="8" t="s">
        <v>206</v>
      </c>
      <c r="R49" s="34">
        <v>14.6</v>
      </c>
      <c r="S49" s="10">
        <v>0</v>
      </c>
      <c r="T49" s="10">
        <v>2.9</v>
      </c>
      <c r="U49" s="34">
        <f t="shared" si="3"/>
        <v>15.825612152457166</v>
      </c>
      <c r="V49" s="10">
        <f t="shared" si="4"/>
        <v>14.885227576359053</v>
      </c>
      <c r="W49" s="73">
        <f t="shared" si="2"/>
        <v>0.20909690319496818</v>
      </c>
    </row>
    <row r="50" spans="1:23" x14ac:dyDescent="0.25">
      <c r="A50" s="8" t="s">
        <v>57</v>
      </c>
      <c r="B50" s="88">
        <f>B48/1000/96485/B43</f>
        <v>8.7060164792454766E-9</v>
      </c>
      <c r="C50" s="22" t="s">
        <v>83</v>
      </c>
      <c r="E50" s="29"/>
      <c r="F50" s="22" t="s">
        <v>135</v>
      </c>
      <c r="G50" s="62">
        <f>G48/G49</f>
        <v>0.55343420843535807</v>
      </c>
      <c r="I50" s="8" t="s">
        <v>77</v>
      </c>
      <c r="J50" s="34"/>
      <c r="K50" s="10">
        <v>1.8317069283885259</v>
      </c>
      <c r="L50" s="66"/>
      <c r="N50" s="8" t="s">
        <v>150</v>
      </c>
      <c r="O50" s="114">
        <v>0.4</v>
      </c>
      <c r="Q50" s="8" t="s">
        <v>207</v>
      </c>
      <c r="R50" s="34">
        <v>14.3</v>
      </c>
      <c r="S50" s="10">
        <v>2.4</v>
      </c>
      <c r="T50" s="10">
        <v>0</v>
      </c>
      <c r="U50" s="34">
        <f t="shared" si="3"/>
        <v>15.85055204085965</v>
      </c>
      <c r="V50" s="10">
        <f t="shared" si="4"/>
        <v>14.5</v>
      </c>
      <c r="W50" s="73">
        <f t="shared" si="2"/>
        <v>0.21355902101991281</v>
      </c>
    </row>
    <row r="51" spans="1:23" x14ac:dyDescent="0.25">
      <c r="A51" s="8" t="s">
        <v>58</v>
      </c>
      <c r="B51" s="88">
        <f>B50*100^2</f>
        <v>8.7060164792454771E-5</v>
      </c>
      <c r="C51" s="22"/>
      <c r="F51" s="22" t="s">
        <v>267</v>
      </c>
      <c r="G51" s="142">
        <f>G49/(G42/10^6/G46)</f>
        <v>889160.30534351128</v>
      </c>
      <c r="I51" s="8" t="s">
        <v>78</v>
      </c>
      <c r="J51" s="34"/>
      <c r="K51" s="10">
        <v>3.1614557081321188</v>
      </c>
      <c r="L51" s="66"/>
      <c r="N51" s="8" t="s">
        <v>278</v>
      </c>
      <c r="O51" s="114">
        <v>0.2</v>
      </c>
      <c r="Q51" s="8" t="s">
        <v>208</v>
      </c>
      <c r="R51" s="34">
        <v>14.5</v>
      </c>
      <c r="S51" s="10">
        <v>2.9</v>
      </c>
      <c r="T51" s="10">
        <v>4.5999999999999996</v>
      </c>
      <c r="U51" s="34">
        <f t="shared" si="3"/>
        <v>15.887416404186048</v>
      </c>
      <c r="V51" s="10">
        <f t="shared" si="4"/>
        <v>15.48612282012512</v>
      </c>
      <c r="W51" s="73">
        <f t="shared" si="2"/>
        <v>0.1984567990929112</v>
      </c>
    </row>
    <row r="52" spans="1:23" x14ac:dyDescent="0.25">
      <c r="A52" s="8" t="s">
        <v>59</v>
      </c>
      <c r="B52" s="126">
        <f>B51/2*B25*10^-6</f>
        <v>4.3530082396227383E-9</v>
      </c>
      <c r="C52" s="22"/>
      <c r="F52" s="22" t="s">
        <v>59</v>
      </c>
      <c r="G52" s="101">
        <f>G44*1.38*10^-23*L10/6/PI()/(O44/1000)/(1.45*10^-10/2)</f>
        <v>1.9045469512457081E-8</v>
      </c>
      <c r="H52" s="27" t="str">
        <f>IF(G53&gt;1,"ERROR DARCY FORMULA MAY NOT BE VALID","")</f>
        <v/>
      </c>
      <c r="I52" s="8" t="s">
        <v>79</v>
      </c>
      <c r="J52" s="34"/>
      <c r="K52" s="10">
        <v>3.1746651330964593</v>
      </c>
      <c r="L52" s="66"/>
      <c r="N52" s="8" t="s">
        <v>279</v>
      </c>
      <c r="O52" s="114">
        <v>5</v>
      </c>
      <c r="Q52" s="8" t="s">
        <v>209</v>
      </c>
      <c r="R52" s="34">
        <v>14.5</v>
      </c>
      <c r="S52" s="10">
        <v>2</v>
      </c>
      <c r="T52" s="10">
        <v>1.5</v>
      </c>
      <c r="U52" s="34">
        <f t="shared" si="3"/>
        <v>15.894967757123636</v>
      </c>
      <c r="V52" s="10">
        <f t="shared" si="4"/>
        <v>14.713938969562161</v>
      </c>
      <c r="W52" s="73">
        <f t="shared" si="2"/>
        <v>0.20854914613407269</v>
      </c>
    </row>
    <row r="53" spans="1:23" x14ac:dyDescent="0.25">
      <c r="A53" s="8" t="s">
        <v>59</v>
      </c>
      <c r="B53" s="126">
        <f>B52/B49</f>
        <v>7.9001476062210735E-9</v>
      </c>
      <c r="C53" s="22" t="s">
        <v>82</v>
      </c>
      <c r="F53" s="23" t="s">
        <v>136</v>
      </c>
      <c r="G53" s="93">
        <f>B12*G46*G42/10^6/(O44/1000)</f>
        <v>8.0574750159035188E-2</v>
      </c>
      <c r="I53" s="8" t="s">
        <v>71</v>
      </c>
      <c r="J53" s="34"/>
      <c r="K53" s="10">
        <v>4.3723196631966488</v>
      </c>
      <c r="L53" s="66"/>
      <c r="N53" s="12" t="s">
        <v>280</v>
      </c>
      <c r="O53" s="115">
        <v>10</v>
      </c>
      <c r="Q53" s="8" t="s">
        <v>210</v>
      </c>
      <c r="R53" s="34">
        <v>14.5</v>
      </c>
      <c r="S53" s="10">
        <v>1.8</v>
      </c>
      <c r="T53" s="10">
        <v>1.3</v>
      </c>
      <c r="U53" s="34">
        <f t="shared" si="3"/>
        <v>15.901257811883939</v>
      </c>
      <c r="V53" s="10">
        <f t="shared" si="4"/>
        <v>14.669014963520898</v>
      </c>
      <c r="W53" s="73">
        <f t="shared" si="2"/>
        <v>0.20891865870911142</v>
      </c>
    </row>
    <row r="54" spans="1:23" ht="15.75" thickBot="1" x14ac:dyDescent="0.3">
      <c r="A54" s="13" t="s">
        <v>59</v>
      </c>
      <c r="B54" s="127">
        <f>B52/B49*D46</f>
        <v>9.6737172895202407E-9</v>
      </c>
      <c r="C54" s="24" t="s">
        <v>281</v>
      </c>
      <c r="D54" s="14"/>
      <c r="E54" s="14"/>
      <c r="F54" s="24" t="s">
        <v>137</v>
      </c>
      <c r="G54" s="100"/>
      <c r="I54" s="8" t="s">
        <v>70</v>
      </c>
      <c r="J54" s="34"/>
      <c r="K54" s="10">
        <v>4.6409113041382355</v>
      </c>
      <c r="L54" s="66"/>
      <c r="N54" s="8" t="s">
        <v>265</v>
      </c>
      <c r="O54" s="98">
        <f>PI()*O49*(O51*1000*96485)^2/4/(B48*10*(1-O50))^2</f>
        <v>86.351456161770614</v>
      </c>
      <c r="Q54" s="8" t="s">
        <v>211</v>
      </c>
      <c r="R54" s="34">
        <v>14.5</v>
      </c>
      <c r="S54" s="10">
        <v>2.9</v>
      </c>
      <c r="T54" s="10">
        <v>5.0999999999999996</v>
      </c>
      <c r="U54" s="34">
        <f t="shared" si="3"/>
        <v>15.920427129948491</v>
      </c>
      <c r="V54" s="10">
        <f t="shared" si="4"/>
        <v>15.641930827106991</v>
      </c>
      <c r="W54" s="73">
        <f t="shared" si="2"/>
        <v>0.19515679048213358</v>
      </c>
    </row>
    <row r="55" spans="1:23" x14ac:dyDescent="0.25">
      <c r="I55" s="8" t="s">
        <v>145</v>
      </c>
      <c r="J55" s="34"/>
      <c r="K55" s="10">
        <v>7.1859271806011398</v>
      </c>
      <c r="L55" s="66"/>
      <c r="N55" s="8" t="s">
        <v>151</v>
      </c>
      <c r="O55" s="53">
        <f>O54*B48/3.6</f>
        <v>40.297346208826276</v>
      </c>
      <c r="Q55" s="8" t="s">
        <v>212</v>
      </c>
      <c r="R55" s="34">
        <v>14.5</v>
      </c>
      <c r="S55" s="10">
        <v>3.7</v>
      </c>
      <c r="T55" s="10">
        <v>3.5</v>
      </c>
      <c r="U55" s="34">
        <f t="shared" si="3"/>
        <v>16.035585427417359</v>
      </c>
      <c r="V55" s="10">
        <f t="shared" si="4"/>
        <v>15.368474224853943</v>
      </c>
      <c r="W55" s="73">
        <f t="shared" si="2"/>
        <v>0.19400177452607259</v>
      </c>
    </row>
    <row r="56" spans="1:23" ht="15.75" thickBot="1" x14ac:dyDescent="0.3">
      <c r="G56" s="44"/>
      <c r="I56" s="8" t="s">
        <v>146</v>
      </c>
      <c r="J56" s="34"/>
      <c r="K56" s="10">
        <v>7.806770153925136</v>
      </c>
      <c r="L56" s="66"/>
      <c r="N56" s="8" t="s">
        <v>153</v>
      </c>
      <c r="O56" s="105">
        <f>2*O51*1000*96485*O49/(1-O50)/(O52*B26*10^-6)/10</f>
        <v>2.5729333333333333</v>
      </c>
      <c r="Q56" s="8" t="s">
        <v>213</v>
      </c>
      <c r="R56" s="34">
        <v>14.7</v>
      </c>
      <c r="S56" s="10">
        <v>1.3</v>
      </c>
      <c r="T56" s="10">
        <v>4.0999999999999996</v>
      </c>
      <c r="U56" s="34">
        <f t="shared" si="3"/>
        <v>16.055528642807122</v>
      </c>
      <c r="V56" s="10">
        <f t="shared" si="4"/>
        <v>15.316331153380041</v>
      </c>
      <c r="W56" s="73">
        <f t="shared" si="2"/>
        <v>0.19386917224775096</v>
      </c>
    </row>
    <row r="57" spans="1:23" ht="15.75" thickBot="1" x14ac:dyDescent="0.3">
      <c r="A57" s="16" t="s">
        <v>282</v>
      </c>
      <c r="B57" s="18"/>
      <c r="G57" s="44"/>
      <c r="I57" s="8" t="s">
        <v>147</v>
      </c>
      <c r="J57" s="34"/>
      <c r="K57" s="10">
        <v>7.8375921455085953</v>
      </c>
      <c r="L57" s="66"/>
      <c r="N57" s="8" t="s">
        <v>152</v>
      </c>
      <c r="O57" s="54">
        <f>B48*10/96485/(O51*1000)/O49/100</f>
        <v>290.20054930818259</v>
      </c>
      <c r="Q57" s="8" t="s">
        <v>214</v>
      </c>
      <c r="R57" s="34">
        <v>14.5</v>
      </c>
      <c r="S57" s="10">
        <v>0</v>
      </c>
      <c r="T57" s="10">
        <v>0</v>
      </c>
      <c r="U57" s="34">
        <f t="shared" si="3"/>
        <v>16.056151469141042</v>
      </c>
      <c r="V57" s="10">
        <f t="shared" si="4"/>
        <v>14.5</v>
      </c>
      <c r="W57" s="73">
        <f t="shared" si="2"/>
        <v>0.2047576479452391</v>
      </c>
    </row>
    <row r="58" spans="1:23" x14ac:dyDescent="0.25">
      <c r="A58" s="8" t="s">
        <v>283</v>
      </c>
      <c r="B58" s="140">
        <v>5.0000000000000001E-3</v>
      </c>
      <c r="I58" s="8" t="s">
        <v>80</v>
      </c>
      <c r="J58" s="34"/>
      <c r="K58" s="10">
        <v>8.7094141931550588</v>
      </c>
      <c r="L58" s="66"/>
      <c r="N58" s="72" t="s">
        <v>154</v>
      </c>
      <c r="O58" s="92">
        <f>(1-O50)*O49/O50</f>
        <v>4.4999999999999993E-11</v>
      </c>
      <c r="Q58" s="8" t="s">
        <v>215</v>
      </c>
      <c r="R58" s="34">
        <v>14.7</v>
      </c>
      <c r="S58" s="10">
        <v>1.1000000000000001</v>
      </c>
      <c r="T58" s="10">
        <v>3</v>
      </c>
      <c r="U58" s="34">
        <f t="shared" si="3"/>
        <v>16.05770842928716</v>
      </c>
      <c r="V58" s="10">
        <f t="shared" si="4"/>
        <v>15.043270920913443</v>
      </c>
      <c r="W58" s="73">
        <f t="shared" si="2"/>
        <v>0.19730016282429746</v>
      </c>
    </row>
    <row r="59" spans="1:23" x14ac:dyDescent="0.25">
      <c r="A59" s="8" t="s">
        <v>269</v>
      </c>
      <c r="B59" s="141">
        <v>1.5E-9</v>
      </c>
      <c r="C59" s="3"/>
      <c r="G59" s="44"/>
      <c r="I59" s="8" t="s">
        <v>68</v>
      </c>
      <c r="J59" s="34"/>
      <c r="K59" s="10">
        <v>9.4359325661937756</v>
      </c>
      <c r="L59" s="66"/>
      <c r="N59" s="8" t="s">
        <v>155</v>
      </c>
      <c r="O59" s="136">
        <f>96485^2/8.3145/L10*(O58+O49)*O51*1000</f>
        <v>5.6358374641454781E-2</v>
      </c>
      <c r="Q59" s="8" t="s">
        <v>216</v>
      </c>
      <c r="R59" s="34">
        <v>14.7</v>
      </c>
      <c r="S59" s="10">
        <v>1.4</v>
      </c>
      <c r="T59" s="10">
        <v>4.0999999999999996</v>
      </c>
      <c r="U59" s="34">
        <f t="shared" si="3"/>
        <v>16.063934760823699</v>
      </c>
      <c r="V59" s="10">
        <f t="shared" si="4"/>
        <v>15.325142739955147</v>
      </c>
      <c r="W59" s="73">
        <f t="shared" si="2"/>
        <v>0.19342458400019949</v>
      </c>
    </row>
    <row r="60" spans="1:23" x14ac:dyDescent="0.25">
      <c r="A60" s="8" t="s">
        <v>270</v>
      </c>
      <c r="B60" s="139">
        <v>298</v>
      </c>
      <c r="C60" s="3"/>
      <c r="I60" s="8" t="s">
        <v>148</v>
      </c>
      <c r="J60" s="34">
        <f>J61*4.78/1.19</f>
        <v>2.8117647058823532</v>
      </c>
      <c r="K60" s="67">
        <v>5.3630265355221747</v>
      </c>
      <c r="L60" s="66">
        <f t="shared" ref="L60:L61" si="7">J60/100/100*10^-5*K60</f>
        <v>1.5079568729291766E-8</v>
      </c>
      <c r="N60" s="8" t="s">
        <v>284</v>
      </c>
      <c r="O60" s="137">
        <f>1/O59/100*1000</f>
        <v>177.4359190380986</v>
      </c>
      <c r="Q60" s="8" t="s">
        <v>217</v>
      </c>
      <c r="R60" s="34">
        <v>14.5</v>
      </c>
      <c r="S60" s="10">
        <v>3.9</v>
      </c>
      <c r="T60" s="10">
        <v>4.7</v>
      </c>
      <c r="U60" s="34">
        <f t="shared" si="3"/>
        <v>16.105278637763458</v>
      </c>
      <c r="V60" s="10">
        <f t="shared" si="4"/>
        <v>15.733721746617995</v>
      </c>
      <c r="W60" s="73">
        <f t="shared" si="2"/>
        <v>0.18681393300665311</v>
      </c>
    </row>
    <row r="61" spans="1:23" ht="15.75" thickBot="1" x14ac:dyDescent="0.3">
      <c r="A61" s="13" t="s">
        <v>271</v>
      </c>
      <c r="B61" s="144">
        <f>1.381*10^-23*B60/6/PI()/B58/B59</f>
        <v>2.9110358653401078E-11</v>
      </c>
      <c r="C61" s="8"/>
      <c r="I61" s="13" t="s">
        <v>81</v>
      </c>
      <c r="J61" s="71">
        <v>0.7</v>
      </c>
      <c r="K61" s="68">
        <v>3.465272482311947</v>
      </c>
      <c r="L61" s="69">
        <f t="shared" si="7"/>
        <v>2.4256907376183627E-9</v>
      </c>
      <c r="N61" s="13" t="s">
        <v>156</v>
      </c>
      <c r="O61" s="138">
        <f>O59*(O52*B26*10^-6)*B48*10</f>
        <v>7.1011552048233002E-5</v>
      </c>
      <c r="Q61" s="8" t="s">
        <v>218</v>
      </c>
      <c r="R61" s="34">
        <v>14.7</v>
      </c>
      <c r="S61" s="10">
        <v>2</v>
      </c>
      <c r="T61" s="10">
        <v>2.9</v>
      </c>
      <c r="U61" s="34">
        <f t="shared" si="3"/>
        <v>16.149612998459126</v>
      </c>
      <c r="V61" s="10">
        <f t="shared" si="4"/>
        <v>15.116216457830973</v>
      </c>
      <c r="W61" s="73">
        <f t="shared" si="2"/>
        <v>0.19268872463146544</v>
      </c>
    </row>
    <row r="62" spans="1:23" x14ac:dyDescent="0.25">
      <c r="Q62" s="8" t="s">
        <v>219</v>
      </c>
      <c r="R62" s="34">
        <v>14.6</v>
      </c>
      <c r="S62" s="10">
        <v>3.4</v>
      </c>
      <c r="T62" s="10">
        <v>1.8</v>
      </c>
      <c r="U62" s="34">
        <f t="shared" si="3"/>
        <v>16.284962388657824</v>
      </c>
      <c r="V62" s="10">
        <f t="shared" si="4"/>
        <v>15.098344280085813</v>
      </c>
      <c r="W62" s="73">
        <f t="shared" si="2"/>
        <v>0.18764522589904159</v>
      </c>
    </row>
    <row r="63" spans="1:23" x14ac:dyDescent="0.25">
      <c r="I63" t="s">
        <v>273</v>
      </c>
      <c r="Q63" s="8" t="s">
        <v>220</v>
      </c>
      <c r="R63" s="34">
        <v>14.8</v>
      </c>
      <c r="S63" s="10">
        <v>1.7</v>
      </c>
      <c r="T63" s="10">
        <v>3.5</v>
      </c>
      <c r="U63" s="34">
        <f t="shared" si="3"/>
        <v>16.291715686200764</v>
      </c>
      <c r="V63" s="10">
        <f t="shared" si="4"/>
        <v>15.302940893828218</v>
      </c>
      <c r="W63" s="73">
        <f t="shared" si="2"/>
        <v>0.18488069908616195</v>
      </c>
    </row>
    <row r="64" spans="1:23" x14ac:dyDescent="0.25">
      <c r="I64" s="143" t="s">
        <v>285</v>
      </c>
      <c r="Q64" s="8" t="s">
        <v>221</v>
      </c>
      <c r="R64" s="34">
        <v>14.2</v>
      </c>
      <c r="S64" s="10">
        <v>5.8</v>
      </c>
      <c r="T64" s="10">
        <v>1</v>
      </c>
      <c r="U64" s="34">
        <f t="shared" si="3"/>
        <v>16.324215141929486</v>
      </c>
      <c r="V64" s="10">
        <f t="shared" si="4"/>
        <v>15.371402018033358</v>
      </c>
      <c r="W64" s="73">
        <f t="shared" si="2"/>
        <v>0.18283687624465964</v>
      </c>
    </row>
    <row r="65" spans="9:23" x14ac:dyDescent="0.25">
      <c r="I65" s="143" t="s">
        <v>275</v>
      </c>
      <c r="Q65" s="8" t="s">
        <v>222</v>
      </c>
      <c r="R65" s="34">
        <v>14.7</v>
      </c>
      <c r="S65" s="10">
        <v>3.5</v>
      </c>
      <c r="T65" s="10">
        <v>5.2</v>
      </c>
      <c r="U65" s="34">
        <f t="shared" si="3"/>
        <v>16.438065579623409</v>
      </c>
      <c r="V65" s="10">
        <f t="shared" si="4"/>
        <v>15.980613254815973</v>
      </c>
      <c r="W65" s="73">
        <f t="shared" si="2"/>
        <v>0.1718155745207188</v>
      </c>
    </row>
    <row r="66" spans="9:23" x14ac:dyDescent="0.25">
      <c r="I66" s="143" t="s">
        <v>276</v>
      </c>
      <c r="Q66" s="8" t="s">
        <v>223</v>
      </c>
      <c r="R66" s="34">
        <v>14.9</v>
      </c>
      <c r="S66" s="10">
        <v>1.7</v>
      </c>
      <c r="T66" s="10">
        <v>3.5</v>
      </c>
      <c r="U66" s="34">
        <f t="shared" si="3"/>
        <v>16.490603384958355</v>
      </c>
      <c r="V66" s="10">
        <f t="shared" si="4"/>
        <v>15.399675321252719</v>
      </c>
      <c r="W66" s="73">
        <f t="shared" si="2"/>
        <v>0.17638993272236017</v>
      </c>
    </row>
    <row r="67" spans="9:23" x14ac:dyDescent="0.25">
      <c r="Q67" s="8" t="s">
        <v>224</v>
      </c>
      <c r="R67" s="34">
        <v>14.7</v>
      </c>
      <c r="S67" s="10">
        <v>1.6</v>
      </c>
      <c r="T67" s="10">
        <v>0</v>
      </c>
      <c r="U67" s="34">
        <f t="shared" si="3"/>
        <v>16.522711641858304</v>
      </c>
      <c r="V67" s="10">
        <f t="shared" si="4"/>
        <v>14.786818454285559</v>
      </c>
      <c r="W67" s="73">
        <f t="shared" si="2"/>
        <v>0.18249719521172855</v>
      </c>
    </row>
    <row r="68" spans="9:23" x14ac:dyDescent="0.25">
      <c r="Q68" s="8" t="s">
        <v>225</v>
      </c>
      <c r="R68" s="34">
        <v>14.8</v>
      </c>
      <c r="S68" s="10">
        <v>2.8</v>
      </c>
      <c r="T68" s="10">
        <v>5.6</v>
      </c>
      <c r="U68" s="34">
        <f t="shared" si="3"/>
        <v>16.538440071542421</v>
      </c>
      <c r="V68" s="10">
        <f t="shared" si="4"/>
        <v>16.069847541280534</v>
      </c>
      <c r="W68" s="73">
        <f t="shared" si="2"/>
        <v>0.16738668986749433</v>
      </c>
    </row>
    <row r="69" spans="9:23" x14ac:dyDescent="0.25">
      <c r="Q69" s="8" t="s">
        <v>226</v>
      </c>
      <c r="R69" s="34">
        <v>14.8</v>
      </c>
      <c r="S69" s="10">
        <v>3.5</v>
      </c>
      <c r="T69" s="10">
        <v>5.0999999999999996</v>
      </c>
      <c r="U69" s="34">
        <f t="shared" si="3"/>
        <v>16.624680448056743</v>
      </c>
      <c r="V69" s="10">
        <f t="shared" si="4"/>
        <v>16.040573555830228</v>
      </c>
      <c r="W69" s="73">
        <f t="shared" si="2"/>
        <v>0.16475781170161774</v>
      </c>
    </row>
    <row r="70" spans="9:23" x14ac:dyDescent="0.25">
      <c r="Q70" s="8" t="s">
        <v>227</v>
      </c>
      <c r="R70" s="34">
        <v>14.7</v>
      </c>
      <c r="S70" s="10">
        <v>4.5999999999999996</v>
      </c>
      <c r="T70" s="10">
        <v>4.5999999999999996</v>
      </c>
      <c r="U70" s="34">
        <f t="shared" si="3"/>
        <v>16.66733332000053</v>
      </c>
      <c r="V70" s="10">
        <f t="shared" si="4"/>
        <v>16.075136080294932</v>
      </c>
      <c r="W70" s="73">
        <f t="shared" si="2"/>
        <v>0.16297440712547367</v>
      </c>
    </row>
    <row r="71" spans="9:23" x14ac:dyDescent="0.25">
      <c r="Q71" s="8" t="s">
        <v>228</v>
      </c>
      <c r="R71" s="34">
        <v>15</v>
      </c>
      <c r="S71" s="10">
        <v>1.1000000000000001</v>
      </c>
      <c r="T71" s="10">
        <v>2.6</v>
      </c>
      <c r="U71" s="34">
        <f t="shared" si="3"/>
        <v>16.679628293220446</v>
      </c>
      <c r="V71" s="10">
        <f t="shared" si="4"/>
        <v>15.263354808167174</v>
      </c>
      <c r="W71" s="73">
        <f t="shared" si="2"/>
        <v>0.17121075597788443</v>
      </c>
    </row>
    <row r="72" spans="9:23" x14ac:dyDescent="0.25">
      <c r="Q72" s="8" t="s">
        <v>229</v>
      </c>
      <c r="R72" s="34">
        <v>14.9</v>
      </c>
      <c r="S72" s="10">
        <v>2.2999999999999998</v>
      </c>
      <c r="T72" s="10">
        <v>6.1</v>
      </c>
      <c r="U72" s="34">
        <f t="shared" si="3"/>
        <v>16.719449751711331</v>
      </c>
      <c r="V72" s="10">
        <f t="shared" si="4"/>
        <v>16.26376340211576</v>
      </c>
      <c r="W72" s="73">
        <f t="shared" si="2"/>
        <v>0.15937487946318443</v>
      </c>
    </row>
    <row r="73" spans="9:23" x14ac:dyDescent="0.25">
      <c r="Q73" s="8" t="s">
        <v>230</v>
      </c>
      <c r="R73" s="34">
        <v>15</v>
      </c>
      <c r="S73" s="10">
        <v>2</v>
      </c>
      <c r="T73" s="10">
        <v>3.8</v>
      </c>
      <c r="U73" s="34">
        <f t="shared" si="3"/>
        <v>16.720047846821494</v>
      </c>
      <c r="V73" s="10">
        <f t="shared" si="4"/>
        <v>15.602563891873668</v>
      </c>
      <c r="W73" s="73">
        <f t="shared" ref="W73:W106" si="8">10^(-8.89*10^-2*U73-1.1)/V73*1000</f>
        <v>0.16610846950786395</v>
      </c>
    </row>
    <row r="74" spans="9:23" x14ac:dyDescent="0.25">
      <c r="Q74" s="8" t="s">
        <v>231</v>
      </c>
      <c r="R74" s="34">
        <v>15</v>
      </c>
      <c r="S74" s="10">
        <v>2.5</v>
      </c>
      <c r="T74" s="10">
        <v>4</v>
      </c>
      <c r="U74" s="34">
        <f t="shared" si="3"/>
        <v>16.788388844674763</v>
      </c>
      <c r="V74" s="10">
        <f t="shared" si="4"/>
        <v>15.724185193516387</v>
      </c>
      <c r="W74" s="73">
        <f t="shared" si="8"/>
        <v>0.16253394685495604</v>
      </c>
    </row>
    <row r="75" spans="9:23" x14ac:dyDescent="0.25">
      <c r="Q75" s="8" t="s">
        <v>232</v>
      </c>
      <c r="R75" s="34">
        <v>14.8</v>
      </c>
      <c r="S75" s="10">
        <v>4.3</v>
      </c>
      <c r="T75" s="10">
        <v>5</v>
      </c>
      <c r="U75" s="34">
        <f t="shared" si="3"/>
        <v>16.803868602199916</v>
      </c>
      <c r="V75" s="10">
        <f t="shared" si="4"/>
        <v>16.202777539668933</v>
      </c>
      <c r="W75" s="73">
        <f t="shared" si="8"/>
        <v>0.15723405396657703</v>
      </c>
    </row>
    <row r="76" spans="9:23" x14ac:dyDescent="0.25">
      <c r="Q76" s="8" t="s">
        <v>233</v>
      </c>
      <c r="R76" s="34">
        <v>14.9</v>
      </c>
      <c r="S76" s="10">
        <v>3.5</v>
      </c>
      <c r="T76" s="10">
        <v>5.2</v>
      </c>
      <c r="U76" s="34">
        <f t="shared" ref="U76:U106" si="9">(4*(R76-R$7)^2+(S76-S$7)^2+(T76-T$7)^2)^0.5</f>
        <v>16.827655808222367</v>
      </c>
      <c r="V76" s="10">
        <f t="shared" ref="V76:V106" si="10">SQRT(R76^2+S76^2+T76^2)</f>
        <v>16.16477652180815</v>
      </c>
      <c r="W76" s="73">
        <f t="shared" si="8"/>
        <v>0.15683814382128206</v>
      </c>
    </row>
    <row r="77" spans="9:23" x14ac:dyDescent="0.25">
      <c r="Q77" s="8" t="s">
        <v>234</v>
      </c>
      <c r="R77" s="34">
        <v>14.8</v>
      </c>
      <c r="S77" s="10">
        <v>4.2</v>
      </c>
      <c r="T77" s="10">
        <v>5.6</v>
      </c>
      <c r="U77" s="34">
        <f t="shared" si="9"/>
        <v>16.832112166926649</v>
      </c>
      <c r="V77" s="10">
        <f t="shared" si="10"/>
        <v>16.37192719260625</v>
      </c>
      <c r="W77" s="73">
        <f t="shared" si="8"/>
        <v>0.15471250704592793</v>
      </c>
    </row>
    <row r="78" spans="9:23" x14ac:dyDescent="0.25">
      <c r="Q78" s="8" t="s">
        <v>235</v>
      </c>
      <c r="R78" s="34">
        <v>14.9</v>
      </c>
      <c r="S78" s="10">
        <v>0</v>
      </c>
      <c r="T78" s="10">
        <v>0</v>
      </c>
      <c r="U78" s="34">
        <f t="shared" si="9"/>
        <v>16.834488409215172</v>
      </c>
      <c r="V78" s="10">
        <f t="shared" si="10"/>
        <v>14.9</v>
      </c>
      <c r="W78" s="73">
        <f t="shared" si="8"/>
        <v>0.16991343197119382</v>
      </c>
    </row>
    <row r="79" spans="9:23" x14ac:dyDescent="0.25">
      <c r="Q79" s="8" t="s">
        <v>236</v>
      </c>
      <c r="R79" s="34">
        <v>14.8</v>
      </c>
      <c r="S79" s="10">
        <v>4.2</v>
      </c>
      <c r="T79" s="10">
        <v>5.8</v>
      </c>
      <c r="U79" s="34">
        <f t="shared" si="9"/>
        <v>16.854672942540301</v>
      </c>
      <c r="V79" s="10">
        <f t="shared" si="10"/>
        <v>16.441411131651687</v>
      </c>
      <c r="W79" s="73">
        <f t="shared" si="8"/>
        <v>0.15334883678459488</v>
      </c>
    </row>
    <row r="80" spans="9:23" x14ac:dyDescent="0.25">
      <c r="Q80" s="8" t="s">
        <v>237</v>
      </c>
      <c r="R80" s="34">
        <v>15</v>
      </c>
      <c r="S80" s="10">
        <v>1.7</v>
      </c>
      <c r="T80" s="10">
        <v>6.2</v>
      </c>
      <c r="U80" s="34">
        <f t="shared" si="9"/>
        <v>16.85852899869974</v>
      </c>
      <c r="V80" s="10">
        <f t="shared" si="10"/>
        <v>16.319620093617374</v>
      </c>
      <c r="W80" s="73">
        <f t="shared" si="8"/>
        <v>0.15437135900360727</v>
      </c>
    </row>
    <row r="81" spans="17:23" x14ac:dyDescent="0.25">
      <c r="Q81" s="8" t="s">
        <v>238</v>
      </c>
      <c r="R81" s="34">
        <v>15</v>
      </c>
      <c r="S81" s="10">
        <v>3</v>
      </c>
      <c r="T81" s="10">
        <v>4.3</v>
      </c>
      <c r="U81" s="34">
        <f t="shared" si="9"/>
        <v>16.876314763596941</v>
      </c>
      <c r="V81" s="10">
        <f t="shared" si="10"/>
        <v>15.889933920567449</v>
      </c>
      <c r="W81" s="73">
        <f t="shared" si="8"/>
        <v>0.1579696028708186</v>
      </c>
    </row>
    <row r="82" spans="17:23" x14ac:dyDescent="0.25">
      <c r="Q82" s="8" t="s">
        <v>239</v>
      </c>
      <c r="R82" s="34">
        <v>15</v>
      </c>
      <c r="S82" s="10">
        <v>3.4</v>
      </c>
      <c r="T82" s="10">
        <v>4</v>
      </c>
      <c r="U82" s="34">
        <f t="shared" si="9"/>
        <v>16.945795938816214</v>
      </c>
      <c r="V82" s="10">
        <f t="shared" si="10"/>
        <v>15.892136420255145</v>
      </c>
      <c r="W82" s="73">
        <f t="shared" si="8"/>
        <v>0.15571715362725827</v>
      </c>
    </row>
    <row r="83" spans="17:23" x14ac:dyDescent="0.25">
      <c r="Q83" s="8" t="s">
        <v>240</v>
      </c>
      <c r="R83" s="34">
        <v>14.9</v>
      </c>
      <c r="S83" s="10">
        <v>2</v>
      </c>
      <c r="T83" s="10">
        <v>0</v>
      </c>
      <c r="U83" s="34">
        <f t="shared" si="9"/>
        <v>16.952875862224673</v>
      </c>
      <c r="V83" s="10">
        <f t="shared" si="10"/>
        <v>15.033628969746461</v>
      </c>
      <c r="W83" s="73">
        <f t="shared" si="8"/>
        <v>0.1643711176612288</v>
      </c>
    </row>
    <row r="84" spans="17:23" x14ac:dyDescent="0.25">
      <c r="Q84" s="8" t="s">
        <v>241</v>
      </c>
      <c r="R84" s="34">
        <v>15.1</v>
      </c>
      <c r="S84" s="10">
        <v>2.5</v>
      </c>
      <c r="T84" s="10">
        <v>4.5</v>
      </c>
      <c r="U84" s="34">
        <f t="shared" si="9"/>
        <v>16.999411754528445</v>
      </c>
      <c r="V84" s="10">
        <f t="shared" si="10"/>
        <v>15.953369550035504</v>
      </c>
      <c r="W84" s="73">
        <f t="shared" si="8"/>
        <v>0.15342632039934873</v>
      </c>
    </row>
    <row r="85" spans="17:23" x14ac:dyDescent="0.25">
      <c r="Q85" s="8" t="s">
        <v>242</v>
      </c>
      <c r="R85" s="34">
        <v>14.9</v>
      </c>
      <c r="S85" s="10">
        <v>3.5</v>
      </c>
      <c r="T85" s="10">
        <v>1</v>
      </c>
      <c r="U85" s="34">
        <f t="shared" si="9"/>
        <v>17.001470524634037</v>
      </c>
      <c r="V85" s="10">
        <f t="shared" si="10"/>
        <v>15.338187637397061</v>
      </c>
      <c r="W85" s="73">
        <f t="shared" si="8"/>
        <v>0.15951268450542103</v>
      </c>
    </row>
    <row r="86" spans="17:23" x14ac:dyDescent="0.25">
      <c r="Q86" s="8" t="s">
        <v>243</v>
      </c>
      <c r="R86" s="34">
        <v>14.8</v>
      </c>
      <c r="S86" s="10">
        <v>4.4000000000000004</v>
      </c>
      <c r="T86" s="10">
        <v>6.6</v>
      </c>
      <c r="U86" s="34">
        <f t="shared" si="9"/>
        <v>17.018813119603848</v>
      </c>
      <c r="V86" s="10">
        <f t="shared" si="10"/>
        <v>16.791664598841891</v>
      </c>
      <c r="W86" s="73">
        <f t="shared" si="8"/>
        <v>0.14518901628044945</v>
      </c>
    </row>
    <row r="87" spans="17:23" x14ac:dyDescent="0.25">
      <c r="Q87" s="8" t="s">
        <v>244</v>
      </c>
      <c r="R87" s="34">
        <v>14.8</v>
      </c>
      <c r="S87" s="10">
        <v>5.3</v>
      </c>
      <c r="T87" s="10">
        <v>5</v>
      </c>
      <c r="U87" s="34">
        <f t="shared" si="9"/>
        <v>17.08712965948348</v>
      </c>
      <c r="V87" s="10">
        <f t="shared" si="10"/>
        <v>16.496363235574076</v>
      </c>
      <c r="W87" s="73">
        <f t="shared" si="8"/>
        <v>0.14573570373299186</v>
      </c>
    </row>
    <row r="88" spans="17:23" x14ac:dyDescent="0.25">
      <c r="Q88" s="8" t="s">
        <v>245</v>
      </c>
      <c r="R88" s="34">
        <v>14.7</v>
      </c>
      <c r="S88" s="10">
        <v>4.0999999999999996</v>
      </c>
      <c r="T88" s="10">
        <v>8.1999999999999993</v>
      </c>
      <c r="U88" s="34">
        <f t="shared" si="9"/>
        <v>17.092981015609887</v>
      </c>
      <c r="V88" s="10">
        <f t="shared" si="10"/>
        <v>17.324549056180366</v>
      </c>
      <c r="W88" s="73">
        <f t="shared" si="8"/>
        <v>0.13860281429699675</v>
      </c>
    </row>
    <row r="89" spans="17:23" x14ac:dyDescent="0.25">
      <c r="Q89" s="8" t="s">
        <v>246</v>
      </c>
      <c r="R89" s="34">
        <v>15.1</v>
      </c>
      <c r="S89" s="10">
        <v>3.2</v>
      </c>
      <c r="T89" s="10">
        <v>3.2</v>
      </c>
      <c r="U89" s="34">
        <f t="shared" si="9"/>
        <v>17.112568480505782</v>
      </c>
      <c r="V89" s="10">
        <f t="shared" si="10"/>
        <v>15.763565586503582</v>
      </c>
      <c r="W89" s="73">
        <f t="shared" si="8"/>
        <v>0.15171838253094563</v>
      </c>
    </row>
    <row r="90" spans="17:23" x14ac:dyDescent="0.25">
      <c r="Q90" s="8" t="s">
        <v>247</v>
      </c>
      <c r="R90" s="34">
        <v>15.1</v>
      </c>
      <c r="S90" s="10">
        <v>3.2</v>
      </c>
      <c r="T90" s="10">
        <v>3.2</v>
      </c>
      <c r="U90" s="34">
        <f t="shared" si="9"/>
        <v>17.112568480505782</v>
      </c>
      <c r="V90" s="10">
        <f t="shared" si="10"/>
        <v>15.763565586503582</v>
      </c>
      <c r="W90" s="73">
        <f t="shared" si="8"/>
        <v>0.15171838253094563</v>
      </c>
    </row>
    <row r="91" spans="17:23" x14ac:dyDescent="0.25">
      <c r="Q91" s="8" t="s">
        <v>248</v>
      </c>
      <c r="R91" s="34">
        <v>15.1</v>
      </c>
      <c r="S91" s="10">
        <v>2.8</v>
      </c>
      <c r="T91" s="10">
        <v>5.8</v>
      </c>
      <c r="U91" s="34">
        <f t="shared" si="9"/>
        <v>17.14876088818081</v>
      </c>
      <c r="V91" s="10">
        <f t="shared" si="10"/>
        <v>16.416150584104667</v>
      </c>
      <c r="W91" s="73">
        <f t="shared" si="8"/>
        <v>0.14461183262412072</v>
      </c>
    </row>
    <row r="92" spans="17:23" x14ac:dyDescent="0.25">
      <c r="Q92" s="8" t="s">
        <v>249</v>
      </c>
      <c r="R92" s="34">
        <v>15</v>
      </c>
      <c r="S92" s="10">
        <v>3.7</v>
      </c>
      <c r="T92" s="10">
        <v>6</v>
      </c>
      <c r="U92" s="34">
        <f t="shared" si="9"/>
        <v>17.149052451957807</v>
      </c>
      <c r="V92" s="10">
        <f t="shared" si="10"/>
        <v>16.573774464496612</v>
      </c>
      <c r="W92" s="73">
        <f t="shared" si="8"/>
        <v>0.14322796199283017</v>
      </c>
    </row>
    <row r="93" spans="17:23" x14ac:dyDescent="0.25">
      <c r="Q93" s="8" t="s">
        <v>250</v>
      </c>
      <c r="R93" s="34">
        <v>15.1</v>
      </c>
      <c r="S93" s="10">
        <v>3.4</v>
      </c>
      <c r="T93" s="10">
        <v>5</v>
      </c>
      <c r="U93" s="34">
        <f t="shared" si="9"/>
        <v>17.182549286994636</v>
      </c>
      <c r="V93" s="10">
        <f t="shared" si="10"/>
        <v>16.265607889039991</v>
      </c>
      <c r="W93" s="73">
        <f t="shared" si="8"/>
        <v>0.14494427614528305</v>
      </c>
    </row>
    <row r="94" spans="17:23" x14ac:dyDescent="0.25">
      <c r="Q94" s="8" t="s">
        <v>251</v>
      </c>
      <c r="R94" s="34">
        <v>14.7</v>
      </c>
      <c r="S94" s="10">
        <v>4.9000000000000004</v>
      </c>
      <c r="T94" s="10">
        <v>7.8</v>
      </c>
      <c r="U94" s="34">
        <f t="shared" si="9"/>
        <v>17.204941150727599</v>
      </c>
      <c r="V94" s="10">
        <f t="shared" si="10"/>
        <v>17.347622315464445</v>
      </c>
      <c r="W94" s="73">
        <f t="shared" si="8"/>
        <v>0.13528223616727153</v>
      </c>
    </row>
    <row r="95" spans="17:23" x14ac:dyDescent="0.25">
      <c r="Q95" s="8" t="s">
        <v>252</v>
      </c>
      <c r="R95" s="34">
        <v>14.9</v>
      </c>
      <c r="S95" s="10">
        <v>4.9000000000000004</v>
      </c>
      <c r="T95" s="10">
        <v>5.6</v>
      </c>
      <c r="U95" s="34">
        <f t="shared" si="9"/>
        <v>17.21075245304516</v>
      </c>
      <c r="V95" s="10">
        <f t="shared" si="10"/>
        <v>16.654729058138415</v>
      </c>
      <c r="W95" s="73">
        <f t="shared" si="8"/>
        <v>0.14074291283815041</v>
      </c>
    </row>
    <row r="96" spans="17:23" x14ac:dyDescent="0.25">
      <c r="Q96" s="8" t="s">
        <v>253</v>
      </c>
      <c r="R96" s="34">
        <v>15.1</v>
      </c>
      <c r="S96" s="10">
        <v>0</v>
      </c>
      <c r="T96" s="10">
        <v>0</v>
      </c>
      <c r="U96" s="34">
        <f t="shared" si="9"/>
        <v>17.224401295836088</v>
      </c>
      <c r="V96" s="10">
        <f t="shared" si="10"/>
        <v>15.1</v>
      </c>
      <c r="W96" s="73">
        <f t="shared" si="8"/>
        <v>0.15480100557806842</v>
      </c>
    </row>
    <row r="97" spans="17:23" x14ac:dyDescent="0.25">
      <c r="Q97" s="8" t="s">
        <v>254</v>
      </c>
      <c r="R97" s="34">
        <v>15</v>
      </c>
      <c r="S97" s="10">
        <v>4.3</v>
      </c>
      <c r="T97" s="10">
        <v>5.7</v>
      </c>
      <c r="U97" s="34">
        <f t="shared" si="9"/>
        <v>17.252825855493935</v>
      </c>
      <c r="V97" s="10">
        <f t="shared" si="10"/>
        <v>16.612645785665812</v>
      </c>
      <c r="W97" s="73">
        <f t="shared" si="8"/>
        <v>0.13988945438682657</v>
      </c>
    </row>
    <row r="98" spans="17:23" x14ac:dyDescent="0.25">
      <c r="Q98" s="8" t="s">
        <v>255</v>
      </c>
      <c r="R98" s="34">
        <v>15.3</v>
      </c>
      <c r="S98" s="10">
        <v>1.4</v>
      </c>
      <c r="T98" s="10">
        <v>4.0999999999999996</v>
      </c>
      <c r="U98" s="34">
        <f t="shared" si="9"/>
        <v>17.259490143106778</v>
      </c>
      <c r="V98" s="10">
        <f t="shared" si="10"/>
        <v>15.901572249309186</v>
      </c>
      <c r="W98" s="73">
        <f t="shared" si="8"/>
        <v>0.14594568507524977</v>
      </c>
    </row>
    <row r="99" spans="17:23" x14ac:dyDescent="0.25">
      <c r="Q99" s="8" t="s">
        <v>256</v>
      </c>
      <c r="R99" s="34">
        <v>15.3</v>
      </c>
      <c r="S99" s="10">
        <v>1.6</v>
      </c>
      <c r="T99" s="10">
        <v>3.8</v>
      </c>
      <c r="U99" s="34">
        <f t="shared" si="9"/>
        <v>17.274258305351349</v>
      </c>
      <c r="V99" s="10">
        <f t="shared" si="10"/>
        <v>15.845819637999167</v>
      </c>
      <c r="W99" s="73">
        <f t="shared" si="8"/>
        <v>0.14601710319598996</v>
      </c>
    </row>
    <row r="100" spans="17:23" x14ac:dyDescent="0.25">
      <c r="Q100" s="8" t="s">
        <v>257</v>
      </c>
      <c r="R100" s="34">
        <v>15</v>
      </c>
      <c r="S100" s="10">
        <v>4.3</v>
      </c>
      <c r="T100" s="10">
        <v>5.9</v>
      </c>
      <c r="U100" s="34">
        <f t="shared" si="9"/>
        <v>17.275994906227545</v>
      </c>
      <c r="V100" s="10">
        <f t="shared" si="10"/>
        <v>16.682325976913411</v>
      </c>
      <c r="W100" s="73">
        <f t="shared" si="8"/>
        <v>0.13864603357413927</v>
      </c>
    </row>
    <row r="101" spans="17:23" x14ac:dyDescent="0.25">
      <c r="Q101" s="8" t="s">
        <v>258</v>
      </c>
      <c r="R101" s="34">
        <v>15.3</v>
      </c>
      <c r="S101" s="10">
        <v>1</v>
      </c>
      <c r="T101" s="10">
        <v>2.4</v>
      </c>
      <c r="U101" s="34">
        <f t="shared" si="9"/>
        <v>17.285832349065522</v>
      </c>
      <c r="V101" s="10">
        <f t="shared" si="10"/>
        <v>15.519342769589182</v>
      </c>
      <c r="W101" s="73">
        <f t="shared" si="8"/>
        <v>0.14873602778883918</v>
      </c>
    </row>
    <row r="102" spans="17:23" x14ac:dyDescent="0.25">
      <c r="Q102" s="8" t="s">
        <v>259</v>
      </c>
      <c r="R102" s="34">
        <v>15</v>
      </c>
      <c r="S102" s="10">
        <v>4.8</v>
      </c>
      <c r="T102" s="10">
        <v>5.0999999999999996</v>
      </c>
      <c r="U102" s="34">
        <f t="shared" si="9"/>
        <v>17.328877632437713</v>
      </c>
      <c r="V102" s="10">
        <f t="shared" si="10"/>
        <v>16.554455593585676</v>
      </c>
      <c r="W102" s="73">
        <f t="shared" si="8"/>
        <v>0.13821267588564545</v>
      </c>
    </row>
    <row r="103" spans="17:23" x14ac:dyDescent="0.25">
      <c r="Q103" s="8" t="s">
        <v>260</v>
      </c>
      <c r="R103" s="34">
        <v>15.1</v>
      </c>
      <c r="S103" s="10">
        <v>4.0999999999999996</v>
      </c>
      <c r="T103" s="10">
        <v>5.0999999999999996</v>
      </c>
      <c r="U103" s="34">
        <f t="shared" si="9"/>
        <v>17.341856878662096</v>
      </c>
      <c r="V103" s="10">
        <f t="shared" si="10"/>
        <v>16.456913440861261</v>
      </c>
      <c r="W103" s="73">
        <f t="shared" si="8"/>
        <v>0.13866298295418375</v>
      </c>
    </row>
    <row r="104" spans="17:23" x14ac:dyDescent="0.25">
      <c r="Q104" s="8" t="s">
        <v>261</v>
      </c>
      <c r="R104" s="34">
        <v>15.2</v>
      </c>
      <c r="S104" s="10">
        <v>3.4</v>
      </c>
      <c r="T104" s="10">
        <v>3.2</v>
      </c>
      <c r="U104" s="34">
        <f t="shared" si="9"/>
        <v>17.347045858012827</v>
      </c>
      <c r="V104" s="10">
        <f t="shared" si="10"/>
        <v>15.900943368240766</v>
      </c>
      <c r="W104" s="73">
        <f t="shared" si="8"/>
        <v>0.14335892390794019</v>
      </c>
    </row>
    <row r="105" spans="17:23" x14ac:dyDescent="0.25">
      <c r="Q105" s="8" t="s">
        <v>262</v>
      </c>
      <c r="R105" s="34">
        <v>15.2</v>
      </c>
      <c r="S105" s="10">
        <v>3.5</v>
      </c>
      <c r="T105" s="10">
        <v>3.3</v>
      </c>
      <c r="U105" s="34">
        <f t="shared" si="9"/>
        <v>17.363755354185336</v>
      </c>
      <c r="V105" s="10">
        <f t="shared" si="10"/>
        <v>15.943023552638941</v>
      </c>
      <c r="W105" s="73">
        <f t="shared" si="8"/>
        <v>0.14249232124825625</v>
      </c>
    </row>
    <row r="106" spans="17:23" ht="15.75" thickBot="1" x14ac:dyDescent="0.3">
      <c r="Q106" s="13" t="s">
        <v>263</v>
      </c>
      <c r="R106" s="71">
        <v>15</v>
      </c>
      <c r="S106" s="76">
        <v>1.8</v>
      </c>
      <c r="T106" s="76">
        <v>8.6</v>
      </c>
      <c r="U106" s="71">
        <f t="shared" si="9"/>
        <v>17.373543104387203</v>
      </c>
      <c r="V106" s="76">
        <f t="shared" si="10"/>
        <v>17.383900597967074</v>
      </c>
      <c r="W106" s="77">
        <f t="shared" si="8"/>
        <v>0.13042017782373924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Ellison</dc:creator>
  <cp:lastModifiedBy>James Ellison</cp:lastModifiedBy>
  <dcterms:created xsi:type="dcterms:W3CDTF">2023-04-27T15:37:28Z</dcterms:created>
  <dcterms:modified xsi:type="dcterms:W3CDTF">2023-07-22T13:41:49Z</dcterms:modified>
</cp:coreProperties>
</file>