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ivotTables/pivotTable1.xml" ContentType="application/vnd.openxmlformats-officedocument.spreadsheetml.pivotTable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wageningenur4-my.sharepoint.com/personal/ruth_ngadze_wur_nl/Documents/2023 Manuscripts/FtFF paper/FtFF paper/Submit version/Rebuttal/"/>
    </mc:Choice>
  </mc:AlternateContent>
  <xr:revisionPtr revIDLastSave="0" documentId="8_{7AFD27CF-D1AA-404D-80DD-B6CD522ABA8C}" xr6:coauthVersionLast="47" xr6:coauthVersionMax="47" xr10:uidLastSave="{00000000-0000-0000-0000-000000000000}"/>
  <bookViews>
    <workbookView xWindow="-110" yWindow="-110" windowWidth="19420" windowHeight="11620" firstSheet="7" activeTab="10" xr2:uid="{270770B7-87F0-44B3-8C60-77BF3101040E}"/>
  </bookViews>
  <sheets>
    <sheet name="WAC WSI" sheetId="4" r:id="rId1"/>
    <sheet name="OAI" sheetId="5" r:id="rId2"/>
    <sheet name="Bulk" sheetId="6" r:id="rId3"/>
    <sheet name="pH" sheetId="7" r:id="rId4"/>
    <sheet name="Alpha-amylase" sheetId="3" r:id="rId5"/>
    <sheet name="Moisture" sheetId="14" r:id="rId6"/>
    <sheet name="Fibre and Ash" sheetId="13" r:id="rId7"/>
    <sheet name="Protein" sheetId="8" r:id="rId8"/>
    <sheet name="Lipid" sheetId="11" r:id="rId9"/>
    <sheet name="Carbohydrates and Energy" sheetId="15" r:id="rId10"/>
    <sheet name="Phytic acid" sheetId="1" r:id="rId11"/>
    <sheet name="Viscosity" sheetId="2" r:id="rId12"/>
  </sheets>
  <externalReferences>
    <externalReference r:id="rId13"/>
    <externalReference r:id="rId14"/>
  </externalReferences>
  <calcPr calcId="191029"/>
  <pivotCaches>
    <pivotCache cacheId="1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5" l="1"/>
  <c r="G25" i="15" s="1"/>
  <c r="F24" i="15"/>
  <c r="G24" i="15" s="1"/>
  <c r="F23" i="15"/>
  <c r="G23" i="15" s="1"/>
  <c r="F22" i="15"/>
  <c r="G22" i="15" s="1"/>
  <c r="F21" i="15"/>
  <c r="G21" i="15" s="1"/>
  <c r="F20" i="15"/>
  <c r="G20" i="15" s="1"/>
  <c r="F19" i="15"/>
  <c r="G19" i="15" s="1"/>
  <c r="F18" i="15"/>
  <c r="L7" i="15" s="1"/>
  <c r="F17" i="15"/>
  <c r="G17" i="15" s="1"/>
  <c r="F16" i="15"/>
  <c r="G16" i="15" s="1"/>
  <c r="F15" i="15"/>
  <c r="G15" i="15" s="1"/>
  <c r="K8" i="15"/>
  <c r="F14" i="15"/>
  <c r="G14" i="15" s="1"/>
  <c r="L6" i="15"/>
  <c r="K6" i="15"/>
  <c r="F13" i="15"/>
  <c r="G13" i="15" s="1"/>
  <c r="F12" i="15"/>
  <c r="G12" i="15" s="1"/>
  <c r="F11" i="15"/>
  <c r="F10" i="15"/>
  <c r="G10" i="15" s="1"/>
  <c r="AC29" i="13"/>
  <c r="Y16" i="13"/>
  <c r="Y19" i="13"/>
  <c r="G5" i="14"/>
  <c r="F4" i="14"/>
  <c r="F3" i="14"/>
  <c r="F2" i="14"/>
  <c r="K18" i="3"/>
  <c r="K17" i="3"/>
  <c r="L5" i="15" l="1"/>
  <c r="L12" i="15"/>
  <c r="K12" i="15"/>
  <c r="L14" i="15"/>
  <c r="K14" i="15"/>
  <c r="K5" i="15"/>
  <c r="G18" i="15"/>
  <c r="K7" i="15"/>
  <c r="G11" i="15"/>
  <c r="L11" i="15" s="1"/>
  <c r="L8" i="15"/>
  <c r="K13" i="15" l="1"/>
  <c r="L13" i="15"/>
  <c r="K11" i="15"/>
  <c r="O6" i="7" l="1"/>
  <c r="N6" i="7"/>
  <c r="O3" i="7"/>
  <c r="O5" i="7"/>
  <c r="O4" i="7"/>
  <c r="N5" i="7"/>
  <c r="N4" i="7"/>
  <c r="N3" i="7"/>
  <c r="J8" i="6"/>
  <c r="J7" i="6"/>
  <c r="J6" i="6"/>
  <c r="J5" i="6"/>
  <c r="I8" i="6"/>
  <c r="I7" i="6"/>
  <c r="I6" i="6"/>
  <c r="I5" i="6"/>
  <c r="K8" i="5"/>
  <c r="K7" i="5"/>
  <c r="K6" i="5"/>
  <c r="K5" i="5"/>
  <c r="J8" i="5"/>
  <c r="J7" i="5"/>
  <c r="J6" i="5"/>
  <c r="J5" i="5"/>
  <c r="N14" i="4"/>
  <c r="N13" i="4"/>
  <c r="N12" i="4"/>
  <c r="N11" i="4"/>
  <c r="N7" i="4"/>
  <c r="N6" i="4"/>
  <c r="N5" i="4"/>
  <c r="N4" i="4"/>
  <c r="F17" i="14" l="1"/>
  <c r="G17" i="14" s="1"/>
  <c r="F16" i="14"/>
  <c r="H16" i="14" s="1"/>
  <c r="F15" i="14"/>
  <c r="H15" i="14" s="1"/>
  <c r="F14" i="14"/>
  <c r="H14" i="14" s="1"/>
  <c r="F13" i="14"/>
  <c r="H13" i="14" s="1"/>
  <c r="F12" i="14"/>
  <c r="H12" i="14" s="1"/>
  <c r="F11" i="14"/>
  <c r="H11" i="14" s="1"/>
  <c r="F10" i="14"/>
  <c r="H10" i="14" s="1"/>
  <c r="M4" i="14" s="1"/>
  <c r="F9" i="14"/>
  <c r="H9" i="14" s="1"/>
  <c r="F8" i="14"/>
  <c r="H8" i="14" s="1"/>
  <c r="F7" i="14"/>
  <c r="G7" i="14" s="1"/>
  <c r="F6" i="14"/>
  <c r="H6" i="14" s="1"/>
  <c r="F5" i="14"/>
  <c r="H5" i="14" s="1"/>
  <c r="G4" i="14"/>
  <c r="G3" i="14"/>
  <c r="H2" i="14"/>
  <c r="H29" i="13"/>
  <c r="K29" i="13" s="1"/>
  <c r="E29" i="13"/>
  <c r="J28" i="13"/>
  <c r="E28" i="13"/>
  <c r="F28" i="13" s="1"/>
  <c r="U27" i="13"/>
  <c r="R26" i="13"/>
  <c r="O27" i="13"/>
  <c r="P27" i="13" s="1"/>
  <c r="Q27" i="13" s="1"/>
  <c r="L27" i="13"/>
  <c r="E27" i="13"/>
  <c r="O26" i="13"/>
  <c r="J26" i="13"/>
  <c r="H26" i="13"/>
  <c r="K26" i="13" s="1"/>
  <c r="E26" i="13"/>
  <c r="U25" i="13"/>
  <c r="R24" i="13"/>
  <c r="O25" i="13"/>
  <c r="P25" i="13" s="1"/>
  <c r="Q25" i="13" s="1"/>
  <c r="L25" i="13"/>
  <c r="E25" i="13"/>
  <c r="O24" i="13"/>
  <c r="J24" i="13"/>
  <c r="H24" i="13"/>
  <c r="K24" i="13" s="1"/>
  <c r="E24" i="13"/>
  <c r="U23" i="13"/>
  <c r="Z20" i="13" s="1"/>
  <c r="R22" i="13"/>
  <c r="O23" i="13"/>
  <c r="P23" i="13" s="1"/>
  <c r="Q23" i="13" s="1"/>
  <c r="L23" i="13"/>
  <c r="E23" i="13"/>
  <c r="O22" i="13"/>
  <c r="J22" i="13"/>
  <c r="H22" i="13"/>
  <c r="K22" i="13" s="1"/>
  <c r="E22" i="13"/>
  <c r="U21" i="13"/>
  <c r="R20" i="13"/>
  <c r="O21" i="13"/>
  <c r="P21" i="13" s="1"/>
  <c r="Q21" i="13" s="1"/>
  <c r="L21" i="13"/>
  <c r="E21" i="13"/>
  <c r="O20" i="13"/>
  <c r="K20" i="13"/>
  <c r="J20" i="13"/>
  <c r="H20" i="13"/>
  <c r="E20" i="13"/>
  <c r="U19" i="13"/>
  <c r="R18" i="13"/>
  <c r="O19" i="13"/>
  <c r="P19" i="13" s="1"/>
  <c r="Q19" i="13" s="1"/>
  <c r="H19" i="13"/>
  <c r="K19" i="13" s="1"/>
  <c r="E19" i="13"/>
  <c r="F18" i="13" s="1"/>
  <c r="O18" i="13"/>
  <c r="J18" i="13"/>
  <c r="E18" i="13"/>
  <c r="U17" i="13"/>
  <c r="Z19" i="13" s="1"/>
  <c r="R16" i="13"/>
  <c r="O17" i="13"/>
  <c r="P17" i="13" s="1"/>
  <c r="Q17" i="13" s="1"/>
  <c r="H17" i="13"/>
  <c r="K17" i="13" s="1"/>
  <c r="E17" i="13"/>
  <c r="O16" i="13"/>
  <c r="J16" i="13"/>
  <c r="E16" i="13"/>
  <c r="U15" i="13"/>
  <c r="R14" i="13"/>
  <c r="O15" i="13"/>
  <c r="P15" i="13" s="1"/>
  <c r="Q15" i="13" s="1"/>
  <c r="H15" i="13"/>
  <c r="K15" i="13" s="1"/>
  <c r="E15" i="13"/>
  <c r="O14" i="13"/>
  <c r="J14" i="13"/>
  <c r="E14" i="13"/>
  <c r="U13" i="13"/>
  <c r="R12" i="13"/>
  <c r="O13" i="13"/>
  <c r="P13" i="13" s="1"/>
  <c r="Q13" i="13" s="1"/>
  <c r="H13" i="13"/>
  <c r="K13" i="13" s="1"/>
  <c r="E13" i="13"/>
  <c r="O12" i="13"/>
  <c r="J12" i="13"/>
  <c r="E12" i="13"/>
  <c r="U11" i="13"/>
  <c r="R10" i="13"/>
  <c r="O11" i="13"/>
  <c r="P11" i="13" s="1"/>
  <c r="Q11" i="13" s="1"/>
  <c r="H11" i="13"/>
  <c r="K11" i="13" s="1"/>
  <c r="E11" i="13"/>
  <c r="O10" i="13"/>
  <c r="J10" i="13"/>
  <c r="E10" i="13"/>
  <c r="U9" i="13"/>
  <c r="R8" i="13"/>
  <c r="O9" i="13"/>
  <c r="P9" i="13" s="1"/>
  <c r="Q9" i="13" s="1"/>
  <c r="H9" i="13"/>
  <c r="K9" i="13" s="1"/>
  <c r="E9" i="13"/>
  <c r="O8" i="13"/>
  <c r="J8" i="13"/>
  <c r="E8" i="13"/>
  <c r="U7" i="13"/>
  <c r="R6" i="13"/>
  <c r="O7" i="13"/>
  <c r="P7" i="13" s="1"/>
  <c r="Q7" i="13" s="1"/>
  <c r="H7" i="13"/>
  <c r="K7" i="13" s="1"/>
  <c r="E7" i="13"/>
  <c r="O6" i="13"/>
  <c r="J6" i="13"/>
  <c r="E6" i="13"/>
  <c r="U5" i="13"/>
  <c r="Z16" i="13" s="1"/>
  <c r="R4" i="13"/>
  <c r="O5" i="13"/>
  <c r="P5" i="13" s="1"/>
  <c r="Q5" i="13" s="1"/>
  <c r="L5" i="13"/>
  <c r="E5" i="13"/>
  <c r="O4" i="13"/>
  <c r="J4" i="13"/>
  <c r="H4" i="13"/>
  <c r="K4" i="13" s="1"/>
  <c r="E4" i="13"/>
  <c r="M35" i="13"/>
  <c r="L35" i="13"/>
  <c r="F25" i="11"/>
  <c r="G25" i="11" s="1"/>
  <c r="F24" i="11"/>
  <c r="G24" i="11" s="1"/>
  <c r="F23" i="11"/>
  <c r="G23" i="11" s="1"/>
  <c r="F22" i="11"/>
  <c r="G22" i="11" s="1"/>
  <c r="F21" i="11"/>
  <c r="G21" i="11" s="1"/>
  <c r="F20" i="11"/>
  <c r="G20" i="11" s="1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8" i="11"/>
  <c r="G8" i="11" s="1"/>
  <c r="F7" i="11"/>
  <c r="G7" i="11" s="1"/>
  <c r="F6" i="11"/>
  <c r="G6" i="11" s="1"/>
  <c r="F5" i="11"/>
  <c r="G5" i="11" s="1"/>
  <c r="F4" i="11"/>
  <c r="G4" i="11" s="1"/>
  <c r="F3" i="11"/>
  <c r="G3" i="11" s="1"/>
  <c r="F2" i="11"/>
  <c r="G2" i="11" s="1"/>
  <c r="J7" i="8"/>
  <c r="J6" i="8"/>
  <c r="J5" i="8"/>
  <c r="J4" i="8"/>
  <c r="J3" i="8"/>
  <c r="J2" i="8"/>
  <c r="K7" i="8"/>
  <c r="K6" i="8"/>
  <c r="K5" i="8"/>
  <c r="K4" i="8"/>
  <c r="K3" i="8"/>
  <c r="K2" i="8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Y18" i="13" l="1"/>
  <c r="AD29" i="13"/>
  <c r="F10" i="13"/>
  <c r="L11" i="13" s="1"/>
  <c r="AD34" i="13"/>
  <c r="F16" i="13"/>
  <c r="L17" i="13" s="1"/>
  <c r="F22" i="13"/>
  <c r="J23" i="13" s="1"/>
  <c r="AC37" i="13"/>
  <c r="F4" i="13"/>
  <c r="L4" i="13" s="1"/>
  <c r="F24" i="13"/>
  <c r="L24" i="13" s="1"/>
  <c r="F6" i="13"/>
  <c r="L7" i="13" s="1"/>
  <c r="Z21" i="13"/>
  <c r="F8" i="13"/>
  <c r="L9" i="13" s="1"/>
  <c r="Z17" i="13"/>
  <c r="M5" i="14"/>
  <c r="L4" i="14"/>
  <c r="H7" i="14"/>
  <c r="L3" i="14" s="1"/>
  <c r="H3" i="14"/>
  <c r="M2" i="14" s="1"/>
  <c r="G13" i="14"/>
  <c r="G10" i="14"/>
  <c r="G2" i="14"/>
  <c r="G16" i="14"/>
  <c r="G11" i="14"/>
  <c r="G6" i="14"/>
  <c r="G9" i="14"/>
  <c r="G12" i="14"/>
  <c r="H17" i="14"/>
  <c r="L5" i="14" s="1"/>
  <c r="G8" i="14"/>
  <c r="H4" i="14"/>
  <c r="G15" i="14"/>
  <c r="G14" i="14"/>
  <c r="J19" i="13"/>
  <c r="L18" i="13"/>
  <c r="L19" i="13"/>
  <c r="AD32" i="13"/>
  <c r="AC32" i="13"/>
  <c r="AC40" i="13" s="1"/>
  <c r="L28" i="13"/>
  <c r="L29" i="13"/>
  <c r="J29" i="13"/>
  <c r="AC31" i="13"/>
  <c r="AC39" i="13" s="1"/>
  <c r="AD31" i="13"/>
  <c r="Z18" i="13"/>
  <c r="F12" i="13"/>
  <c r="AD33" i="13"/>
  <c r="AC33" i="13"/>
  <c r="AC41" i="13" s="1"/>
  <c r="Y20" i="13"/>
  <c r="AD30" i="13"/>
  <c r="AC30" i="13"/>
  <c r="AC38" i="13" s="1"/>
  <c r="F14" i="13"/>
  <c r="Y21" i="13"/>
  <c r="F26" i="13"/>
  <c r="Y17" i="13"/>
  <c r="AC34" i="13"/>
  <c r="AC42" i="13" s="1"/>
  <c r="F20" i="13"/>
  <c r="M2" i="11"/>
  <c r="L2" i="11"/>
  <c r="M4" i="11"/>
  <c r="L4" i="11"/>
  <c r="M6" i="11"/>
  <c r="L6" i="11"/>
  <c r="M3" i="11"/>
  <c r="L3" i="11"/>
  <c r="M5" i="11"/>
  <c r="L5" i="11"/>
  <c r="M7" i="11"/>
  <c r="L7" i="11"/>
  <c r="J11" i="13" l="1"/>
  <c r="L16" i="13"/>
  <c r="J17" i="13"/>
  <c r="L10" i="13"/>
  <c r="L22" i="13"/>
  <c r="J25" i="13"/>
  <c r="J5" i="13"/>
  <c r="M28" i="13"/>
  <c r="N18" i="13" s="1"/>
  <c r="P18" i="13" s="1"/>
  <c r="Q18" i="13" s="1"/>
  <c r="S17" i="13" s="1"/>
  <c r="S18" i="13" s="1"/>
  <c r="L8" i="13"/>
  <c r="J7" i="13"/>
  <c r="J9" i="13"/>
  <c r="L6" i="13"/>
  <c r="L2" i="14"/>
  <c r="M3" i="14"/>
  <c r="L13" i="13"/>
  <c r="L12" i="13"/>
  <c r="J13" i="13"/>
  <c r="J27" i="13"/>
  <c r="L26" i="13"/>
  <c r="L15" i="13"/>
  <c r="L14" i="13"/>
  <c r="J15" i="13"/>
  <c r="L20" i="13"/>
  <c r="J21" i="13"/>
  <c r="N16" i="13" l="1"/>
  <c r="P16" i="13" s="1"/>
  <c r="Q16" i="13" s="1"/>
  <c r="S15" i="13" s="1"/>
  <c r="S16" i="13" s="1"/>
  <c r="Y9" i="13" s="1"/>
  <c r="N26" i="13"/>
  <c r="P26" i="13" s="1"/>
  <c r="Q26" i="13" s="1"/>
  <c r="S25" i="13" s="1"/>
  <c r="S26" i="13" s="1"/>
  <c r="N10" i="13"/>
  <c r="P10" i="13" s="1"/>
  <c r="Q10" i="13" s="1"/>
  <c r="S9" i="13" s="1"/>
  <c r="S10" i="13" s="1"/>
  <c r="N24" i="13"/>
  <c r="P24" i="13" s="1"/>
  <c r="Q24" i="13" s="1"/>
  <c r="S23" i="13" s="1"/>
  <c r="S24" i="13" s="1"/>
  <c r="N12" i="13"/>
  <c r="P12" i="13" s="1"/>
  <c r="Q12" i="13" s="1"/>
  <c r="S11" i="13" s="1"/>
  <c r="S12" i="13" s="1"/>
  <c r="N4" i="13"/>
  <c r="P4" i="13" s="1"/>
  <c r="Q4" i="13" s="1"/>
  <c r="S3" i="13" s="1"/>
  <c r="S4" i="13" s="1"/>
  <c r="Y6" i="13" s="1"/>
  <c r="Z9" i="13"/>
  <c r="N20" i="13"/>
  <c r="P20" i="13" s="1"/>
  <c r="Q20" i="13" s="1"/>
  <c r="S19" i="13" s="1"/>
  <c r="S20" i="13" s="1"/>
  <c r="N22" i="13"/>
  <c r="P22" i="13" s="1"/>
  <c r="Q22" i="13" s="1"/>
  <c r="S21" i="13" s="1"/>
  <c r="S22" i="13" s="1"/>
  <c r="N6" i="13"/>
  <c r="P6" i="13" s="1"/>
  <c r="Q6" i="13" s="1"/>
  <c r="S5" i="13" s="1"/>
  <c r="S6" i="13" s="1"/>
  <c r="N14" i="13"/>
  <c r="P14" i="13" s="1"/>
  <c r="Q14" i="13" s="1"/>
  <c r="S13" i="13" s="1"/>
  <c r="S14" i="13" s="1"/>
  <c r="N8" i="13"/>
  <c r="P8" i="13" s="1"/>
  <c r="Q8" i="13" s="1"/>
  <c r="S7" i="13" s="1"/>
  <c r="S8" i="13" s="1"/>
  <c r="Z11" i="13"/>
  <c r="Y11" i="13"/>
  <c r="Z6" i="13"/>
  <c r="Y8" i="13" l="1"/>
  <c r="Z10" i="13"/>
  <c r="Z8" i="13"/>
  <c r="Y10" i="13"/>
  <c r="Z7" i="13"/>
  <c r="Y7" i="13"/>
  <c r="D17" i="5" l="1"/>
  <c r="F17" i="5" s="1"/>
  <c r="D16" i="5"/>
  <c r="F16" i="5" s="1"/>
  <c r="D15" i="5"/>
  <c r="F15" i="5" s="1"/>
  <c r="D14" i="5"/>
  <c r="F14" i="5" s="1"/>
  <c r="D13" i="5"/>
  <c r="F13" i="5" s="1"/>
  <c r="D12" i="5"/>
  <c r="F12" i="5" s="1"/>
  <c r="D11" i="5"/>
  <c r="F11" i="5" s="1"/>
  <c r="D10" i="5"/>
  <c r="F10" i="5" s="1"/>
  <c r="D9" i="5"/>
  <c r="F9" i="5" s="1"/>
  <c r="D8" i="5"/>
  <c r="F8" i="5" s="1"/>
  <c r="D7" i="5"/>
  <c r="F7" i="5" s="1"/>
  <c r="D6" i="5"/>
  <c r="F6" i="5" s="1"/>
  <c r="D5" i="5"/>
  <c r="F5" i="5" s="1"/>
  <c r="D4" i="5"/>
  <c r="F4" i="5" s="1"/>
  <c r="D3" i="5"/>
  <c r="F3" i="5" s="1"/>
  <c r="D2" i="5"/>
  <c r="F2" i="5" s="1"/>
  <c r="G17" i="4"/>
  <c r="I17" i="4" s="1"/>
  <c r="D17" i="4"/>
  <c r="H17" i="4" s="1"/>
  <c r="G16" i="4"/>
  <c r="I16" i="4" s="1"/>
  <c r="D16" i="4"/>
  <c r="H16" i="4" s="1"/>
  <c r="G15" i="4"/>
  <c r="I15" i="4" s="1"/>
  <c r="D15" i="4"/>
  <c r="H15" i="4" s="1"/>
  <c r="G14" i="4"/>
  <c r="I14" i="4" s="1"/>
  <c r="D14" i="4"/>
  <c r="H14" i="4" s="1"/>
  <c r="G13" i="4"/>
  <c r="I13" i="4" s="1"/>
  <c r="D13" i="4"/>
  <c r="H13" i="4" s="1"/>
  <c r="G12" i="4"/>
  <c r="I12" i="4" s="1"/>
  <c r="D12" i="4"/>
  <c r="H12" i="4" s="1"/>
  <c r="G11" i="4"/>
  <c r="I11" i="4" s="1"/>
  <c r="D11" i="4"/>
  <c r="H11" i="4" s="1"/>
  <c r="G10" i="4"/>
  <c r="I10" i="4" s="1"/>
  <c r="D10" i="4"/>
  <c r="H10" i="4" s="1"/>
  <c r="G9" i="4"/>
  <c r="I9" i="4" s="1"/>
  <c r="D9" i="4"/>
  <c r="H9" i="4" s="1"/>
  <c r="G8" i="4"/>
  <c r="I8" i="4" s="1"/>
  <c r="D8" i="4"/>
  <c r="H8" i="4" s="1"/>
  <c r="G7" i="4"/>
  <c r="I7" i="4" s="1"/>
  <c r="D7" i="4"/>
  <c r="H7" i="4" s="1"/>
  <c r="G6" i="4"/>
  <c r="I6" i="4" s="1"/>
  <c r="D6" i="4"/>
  <c r="H6" i="4" s="1"/>
  <c r="G5" i="4"/>
  <c r="I5" i="4" s="1"/>
  <c r="D5" i="4"/>
  <c r="H5" i="4" s="1"/>
  <c r="G4" i="4"/>
  <c r="I4" i="4" s="1"/>
  <c r="D4" i="4"/>
  <c r="H4" i="4" s="1"/>
  <c r="G3" i="4"/>
  <c r="I3" i="4" s="1"/>
  <c r="D3" i="4"/>
  <c r="H3" i="4" s="1"/>
  <c r="G2" i="4"/>
  <c r="I2" i="4" s="1"/>
  <c r="D2" i="4"/>
  <c r="H2" i="4" s="1"/>
  <c r="D14" i="3"/>
  <c r="F14" i="3" s="1"/>
  <c r="D13" i="3"/>
  <c r="F13" i="3" s="1"/>
  <c r="D12" i="3"/>
  <c r="F12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D15" i="3"/>
  <c r="F15" i="3" s="1"/>
  <c r="D10" i="3"/>
  <c r="F10" i="3" s="1"/>
  <c r="D9" i="3"/>
  <c r="F9" i="3" s="1"/>
  <c r="D8" i="3"/>
  <c r="F8" i="3" s="1"/>
  <c r="D7" i="3"/>
  <c r="F7" i="3" s="1"/>
  <c r="K15" i="3" s="1"/>
  <c r="D6" i="3"/>
  <c r="F6" i="3" s="1"/>
  <c r="D5" i="3"/>
  <c r="F5" i="3" s="1"/>
  <c r="D4" i="3"/>
  <c r="F4" i="3" s="1"/>
  <c r="D3" i="3"/>
  <c r="F3" i="3" s="1"/>
  <c r="Y39" i="2"/>
  <c r="R39" i="2"/>
  <c r="K39" i="2"/>
  <c r="F39" i="2"/>
  <c r="Y38" i="2"/>
  <c r="R38" i="2"/>
  <c r="K38" i="2"/>
  <c r="F38" i="2"/>
  <c r="Y37" i="2"/>
  <c r="R37" i="2"/>
  <c r="K37" i="2"/>
  <c r="F37" i="2"/>
  <c r="Y36" i="2"/>
  <c r="R36" i="2"/>
  <c r="K36" i="2"/>
  <c r="F36" i="2"/>
  <c r="Y35" i="2"/>
  <c r="R35" i="2"/>
  <c r="K35" i="2"/>
  <c r="F35" i="2"/>
  <c r="Y34" i="2"/>
  <c r="R34" i="2"/>
  <c r="K34" i="2"/>
  <c r="F34" i="2"/>
  <c r="Y33" i="2"/>
  <c r="R33" i="2"/>
  <c r="K33" i="2"/>
  <c r="F33" i="2"/>
  <c r="Y32" i="2"/>
  <c r="R32" i="2"/>
  <c r="K32" i="2"/>
  <c r="F32" i="2"/>
  <c r="Y31" i="2"/>
  <c r="R31" i="2"/>
  <c r="K31" i="2"/>
  <c r="F31" i="2"/>
  <c r="Y30" i="2"/>
  <c r="R30" i="2"/>
  <c r="K30" i="2"/>
  <c r="F30" i="2"/>
  <c r="Y29" i="2"/>
  <c r="R29" i="2"/>
  <c r="K29" i="2"/>
  <c r="F29" i="2"/>
  <c r="Y28" i="2"/>
  <c r="R28" i="2"/>
  <c r="K28" i="2"/>
  <c r="F28" i="2"/>
  <c r="Y27" i="2"/>
  <c r="R27" i="2"/>
  <c r="K27" i="2"/>
  <c r="F27" i="2"/>
  <c r="Y26" i="2"/>
  <c r="R26" i="2"/>
  <c r="K26" i="2"/>
  <c r="F26" i="2"/>
  <c r="Y25" i="2"/>
  <c r="R25" i="2"/>
  <c r="K25" i="2"/>
  <c r="F25" i="2"/>
  <c r="Y24" i="2"/>
  <c r="R24" i="2"/>
  <c r="K24" i="2"/>
  <c r="F24" i="2"/>
  <c r="Y23" i="2"/>
  <c r="R23" i="2"/>
  <c r="K23" i="2"/>
  <c r="F23" i="2"/>
  <c r="Y22" i="2"/>
  <c r="R22" i="2"/>
  <c r="K22" i="2"/>
  <c r="F22" i="2"/>
  <c r="Y21" i="2"/>
  <c r="R21" i="2"/>
  <c r="K21" i="2"/>
  <c r="F21" i="2"/>
  <c r="Y20" i="2"/>
  <c r="R20" i="2"/>
  <c r="K20" i="2"/>
  <c r="F20" i="2"/>
  <c r="Y19" i="2"/>
  <c r="R19" i="2"/>
  <c r="K19" i="2"/>
  <c r="F19" i="2"/>
  <c r="Y18" i="2"/>
  <c r="R18" i="2"/>
  <c r="K18" i="2"/>
  <c r="F18" i="2"/>
  <c r="Y17" i="2"/>
  <c r="R17" i="2"/>
  <c r="K17" i="2"/>
  <c r="F17" i="2"/>
  <c r="Y16" i="2"/>
  <c r="R16" i="2"/>
  <c r="K16" i="2"/>
  <c r="F16" i="2"/>
  <c r="Y15" i="2"/>
  <c r="R15" i="2"/>
  <c r="K15" i="2"/>
  <c r="F15" i="2"/>
  <c r="Y14" i="2"/>
  <c r="R14" i="2"/>
  <c r="K14" i="2"/>
  <c r="F14" i="2"/>
  <c r="Y13" i="2"/>
  <c r="R13" i="2"/>
  <c r="K13" i="2"/>
  <c r="F13" i="2"/>
  <c r="Y12" i="2"/>
  <c r="R12" i="2"/>
  <c r="K12" i="2"/>
  <c r="F12" i="2"/>
  <c r="Y11" i="2"/>
  <c r="R11" i="2"/>
  <c r="K11" i="2"/>
  <c r="F11" i="2"/>
  <c r="Y10" i="2"/>
  <c r="R10" i="2"/>
  <c r="K10" i="2"/>
  <c r="F10" i="2"/>
  <c r="Y9" i="2"/>
  <c r="R9" i="2"/>
  <c r="K9" i="2"/>
  <c r="F9" i="2"/>
  <c r="Y8" i="2"/>
  <c r="R8" i="2"/>
  <c r="K8" i="2"/>
  <c r="F8" i="2"/>
  <c r="Y7" i="2"/>
  <c r="R7" i="2"/>
  <c r="K7" i="2"/>
  <c r="F7" i="2"/>
  <c r="Y6" i="2"/>
  <c r="R6" i="2"/>
  <c r="K6" i="2"/>
  <c r="F6" i="2"/>
  <c r="Y5" i="2"/>
  <c r="R5" i="2"/>
  <c r="K5" i="2"/>
  <c r="F5" i="2"/>
  <c r="Y4" i="2"/>
  <c r="R4" i="2"/>
  <c r="K4" i="2"/>
  <c r="F4" i="2"/>
  <c r="Y3" i="2"/>
  <c r="R3" i="2"/>
  <c r="K3" i="2"/>
  <c r="F3" i="2"/>
  <c r="Y2" i="2"/>
  <c r="R2" i="2"/>
  <c r="K2" i="2"/>
  <c r="F2" i="2"/>
  <c r="O4" i="4" l="1"/>
  <c r="O7" i="4"/>
  <c r="O11" i="4"/>
  <c r="O12" i="4"/>
  <c r="O13" i="4"/>
  <c r="O14" i="4"/>
  <c r="O6" i="4"/>
  <c r="O5" i="4"/>
  <c r="L15" i="3"/>
  <c r="L18" i="3"/>
  <c r="L13" i="3"/>
  <c r="L14" i="3"/>
  <c r="K14" i="3"/>
  <c r="K16" i="3"/>
  <c r="L16" i="3"/>
  <c r="L17" i="3"/>
  <c r="K13" i="3"/>
  <c r="Q21" i="1" l="1"/>
  <c r="N12" i="1"/>
  <c r="Q32" i="1"/>
  <c r="Q31" i="1"/>
  <c r="Q30" i="1"/>
  <c r="H25" i="1"/>
  <c r="G25" i="1"/>
  <c r="Q29" i="1"/>
  <c r="H24" i="1"/>
  <c r="G24" i="1"/>
  <c r="Q28" i="1"/>
  <c r="H23" i="1"/>
  <c r="G23" i="1"/>
  <c r="Q27" i="1"/>
  <c r="H22" i="1"/>
  <c r="G22" i="1"/>
  <c r="Q26" i="1"/>
  <c r="H21" i="1"/>
  <c r="G21" i="1"/>
  <c r="Q25" i="1"/>
  <c r="H20" i="1"/>
  <c r="G20" i="1"/>
  <c r="Q24" i="1"/>
  <c r="H19" i="1"/>
  <c r="G19" i="1"/>
  <c r="Q23" i="1"/>
  <c r="H18" i="1"/>
  <c r="G18" i="1"/>
  <c r="Q22" i="1"/>
  <c r="H17" i="1"/>
  <c r="G17" i="1"/>
  <c r="H16" i="1"/>
  <c r="G16" i="1"/>
  <c r="H15" i="1"/>
  <c r="G15" i="1"/>
  <c r="H14" i="1"/>
  <c r="G14" i="1"/>
  <c r="U16" i="1"/>
  <c r="V16" i="1" s="1"/>
  <c r="O16" i="1"/>
  <c r="N16" i="1"/>
  <c r="U15" i="1"/>
  <c r="V15" i="1" s="1"/>
  <c r="O15" i="1"/>
  <c r="N15" i="1"/>
  <c r="U14" i="1"/>
  <c r="V14" i="1" s="1"/>
  <c r="O14" i="1"/>
  <c r="N14" i="1"/>
  <c r="U13" i="1"/>
  <c r="V13" i="1" s="1"/>
  <c r="O13" i="1"/>
  <c r="N13" i="1"/>
  <c r="U12" i="1"/>
  <c r="V12" i="1" s="1"/>
  <c r="O12" i="1"/>
  <c r="H13" i="1"/>
  <c r="G13" i="1"/>
  <c r="U8" i="1"/>
  <c r="V8" i="1" s="1"/>
  <c r="O8" i="1"/>
  <c r="N8" i="1"/>
  <c r="H12" i="1"/>
  <c r="G12" i="1"/>
  <c r="U7" i="1"/>
  <c r="V7" i="1" s="1"/>
  <c r="O7" i="1"/>
  <c r="N7" i="1"/>
  <c r="H11" i="1"/>
  <c r="G11" i="1"/>
  <c r="U6" i="1"/>
  <c r="V6" i="1" s="1"/>
  <c r="O6" i="1"/>
  <c r="N6" i="1"/>
  <c r="H10" i="1"/>
  <c r="G10" i="1"/>
  <c r="U5" i="1"/>
  <c r="V5" i="1" s="1"/>
  <c r="O5" i="1"/>
  <c r="N5" i="1"/>
  <c r="H9" i="1"/>
  <c r="G9" i="1"/>
  <c r="U4" i="1"/>
  <c r="V4" i="1" s="1"/>
  <c r="O4" i="1"/>
  <c r="N4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  <c r="X14" i="1" l="1"/>
  <c r="X6" i="1"/>
  <c r="R27" i="1" l="1"/>
  <c r="V27" i="1" s="1"/>
  <c r="R32" i="1"/>
  <c r="V32" i="1" s="1"/>
  <c r="R29" i="1"/>
  <c r="V29" i="1" s="1"/>
  <c r="R28" i="1"/>
  <c r="V28" i="1" s="1"/>
  <c r="AC23" i="1" s="1"/>
  <c r="R30" i="1"/>
  <c r="V30" i="1" s="1"/>
  <c r="R31" i="1"/>
  <c r="V31" i="1" s="1"/>
  <c r="R23" i="1"/>
  <c r="V23" i="1" s="1"/>
  <c r="R22" i="1"/>
  <c r="V22" i="1" s="1"/>
  <c r="R21" i="1"/>
  <c r="V21" i="1" s="1"/>
  <c r="R26" i="1"/>
  <c r="V26" i="1" s="1"/>
  <c r="R25" i="1"/>
  <c r="V25" i="1" s="1"/>
  <c r="R24" i="1"/>
  <c r="V24" i="1" s="1"/>
  <c r="AD23" i="1" l="1"/>
  <c r="AD21" i="1"/>
  <c r="AC22" i="1"/>
  <c r="AC24" i="1"/>
  <c r="AD24" i="1"/>
  <c r="AC21" i="1"/>
  <c r="AD22" i="1"/>
</calcChain>
</file>

<file path=xl/sharedStrings.xml><?xml version="1.0" encoding="utf-8"?>
<sst xmlns="http://schemas.openxmlformats.org/spreadsheetml/2006/main" count="965" uniqueCount="271">
  <si>
    <t>Samples</t>
  </si>
  <si>
    <t>Triplicates</t>
  </si>
  <si>
    <t>Phosphorus</t>
  </si>
  <si>
    <t>Abs 1</t>
  </si>
  <si>
    <t>Abs 2</t>
  </si>
  <si>
    <t>Abs 3</t>
  </si>
  <si>
    <t>Mean</t>
  </si>
  <si>
    <t>SD</t>
  </si>
  <si>
    <t>Etichette di riga</t>
  </si>
  <si>
    <t>Media di Mean</t>
  </si>
  <si>
    <t>A</t>
  </si>
  <si>
    <t>Free</t>
  </si>
  <si>
    <t>B</t>
  </si>
  <si>
    <t>Phosphorus Standard</t>
  </si>
  <si>
    <r>
      <t>Phosphorus (</t>
    </r>
    <r>
      <rPr>
        <b/>
        <sz val="11"/>
        <color theme="1"/>
        <rFont val="Calibri"/>
        <family val="2"/>
      </rPr>
      <t>µg</t>
    </r>
    <r>
      <rPr>
        <b/>
        <sz val="11"/>
        <color theme="1"/>
        <rFont val="Calibri"/>
        <family val="2"/>
        <scheme val="minor"/>
      </rPr>
      <t>)</t>
    </r>
  </si>
  <si>
    <t xml:space="preserve">  Δabs (standard)</t>
  </si>
  <si>
    <t xml:space="preserve"> M  (µg/ΔAbs)</t>
  </si>
  <si>
    <t>-</t>
  </si>
  <si>
    <t>STD 0</t>
  </si>
  <si>
    <t>STD 1</t>
  </si>
  <si>
    <t>Sorghum</t>
  </si>
  <si>
    <t>STD 2</t>
  </si>
  <si>
    <t>SD Pumpkin</t>
  </si>
  <si>
    <t>Not fortificated</t>
  </si>
  <si>
    <t>STD 3</t>
  </si>
  <si>
    <t>Not fermented</t>
  </si>
  <si>
    <t>C</t>
  </si>
  <si>
    <t>STD 4</t>
  </si>
  <si>
    <t>Fermented</t>
  </si>
  <si>
    <t>Firts experiment - Standards</t>
  </si>
  <si>
    <t>First experiment - Standard absorbance values</t>
  </si>
  <si>
    <t>First experiment - Results</t>
  </si>
  <si>
    <t>Pumpkin seed</t>
  </si>
  <si>
    <t>Not germinated</t>
  </si>
  <si>
    <t>Germinated</t>
  </si>
  <si>
    <t>First experiment - Mean M</t>
  </si>
  <si>
    <t>Totale complessivo</t>
  </si>
  <si>
    <t>Second experiment - Standards</t>
  </si>
  <si>
    <t>Second experiment - Standard absorbance values</t>
  </si>
  <si>
    <t>Second experiment - Results</t>
  </si>
  <si>
    <t>Second experiment - Mean M</t>
  </si>
  <si>
    <t>Total</t>
  </si>
  <si>
    <t>Sample absorbance values</t>
  </si>
  <si>
    <t>Results</t>
  </si>
  <si>
    <t xml:space="preserve">Phytic acid (g/100g) </t>
  </si>
  <si>
    <t>Sample</t>
  </si>
  <si>
    <t>Replicates</t>
  </si>
  <si>
    <t>Free Phosphorus</t>
  </si>
  <si>
    <t>Total Phosphorus</t>
  </si>
  <si>
    <t>Sample weight (g)</t>
  </si>
  <si>
    <t>Extraction volume (mL)</t>
  </si>
  <si>
    <t>ΔAbs (Phosphorus)</t>
  </si>
  <si>
    <t>Phosphorus (g/100 g)</t>
  </si>
  <si>
    <t>Formulation</t>
  </si>
  <si>
    <t>Fortification</t>
  </si>
  <si>
    <t>Time</t>
  </si>
  <si>
    <t>Germination</t>
  </si>
  <si>
    <t>Letter</t>
  </si>
  <si>
    <t>D</t>
  </si>
  <si>
    <t>AB</t>
  </si>
  <si>
    <t>Shear rate (1/s)</t>
  </si>
  <si>
    <t>t0.1.1</t>
  </si>
  <si>
    <t>t0.1.2</t>
  </si>
  <si>
    <t>t0.2.1</t>
  </si>
  <si>
    <t>t0.2.2</t>
  </si>
  <si>
    <t>SP</t>
  </si>
  <si>
    <t>t48.1.1</t>
  </si>
  <si>
    <t>t48.1.2</t>
  </si>
  <si>
    <t>t48.2.1</t>
  </si>
  <si>
    <t>t48.2.2</t>
  </si>
  <si>
    <t>FSP</t>
  </si>
  <si>
    <t>CSP.NG.1.1</t>
  </si>
  <si>
    <t>CSP.NG.1.2</t>
  </si>
  <si>
    <t>CSP.NG.2.1</t>
  </si>
  <si>
    <t>CSP.NG.2.2</t>
  </si>
  <si>
    <t>CSP.NG.3.1</t>
  </si>
  <si>
    <t>CSP.NG3.2</t>
  </si>
  <si>
    <t>CnGP</t>
  </si>
  <si>
    <t>CSP.GS.1.1</t>
  </si>
  <si>
    <t>CSP.GS.1.2</t>
  </si>
  <si>
    <t>CSP.GS.2.1</t>
  </si>
  <si>
    <t>CSP.GS.2.2</t>
  </si>
  <si>
    <t>CSP.GS.3.1</t>
  </si>
  <si>
    <t>CSP.GS.3.2</t>
  </si>
  <si>
    <t>CGP</t>
  </si>
  <si>
    <t>Blank Wheat</t>
  </si>
  <si>
    <t>Wheat</t>
  </si>
  <si>
    <t>A400x0.313</t>
  </si>
  <si>
    <t>Code</t>
  </si>
  <si>
    <t>CU/g</t>
  </si>
  <si>
    <t>Malt</t>
  </si>
  <si>
    <t>A400x376</t>
  </si>
  <si>
    <t>NG</t>
  </si>
  <si>
    <t>Wheat Extract</t>
  </si>
  <si>
    <t>NG.1.1</t>
  </si>
  <si>
    <t>Microbial</t>
  </si>
  <si>
    <t>A400x4.7xDilution</t>
  </si>
  <si>
    <t>GS</t>
  </si>
  <si>
    <t>NG.1.2</t>
  </si>
  <si>
    <t>SF</t>
  </si>
  <si>
    <t>F1</t>
  </si>
  <si>
    <t>NG.2.1</t>
  </si>
  <si>
    <t>NG.2.2</t>
  </si>
  <si>
    <t>FSF48</t>
  </si>
  <si>
    <t>F3</t>
  </si>
  <si>
    <t>Fermented (48h)</t>
  </si>
  <si>
    <t>(1)SF1.1</t>
  </si>
  <si>
    <t>CSFNG</t>
  </si>
  <si>
    <t>F4</t>
  </si>
  <si>
    <t>(1)SF1.2</t>
  </si>
  <si>
    <t>CSFGS</t>
  </si>
  <si>
    <t>F5</t>
  </si>
  <si>
    <t>(1)SF2.1</t>
  </si>
  <si>
    <t>(1)SF2.2</t>
  </si>
  <si>
    <t>Blank Malt</t>
  </si>
  <si>
    <t>Malt Extract</t>
  </si>
  <si>
    <t>GS.1.1</t>
  </si>
  <si>
    <t>Alpha-amylase</t>
  </si>
  <si>
    <t>std</t>
  </si>
  <si>
    <t>GS.1.2</t>
  </si>
  <si>
    <t>GS.2.1</t>
  </si>
  <si>
    <t>GS.2.2</t>
  </si>
  <si>
    <t>Blank bacterial</t>
  </si>
  <si>
    <t>Bacterial Extract</t>
  </si>
  <si>
    <t>(3)FSF48.1.1</t>
  </si>
  <si>
    <t>(3)FSF48.1.2</t>
  </si>
  <si>
    <t>(3)FSF48.2.1</t>
  </si>
  <si>
    <t>(3)FSF48.2.2</t>
  </si>
  <si>
    <t>(4)CSF.NG.1.1</t>
  </si>
  <si>
    <t>(4)CSF.NG.1.2</t>
  </si>
  <si>
    <t>(4)CSF.NG.2.1</t>
  </si>
  <si>
    <t>(4)CSF.NG.2.2</t>
  </si>
  <si>
    <t>(5)CSF.GS.1.1</t>
  </si>
  <si>
    <t>(5)CSF.GS.1.2</t>
  </si>
  <si>
    <t>(5)CSF.GS.2.1</t>
  </si>
  <si>
    <t>(5)CSF.GS.2.2</t>
  </si>
  <si>
    <t>tube+cab</t>
  </si>
  <si>
    <t>tube+cab+sediment</t>
  </si>
  <si>
    <t>weight of sediment</t>
  </si>
  <si>
    <t>dry-tray</t>
  </si>
  <si>
    <t>dried-tray</t>
  </si>
  <si>
    <t>weight of dissolved solid in supernatant</t>
  </si>
  <si>
    <t>WAI</t>
  </si>
  <si>
    <t>WSI</t>
  </si>
  <si>
    <t>sample weight</t>
  </si>
  <si>
    <t>Tube+cap</t>
  </si>
  <si>
    <t>Tube+cap_oil</t>
  </si>
  <si>
    <t>Oil weight</t>
  </si>
  <si>
    <t>dry weight</t>
  </si>
  <si>
    <t>OAI</t>
  </si>
  <si>
    <t>volume</t>
  </si>
  <si>
    <t>weight</t>
  </si>
  <si>
    <t>Bulk</t>
  </si>
  <si>
    <t>Batch</t>
  </si>
  <si>
    <t>Cooking</t>
  </si>
  <si>
    <t>pH</t>
  </si>
  <si>
    <t>SF b</t>
  </si>
  <si>
    <t>Not cooked</t>
  </si>
  <si>
    <t>FSF48 b</t>
  </si>
  <si>
    <t>CSFNG b</t>
  </si>
  <si>
    <t>CSFGS b</t>
  </si>
  <si>
    <t>weight (mg)</t>
  </si>
  <si>
    <t>protein factor</t>
  </si>
  <si>
    <t>nitrogen (%)</t>
  </si>
  <si>
    <t>protein (%)</t>
  </si>
  <si>
    <t>FSP48</t>
  </si>
  <si>
    <t>CSP.NG</t>
  </si>
  <si>
    <t>CSP.GS</t>
  </si>
  <si>
    <t>(+/-)</t>
  </si>
  <si>
    <t>(1)SP0</t>
  </si>
  <si>
    <t>(2)FSP24</t>
  </si>
  <si>
    <t>(3) FSP48</t>
  </si>
  <si>
    <t>(4)CSP.NG</t>
  </si>
  <si>
    <t>(5)CSP.GS</t>
  </si>
  <si>
    <t>powder weight</t>
  </si>
  <si>
    <t>Flask+stone</t>
  </si>
  <si>
    <t>Flask+stone+lipid</t>
  </si>
  <si>
    <t>Percentage</t>
  </si>
  <si>
    <t>NG1.1</t>
  </si>
  <si>
    <t>NG1.2</t>
  </si>
  <si>
    <t>NG2.1</t>
  </si>
  <si>
    <t>E</t>
  </si>
  <si>
    <t>NG2.2</t>
  </si>
  <si>
    <t>GS1.1</t>
  </si>
  <si>
    <t>GS1.2</t>
  </si>
  <si>
    <t>GS2.1</t>
  </si>
  <si>
    <t>GS2.2</t>
  </si>
  <si>
    <t>(1)SP1.1</t>
  </si>
  <si>
    <t>(1)SP1.2</t>
  </si>
  <si>
    <t>(1)SP2.1</t>
  </si>
  <si>
    <t>(1)SP2.2</t>
  </si>
  <si>
    <t>(3)FSP48.1.1</t>
  </si>
  <si>
    <t>(3)FSP48.2.2</t>
  </si>
  <si>
    <t>(3)FSP48.2.1</t>
  </si>
  <si>
    <t>(4)FSP-NG</t>
  </si>
  <si>
    <t>(4)CSP.NG.1.1</t>
  </si>
  <si>
    <t>(5)FSP-GS</t>
  </si>
  <si>
    <t>(4)CSP.NG.1.2</t>
  </si>
  <si>
    <t>(4)CSP.NG.2.1</t>
  </si>
  <si>
    <t>(4)CSP.NG.2.2</t>
  </si>
  <si>
    <t>(5)CSP.GS.1.1</t>
  </si>
  <si>
    <t>(5)CSP.GS.1.2</t>
  </si>
  <si>
    <t>(5)CSP.GS.2.1</t>
  </si>
  <si>
    <t>(5)CSP.GS.2.2</t>
  </si>
  <si>
    <t>fat</t>
  </si>
  <si>
    <t>percentage</t>
  </si>
  <si>
    <t>Moisture of porridge</t>
  </si>
  <si>
    <t>Moisture of seeds</t>
  </si>
  <si>
    <t>Step1</t>
  </si>
  <si>
    <t>Step11</t>
  </si>
  <si>
    <t>Step15</t>
  </si>
  <si>
    <t>Step17</t>
  </si>
  <si>
    <t>Step16</t>
  </si>
  <si>
    <t>Weight of crucible+celite (g)</t>
  </si>
  <si>
    <t>Weight of crucible + sample (dry over night) (g)</t>
  </si>
  <si>
    <t>weight of residue (g)</t>
  </si>
  <si>
    <t>Uncorrd av sample residue (USAR) (mg)</t>
  </si>
  <si>
    <t>crucible + celite + residue(ash) (g)</t>
  </si>
  <si>
    <t>weight of ash (g)</t>
  </si>
  <si>
    <t>Protein (%)</t>
  </si>
  <si>
    <t>Sample protein residue (SPR)</t>
  </si>
  <si>
    <t>Ash (%)    (W2-w1)/Ws x100</t>
  </si>
  <si>
    <t>Sample ash residue (SAR)</t>
  </si>
  <si>
    <t>Corrected blank (CB) (mg)</t>
  </si>
  <si>
    <t>Corrected sample residue (CSR)</t>
  </si>
  <si>
    <t>mg sample</t>
  </si>
  <si>
    <t>CSR/mg sample</t>
  </si>
  <si>
    <t>%TDF</t>
  </si>
  <si>
    <t>sample dry weight (g)</t>
  </si>
  <si>
    <t>after furnance</t>
  </si>
  <si>
    <t>Adjust for fat</t>
  </si>
  <si>
    <t>Adjust for moisture+fat</t>
  </si>
  <si>
    <t>Fat corrected</t>
  </si>
  <si>
    <t>Fat and moisture corrected</t>
  </si>
  <si>
    <t>Not blank corrected</t>
  </si>
  <si>
    <t>Blank1</t>
  </si>
  <si>
    <t>%ASH avg.</t>
  </si>
  <si>
    <t>Blank2</t>
  </si>
  <si>
    <t>UABR</t>
  </si>
  <si>
    <t>(1)SP</t>
  </si>
  <si>
    <t>(3)FSP48</t>
  </si>
  <si>
    <t>Ash percentage (w/w)</t>
  </si>
  <si>
    <t>Blank corrected</t>
  </si>
  <si>
    <t>Adjusted for blank</t>
  </si>
  <si>
    <t>Fibre</t>
  </si>
  <si>
    <t>Ash</t>
  </si>
  <si>
    <t>tray</t>
  </si>
  <si>
    <t>sample</t>
  </si>
  <si>
    <t>tray+sample(dried)</t>
  </si>
  <si>
    <t>%</t>
  </si>
  <si>
    <t>SP0.1.1</t>
  </si>
  <si>
    <t>SP0.1.2</t>
  </si>
  <si>
    <t>SP0.2.1</t>
  </si>
  <si>
    <t>SP0.2.2</t>
  </si>
  <si>
    <t>FSP.48.1.1</t>
  </si>
  <si>
    <t>FSP48.1.2</t>
  </si>
  <si>
    <t>FSP48.2.1</t>
  </si>
  <si>
    <t>FSP48.2.2</t>
  </si>
  <si>
    <t>%moisture as is</t>
  </si>
  <si>
    <t>protein</t>
  </si>
  <si>
    <t>Moisture</t>
  </si>
  <si>
    <t>Fat</t>
  </si>
  <si>
    <t>Carbohydrate</t>
  </si>
  <si>
    <t>Energy</t>
  </si>
  <si>
    <t>N/A</t>
  </si>
  <si>
    <t>CSF-NG</t>
  </si>
  <si>
    <t>CSF-GS</t>
  </si>
  <si>
    <t>FSF</t>
  </si>
  <si>
    <t>CnG</t>
  </si>
  <si>
    <t>CG</t>
  </si>
  <si>
    <t>Carb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</si>
</sst>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2" fillId="0" borderId="0" xfId="0" applyFont="1" applyAlignment="1">
      <alignment horizontal="center" vertical="center"/>
    </xf>
    <xf numFmtId="0" fontId="2" fillId="0" borderId="5" xfId="0" applyFont="1" applyBorder="1"/>
    <xf numFmtId="0" fontId="0" fillId="5" borderId="1" xfId="0" applyFill="1" applyBorder="1"/>
    <xf numFmtId="0" fontId="0" fillId="6" borderId="6" xfId="0" applyFill="1" applyBorder="1"/>
    <xf numFmtId="0" fontId="0" fillId="0" borderId="7" xfId="0" applyBorder="1"/>
    <xf numFmtId="0" fontId="0" fillId="6" borderId="9" xfId="0" applyFill="1" applyBorder="1"/>
    <xf numFmtId="0" fontId="0" fillId="6" borderId="11" xfId="0" applyFill="1" applyBorder="1"/>
    <xf numFmtId="0" fontId="0" fillId="0" borderId="12" xfId="0" applyBorder="1"/>
    <xf numFmtId="0" fontId="0" fillId="0" borderId="0" xfId="0" pivotButton="1"/>
    <xf numFmtId="0" fontId="0" fillId="7" borderId="0" xfId="0" applyFill="1"/>
    <xf numFmtId="0" fontId="2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2" borderId="1" xfId="0" applyFill="1" applyBorder="1"/>
    <xf numFmtId="0" fontId="0" fillId="6" borderId="0" xfId="0" applyFill="1"/>
    <xf numFmtId="0" fontId="0" fillId="6" borderId="1" xfId="0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horizontal="center"/>
    </xf>
    <xf numFmtId="2" fontId="0" fillId="0" borderId="0" xfId="0" applyNumberFormat="1"/>
    <xf numFmtId="0" fontId="0" fillId="0" borderId="6" xfId="0" applyBorder="1"/>
    <xf numFmtId="0" fontId="0" fillId="0" borderId="9" xfId="0" applyBorder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164" fontId="0" fillId="0" borderId="0" xfId="0" applyNumberFormat="1" applyBorder="1"/>
    <xf numFmtId="0" fontId="0" fillId="8" borderId="0" xfId="0" applyFill="1" applyBorder="1"/>
    <xf numFmtId="0" fontId="0" fillId="0" borderId="0" xfId="0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5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165" fontId="4" fillId="4" borderId="0" xfId="0" applyNumberFormat="1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6" borderId="0" xfId="0" applyFill="1" applyAlignment="1">
      <alignment horizontal="left"/>
    </xf>
    <xf numFmtId="2" fontId="0" fillId="5" borderId="0" xfId="0" applyNumberFormat="1" applyFill="1"/>
    <xf numFmtId="0" fontId="0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wrapText="1"/>
    </xf>
    <xf numFmtId="0" fontId="0" fillId="10" borderId="14" xfId="0" applyFill="1" applyBorder="1"/>
    <xf numFmtId="0" fontId="0" fillId="11" borderId="0" xfId="0" applyFill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/>
    <xf numFmtId="0" fontId="0" fillId="0" borderId="15" xfId="0" applyBorder="1"/>
    <xf numFmtId="0" fontId="0" fillId="5" borderId="16" xfId="0" applyFill="1" applyBorder="1"/>
    <xf numFmtId="0" fontId="0" fillId="12" borderId="17" xfId="0" applyFill="1" applyBorder="1"/>
    <xf numFmtId="0" fontId="0" fillId="11" borderId="18" xfId="0" applyFill="1" applyBorder="1"/>
    <xf numFmtId="0" fontId="0" fillId="0" borderId="16" xfId="0" applyBorder="1"/>
    <xf numFmtId="0" fontId="0" fillId="11" borderId="19" xfId="0" applyFill="1" applyBorder="1"/>
    <xf numFmtId="0" fontId="5" fillId="0" borderId="1" xfId="0" applyFont="1" applyBorder="1" applyAlignment="1">
      <alignment vertical="top"/>
    </xf>
    <xf numFmtId="0" fontId="0" fillId="0" borderId="8" xfId="0" applyBorder="1"/>
    <xf numFmtId="0" fontId="0" fillId="5" borderId="20" xfId="0" applyFill="1" applyBorder="1"/>
    <xf numFmtId="0" fontId="0" fillId="12" borderId="21" xfId="0" applyFill="1" applyBorder="1"/>
    <xf numFmtId="0" fontId="0" fillId="0" borderId="10" xfId="0" applyBorder="1"/>
    <xf numFmtId="2" fontId="0" fillId="0" borderId="10" xfId="0" applyNumberFormat="1" applyBorder="1"/>
    <xf numFmtId="0" fontId="0" fillId="10" borderId="18" xfId="0" applyFill="1" applyBorder="1"/>
    <xf numFmtId="0" fontId="0" fillId="10" borderId="19" xfId="0" applyFill="1" applyBorder="1"/>
    <xf numFmtId="0" fontId="0" fillId="0" borderId="11" xfId="0" applyBorder="1"/>
    <xf numFmtId="2" fontId="0" fillId="0" borderId="12" xfId="0" applyNumberFormat="1" applyBorder="1"/>
    <xf numFmtId="2" fontId="0" fillId="0" borderId="13" xfId="0" applyNumberFormat="1" applyBorder="1"/>
    <xf numFmtId="2" fontId="0" fillId="13" borderId="7" xfId="0" applyNumberFormat="1" applyFill="1" applyBorder="1"/>
    <xf numFmtId="2" fontId="0" fillId="13" borderId="12" xfId="0" applyNumberFormat="1" applyFill="1" applyBorder="1"/>
    <xf numFmtId="2" fontId="0" fillId="13" borderId="0" xfId="0" applyNumberFormat="1" applyFill="1"/>
    <xf numFmtId="0" fontId="0" fillId="0" borderId="13" xfId="0" applyBorder="1"/>
    <xf numFmtId="2" fontId="0" fillId="12" borderId="0" xfId="0" applyNumberFormat="1" applyFill="1"/>
    <xf numFmtId="2" fontId="0" fillId="14" borderId="0" xfId="0" applyNumberFormat="1" applyFill="1"/>
    <xf numFmtId="2" fontId="0" fillId="14" borderId="7" xfId="0" applyNumberFormat="1" applyFill="1" applyBorder="1"/>
    <xf numFmtId="2" fontId="0" fillId="12" borderId="12" xfId="0" applyNumberFormat="1" applyFill="1" applyBorder="1"/>
    <xf numFmtId="2" fontId="0" fillId="5" borderId="12" xfId="0" applyNumberFormat="1" applyFill="1" applyBorder="1"/>
    <xf numFmtId="0" fontId="0" fillId="5" borderId="6" xfId="0" applyFill="1" applyBorder="1"/>
    <xf numFmtId="166" fontId="0" fillId="0" borderId="0" xfId="0" applyNumberFormat="1"/>
    <xf numFmtId="0" fontId="2" fillId="5" borderId="0" xfId="0" applyFont="1" applyFill="1"/>
    <xf numFmtId="2" fontId="0" fillId="9" borderId="0" xfId="0" applyNumberFormat="1" applyFill="1"/>
    <xf numFmtId="166" fontId="0" fillId="9" borderId="0" xfId="0" applyNumberFormat="1" applyFill="1"/>
    <xf numFmtId="0" fontId="0" fillId="0" borderId="9" xfId="0" applyFill="1" applyBorder="1"/>
    <xf numFmtId="0" fontId="2" fillId="0" borderId="0" xfId="0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</a:rPr>
              <a:t>Phytic acid - Pumpkin seed sorghum porridge</a:t>
            </a:r>
            <a:endParaRPr lang="it-IT" sz="11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</c:pivotFmt>
      <c:pivotFmt>
        <c:idx val="2"/>
        <c:spPr>
          <a:solidFill>
            <a:schemeClr val="accent4"/>
          </a:solidFill>
          <a:ln>
            <a:noFill/>
          </a:ln>
          <a:effectLst/>
        </c:spPr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</c:pivotFmt>
      <c:pivotFmt>
        <c:idx val="4"/>
        <c:spPr>
          <a:solidFill>
            <a:srgbClr val="0070C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D3-467B-B662-4FCA4812E77D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D3-467B-B662-4FCA4812E7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D3-467B-B662-4FCA4812E7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D3-467B-B662-4FCA4812E7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'[1]Phytic acid data'!$AT$8:$AT$11</c:f>
                <c:numCache>
                  <c:formatCode>General</c:formatCode>
                  <c:ptCount val="4"/>
                  <c:pt idx="0">
                    <c:v>2.9975075681690593E-2</c:v>
                  </c:pt>
                  <c:pt idx="1">
                    <c:v>1.7281212689849827E-2</c:v>
                  </c:pt>
                  <c:pt idx="2">
                    <c:v>1.2299915080720612E-2</c:v>
                  </c:pt>
                  <c:pt idx="3">
                    <c:v>1.6477047045000585E-2</c:v>
                  </c:pt>
                </c:numCache>
              </c:numRef>
            </c:plus>
            <c:minus>
              <c:numRef>
                <c:f>'[1]Phytic acid data'!$AT$8:$AT$11</c:f>
                <c:numCache>
                  <c:formatCode>General</c:formatCode>
                  <c:ptCount val="4"/>
                  <c:pt idx="0">
                    <c:v>2.9975075681690593E-2</c:v>
                  </c:pt>
                  <c:pt idx="1">
                    <c:v>1.7281212689849827E-2</c:v>
                  </c:pt>
                  <c:pt idx="2">
                    <c:v>1.2299915080720612E-2</c:v>
                  </c:pt>
                  <c:pt idx="3">
                    <c:v>1.6477047045000585E-2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4"/>
              <c:pt idx="0">
                <c:v>Sorghum Not fortificated Not fermented -</c:v>
              </c:pt>
              <c:pt idx="1">
                <c:v>Sorghum Not fortificated Fermented -</c:v>
              </c:pt>
              <c:pt idx="2">
                <c:v>Sorghum Pumpkin seed Fermented Not germinated</c:v>
              </c:pt>
              <c:pt idx="3">
                <c:v>Sorghum Pumpkin seed Fermented Germinated</c:v>
              </c:pt>
            </c:strLit>
          </c:cat>
          <c:val>
            <c:numLit>
              <c:formatCode>General</c:formatCode>
              <c:ptCount val="4"/>
              <c:pt idx="0">
                <c:v>0.74172675750294159</c:v>
              </c:pt>
              <c:pt idx="1">
                <c:v>0.65892789215174352</c:v>
              </c:pt>
              <c:pt idx="2">
                <c:v>1.3945184416612502</c:v>
              </c:pt>
              <c:pt idx="3">
                <c:v>1.0244824538733808</c:v>
              </c:pt>
            </c:numLit>
          </c:val>
          <c:extLst>
            <c:ext xmlns:c16="http://schemas.microsoft.com/office/drawing/2014/chart" uri="{C3380CC4-5D6E-409C-BE32-E72D297353CC}">
              <c16:uniqueId val="{00000008-A0D3-467B-B662-4FCA4812E7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1493935"/>
        <c:axId val="1551496015"/>
      </c:barChart>
      <c:catAx>
        <c:axId val="155149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496015"/>
        <c:crosses val="autoZero"/>
        <c:auto val="1"/>
        <c:lblAlgn val="ctr"/>
        <c:lblOffset val="100"/>
        <c:noMultiLvlLbl val="0"/>
      </c:catAx>
      <c:valAx>
        <c:axId val="1551496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chemeClr val="tx1"/>
                    </a:solidFill>
                  </a:rPr>
                  <a:t>g/100g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49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Viscosity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[2]Viscosity!$F$1</c:f>
              <c:strCache>
                <c:ptCount val="1"/>
                <c:pt idx="0">
                  <c:v>SP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[2]Viscosity!$A$2:$A$39</c:f>
              <c:numCache>
                <c:formatCode>General</c:formatCode>
                <c:ptCount val="38"/>
                <c:pt idx="0">
                  <c:v>0.1</c:v>
                </c:pt>
                <c:pt idx="1">
                  <c:v>0.121</c:v>
                </c:pt>
                <c:pt idx="2">
                  <c:v>0.14599999999999999</c:v>
                </c:pt>
                <c:pt idx="3">
                  <c:v>0.17599999999999999</c:v>
                </c:pt>
                <c:pt idx="4">
                  <c:v>0.21199999999999999</c:v>
                </c:pt>
                <c:pt idx="5">
                  <c:v>0.25600000000000001</c:v>
                </c:pt>
                <c:pt idx="6">
                  <c:v>0.309</c:v>
                </c:pt>
                <c:pt idx="7">
                  <c:v>0.373</c:v>
                </c:pt>
                <c:pt idx="8">
                  <c:v>0.45</c:v>
                </c:pt>
                <c:pt idx="9">
                  <c:v>0.54300000000000004</c:v>
                </c:pt>
                <c:pt idx="10">
                  <c:v>0.65500000000000003</c:v>
                </c:pt>
                <c:pt idx="11">
                  <c:v>0.79100000000000004</c:v>
                </c:pt>
                <c:pt idx="12">
                  <c:v>0.95399999999999996</c:v>
                </c:pt>
                <c:pt idx="13">
                  <c:v>1.1499999999999999</c:v>
                </c:pt>
                <c:pt idx="14">
                  <c:v>1.39</c:v>
                </c:pt>
                <c:pt idx="15">
                  <c:v>1.68</c:v>
                </c:pt>
                <c:pt idx="16">
                  <c:v>2.02</c:v>
                </c:pt>
                <c:pt idx="17">
                  <c:v>2.44</c:v>
                </c:pt>
                <c:pt idx="18">
                  <c:v>2.95</c:v>
                </c:pt>
                <c:pt idx="19">
                  <c:v>3.56</c:v>
                </c:pt>
                <c:pt idx="20">
                  <c:v>4.29</c:v>
                </c:pt>
                <c:pt idx="21">
                  <c:v>5.18</c:v>
                </c:pt>
                <c:pt idx="22">
                  <c:v>6.25</c:v>
                </c:pt>
                <c:pt idx="23">
                  <c:v>7.54</c:v>
                </c:pt>
                <c:pt idx="24">
                  <c:v>9.1</c:v>
                </c:pt>
                <c:pt idx="25">
                  <c:v>11</c:v>
                </c:pt>
                <c:pt idx="26">
                  <c:v>13.3</c:v>
                </c:pt>
                <c:pt idx="27">
                  <c:v>16</c:v>
                </c:pt>
                <c:pt idx="28">
                  <c:v>19.3</c:v>
                </c:pt>
                <c:pt idx="29">
                  <c:v>23.3</c:v>
                </c:pt>
                <c:pt idx="30">
                  <c:v>28.1</c:v>
                </c:pt>
                <c:pt idx="31">
                  <c:v>33.9</c:v>
                </c:pt>
                <c:pt idx="32">
                  <c:v>40.9</c:v>
                </c:pt>
                <c:pt idx="33">
                  <c:v>49.4</c:v>
                </c:pt>
                <c:pt idx="34">
                  <c:v>59.6</c:v>
                </c:pt>
                <c:pt idx="35">
                  <c:v>72</c:v>
                </c:pt>
                <c:pt idx="36">
                  <c:v>86.9</c:v>
                </c:pt>
                <c:pt idx="37">
                  <c:v>105</c:v>
                </c:pt>
              </c:numCache>
            </c:numRef>
          </c:xVal>
          <c:yVal>
            <c:numRef>
              <c:f>[2]Viscosity!$F$2:$F$39</c:f>
              <c:numCache>
                <c:formatCode>General</c:formatCode>
                <c:ptCount val="38"/>
                <c:pt idx="0">
                  <c:v>6559.9250000000002</c:v>
                </c:pt>
                <c:pt idx="1">
                  <c:v>5911.25</c:v>
                </c:pt>
                <c:pt idx="2">
                  <c:v>4477.05</c:v>
                </c:pt>
                <c:pt idx="3">
                  <c:v>3635.0499999999997</c:v>
                </c:pt>
                <c:pt idx="4">
                  <c:v>2939.85</c:v>
                </c:pt>
                <c:pt idx="5">
                  <c:v>2383.2750000000001</c:v>
                </c:pt>
                <c:pt idx="6">
                  <c:v>1920.2750000000001</c:v>
                </c:pt>
                <c:pt idx="7">
                  <c:v>1561.4749999999999</c:v>
                </c:pt>
                <c:pt idx="8">
                  <c:v>1263.7249999999999</c:v>
                </c:pt>
                <c:pt idx="9">
                  <c:v>1026.0475000000001</c:v>
                </c:pt>
                <c:pt idx="10">
                  <c:v>843.67</c:v>
                </c:pt>
                <c:pt idx="11">
                  <c:v>690.63499999999999</c:v>
                </c:pt>
                <c:pt idx="12">
                  <c:v>548.97749999999996</c:v>
                </c:pt>
                <c:pt idx="13">
                  <c:v>435.20749999999998</c:v>
                </c:pt>
                <c:pt idx="14">
                  <c:v>350.58000000000004</c:v>
                </c:pt>
                <c:pt idx="15">
                  <c:v>284.97750000000002</c:v>
                </c:pt>
                <c:pt idx="16">
                  <c:v>225.13500000000002</c:v>
                </c:pt>
                <c:pt idx="17">
                  <c:v>182.48499999999999</c:v>
                </c:pt>
                <c:pt idx="18">
                  <c:v>142.47749999999999</c:v>
                </c:pt>
                <c:pt idx="19">
                  <c:v>114.29675</c:v>
                </c:pt>
                <c:pt idx="20">
                  <c:v>88.449250000000006</c:v>
                </c:pt>
                <c:pt idx="21">
                  <c:v>65.929249999999996</c:v>
                </c:pt>
                <c:pt idx="22">
                  <c:v>54.716000000000001</c:v>
                </c:pt>
                <c:pt idx="23">
                  <c:v>45.08175</c:v>
                </c:pt>
                <c:pt idx="24">
                  <c:v>37.46725</c:v>
                </c:pt>
                <c:pt idx="25">
                  <c:v>31.601249999999997</c:v>
                </c:pt>
                <c:pt idx="26">
                  <c:v>24.802250000000001</c:v>
                </c:pt>
                <c:pt idx="27">
                  <c:v>20.155999999999999</c:v>
                </c:pt>
                <c:pt idx="28">
                  <c:v>16.878525000000003</c:v>
                </c:pt>
                <c:pt idx="29">
                  <c:v>13.838775</c:v>
                </c:pt>
                <c:pt idx="30">
                  <c:v>11.469075</c:v>
                </c:pt>
                <c:pt idx="31">
                  <c:v>9.7352749999999997</c:v>
                </c:pt>
                <c:pt idx="32">
                  <c:v>7.9261499999999998</c:v>
                </c:pt>
                <c:pt idx="33">
                  <c:v>6.7083499999999994</c:v>
                </c:pt>
                <c:pt idx="34">
                  <c:v>5.54155</c:v>
                </c:pt>
                <c:pt idx="35">
                  <c:v>4.6494749999999998</c:v>
                </c:pt>
                <c:pt idx="36">
                  <c:v>3.9362225000000004</c:v>
                </c:pt>
                <c:pt idx="37">
                  <c:v>3.4335375000000004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C95-4CF7-A199-890333749AC0}"/>
            </c:ext>
          </c:extLst>
        </c:ser>
        <c:ser>
          <c:idx val="1"/>
          <c:order val="1"/>
          <c:tx>
            <c:strRef>
              <c:f>[2]Viscosity!$K$1</c:f>
              <c:strCache>
                <c:ptCount val="1"/>
                <c:pt idx="0">
                  <c:v>FSP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[2]Viscosity!$A$2:$A$39</c:f>
              <c:numCache>
                <c:formatCode>General</c:formatCode>
                <c:ptCount val="38"/>
                <c:pt idx="0">
                  <c:v>0.1</c:v>
                </c:pt>
                <c:pt idx="1">
                  <c:v>0.121</c:v>
                </c:pt>
                <c:pt idx="2">
                  <c:v>0.14599999999999999</c:v>
                </c:pt>
                <c:pt idx="3">
                  <c:v>0.17599999999999999</c:v>
                </c:pt>
                <c:pt idx="4">
                  <c:v>0.21199999999999999</c:v>
                </c:pt>
                <c:pt idx="5">
                  <c:v>0.25600000000000001</c:v>
                </c:pt>
                <c:pt idx="6">
                  <c:v>0.309</c:v>
                </c:pt>
                <c:pt idx="7">
                  <c:v>0.373</c:v>
                </c:pt>
                <c:pt idx="8">
                  <c:v>0.45</c:v>
                </c:pt>
                <c:pt idx="9">
                  <c:v>0.54300000000000004</c:v>
                </c:pt>
                <c:pt idx="10">
                  <c:v>0.65500000000000003</c:v>
                </c:pt>
                <c:pt idx="11">
                  <c:v>0.79100000000000004</c:v>
                </c:pt>
                <c:pt idx="12">
                  <c:v>0.95399999999999996</c:v>
                </c:pt>
                <c:pt idx="13">
                  <c:v>1.1499999999999999</c:v>
                </c:pt>
                <c:pt idx="14">
                  <c:v>1.39</c:v>
                </c:pt>
                <c:pt idx="15">
                  <c:v>1.68</c:v>
                </c:pt>
                <c:pt idx="16">
                  <c:v>2.02</c:v>
                </c:pt>
                <c:pt idx="17">
                  <c:v>2.44</c:v>
                </c:pt>
                <c:pt idx="18">
                  <c:v>2.95</c:v>
                </c:pt>
                <c:pt idx="19">
                  <c:v>3.56</c:v>
                </c:pt>
                <c:pt idx="20">
                  <c:v>4.29</c:v>
                </c:pt>
                <c:pt idx="21">
                  <c:v>5.18</c:v>
                </c:pt>
                <c:pt idx="22">
                  <c:v>6.25</c:v>
                </c:pt>
                <c:pt idx="23">
                  <c:v>7.54</c:v>
                </c:pt>
                <c:pt idx="24">
                  <c:v>9.1</c:v>
                </c:pt>
                <c:pt idx="25">
                  <c:v>11</c:v>
                </c:pt>
                <c:pt idx="26">
                  <c:v>13.3</c:v>
                </c:pt>
                <c:pt idx="27">
                  <c:v>16</c:v>
                </c:pt>
                <c:pt idx="28">
                  <c:v>19.3</c:v>
                </c:pt>
                <c:pt idx="29">
                  <c:v>23.3</c:v>
                </c:pt>
                <c:pt idx="30">
                  <c:v>28.1</c:v>
                </c:pt>
                <c:pt idx="31">
                  <c:v>33.9</c:v>
                </c:pt>
                <c:pt idx="32">
                  <c:v>40.9</c:v>
                </c:pt>
                <c:pt idx="33">
                  <c:v>49.4</c:v>
                </c:pt>
                <c:pt idx="34">
                  <c:v>59.6</c:v>
                </c:pt>
                <c:pt idx="35">
                  <c:v>72</c:v>
                </c:pt>
                <c:pt idx="36">
                  <c:v>86.9</c:v>
                </c:pt>
                <c:pt idx="37">
                  <c:v>105</c:v>
                </c:pt>
              </c:numCache>
            </c:numRef>
          </c:xVal>
          <c:yVal>
            <c:numRef>
              <c:f>[2]Viscosity!$K$2:$K$39</c:f>
              <c:numCache>
                <c:formatCode>General</c:formatCode>
                <c:ptCount val="38"/>
                <c:pt idx="0">
                  <c:v>4996.4750000000004</c:v>
                </c:pt>
                <c:pt idx="1">
                  <c:v>4350.2250000000004</c:v>
                </c:pt>
                <c:pt idx="2">
                  <c:v>3607.8249999999998</c:v>
                </c:pt>
                <c:pt idx="3">
                  <c:v>2974.375</c:v>
                </c:pt>
                <c:pt idx="4">
                  <c:v>2442.0500000000002</c:v>
                </c:pt>
                <c:pt idx="5">
                  <c:v>2009.675</c:v>
                </c:pt>
                <c:pt idx="6">
                  <c:v>1660.2</c:v>
                </c:pt>
                <c:pt idx="7">
                  <c:v>1365.9</c:v>
                </c:pt>
                <c:pt idx="8">
                  <c:v>1125.2574999999999</c:v>
                </c:pt>
                <c:pt idx="9">
                  <c:v>924.74</c:v>
                </c:pt>
                <c:pt idx="10">
                  <c:v>758.06499999999994</c:v>
                </c:pt>
                <c:pt idx="11">
                  <c:v>616.85749999999996</c:v>
                </c:pt>
                <c:pt idx="12">
                  <c:v>503.53999999999996</c:v>
                </c:pt>
                <c:pt idx="13">
                  <c:v>407.15749999999997</c:v>
                </c:pt>
                <c:pt idx="14">
                  <c:v>330.22500000000002</c:v>
                </c:pt>
                <c:pt idx="15">
                  <c:v>266.92500000000001</c:v>
                </c:pt>
                <c:pt idx="16">
                  <c:v>216.79250000000002</c:v>
                </c:pt>
                <c:pt idx="17">
                  <c:v>180.6575</c:v>
                </c:pt>
                <c:pt idx="18">
                  <c:v>146.29925</c:v>
                </c:pt>
                <c:pt idx="19">
                  <c:v>119.96775</c:v>
                </c:pt>
                <c:pt idx="20">
                  <c:v>100.00375</c:v>
                </c:pt>
                <c:pt idx="21">
                  <c:v>82.647750000000002</c:v>
                </c:pt>
                <c:pt idx="22">
                  <c:v>67.915500000000009</c:v>
                </c:pt>
                <c:pt idx="23">
                  <c:v>58.031750000000002</c:v>
                </c:pt>
                <c:pt idx="24">
                  <c:v>48.649749999999997</c:v>
                </c:pt>
                <c:pt idx="25">
                  <c:v>40.96275</c:v>
                </c:pt>
                <c:pt idx="26">
                  <c:v>34.769000000000005</c:v>
                </c:pt>
                <c:pt idx="27">
                  <c:v>29.22775</c:v>
                </c:pt>
                <c:pt idx="28">
                  <c:v>24.588750000000001</c:v>
                </c:pt>
                <c:pt idx="29">
                  <c:v>20.348749999999999</c:v>
                </c:pt>
                <c:pt idx="30">
                  <c:v>16.880524999999999</c:v>
                </c:pt>
                <c:pt idx="31">
                  <c:v>13.885225</c:v>
                </c:pt>
                <c:pt idx="32">
                  <c:v>11.771774999999998</c:v>
                </c:pt>
                <c:pt idx="33">
                  <c:v>9.85365</c:v>
                </c:pt>
                <c:pt idx="34">
                  <c:v>8.2837500000000013</c:v>
                </c:pt>
                <c:pt idx="35">
                  <c:v>6.9153000000000011</c:v>
                </c:pt>
                <c:pt idx="36">
                  <c:v>5.8076924999999999</c:v>
                </c:pt>
                <c:pt idx="37">
                  <c:v>4.7665424999999999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C95-4CF7-A199-890333749AC0}"/>
            </c:ext>
          </c:extLst>
        </c:ser>
        <c:ser>
          <c:idx val="2"/>
          <c:order val="2"/>
          <c:tx>
            <c:strRef>
              <c:f>[2]Viscosity!$R$1</c:f>
              <c:strCache>
                <c:ptCount val="1"/>
                <c:pt idx="0">
                  <c:v>CnGP</c:v>
                </c:pt>
              </c:strCache>
            </c:strRef>
          </c:tx>
          <c:spPr>
            <a:ln w="19050" cap="rnd">
              <a:solidFill>
                <a:schemeClr val="tx1">
                  <a:alpha val="99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[2]Viscosity!$A$2:$A$39</c:f>
              <c:numCache>
                <c:formatCode>General</c:formatCode>
                <c:ptCount val="38"/>
                <c:pt idx="0">
                  <c:v>0.1</c:v>
                </c:pt>
                <c:pt idx="1">
                  <c:v>0.121</c:v>
                </c:pt>
                <c:pt idx="2">
                  <c:v>0.14599999999999999</c:v>
                </c:pt>
                <c:pt idx="3">
                  <c:v>0.17599999999999999</c:v>
                </c:pt>
                <c:pt idx="4">
                  <c:v>0.21199999999999999</c:v>
                </c:pt>
                <c:pt idx="5">
                  <c:v>0.25600000000000001</c:v>
                </c:pt>
                <c:pt idx="6">
                  <c:v>0.309</c:v>
                </c:pt>
                <c:pt idx="7">
                  <c:v>0.373</c:v>
                </c:pt>
                <c:pt idx="8">
                  <c:v>0.45</c:v>
                </c:pt>
                <c:pt idx="9">
                  <c:v>0.54300000000000004</c:v>
                </c:pt>
                <c:pt idx="10">
                  <c:v>0.65500000000000003</c:v>
                </c:pt>
                <c:pt idx="11">
                  <c:v>0.79100000000000004</c:v>
                </c:pt>
                <c:pt idx="12">
                  <c:v>0.95399999999999996</c:v>
                </c:pt>
                <c:pt idx="13">
                  <c:v>1.1499999999999999</c:v>
                </c:pt>
                <c:pt idx="14">
                  <c:v>1.39</c:v>
                </c:pt>
                <c:pt idx="15">
                  <c:v>1.68</c:v>
                </c:pt>
                <c:pt idx="16">
                  <c:v>2.02</c:v>
                </c:pt>
                <c:pt idx="17">
                  <c:v>2.44</c:v>
                </c:pt>
                <c:pt idx="18">
                  <c:v>2.95</c:v>
                </c:pt>
                <c:pt idx="19">
                  <c:v>3.56</c:v>
                </c:pt>
                <c:pt idx="20">
                  <c:v>4.29</c:v>
                </c:pt>
                <c:pt idx="21">
                  <c:v>5.18</c:v>
                </c:pt>
                <c:pt idx="22">
                  <c:v>6.25</c:v>
                </c:pt>
                <c:pt idx="23">
                  <c:v>7.54</c:v>
                </c:pt>
                <c:pt idx="24">
                  <c:v>9.1</c:v>
                </c:pt>
                <c:pt idx="25">
                  <c:v>11</c:v>
                </c:pt>
                <c:pt idx="26">
                  <c:v>13.3</c:v>
                </c:pt>
                <c:pt idx="27">
                  <c:v>16</c:v>
                </c:pt>
                <c:pt idx="28">
                  <c:v>19.3</c:v>
                </c:pt>
                <c:pt idx="29">
                  <c:v>23.3</c:v>
                </c:pt>
                <c:pt idx="30">
                  <c:v>28.1</c:v>
                </c:pt>
                <c:pt idx="31">
                  <c:v>33.9</c:v>
                </c:pt>
                <c:pt idx="32">
                  <c:v>40.9</c:v>
                </c:pt>
                <c:pt idx="33">
                  <c:v>49.4</c:v>
                </c:pt>
                <c:pt idx="34">
                  <c:v>59.6</c:v>
                </c:pt>
                <c:pt idx="35">
                  <c:v>72</c:v>
                </c:pt>
                <c:pt idx="36">
                  <c:v>86.9</c:v>
                </c:pt>
                <c:pt idx="37">
                  <c:v>105</c:v>
                </c:pt>
              </c:numCache>
            </c:numRef>
          </c:xVal>
          <c:yVal>
            <c:numRef>
              <c:f>[2]Viscosity!$R$2:$R$39</c:f>
              <c:numCache>
                <c:formatCode>General</c:formatCode>
                <c:ptCount val="38"/>
                <c:pt idx="0">
                  <c:v>3502.0333333333333</c:v>
                </c:pt>
                <c:pt idx="1">
                  <c:v>2787.7666666666669</c:v>
                </c:pt>
                <c:pt idx="2">
                  <c:v>2173.5666666666671</c:v>
                </c:pt>
                <c:pt idx="3">
                  <c:v>1746.416666666667</c:v>
                </c:pt>
                <c:pt idx="4">
                  <c:v>1425.8500000000001</c:v>
                </c:pt>
                <c:pt idx="5">
                  <c:v>1173.8</c:v>
                </c:pt>
                <c:pt idx="6">
                  <c:v>930.58166666666659</c:v>
                </c:pt>
                <c:pt idx="7">
                  <c:v>774.6149999999999</c:v>
                </c:pt>
                <c:pt idx="8">
                  <c:v>639.96333333333325</c:v>
                </c:pt>
                <c:pt idx="9">
                  <c:v>530.8366666666667</c:v>
                </c:pt>
                <c:pt idx="10">
                  <c:v>441.02</c:v>
                </c:pt>
                <c:pt idx="11">
                  <c:v>363.31666666666666</c:v>
                </c:pt>
                <c:pt idx="12">
                  <c:v>303.75666666666666</c:v>
                </c:pt>
                <c:pt idx="13">
                  <c:v>253.00166666666667</c:v>
                </c:pt>
                <c:pt idx="14">
                  <c:v>209.71333333333334</c:v>
                </c:pt>
                <c:pt idx="15">
                  <c:v>174.84666666666666</c:v>
                </c:pt>
                <c:pt idx="16">
                  <c:v>147.33666666666667</c:v>
                </c:pt>
                <c:pt idx="17">
                  <c:v>128.33333333333334</c:v>
                </c:pt>
                <c:pt idx="18">
                  <c:v>109.35283333333332</c:v>
                </c:pt>
                <c:pt idx="19">
                  <c:v>91.551666666666662</c:v>
                </c:pt>
                <c:pt idx="20">
                  <c:v>78.426666666666677</c:v>
                </c:pt>
                <c:pt idx="21">
                  <c:v>65.073000000000008</c:v>
                </c:pt>
                <c:pt idx="22">
                  <c:v>54.363833333333332</c:v>
                </c:pt>
                <c:pt idx="23">
                  <c:v>45.302666666666674</c:v>
                </c:pt>
                <c:pt idx="24">
                  <c:v>38.486333333333334</c:v>
                </c:pt>
                <c:pt idx="25">
                  <c:v>35.131666666666668</c:v>
                </c:pt>
                <c:pt idx="26">
                  <c:v>29.6965</c:v>
                </c:pt>
                <c:pt idx="27">
                  <c:v>24.635000000000002</c:v>
                </c:pt>
                <c:pt idx="28">
                  <c:v>20.736500000000003</c:v>
                </c:pt>
                <c:pt idx="29">
                  <c:v>17.180999999999997</c:v>
                </c:pt>
                <c:pt idx="30">
                  <c:v>12.234583333333333</c:v>
                </c:pt>
                <c:pt idx="31">
                  <c:v>10.401316666666668</c:v>
                </c:pt>
                <c:pt idx="32">
                  <c:v>8.8356333333333339</c:v>
                </c:pt>
                <c:pt idx="33">
                  <c:v>7.5011000000000001</c:v>
                </c:pt>
                <c:pt idx="34">
                  <c:v>6.3486166666666675</c:v>
                </c:pt>
                <c:pt idx="35">
                  <c:v>5.3916500000000012</c:v>
                </c:pt>
                <c:pt idx="36">
                  <c:v>4.5717500000000006</c:v>
                </c:pt>
                <c:pt idx="37">
                  <c:v>3.8768166666666661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C95-4CF7-A199-890333749AC0}"/>
            </c:ext>
          </c:extLst>
        </c:ser>
        <c:ser>
          <c:idx val="3"/>
          <c:order val="3"/>
          <c:tx>
            <c:strRef>
              <c:f>[2]Viscosity!$Y$1</c:f>
              <c:strCache>
                <c:ptCount val="1"/>
                <c:pt idx="0">
                  <c:v>CGP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[2]Viscosity!$A$2:$A$39</c:f>
              <c:numCache>
                <c:formatCode>General</c:formatCode>
                <c:ptCount val="38"/>
                <c:pt idx="0">
                  <c:v>0.1</c:v>
                </c:pt>
                <c:pt idx="1">
                  <c:v>0.121</c:v>
                </c:pt>
                <c:pt idx="2">
                  <c:v>0.14599999999999999</c:v>
                </c:pt>
                <c:pt idx="3">
                  <c:v>0.17599999999999999</c:v>
                </c:pt>
                <c:pt idx="4">
                  <c:v>0.21199999999999999</c:v>
                </c:pt>
                <c:pt idx="5">
                  <c:v>0.25600000000000001</c:v>
                </c:pt>
                <c:pt idx="6">
                  <c:v>0.309</c:v>
                </c:pt>
                <c:pt idx="7">
                  <c:v>0.373</c:v>
                </c:pt>
                <c:pt idx="8">
                  <c:v>0.45</c:v>
                </c:pt>
                <c:pt idx="9">
                  <c:v>0.54300000000000004</c:v>
                </c:pt>
                <c:pt idx="10">
                  <c:v>0.65500000000000003</c:v>
                </c:pt>
                <c:pt idx="11">
                  <c:v>0.79100000000000004</c:v>
                </c:pt>
                <c:pt idx="12">
                  <c:v>0.95399999999999996</c:v>
                </c:pt>
                <c:pt idx="13">
                  <c:v>1.1499999999999999</c:v>
                </c:pt>
                <c:pt idx="14">
                  <c:v>1.39</c:v>
                </c:pt>
                <c:pt idx="15">
                  <c:v>1.68</c:v>
                </c:pt>
                <c:pt idx="16">
                  <c:v>2.02</c:v>
                </c:pt>
                <c:pt idx="17">
                  <c:v>2.44</c:v>
                </c:pt>
                <c:pt idx="18">
                  <c:v>2.95</c:v>
                </c:pt>
                <c:pt idx="19">
                  <c:v>3.56</c:v>
                </c:pt>
                <c:pt idx="20">
                  <c:v>4.29</c:v>
                </c:pt>
                <c:pt idx="21">
                  <c:v>5.18</c:v>
                </c:pt>
                <c:pt idx="22">
                  <c:v>6.25</c:v>
                </c:pt>
                <c:pt idx="23">
                  <c:v>7.54</c:v>
                </c:pt>
                <c:pt idx="24">
                  <c:v>9.1</c:v>
                </c:pt>
                <c:pt idx="25">
                  <c:v>11</c:v>
                </c:pt>
                <c:pt idx="26">
                  <c:v>13.3</c:v>
                </c:pt>
                <c:pt idx="27">
                  <c:v>16</c:v>
                </c:pt>
                <c:pt idx="28">
                  <c:v>19.3</c:v>
                </c:pt>
                <c:pt idx="29">
                  <c:v>23.3</c:v>
                </c:pt>
                <c:pt idx="30">
                  <c:v>28.1</c:v>
                </c:pt>
                <c:pt idx="31">
                  <c:v>33.9</c:v>
                </c:pt>
                <c:pt idx="32">
                  <c:v>40.9</c:v>
                </c:pt>
                <c:pt idx="33">
                  <c:v>49.4</c:v>
                </c:pt>
                <c:pt idx="34">
                  <c:v>59.6</c:v>
                </c:pt>
                <c:pt idx="35">
                  <c:v>72</c:v>
                </c:pt>
                <c:pt idx="36">
                  <c:v>86.9</c:v>
                </c:pt>
                <c:pt idx="37">
                  <c:v>105</c:v>
                </c:pt>
              </c:numCache>
            </c:numRef>
          </c:xVal>
          <c:yVal>
            <c:numRef>
              <c:f>[2]Viscosity!$Y$2:$Y$39</c:f>
              <c:numCache>
                <c:formatCode>General</c:formatCode>
                <c:ptCount val="38"/>
                <c:pt idx="0">
                  <c:v>4942.1333333333332</c:v>
                </c:pt>
                <c:pt idx="1">
                  <c:v>4051.2833333333333</c:v>
                </c:pt>
                <c:pt idx="2">
                  <c:v>3211.0166666666664</c:v>
                </c:pt>
                <c:pt idx="3">
                  <c:v>2565.65</c:v>
                </c:pt>
                <c:pt idx="4">
                  <c:v>2058.1333333333332</c:v>
                </c:pt>
                <c:pt idx="5">
                  <c:v>1647.8166666666666</c:v>
                </c:pt>
                <c:pt idx="6">
                  <c:v>1328.3166666666666</c:v>
                </c:pt>
                <c:pt idx="7">
                  <c:v>1071.7966666666669</c:v>
                </c:pt>
                <c:pt idx="8">
                  <c:v>861.85833333333323</c:v>
                </c:pt>
                <c:pt idx="9">
                  <c:v>688.52833333333331</c:v>
                </c:pt>
                <c:pt idx="10">
                  <c:v>560.67166666666674</c:v>
                </c:pt>
                <c:pt idx="11">
                  <c:v>454.73</c:v>
                </c:pt>
                <c:pt idx="12">
                  <c:v>364.33833333333331</c:v>
                </c:pt>
                <c:pt idx="13">
                  <c:v>289.94166666666666</c:v>
                </c:pt>
                <c:pt idx="14">
                  <c:v>235.58833333333334</c:v>
                </c:pt>
                <c:pt idx="15">
                  <c:v>189.07166666666663</c:v>
                </c:pt>
                <c:pt idx="16">
                  <c:v>153.11500000000001</c:v>
                </c:pt>
                <c:pt idx="17">
                  <c:v>123.47116666666669</c:v>
                </c:pt>
                <c:pt idx="18">
                  <c:v>103.97199999999999</c:v>
                </c:pt>
                <c:pt idx="19">
                  <c:v>85.176999999999992</c:v>
                </c:pt>
                <c:pt idx="20">
                  <c:v>69.504499999999993</c:v>
                </c:pt>
                <c:pt idx="21">
                  <c:v>61.344666666666676</c:v>
                </c:pt>
                <c:pt idx="22">
                  <c:v>50.977499999999999</c:v>
                </c:pt>
                <c:pt idx="23">
                  <c:v>41.547499999999999</c:v>
                </c:pt>
                <c:pt idx="24">
                  <c:v>34.661166666666666</c:v>
                </c:pt>
                <c:pt idx="25">
                  <c:v>28.831833333333332</c:v>
                </c:pt>
                <c:pt idx="26">
                  <c:v>23.798500000000001</c:v>
                </c:pt>
                <c:pt idx="27">
                  <c:v>20.026</c:v>
                </c:pt>
                <c:pt idx="28">
                  <c:v>16.703166666666668</c:v>
                </c:pt>
                <c:pt idx="29">
                  <c:v>14.181150000000002</c:v>
                </c:pt>
                <c:pt idx="30">
                  <c:v>11.9292</c:v>
                </c:pt>
                <c:pt idx="31">
                  <c:v>10.054599999999999</c:v>
                </c:pt>
                <c:pt idx="32">
                  <c:v>8.4062833333333327</c:v>
                </c:pt>
                <c:pt idx="33">
                  <c:v>7.0360333333333331</c:v>
                </c:pt>
                <c:pt idx="34">
                  <c:v>5.9051666666666671</c:v>
                </c:pt>
                <c:pt idx="35">
                  <c:v>4.9733333333333336</c:v>
                </c:pt>
                <c:pt idx="36">
                  <c:v>4.1348000000000003</c:v>
                </c:pt>
                <c:pt idx="37">
                  <c:v>3.4020333333333337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C95-4CF7-A199-89033374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147680"/>
        <c:axId val="1335144768"/>
      </c:scatterChart>
      <c:valAx>
        <c:axId val="1335147680"/>
        <c:scaling>
          <c:logBase val="10"/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000">
                    <a:solidFill>
                      <a:schemeClr val="tx1"/>
                    </a:solidFill>
                  </a:rPr>
                  <a:t>Shear rate (1/s)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144768"/>
        <c:crosses val="autoZero"/>
        <c:crossBetween val="midCat"/>
      </c:valAx>
      <c:valAx>
        <c:axId val="133514476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solidFill>
                      <a:schemeClr val="tx1"/>
                    </a:solidFill>
                  </a:rPr>
                  <a:t>Apparent viscosity (Pa·s)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out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147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96901</xdr:colOff>
      <xdr:row>15</xdr:row>
      <xdr:rowOff>111743</xdr:rowOff>
    </xdr:from>
    <xdr:to>
      <xdr:col>27</xdr:col>
      <xdr:colOff>108857</xdr:colOff>
      <xdr:row>21</xdr:row>
      <xdr:rowOff>72571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5D292046-17E8-281B-E91D-F9366D0FEA8D}"/>
            </a:ext>
          </a:extLst>
        </xdr:cNvPr>
        <xdr:cNvSpPr txBox="1"/>
      </xdr:nvSpPr>
      <xdr:spPr>
        <a:xfrm>
          <a:off x="11046115" y="2833172"/>
          <a:ext cx="9056171" cy="104939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NOTE</a:t>
          </a:r>
          <a:r>
            <a:rPr lang="it-IT" sz="1100"/>
            <a:t>:</a:t>
          </a:r>
          <a:r>
            <a:rPr lang="it-IT" sz="1400"/>
            <a:t> the order of the letters is different from how you wrote it on the latest version of the article you sent me.</a:t>
          </a:r>
        </a:p>
        <a:p>
          <a:r>
            <a:rPr lang="it-IT" sz="1400"/>
            <a:t>I don't know in the final version you submitted for publication which order you chose; here I leave the order I had given.</a:t>
          </a:r>
        </a:p>
        <a:p>
          <a:r>
            <a:rPr lang="it-IT" sz="1400"/>
            <a:t>However all the values match.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49480</xdr:colOff>
      <xdr:row>16</xdr:row>
      <xdr:rowOff>49481</xdr:rowOff>
    </xdr:from>
    <xdr:to>
      <xdr:col>25</xdr:col>
      <xdr:colOff>256718</xdr:colOff>
      <xdr:row>22</xdr:row>
      <xdr:rowOff>89798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75A4C0F9-D505-4EE8-9723-AC2E93DA82FB}"/>
            </a:ext>
          </a:extLst>
        </xdr:cNvPr>
        <xdr:cNvSpPr txBox="1"/>
      </xdr:nvSpPr>
      <xdr:spPr>
        <a:xfrm>
          <a:off x="4741883" y="2952338"/>
          <a:ext cx="10218796" cy="112888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These values are</a:t>
          </a:r>
          <a:r>
            <a:rPr lang="it-IT" sz="2000" b="1" baseline="0">
              <a:solidFill>
                <a:srgbClr val="FF0000"/>
              </a:solidFill>
            </a:rPr>
            <a:t> </a:t>
          </a:r>
          <a:r>
            <a:rPr lang="it-IT" sz="1400"/>
            <a:t>different from those you wrote on the latest version of the article you sent me.</a:t>
          </a:r>
        </a:p>
        <a:p>
          <a:r>
            <a:rPr lang="it-IT" sz="1400"/>
            <a:t>Probably because some values relating to the ash content are missing (see purple).</a:t>
          </a:r>
        </a:p>
        <a:p>
          <a:r>
            <a:rPr lang="it-IT" sz="1400"/>
            <a:t>I don't know if nawa gave you a different version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607459</xdr:colOff>
      <xdr:row>1</xdr:row>
      <xdr:rowOff>74445</xdr:rowOff>
    </xdr:from>
    <xdr:to>
      <xdr:col>39</xdr:col>
      <xdr:colOff>169177</xdr:colOff>
      <xdr:row>25</xdr:row>
      <xdr:rowOff>4199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ADF994A-5BAF-46B7-8FC3-F21E6DA80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304272</xdr:colOff>
      <xdr:row>26</xdr:row>
      <xdr:rowOff>52917</xdr:rowOff>
    </xdr:from>
    <xdr:to>
      <xdr:col>42</xdr:col>
      <xdr:colOff>472250</xdr:colOff>
      <xdr:row>31</xdr:row>
      <xdr:rowOff>98275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9E26FB11-C572-43FE-A197-1856DB3B8A8C}"/>
            </a:ext>
          </a:extLst>
        </xdr:cNvPr>
        <xdr:cNvSpPr txBox="1"/>
      </xdr:nvSpPr>
      <xdr:spPr>
        <a:xfrm>
          <a:off x="27794480" y="4815417"/>
          <a:ext cx="8965374" cy="9714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NOTE</a:t>
          </a:r>
          <a:r>
            <a:rPr lang="it-IT" sz="1100"/>
            <a:t>:</a:t>
          </a:r>
          <a:r>
            <a:rPr lang="it-IT" sz="1400"/>
            <a:t> the order of the letters is different from how you wrote it on the latest version of the article you sent me.</a:t>
          </a:r>
        </a:p>
        <a:p>
          <a:r>
            <a:rPr lang="it-IT" sz="1400"/>
            <a:t>I don't know in the final version you submitted for publication which order you chose; here I leave the order I had given.</a:t>
          </a:r>
        </a:p>
        <a:p>
          <a:r>
            <a:rPr lang="it-IT" sz="1400"/>
            <a:t>However all the values match.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103841</xdr:colOff>
      <xdr:row>2</xdr:row>
      <xdr:rowOff>128743</xdr:rowOff>
    </xdr:from>
    <xdr:to>
      <xdr:col>21</xdr:col>
      <xdr:colOff>76076</xdr:colOff>
      <xdr:row>44</xdr:row>
      <xdr:rowOff>170018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1382870-A142-4E22-B389-51110FB06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1</xdr:rowOff>
    </xdr:from>
    <xdr:to>
      <xdr:col>22</xdr:col>
      <xdr:colOff>241300</xdr:colOff>
      <xdr:row>15</xdr:row>
      <xdr:rowOff>12701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2265670D-F9D6-4DC8-BA65-360DF422496D}"/>
            </a:ext>
          </a:extLst>
        </xdr:cNvPr>
        <xdr:cNvSpPr txBox="1"/>
      </xdr:nvSpPr>
      <xdr:spPr>
        <a:xfrm>
          <a:off x="4876800" y="1841501"/>
          <a:ext cx="8966200" cy="9334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NOTE</a:t>
          </a:r>
          <a:r>
            <a:rPr lang="it-IT" sz="1100"/>
            <a:t>:</a:t>
          </a:r>
          <a:r>
            <a:rPr lang="it-IT" sz="1400"/>
            <a:t> the order of the letters is different from how you wrote it on the latest version of the article you sent me.</a:t>
          </a:r>
        </a:p>
        <a:p>
          <a:r>
            <a:rPr lang="it-IT" sz="1400"/>
            <a:t>I don't know in the final version you submitted for publication which order you chose; here I leave the order I had given.</a:t>
          </a:r>
        </a:p>
      </xdr:txBody>
    </xdr:sp>
    <xdr:clientData/>
  </xdr:twoCellAnchor>
  <xdr:twoCellAnchor>
    <xdr:from>
      <xdr:col>12</xdr:col>
      <xdr:colOff>654050</xdr:colOff>
      <xdr:row>4</xdr:row>
      <xdr:rowOff>0</xdr:rowOff>
    </xdr:from>
    <xdr:to>
      <xdr:col>17</xdr:col>
      <xdr:colOff>508000</xdr:colOff>
      <xdr:row>7</xdr:row>
      <xdr:rowOff>152400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61CD49E-30BC-DE6F-9DB0-2AC8A800654A}"/>
            </a:ext>
          </a:extLst>
        </xdr:cNvPr>
        <xdr:cNvSpPr txBox="1"/>
      </xdr:nvSpPr>
      <xdr:spPr>
        <a:xfrm>
          <a:off x="7302500" y="736600"/>
          <a:ext cx="37592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1,84 -&gt; </a:t>
          </a:r>
          <a:r>
            <a:rPr lang="it-IT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value</a:t>
          </a:r>
          <a:r>
            <a:rPr lang="it-IT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 different</a:t>
          </a:r>
          <a:r>
            <a:rPr lang="it-IT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the one you wrote on the latest version of the article you sent me.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Instead the SD is the same.</a:t>
          </a:r>
          <a:endParaRPr lang="it-IT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9</xdr:row>
      <xdr:rowOff>88901</xdr:rowOff>
    </xdr:from>
    <xdr:to>
      <xdr:col>21</xdr:col>
      <xdr:colOff>368300</xdr:colOff>
      <xdr:row>14</xdr:row>
      <xdr:rowOff>177801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F2818256-0D80-42CC-B522-922AFF3D933B}"/>
            </a:ext>
          </a:extLst>
        </xdr:cNvPr>
        <xdr:cNvSpPr txBox="1"/>
      </xdr:nvSpPr>
      <xdr:spPr>
        <a:xfrm>
          <a:off x="3105150" y="1746251"/>
          <a:ext cx="9531350" cy="1009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NOTE</a:t>
          </a:r>
          <a:r>
            <a:rPr lang="it-IT" sz="1100"/>
            <a:t>:</a:t>
          </a:r>
          <a:r>
            <a:rPr lang="it-IT" sz="1400"/>
            <a:t> the order of the letters is different from how you wrote it on the latest version of the article you sent me.</a:t>
          </a:r>
        </a:p>
        <a:p>
          <a:r>
            <a:rPr lang="it-IT" sz="1400"/>
            <a:t>I don't know in the final version you submitted for publication which order you chose; here I leave the order I had given.</a:t>
          </a:r>
        </a:p>
        <a:p>
          <a:r>
            <a:rPr lang="it-IT" sz="1400"/>
            <a:t>However all the values match.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152400</xdr:rowOff>
    </xdr:from>
    <xdr:to>
      <xdr:col>29</xdr:col>
      <xdr:colOff>298823</xdr:colOff>
      <xdr:row>13</xdr:row>
      <xdr:rowOff>146050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9B4E421-234B-43CB-BE7F-36C73BCC9BD9}"/>
            </a:ext>
          </a:extLst>
        </xdr:cNvPr>
        <xdr:cNvSpPr txBox="1"/>
      </xdr:nvSpPr>
      <xdr:spPr>
        <a:xfrm>
          <a:off x="7642412" y="1504576"/>
          <a:ext cx="9876117" cy="1159062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NOTE</a:t>
          </a:r>
          <a:r>
            <a:rPr lang="it-IT" sz="1100"/>
            <a:t>:</a:t>
          </a:r>
          <a:r>
            <a:rPr lang="it-IT" sz="1400"/>
            <a:t> the order of the letters is different from how you wrote it on the latest version of the article you sent me.</a:t>
          </a:r>
        </a:p>
        <a:p>
          <a:r>
            <a:rPr lang="it-IT" sz="1400"/>
            <a:t>I don't know in the final version you submitted for publication which order you chose; here I leave the order I had given.</a:t>
          </a:r>
        </a:p>
      </xdr:txBody>
    </xdr:sp>
    <xdr:clientData/>
  </xdr:twoCellAnchor>
  <xdr:twoCellAnchor>
    <xdr:from>
      <xdr:col>16</xdr:col>
      <xdr:colOff>418352</xdr:colOff>
      <xdr:row>2</xdr:row>
      <xdr:rowOff>22411</xdr:rowOff>
    </xdr:from>
    <xdr:to>
      <xdr:col>26</xdr:col>
      <xdr:colOff>515470</xdr:colOff>
      <xdr:row>5</xdr:row>
      <xdr:rowOff>144555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E62B6F48-DA64-4BC4-BBCA-14306B1F1FCD}"/>
            </a:ext>
          </a:extLst>
        </xdr:cNvPr>
        <xdr:cNvSpPr txBox="1"/>
      </xdr:nvSpPr>
      <xdr:spPr>
        <a:xfrm>
          <a:off x="9674411" y="403411"/>
          <a:ext cx="62230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4,46</a:t>
          </a:r>
          <a:r>
            <a:rPr lang="it-IT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-&gt; </a:t>
          </a:r>
          <a:r>
            <a:rPr lang="it-IT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this value</a:t>
          </a:r>
          <a:r>
            <a:rPr lang="it-IT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 different</a:t>
          </a:r>
          <a:r>
            <a:rPr lang="it-IT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the one you wrote on the latest version of the article you sent me.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Instead the SD is the same.</a:t>
          </a:r>
          <a:endParaRPr lang="it-IT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48846</xdr:colOff>
      <xdr:row>21</xdr:row>
      <xdr:rowOff>24424</xdr:rowOff>
    </xdr:from>
    <xdr:to>
      <xdr:col>22</xdr:col>
      <xdr:colOff>601695</xdr:colOff>
      <xdr:row>26</xdr:row>
      <xdr:rowOff>61059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E1D0A3E5-0915-402F-96F1-791E7A52E414}"/>
            </a:ext>
          </a:extLst>
        </xdr:cNvPr>
        <xdr:cNvSpPr txBox="1"/>
      </xdr:nvSpPr>
      <xdr:spPr>
        <a:xfrm>
          <a:off x="7082692" y="3871059"/>
          <a:ext cx="8991022" cy="9525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NOTE</a:t>
          </a:r>
          <a:r>
            <a:rPr lang="it-IT" sz="1100"/>
            <a:t>:</a:t>
          </a:r>
          <a:r>
            <a:rPr lang="it-IT" sz="1400"/>
            <a:t> the order of the letters is different from how you wrote it on the latest version of the article you sent me.</a:t>
          </a:r>
        </a:p>
        <a:p>
          <a:r>
            <a:rPr lang="it-IT" sz="1400"/>
            <a:t>I don't know in the final version you submitted for publication which order you chose; here I leave the order I had given.</a:t>
          </a:r>
        </a:p>
        <a:p>
          <a:r>
            <a:rPr lang="it-IT" sz="1400"/>
            <a:t>However all the values match.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21</xdr:col>
      <xdr:colOff>443492</xdr:colOff>
      <xdr:row>13</xdr:row>
      <xdr:rowOff>10080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C3929FFE-4792-4595-BDBD-4958B2715E2B}"/>
            </a:ext>
          </a:extLst>
        </xdr:cNvPr>
        <xdr:cNvSpPr txBox="1"/>
      </xdr:nvSpPr>
      <xdr:spPr>
        <a:xfrm>
          <a:off x="6612063" y="1270000"/>
          <a:ext cx="9162143" cy="109865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NOTE</a:t>
          </a:r>
          <a:r>
            <a:rPr lang="it-IT" sz="1100"/>
            <a:t>:</a:t>
          </a:r>
          <a:r>
            <a:rPr lang="it-IT" sz="1400"/>
            <a:t> the order of the letters is different from how you wrote it on the latest version of the article you sent me.</a:t>
          </a:r>
        </a:p>
        <a:p>
          <a:r>
            <a:rPr lang="it-IT" sz="1400"/>
            <a:t>I don't know in the final version you submitted for publication which order you chose; here I leave the order I had given.</a:t>
          </a:r>
        </a:p>
        <a:p>
          <a:r>
            <a:rPr lang="it-IT" sz="1400"/>
            <a:t>However all the values match.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396874</xdr:colOff>
      <xdr:row>9</xdr:row>
      <xdr:rowOff>127000</xdr:rowOff>
    </xdr:from>
    <xdr:to>
      <xdr:col>50</xdr:col>
      <xdr:colOff>31750</xdr:colOff>
      <xdr:row>18</xdr:row>
      <xdr:rowOff>127000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DC0E9BD-AE8C-0CE1-12CC-BF1BF06D2EA5}"/>
            </a:ext>
          </a:extLst>
        </xdr:cNvPr>
        <xdr:cNvSpPr txBox="1"/>
      </xdr:nvSpPr>
      <xdr:spPr>
        <a:xfrm>
          <a:off x="30368874" y="2460625"/>
          <a:ext cx="13096876" cy="17145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800"/>
            <a:t>I don't know how Nawa organized the data and did the calculations for fiber and ash.</a:t>
          </a:r>
        </a:p>
        <a:p>
          <a:r>
            <a:rPr lang="it-IT" sz="2800"/>
            <a:t>However, the calculations are correct and in line with the article.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22</xdr:col>
      <xdr:colOff>405086</xdr:colOff>
      <xdr:row>13</xdr:row>
      <xdr:rowOff>182617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C23564A0-A6A7-4195-B916-8374340D733C}"/>
            </a:ext>
          </a:extLst>
        </xdr:cNvPr>
        <xdr:cNvSpPr txBox="1"/>
      </xdr:nvSpPr>
      <xdr:spPr>
        <a:xfrm>
          <a:off x="5539828" y="1675086"/>
          <a:ext cx="9065172" cy="9271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NOTE</a:t>
          </a:r>
          <a:r>
            <a:rPr lang="it-IT" sz="1100"/>
            <a:t>:</a:t>
          </a:r>
          <a:r>
            <a:rPr lang="it-IT" sz="1400"/>
            <a:t> the order of the letters is different from how you wrote it on the latest version of the article you sent me.</a:t>
          </a:r>
        </a:p>
        <a:p>
          <a:r>
            <a:rPr lang="it-IT" sz="1400"/>
            <a:t>I don't know in the final version you submitted for publication which order you chose; here I leave the order I had given.</a:t>
          </a:r>
        </a:p>
        <a:p>
          <a:r>
            <a:rPr lang="it-IT" sz="1400"/>
            <a:t>However all the values match.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24</xdr:col>
      <xdr:colOff>435092</xdr:colOff>
      <xdr:row>15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297804C5-078A-41AF-A054-6E51BFEC9721}"/>
            </a:ext>
          </a:extLst>
        </xdr:cNvPr>
        <xdr:cNvSpPr txBox="1"/>
      </xdr:nvSpPr>
      <xdr:spPr>
        <a:xfrm>
          <a:off x="4891852" y="1693333"/>
          <a:ext cx="10218796" cy="112888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it-IT" sz="2000" b="1">
              <a:solidFill>
                <a:srgbClr val="FF0000"/>
              </a:solidFill>
            </a:rPr>
            <a:t>NOTE</a:t>
          </a:r>
          <a:r>
            <a:rPr lang="it-IT" sz="1100"/>
            <a:t>:</a:t>
          </a:r>
          <a:r>
            <a:rPr lang="it-IT" sz="1400"/>
            <a:t> the order of the letters is different from how you wrote it on the latest version of the article you sent me.</a:t>
          </a:r>
        </a:p>
        <a:p>
          <a:r>
            <a:rPr lang="it-IT" sz="1400"/>
            <a:t>I don't know in the final version you submitted for publication which order you chose; here I leave the order I had given.</a:t>
          </a:r>
        </a:p>
        <a:p>
          <a:r>
            <a:rPr lang="it-IT" sz="1400"/>
            <a:t>However all the values match.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Progetto%20PhD_Wageningen\Phytic%20acid%20assay\Phytic%20acid%20calc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Progetto%20PhD_Wageningen\Students\Nawa\Data_sorghum%20and%20pumpk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ytic acid data"/>
      <sheetName val="ANOVA Pumpkin"/>
      <sheetName val="ANOVA Baobab"/>
      <sheetName val="XLSTAT_20230130_180639_1_HID1"/>
      <sheetName val="XLSTAT_20230130_180639_1_HID"/>
      <sheetName val="XLSTAT_20230130_180502_1_HID1"/>
      <sheetName val="XLSTAT_20230130_180502_1_HID"/>
      <sheetName val="XLSTAT_20230130_175603_1_HID1"/>
      <sheetName val="XLSTAT_20230130_175603_1_HID"/>
      <sheetName val="XLSTAT_20230130_175339_1_HID1"/>
      <sheetName val="XLSTAT_20230130_175339_1_HID"/>
    </sheetNames>
    <sheetDataSet>
      <sheetData sheetId="0">
        <row r="7">
          <cell r="AI7">
            <v>5.6380882133412288E-2</v>
          </cell>
        </row>
        <row r="8">
          <cell r="AT8">
            <v>2.9975075681690593E-2</v>
          </cell>
        </row>
        <row r="9">
          <cell r="AT9">
            <v>1.7281212689849827E-2</v>
          </cell>
        </row>
        <row r="10">
          <cell r="AT10">
            <v>1.2299915080720612E-2</v>
          </cell>
        </row>
        <row r="11">
          <cell r="AT11">
            <v>1.6477047045000585E-2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 and info"/>
      <sheetName val="Viscosity"/>
      <sheetName val="Amylase"/>
      <sheetName val="WAI WSI"/>
      <sheetName val="OAI"/>
      <sheetName val="Bulk"/>
      <sheetName val="Lipid"/>
      <sheetName val="XLSTAT_20230224_150259_1_HID1"/>
      <sheetName val="XLSTAT_20230224_150259_1_HID"/>
      <sheetName val="AN Lipid"/>
      <sheetName val="XLSTAT_20230224_145928_1_HID1"/>
      <sheetName val="XLSTAT_20230224_145928_1_HID"/>
      <sheetName val="Protein"/>
      <sheetName val="AN protein"/>
      <sheetName val="SDS-PAGE"/>
      <sheetName val="pH"/>
      <sheetName val="AN pH"/>
      <sheetName val="Fiber and ash"/>
      <sheetName val="AN moisture"/>
      <sheetName val="XLSTAT_20230224_151103_1_HID1"/>
      <sheetName val="XLSTAT_20230224_151103_1_HID"/>
      <sheetName val="Carb energy"/>
      <sheetName val="Final Table"/>
      <sheetName val="Moisture"/>
      <sheetName val="XLSTAT_20230224_184118_1_HID1"/>
      <sheetName val="XLSTAT_20230224_184118_1_HID"/>
      <sheetName val="Phytic acid"/>
    </sheetNames>
    <sheetDataSet>
      <sheetData sheetId="0" refreshError="1"/>
      <sheetData sheetId="1">
        <row r="1">
          <cell r="F1" t="str">
            <v>SP</v>
          </cell>
          <cell r="K1" t="str">
            <v>FSP</v>
          </cell>
          <cell r="R1" t="str">
            <v>CnGP</v>
          </cell>
          <cell r="Y1" t="str">
            <v>CGP</v>
          </cell>
        </row>
        <row r="2">
          <cell r="A2">
            <v>0.1</v>
          </cell>
          <cell r="F2">
            <v>6559.9250000000002</v>
          </cell>
          <cell r="K2">
            <v>4996.4750000000004</v>
          </cell>
          <cell r="R2">
            <v>3502.0333333333333</v>
          </cell>
          <cell r="Y2">
            <v>4942.1333333333332</v>
          </cell>
        </row>
        <row r="3">
          <cell r="A3">
            <v>0.121</v>
          </cell>
          <cell r="F3">
            <v>5911.25</v>
          </cell>
          <cell r="K3">
            <v>4350.2250000000004</v>
          </cell>
          <cell r="R3">
            <v>2787.7666666666669</v>
          </cell>
          <cell r="Y3">
            <v>4051.2833333333333</v>
          </cell>
        </row>
        <row r="4">
          <cell r="A4">
            <v>0.14599999999999999</v>
          </cell>
          <cell r="F4">
            <v>4477.05</v>
          </cell>
          <cell r="K4">
            <v>3607.8249999999998</v>
          </cell>
          <cell r="R4">
            <v>2173.5666666666671</v>
          </cell>
          <cell r="Y4">
            <v>3211.0166666666664</v>
          </cell>
        </row>
        <row r="5">
          <cell r="A5">
            <v>0.17599999999999999</v>
          </cell>
          <cell r="F5">
            <v>3635.0499999999997</v>
          </cell>
          <cell r="K5">
            <v>2974.375</v>
          </cell>
          <cell r="R5">
            <v>1746.416666666667</v>
          </cell>
          <cell r="Y5">
            <v>2565.65</v>
          </cell>
        </row>
        <row r="6">
          <cell r="A6">
            <v>0.21199999999999999</v>
          </cell>
          <cell r="F6">
            <v>2939.85</v>
          </cell>
          <cell r="K6">
            <v>2442.0500000000002</v>
          </cell>
          <cell r="R6">
            <v>1425.8500000000001</v>
          </cell>
          <cell r="Y6">
            <v>2058.1333333333332</v>
          </cell>
        </row>
        <row r="7">
          <cell r="A7">
            <v>0.25600000000000001</v>
          </cell>
          <cell r="F7">
            <v>2383.2750000000001</v>
          </cell>
          <cell r="K7">
            <v>2009.675</v>
          </cell>
          <cell r="R7">
            <v>1173.8</v>
          </cell>
          <cell r="Y7">
            <v>1647.8166666666666</v>
          </cell>
        </row>
        <row r="8">
          <cell r="A8">
            <v>0.309</v>
          </cell>
          <cell r="F8">
            <v>1920.2750000000001</v>
          </cell>
          <cell r="K8">
            <v>1660.2</v>
          </cell>
          <cell r="R8">
            <v>930.58166666666659</v>
          </cell>
          <cell r="Y8">
            <v>1328.3166666666666</v>
          </cell>
        </row>
        <row r="9">
          <cell r="A9">
            <v>0.373</v>
          </cell>
          <cell r="F9">
            <v>1561.4749999999999</v>
          </cell>
          <cell r="K9">
            <v>1365.9</v>
          </cell>
          <cell r="R9">
            <v>774.6149999999999</v>
          </cell>
          <cell r="Y9">
            <v>1071.7966666666669</v>
          </cell>
        </row>
        <row r="10">
          <cell r="A10">
            <v>0.45</v>
          </cell>
          <cell r="F10">
            <v>1263.7249999999999</v>
          </cell>
          <cell r="K10">
            <v>1125.2574999999999</v>
          </cell>
          <cell r="R10">
            <v>639.96333333333325</v>
          </cell>
          <cell r="Y10">
            <v>861.85833333333323</v>
          </cell>
        </row>
        <row r="11">
          <cell r="A11">
            <v>0.54300000000000004</v>
          </cell>
          <cell r="F11">
            <v>1026.0475000000001</v>
          </cell>
          <cell r="K11">
            <v>924.74</v>
          </cell>
          <cell r="R11">
            <v>530.8366666666667</v>
          </cell>
          <cell r="Y11">
            <v>688.52833333333331</v>
          </cell>
        </row>
        <row r="12">
          <cell r="A12">
            <v>0.65500000000000003</v>
          </cell>
          <cell r="F12">
            <v>843.67</v>
          </cell>
          <cell r="K12">
            <v>758.06499999999994</v>
          </cell>
          <cell r="R12">
            <v>441.02</v>
          </cell>
          <cell r="Y12">
            <v>560.67166666666674</v>
          </cell>
        </row>
        <row r="13">
          <cell r="A13">
            <v>0.79100000000000004</v>
          </cell>
          <cell r="F13">
            <v>690.63499999999999</v>
          </cell>
          <cell r="K13">
            <v>616.85749999999996</v>
          </cell>
          <cell r="R13">
            <v>363.31666666666666</v>
          </cell>
          <cell r="Y13">
            <v>454.73</v>
          </cell>
        </row>
        <row r="14">
          <cell r="A14">
            <v>0.95399999999999996</v>
          </cell>
          <cell r="F14">
            <v>548.97749999999996</v>
          </cell>
          <cell r="K14">
            <v>503.53999999999996</v>
          </cell>
          <cell r="R14">
            <v>303.75666666666666</v>
          </cell>
          <cell r="Y14">
            <v>364.33833333333331</v>
          </cell>
        </row>
        <row r="15">
          <cell r="A15">
            <v>1.1499999999999999</v>
          </cell>
          <cell r="F15">
            <v>435.20749999999998</v>
          </cell>
          <cell r="K15">
            <v>407.15749999999997</v>
          </cell>
          <cell r="R15">
            <v>253.00166666666667</v>
          </cell>
          <cell r="Y15">
            <v>289.94166666666666</v>
          </cell>
        </row>
        <row r="16">
          <cell r="A16">
            <v>1.39</v>
          </cell>
          <cell r="F16">
            <v>350.58000000000004</v>
          </cell>
          <cell r="K16">
            <v>330.22500000000002</v>
          </cell>
          <cell r="R16">
            <v>209.71333333333334</v>
          </cell>
          <cell r="Y16">
            <v>235.58833333333334</v>
          </cell>
        </row>
        <row r="17">
          <cell r="A17">
            <v>1.68</v>
          </cell>
          <cell r="F17">
            <v>284.97750000000002</v>
          </cell>
          <cell r="K17">
            <v>266.92500000000001</v>
          </cell>
          <cell r="R17">
            <v>174.84666666666666</v>
          </cell>
          <cell r="Y17">
            <v>189.07166666666663</v>
          </cell>
        </row>
        <row r="18">
          <cell r="A18">
            <v>2.02</v>
          </cell>
          <cell r="F18">
            <v>225.13500000000002</v>
          </cell>
          <cell r="K18">
            <v>216.79250000000002</v>
          </cell>
          <cell r="R18">
            <v>147.33666666666667</v>
          </cell>
          <cell r="Y18">
            <v>153.11500000000001</v>
          </cell>
        </row>
        <row r="19">
          <cell r="A19">
            <v>2.44</v>
          </cell>
          <cell r="F19">
            <v>182.48499999999999</v>
          </cell>
          <cell r="K19">
            <v>180.6575</v>
          </cell>
          <cell r="R19">
            <v>128.33333333333334</v>
          </cell>
          <cell r="Y19">
            <v>123.47116666666669</v>
          </cell>
        </row>
        <row r="20">
          <cell r="A20">
            <v>2.95</v>
          </cell>
          <cell r="F20">
            <v>142.47749999999999</v>
          </cell>
          <cell r="K20">
            <v>146.29925</v>
          </cell>
          <cell r="R20">
            <v>109.35283333333332</v>
          </cell>
          <cell r="Y20">
            <v>103.97199999999999</v>
          </cell>
        </row>
        <row r="21">
          <cell r="A21">
            <v>3.56</v>
          </cell>
          <cell r="F21">
            <v>114.29675</v>
          </cell>
          <cell r="K21">
            <v>119.96775</v>
          </cell>
          <cell r="R21">
            <v>91.551666666666662</v>
          </cell>
          <cell r="Y21">
            <v>85.176999999999992</v>
          </cell>
        </row>
        <row r="22">
          <cell r="A22">
            <v>4.29</v>
          </cell>
          <cell r="F22">
            <v>88.449250000000006</v>
          </cell>
          <cell r="K22">
            <v>100.00375</v>
          </cell>
          <cell r="R22">
            <v>78.426666666666677</v>
          </cell>
          <cell r="Y22">
            <v>69.504499999999993</v>
          </cell>
        </row>
        <row r="23">
          <cell r="A23">
            <v>5.18</v>
          </cell>
          <cell r="F23">
            <v>65.929249999999996</v>
          </cell>
          <cell r="K23">
            <v>82.647750000000002</v>
          </cell>
          <cell r="R23">
            <v>65.073000000000008</v>
          </cell>
          <cell r="Y23">
            <v>61.344666666666676</v>
          </cell>
        </row>
        <row r="24">
          <cell r="A24">
            <v>6.25</v>
          </cell>
          <cell r="F24">
            <v>54.716000000000001</v>
          </cell>
          <cell r="K24">
            <v>67.915500000000009</v>
          </cell>
          <cell r="R24">
            <v>54.363833333333332</v>
          </cell>
          <cell r="Y24">
            <v>50.977499999999999</v>
          </cell>
        </row>
        <row r="25">
          <cell r="A25">
            <v>7.54</v>
          </cell>
          <cell r="F25">
            <v>45.08175</v>
          </cell>
          <cell r="K25">
            <v>58.031750000000002</v>
          </cell>
          <cell r="R25">
            <v>45.302666666666674</v>
          </cell>
          <cell r="Y25">
            <v>41.547499999999999</v>
          </cell>
        </row>
        <row r="26">
          <cell r="A26">
            <v>9.1</v>
          </cell>
          <cell r="F26">
            <v>37.46725</v>
          </cell>
          <cell r="K26">
            <v>48.649749999999997</v>
          </cell>
          <cell r="R26">
            <v>38.486333333333334</v>
          </cell>
          <cell r="Y26">
            <v>34.661166666666666</v>
          </cell>
        </row>
        <row r="27">
          <cell r="A27">
            <v>11</v>
          </cell>
          <cell r="F27">
            <v>31.601249999999997</v>
          </cell>
          <cell r="K27">
            <v>40.96275</v>
          </cell>
          <cell r="R27">
            <v>35.131666666666668</v>
          </cell>
          <cell r="Y27">
            <v>28.831833333333332</v>
          </cell>
        </row>
        <row r="28">
          <cell r="A28">
            <v>13.3</v>
          </cell>
          <cell r="F28">
            <v>24.802250000000001</v>
          </cell>
          <cell r="K28">
            <v>34.769000000000005</v>
          </cell>
          <cell r="R28">
            <v>29.6965</v>
          </cell>
          <cell r="Y28">
            <v>23.798500000000001</v>
          </cell>
        </row>
        <row r="29">
          <cell r="A29">
            <v>16</v>
          </cell>
          <cell r="F29">
            <v>20.155999999999999</v>
          </cell>
          <cell r="K29">
            <v>29.22775</v>
          </cell>
          <cell r="R29">
            <v>24.635000000000002</v>
          </cell>
          <cell r="Y29">
            <v>20.026</v>
          </cell>
        </row>
        <row r="30">
          <cell r="A30">
            <v>19.3</v>
          </cell>
          <cell r="F30">
            <v>16.878525000000003</v>
          </cell>
          <cell r="K30">
            <v>24.588750000000001</v>
          </cell>
          <cell r="R30">
            <v>20.736500000000003</v>
          </cell>
          <cell r="Y30">
            <v>16.703166666666668</v>
          </cell>
        </row>
        <row r="31">
          <cell r="A31">
            <v>23.3</v>
          </cell>
          <cell r="F31">
            <v>13.838775</v>
          </cell>
          <cell r="K31">
            <v>20.348749999999999</v>
          </cell>
          <cell r="R31">
            <v>17.180999999999997</v>
          </cell>
          <cell r="Y31">
            <v>14.181150000000002</v>
          </cell>
        </row>
        <row r="32">
          <cell r="A32">
            <v>28.1</v>
          </cell>
          <cell r="F32">
            <v>11.469075</v>
          </cell>
          <cell r="K32">
            <v>16.880524999999999</v>
          </cell>
          <cell r="R32">
            <v>12.234583333333333</v>
          </cell>
          <cell r="Y32">
            <v>11.9292</v>
          </cell>
        </row>
        <row r="33">
          <cell r="A33">
            <v>33.9</v>
          </cell>
          <cell r="F33">
            <v>9.7352749999999997</v>
          </cell>
          <cell r="K33">
            <v>13.885225</v>
          </cell>
          <cell r="R33">
            <v>10.401316666666668</v>
          </cell>
          <cell r="Y33">
            <v>10.054599999999999</v>
          </cell>
        </row>
        <row r="34">
          <cell r="A34">
            <v>40.9</v>
          </cell>
          <cell r="F34">
            <v>7.9261499999999998</v>
          </cell>
          <cell r="K34">
            <v>11.771774999999998</v>
          </cell>
          <cell r="R34">
            <v>8.8356333333333339</v>
          </cell>
          <cell r="Y34">
            <v>8.4062833333333327</v>
          </cell>
        </row>
        <row r="35">
          <cell r="A35">
            <v>49.4</v>
          </cell>
          <cell r="F35">
            <v>6.7083499999999994</v>
          </cell>
          <cell r="K35">
            <v>9.85365</v>
          </cell>
          <cell r="R35">
            <v>7.5011000000000001</v>
          </cell>
          <cell r="Y35">
            <v>7.0360333333333331</v>
          </cell>
        </row>
        <row r="36">
          <cell r="A36">
            <v>59.6</v>
          </cell>
          <cell r="F36">
            <v>5.54155</v>
          </cell>
          <cell r="K36">
            <v>8.2837500000000013</v>
          </cell>
          <cell r="R36">
            <v>6.3486166666666675</v>
          </cell>
          <cell r="Y36">
            <v>5.9051666666666671</v>
          </cell>
        </row>
        <row r="37">
          <cell r="A37">
            <v>72</v>
          </cell>
          <cell r="F37">
            <v>4.6494749999999998</v>
          </cell>
          <cell r="K37">
            <v>6.9153000000000011</v>
          </cell>
          <cell r="R37">
            <v>5.3916500000000012</v>
          </cell>
          <cell r="Y37">
            <v>4.9733333333333336</v>
          </cell>
        </row>
        <row r="38">
          <cell r="A38">
            <v>86.9</v>
          </cell>
          <cell r="F38">
            <v>3.9362225000000004</v>
          </cell>
          <cell r="K38">
            <v>5.8076924999999999</v>
          </cell>
          <cell r="R38">
            <v>4.5717500000000006</v>
          </cell>
          <cell r="Y38">
            <v>4.1348000000000003</v>
          </cell>
        </row>
        <row r="39">
          <cell r="A39">
            <v>105</v>
          </cell>
          <cell r="F39">
            <v>3.4335375000000004</v>
          </cell>
          <cell r="K39">
            <v>4.7665424999999999</v>
          </cell>
          <cell r="R39">
            <v>3.8768166666666661</v>
          </cell>
          <cell r="Y39">
            <v>3.4020333333333337</v>
          </cell>
        </row>
      </sheetData>
      <sheetData sheetId="2">
        <row r="2">
          <cell r="U2">
            <v>0.3253889354624146</v>
          </cell>
        </row>
      </sheetData>
      <sheetData sheetId="3">
        <row r="2">
          <cell r="U2">
            <v>0.74878087822806649</v>
          </cell>
        </row>
      </sheetData>
      <sheetData sheetId="4">
        <row r="2">
          <cell r="P2">
            <v>3.5865802778712132E-2</v>
          </cell>
        </row>
      </sheetData>
      <sheetData sheetId="5">
        <row r="2">
          <cell r="M2">
            <v>2.72429109741802E-2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O2">
            <v>0.81868160588965222</v>
          </cell>
        </row>
      </sheetData>
      <sheetData sheetId="13" refreshError="1"/>
      <sheetData sheetId="14" refreshError="1"/>
      <sheetData sheetId="15">
        <row r="2">
          <cell r="O2">
            <v>3.1620668346299681E-2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Q2">
            <v>1.0641369452265332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Progetto%20PhD_Wageningen\Phytic%20acid%20assay\Phytic%20acid%20calculation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949.688203819445" createdVersion="8" refreshedVersion="8" minRefreshableVersion="3" recordCount="9" xr:uid="{AE377A6E-F361-4ED6-9F2B-D88A5F59442C}">
  <cacheSource type="worksheet">
    <worksheetSource ref="Y28:AC37" sheet="Phytic acid data" r:id="rId2"/>
  </cacheSource>
  <cacheFields count="5">
    <cacheField name="Formulation" numFmtId="0">
      <sharedItems count="3">
        <s v="Oat"/>
        <s v="Phytic acid"/>
        <s v="Sorghum"/>
      </sharedItems>
    </cacheField>
    <cacheField name="Fortification" numFmtId="0">
      <sharedItems count="4">
        <s v="-"/>
        <s v="Not fortificated"/>
        <s v="Pumpkin seed"/>
        <s v="Baobab fruit pulp"/>
      </sharedItems>
    </cacheField>
    <cacheField name="Time" numFmtId="0">
      <sharedItems count="4">
        <s v="-"/>
        <s v="Not fermented"/>
        <s v="Fermented"/>
        <s v="Cofermented"/>
      </sharedItems>
    </cacheField>
    <cacheField name="Germination" numFmtId="0">
      <sharedItems count="3">
        <s v="-"/>
        <s v="Not germinated"/>
        <s v="Germinated"/>
      </sharedItems>
    </cacheField>
    <cacheField name="Mean" numFmtId="0">
      <sharedItems containsSemiMixedTypes="0" containsString="0" containsNumber="1" minValue="0.59139335266815729" maxValue="1.96552796993547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x v="0"/>
    <n v="1.2292257194058533"/>
  </r>
  <r>
    <x v="1"/>
    <x v="0"/>
    <x v="0"/>
    <x v="0"/>
    <n v="1.9655279699354775"/>
  </r>
  <r>
    <x v="2"/>
    <x v="1"/>
    <x v="1"/>
    <x v="0"/>
    <n v="0.74172675750294159"/>
  </r>
  <r>
    <x v="2"/>
    <x v="1"/>
    <x v="2"/>
    <x v="0"/>
    <n v="0.65892789215174352"/>
  </r>
  <r>
    <x v="2"/>
    <x v="2"/>
    <x v="2"/>
    <x v="1"/>
    <n v="1.3945184416612502"/>
  </r>
  <r>
    <x v="2"/>
    <x v="2"/>
    <x v="2"/>
    <x v="2"/>
    <n v="1.0244824538733808"/>
  </r>
  <r>
    <x v="2"/>
    <x v="3"/>
    <x v="1"/>
    <x v="0"/>
    <n v="0.76558440731001942"/>
  </r>
  <r>
    <x v="2"/>
    <x v="3"/>
    <x v="3"/>
    <x v="0"/>
    <n v="0.70682371230992913"/>
  </r>
  <r>
    <x v="2"/>
    <x v="3"/>
    <x v="2"/>
    <x v="0"/>
    <n v="0.591393352668157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84BACB-AA55-47F9-BECB-4959CDF3D30E}" name="Tabella pivot2" cacheId="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7">
  <location ref="AI4:AJ15" firstHeaderRow="1" firstDataRow="1" firstDataCol="1"/>
  <pivotFields count="5">
    <pivotField axis="axisRow" showAll="0">
      <items count="4">
        <item h="1" x="0"/>
        <item h="1" x="1"/>
        <item x="2"/>
        <item t="default"/>
      </items>
    </pivotField>
    <pivotField axis="axisRow" showAll="0">
      <items count="5">
        <item x="0"/>
        <item h="1" x="3"/>
        <item x="1"/>
        <item x="2"/>
        <item t="default"/>
      </items>
    </pivotField>
    <pivotField axis="axisRow" showAll="0">
      <items count="5">
        <item x="0"/>
        <item x="3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</pivotFields>
  <rowFields count="4">
    <field x="0"/>
    <field x="1"/>
    <field x="2"/>
    <field x="3"/>
  </rowFields>
  <rowItems count="11">
    <i>
      <x v="2"/>
    </i>
    <i r="1">
      <x v="2"/>
    </i>
    <i r="2">
      <x v="2"/>
    </i>
    <i r="3">
      <x/>
    </i>
    <i r="2">
      <x v="3"/>
    </i>
    <i r="3">
      <x/>
    </i>
    <i r="1">
      <x v="3"/>
    </i>
    <i r="2">
      <x v="3"/>
    </i>
    <i r="3">
      <x v="1"/>
    </i>
    <i r="3">
      <x v="2"/>
    </i>
    <i t="grand">
      <x/>
    </i>
  </rowItems>
  <colItems count="1">
    <i/>
  </colItems>
  <dataFields count="1">
    <dataField name="Media di Mean" fld="4" subtotal="average" baseField="0" baseItem="1528009224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5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2"/>
          </reference>
          <reference field="2" count="1" selected="0">
            <x v="2"/>
          </reference>
          <reference field="3" count="1" selected="0">
            <x v="0"/>
          </reference>
        </references>
      </pivotArea>
    </chartFormat>
    <chartFormat chart="0" format="2">
      <pivotArea type="data" outline="0" fieldPosition="0">
        <references count="5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1"/>
          </reference>
        </references>
      </pivotArea>
    </chartFormat>
    <chartFormat chart="0" format="3">
      <pivotArea type="data" outline="0" fieldPosition="0">
        <references count="5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3"/>
          </reference>
          <reference field="2" count="1" selected="0">
            <x v="3"/>
          </reference>
          <reference field="3" count="1" selected="0">
            <x v="2"/>
          </reference>
        </references>
      </pivotArea>
    </chartFormat>
    <chartFormat chart="0" format="4">
      <pivotArea type="data" outline="0" fieldPosition="0">
        <references count="5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2"/>
          </reference>
          <reference field="2" count="1" selected="0">
            <x v="3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A6E3-BAF8-47F8-8B07-EC32E2DAF096}">
  <dimension ref="A1:P20"/>
  <sheetViews>
    <sheetView topLeftCell="G1" zoomScale="70" zoomScaleNormal="70" workbookViewId="0">
      <selection activeCell="N15" sqref="N15"/>
    </sheetView>
  </sheetViews>
  <sheetFormatPr defaultRowHeight="14.5" x14ac:dyDescent="0.35"/>
  <cols>
    <col min="1" max="1" width="15.36328125" bestFit="1" customWidth="1"/>
    <col min="2" max="2" width="10.6328125" bestFit="1" customWidth="1"/>
    <col min="3" max="3" width="20.7265625" bestFit="1" customWidth="1"/>
    <col min="4" max="4" width="19.08984375" bestFit="1" customWidth="1"/>
    <col min="5" max="5" width="15" bestFit="1" customWidth="1"/>
    <col min="6" max="6" width="10.6328125" bestFit="1" customWidth="1"/>
    <col min="7" max="7" width="38.90625" bestFit="1" customWidth="1"/>
    <col min="8" max="8" width="10" bestFit="1" customWidth="1"/>
    <col min="9" max="9" width="7.54296875" bestFit="1" customWidth="1"/>
    <col min="11" max="11" width="6.26953125" bestFit="1" customWidth="1"/>
    <col min="12" max="12" width="5.6328125" bestFit="1" customWidth="1"/>
    <col min="13" max="13" width="6.26953125" bestFit="1" customWidth="1"/>
    <col min="14" max="14" width="5.6328125" bestFit="1" customWidth="1"/>
    <col min="15" max="15" width="4.26953125" bestFit="1" customWidth="1"/>
    <col min="16" max="16" width="5.81640625" bestFit="1" customWidth="1"/>
  </cols>
  <sheetData>
    <row r="1" spans="1:16" x14ac:dyDescent="0.35">
      <c r="A1" s="1" t="s">
        <v>45</v>
      </c>
      <c r="B1" s="1" t="s">
        <v>136</v>
      </c>
      <c r="C1" s="1" t="s">
        <v>137</v>
      </c>
      <c r="D1" s="1" t="s">
        <v>138</v>
      </c>
      <c r="E1" s="1" t="s">
        <v>139</v>
      </c>
      <c r="F1" s="1" t="s">
        <v>140</v>
      </c>
      <c r="G1" s="1" t="s">
        <v>141</v>
      </c>
      <c r="H1" s="1" t="s">
        <v>142</v>
      </c>
      <c r="I1" s="1" t="s">
        <v>143</v>
      </c>
    </row>
    <row r="2" spans="1:16" x14ac:dyDescent="0.35">
      <c r="A2" t="s">
        <v>106</v>
      </c>
      <c r="B2">
        <v>12.712199999999999</v>
      </c>
      <c r="C2">
        <v>24.621200000000002</v>
      </c>
      <c r="D2">
        <f>C2-B2</f>
        <v>11.909000000000002</v>
      </c>
      <c r="E2">
        <v>1.2512000000000001</v>
      </c>
      <c r="F2">
        <v>1.3310999999999999</v>
      </c>
      <c r="G2">
        <f>F2-E2</f>
        <v>7.989999999999986E-2</v>
      </c>
      <c r="H2">
        <f t="shared" ref="H2:H17" si="0">D2/$D$20</f>
        <v>4.7636000000000012</v>
      </c>
      <c r="I2">
        <f t="shared" ref="I2:I17" si="1">(G2*100)/$D$20</f>
        <v>3.1959999999999944</v>
      </c>
    </row>
    <row r="3" spans="1:16" x14ac:dyDescent="0.35">
      <c r="A3" t="s">
        <v>109</v>
      </c>
      <c r="B3">
        <v>12.6389</v>
      </c>
      <c r="C3">
        <v>24.3856</v>
      </c>
      <c r="D3">
        <f t="shared" ref="D3:D17" si="2">C3-B3</f>
        <v>11.746700000000001</v>
      </c>
      <c r="E3">
        <v>1.2414000000000001</v>
      </c>
      <c r="F3">
        <v>1.3193999999999999</v>
      </c>
      <c r="G3">
        <f t="shared" ref="G3:G17" si="3">F3-E3</f>
        <v>7.7999999999999847E-2</v>
      </c>
      <c r="H3">
        <f t="shared" si="0"/>
        <v>4.6986800000000004</v>
      </c>
      <c r="I3">
        <f t="shared" si="1"/>
        <v>3.1199999999999939</v>
      </c>
      <c r="M3" s="103" t="s">
        <v>142</v>
      </c>
      <c r="O3" s="1" t="s">
        <v>118</v>
      </c>
      <c r="P3" s="1" t="s">
        <v>57</v>
      </c>
    </row>
    <row r="4" spans="1:16" x14ac:dyDescent="0.35">
      <c r="A4" t="s">
        <v>112</v>
      </c>
      <c r="B4">
        <v>9.8071000000000002</v>
      </c>
      <c r="C4">
        <v>24.988099999999999</v>
      </c>
      <c r="D4">
        <f t="shared" si="2"/>
        <v>15.180999999999999</v>
      </c>
      <c r="E4">
        <v>1.2823</v>
      </c>
      <c r="F4">
        <v>1.3567</v>
      </c>
      <c r="G4">
        <f t="shared" si="3"/>
        <v>7.4400000000000022E-2</v>
      </c>
      <c r="H4">
        <f t="shared" si="0"/>
        <v>6.0724</v>
      </c>
      <c r="I4">
        <f t="shared" si="1"/>
        <v>2.9760000000000009</v>
      </c>
      <c r="M4" t="s">
        <v>99</v>
      </c>
      <c r="N4" s="65">
        <f>AVERAGE(H2:H5)</f>
        <v>5.3783500000000002</v>
      </c>
      <c r="O4" s="37">
        <f>_xlfn.STDEV.S(H2:H5)</f>
        <v>0.74878087822806649</v>
      </c>
      <c r="P4" s="49" t="s">
        <v>10</v>
      </c>
    </row>
    <row r="5" spans="1:16" x14ac:dyDescent="0.35">
      <c r="A5" t="s">
        <v>113</v>
      </c>
      <c r="B5">
        <v>9.5630000000000006</v>
      </c>
      <c r="C5">
        <v>24.509799999999998</v>
      </c>
      <c r="D5">
        <f t="shared" si="2"/>
        <v>14.946799999999998</v>
      </c>
      <c r="E5">
        <v>1.2833000000000001</v>
      </c>
      <c r="F5">
        <v>1.3517999999999999</v>
      </c>
      <c r="G5">
        <f>F5-E5</f>
        <v>6.8499999999999783E-2</v>
      </c>
      <c r="H5">
        <f t="shared" si="0"/>
        <v>5.9787199999999991</v>
      </c>
      <c r="I5">
        <f t="shared" si="1"/>
        <v>2.7399999999999913</v>
      </c>
      <c r="M5" t="s">
        <v>267</v>
      </c>
      <c r="N5" s="65">
        <f>AVERAGE(H6:H9)</f>
        <v>5.0245100000000003</v>
      </c>
      <c r="O5" s="37">
        <f>_xlfn.STDEV.S(H6:H9)</f>
        <v>0.16921135462294859</v>
      </c>
      <c r="P5" s="49" t="s">
        <v>59</v>
      </c>
    </row>
    <row r="6" spans="1:16" x14ac:dyDescent="0.35">
      <c r="A6" t="s">
        <v>124</v>
      </c>
      <c r="B6">
        <v>12.5884</v>
      </c>
      <c r="C6">
        <v>24.808700000000002</v>
      </c>
      <c r="D6">
        <f t="shared" si="2"/>
        <v>12.220300000000002</v>
      </c>
      <c r="E6">
        <v>1.2484</v>
      </c>
      <c r="F6">
        <v>1.3304</v>
      </c>
      <c r="G6">
        <f t="shared" si="3"/>
        <v>8.2000000000000073E-2</v>
      </c>
      <c r="H6">
        <f t="shared" si="0"/>
        <v>4.8881200000000007</v>
      </c>
      <c r="I6">
        <f t="shared" si="1"/>
        <v>3.2800000000000025</v>
      </c>
      <c r="M6" t="s">
        <v>268</v>
      </c>
      <c r="N6" s="65">
        <f>AVERAGE(H10:H13)</f>
        <v>4.40313</v>
      </c>
      <c r="O6" s="37">
        <f>_xlfn.STDEV.S(H10:H13)</f>
        <v>0.33163086205398151</v>
      </c>
      <c r="P6" s="49" t="s">
        <v>12</v>
      </c>
    </row>
    <row r="7" spans="1:16" x14ac:dyDescent="0.35">
      <c r="A7" t="s">
        <v>125</v>
      </c>
      <c r="B7">
        <v>12.6389</v>
      </c>
      <c r="C7">
        <v>24.825199999999999</v>
      </c>
      <c r="D7">
        <f t="shared" si="2"/>
        <v>12.186299999999999</v>
      </c>
      <c r="E7">
        <v>1.2406999999999999</v>
      </c>
      <c r="F7">
        <v>1.3166</v>
      </c>
      <c r="G7">
        <f t="shared" si="3"/>
        <v>7.5900000000000079E-2</v>
      </c>
      <c r="H7">
        <f t="shared" si="0"/>
        <v>4.8745199999999995</v>
      </c>
      <c r="I7">
        <f t="shared" si="1"/>
        <v>3.0360000000000031</v>
      </c>
      <c r="M7" t="s">
        <v>269</v>
      </c>
      <c r="N7" s="65">
        <f>AVERAGE(H14:H17)</f>
        <v>4.9397999999999991</v>
      </c>
      <c r="O7" s="37">
        <f>_xlfn.STDEV.S(H14:H17)</f>
        <v>0.2615527317132561</v>
      </c>
      <c r="P7" s="49" t="s">
        <v>59</v>
      </c>
    </row>
    <row r="8" spans="1:16" x14ac:dyDescent="0.35">
      <c r="A8" t="s">
        <v>126</v>
      </c>
      <c r="B8">
        <v>9.5047999999999995</v>
      </c>
      <c r="C8">
        <v>22.315200000000001</v>
      </c>
      <c r="D8">
        <f t="shared" si="2"/>
        <v>12.810400000000001</v>
      </c>
      <c r="E8">
        <v>1.2843</v>
      </c>
      <c r="F8">
        <v>1.4390000000000001</v>
      </c>
      <c r="G8">
        <f>F8-E8</f>
        <v>0.15470000000000006</v>
      </c>
      <c r="H8">
        <f t="shared" si="0"/>
        <v>5.1241600000000007</v>
      </c>
      <c r="I8">
        <f t="shared" si="1"/>
        <v>6.1880000000000024</v>
      </c>
    </row>
    <row r="9" spans="1:16" x14ac:dyDescent="0.35">
      <c r="A9" t="s">
        <v>127</v>
      </c>
      <c r="B9">
        <v>9.5487000000000002</v>
      </c>
      <c r="C9">
        <v>22.576799999999999</v>
      </c>
      <c r="D9">
        <f t="shared" si="2"/>
        <v>13.028099999999998</v>
      </c>
      <c r="E9">
        <v>1.2865</v>
      </c>
      <c r="F9">
        <v>1.4477</v>
      </c>
      <c r="G9">
        <f t="shared" si="3"/>
        <v>0.16120000000000001</v>
      </c>
      <c r="H9">
        <f t="shared" si="0"/>
        <v>5.2112399999999992</v>
      </c>
      <c r="I9">
        <f t="shared" si="1"/>
        <v>6.4480000000000004</v>
      </c>
    </row>
    <row r="10" spans="1:16" x14ac:dyDescent="0.35">
      <c r="A10" t="s">
        <v>128</v>
      </c>
      <c r="B10">
        <v>12.6831</v>
      </c>
      <c r="C10">
        <v>24.1875</v>
      </c>
      <c r="D10">
        <f t="shared" si="2"/>
        <v>11.5044</v>
      </c>
      <c r="E10">
        <v>1.2488999999999999</v>
      </c>
      <c r="F10">
        <v>1.3725000000000001</v>
      </c>
      <c r="G10">
        <f t="shared" si="3"/>
        <v>0.12360000000000015</v>
      </c>
      <c r="H10">
        <f t="shared" si="0"/>
        <v>4.6017600000000005</v>
      </c>
      <c r="I10">
        <f t="shared" si="1"/>
        <v>4.9440000000000062</v>
      </c>
      <c r="M10" s="103" t="s">
        <v>143</v>
      </c>
      <c r="N10" s="1" t="s">
        <v>6</v>
      </c>
      <c r="O10" s="1" t="s">
        <v>118</v>
      </c>
      <c r="P10" s="1" t="s">
        <v>57</v>
      </c>
    </row>
    <row r="11" spans="1:16" x14ac:dyDescent="0.35">
      <c r="A11" t="s">
        <v>129</v>
      </c>
      <c r="B11">
        <v>12.9161</v>
      </c>
      <c r="C11">
        <v>24.485600000000002</v>
      </c>
      <c r="D11">
        <f t="shared" si="2"/>
        <v>11.569500000000001</v>
      </c>
      <c r="E11">
        <v>1.2551000000000001</v>
      </c>
      <c r="F11">
        <v>1.3831</v>
      </c>
      <c r="G11">
        <f t="shared" si="3"/>
        <v>0.12799999999999989</v>
      </c>
      <c r="H11">
        <f t="shared" si="0"/>
        <v>4.6278000000000006</v>
      </c>
      <c r="I11">
        <f t="shared" si="1"/>
        <v>5.1199999999999957</v>
      </c>
      <c r="M11" t="s">
        <v>99</v>
      </c>
      <c r="N11" s="65">
        <f>AVERAGE(I2:I5)</f>
        <v>3.0079999999999951</v>
      </c>
      <c r="O11" s="37">
        <f>_xlfn.STDEV.S(I2:I5)</f>
        <v>0.20061239576191123</v>
      </c>
      <c r="P11" s="49" t="s">
        <v>26</v>
      </c>
    </row>
    <row r="12" spans="1:16" x14ac:dyDescent="0.35">
      <c r="A12" t="s">
        <v>130</v>
      </c>
      <c r="B12">
        <v>9.7608999999999995</v>
      </c>
      <c r="C12">
        <v>19.553999999999998</v>
      </c>
      <c r="D12">
        <f t="shared" si="2"/>
        <v>9.793099999999999</v>
      </c>
      <c r="E12">
        <v>1.2844</v>
      </c>
      <c r="F12">
        <v>1.421</v>
      </c>
      <c r="G12">
        <f t="shared" si="3"/>
        <v>0.13660000000000005</v>
      </c>
      <c r="H12">
        <f t="shared" si="0"/>
        <v>3.9172399999999996</v>
      </c>
      <c r="I12">
        <f t="shared" si="1"/>
        <v>5.4640000000000022</v>
      </c>
      <c r="M12" t="s">
        <v>267</v>
      </c>
      <c r="N12" s="65">
        <f>AVERAGE(I6:I9)</f>
        <v>4.7380000000000022</v>
      </c>
      <c r="O12" s="37">
        <f>_xlfn.STDEV.S(I6:I9)</f>
        <v>1.8302247585110045</v>
      </c>
      <c r="P12" s="49" t="s">
        <v>12</v>
      </c>
    </row>
    <row r="13" spans="1:16" x14ac:dyDescent="0.35">
      <c r="A13" t="s">
        <v>131</v>
      </c>
      <c r="B13">
        <v>9.7263999999999999</v>
      </c>
      <c r="C13">
        <v>20.890699999999999</v>
      </c>
      <c r="D13">
        <f t="shared" si="2"/>
        <v>11.164299999999999</v>
      </c>
      <c r="E13">
        <v>1.2826</v>
      </c>
      <c r="F13">
        <v>1.4514</v>
      </c>
      <c r="G13">
        <f t="shared" si="3"/>
        <v>0.16880000000000006</v>
      </c>
      <c r="H13">
        <f t="shared" si="0"/>
        <v>4.4657199999999992</v>
      </c>
      <c r="I13">
        <f t="shared" si="1"/>
        <v>6.7520000000000024</v>
      </c>
      <c r="M13" t="s">
        <v>268</v>
      </c>
      <c r="N13" s="65">
        <f>AVERAGE(I10:I13)</f>
        <v>5.5700000000000021</v>
      </c>
      <c r="O13" s="37">
        <f>_xlfn.STDEV.S(I10:I13)</f>
        <v>0.81705487371819574</v>
      </c>
      <c r="P13" s="49" t="s">
        <v>59</v>
      </c>
    </row>
    <row r="14" spans="1:16" x14ac:dyDescent="0.35">
      <c r="A14" t="s">
        <v>132</v>
      </c>
      <c r="B14">
        <v>12.6989</v>
      </c>
      <c r="C14">
        <v>25.598600000000001</v>
      </c>
      <c r="D14">
        <f t="shared" si="2"/>
        <v>12.899700000000001</v>
      </c>
      <c r="E14">
        <v>1.2624</v>
      </c>
      <c r="F14">
        <v>1.4269000000000001</v>
      </c>
      <c r="G14">
        <f t="shared" si="3"/>
        <v>0.16450000000000009</v>
      </c>
      <c r="H14">
        <f t="shared" si="0"/>
        <v>5.1598800000000002</v>
      </c>
      <c r="I14">
        <f t="shared" si="1"/>
        <v>6.5800000000000036</v>
      </c>
      <c r="M14" t="s">
        <v>269</v>
      </c>
      <c r="N14" s="65">
        <f>AVERAGE(I14:I17)</f>
        <v>6.9410000000000025</v>
      </c>
      <c r="O14" s="37">
        <f>_xlfn.STDEV.S(I14:I17)</f>
        <v>0.40430186742086582</v>
      </c>
      <c r="P14" s="49" t="s">
        <v>10</v>
      </c>
    </row>
    <row r="15" spans="1:16" x14ac:dyDescent="0.35">
      <c r="A15" t="s">
        <v>133</v>
      </c>
      <c r="B15">
        <v>12.6005</v>
      </c>
      <c r="C15">
        <v>25.525099999999998</v>
      </c>
      <c r="D15">
        <f t="shared" si="2"/>
        <v>12.924599999999998</v>
      </c>
      <c r="E15">
        <v>1.2544</v>
      </c>
      <c r="F15">
        <v>1.4195</v>
      </c>
      <c r="G15">
        <f t="shared" si="3"/>
        <v>0.16510000000000002</v>
      </c>
      <c r="H15">
        <f t="shared" si="0"/>
        <v>5.1698399999999989</v>
      </c>
      <c r="I15">
        <f t="shared" si="1"/>
        <v>6.604000000000001</v>
      </c>
    </row>
    <row r="16" spans="1:16" x14ac:dyDescent="0.35">
      <c r="A16" t="s">
        <v>134</v>
      </c>
      <c r="B16">
        <v>9.6900999999999993</v>
      </c>
      <c r="C16">
        <v>21.3873</v>
      </c>
      <c r="D16">
        <f t="shared" si="2"/>
        <v>11.6972</v>
      </c>
      <c r="E16">
        <v>1.2788999999999999</v>
      </c>
      <c r="F16">
        <v>1.4621</v>
      </c>
      <c r="G16">
        <f t="shared" si="3"/>
        <v>0.18320000000000003</v>
      </c>
      <c r="H16">
        <f t="shared" si="0"/>
        <v>4.6788800000000004</v>
      </c>
      <c r="I16">
        <f t="shared" si="1"/>
        <v>7.3280000000000012</v>
      </c>
    </row>
    <row r="17" spans="1:9" x14ac:dyDescent="0.35">
      <c r="A17" t="s">
        <v>135</v>
      </c>
      <c r="B17">
        <v>9.7109000000000005</v>
      </c>
      <c r="C17">
        <v>21.587399999999999</v>
      </c>
      <c r="D17">
        <f t="shared" si="2"/>
        <v>11.876499999999998</v>
      </c>
      <c r="E17">
        <v>1.2778</v>
      </c>
      <c r="F17">
        <v>1.4591000000000001</v>
      </c>
      <c r="G17">
        <f t="shared" si="3"/>
        <v>0.18130000000000002</v>
      </c>
      <c r="H17">
        <f t="shared" si="0"/>
        <v>4.7505999999999995</v>
      </c>
      <c r="I17">
        <f t="shared" si="1"/>
        <v>7.2520000000000007</v>
      </c>
    </row>
    <row r="20" spans="1:9" x14ac:dyDescent="0.35">
      <c r="C20" t="s">
        <v>144</v>
      </c>
      <c r="D20">
        <v>2.5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AAF78-07CE-4793-9EC4-DC68EDE0CA80}">
  <dimension ref="A1:L34"/>
  <sheetViews>
    <sheetView topLeftCell="E4" zoomScale="77" workbookViewId="0">
      <selection activeCell="Q24" sqref="Q24"/>
    </sheetView>
  </sheetViews>
  <sheetFormatPr defaultRowHeight="14.5" x14ac:dyDescent="0.35"/>
  <cols>
    <col min="1" max="1" width="3.6328125" bestFit="1" customWidth="1"/>
    <col min="2" max="2" width="7.1796875" bestFit="1" customWidth="1"/>
    <col min="4" max="4" width="6.36328125" bestFit="1" customWidth="1"/>
    <col min="5" max="5" width="9.453125" bestFit="1" customWidth="1"/>
    <col min="6" max="6" width="12.36328125" bestFit="1" customWidth="1"/>
    <col min="7" max="7" width="10.6328125" bestFit="1" customWidth="1"/>
    <col min="11" max="11" width="9.453125" bestFit="1" customWidth="1"/>
    <col min="12" max="12" width="6.81640625" bestFit="1" customWidth="1"/>
    <col min="13" max="13" width="4.7265625" bestFit="1" customWidth="1"/>
  </cols>
  <sheetData>
    <row r="1" spans="1:12" x14ac:dyDescent="0.35">
      <c r="A1" s="1"/>
      <c r="B1" s="1" t="s">
        <v>259</v>
      </c>
      <c r="C1" s="13" t="s">
        <v>260</v>
      </c>
      <c r="D1" s="13" t="s">
        <v>245</v>
      </c>
      <c r="E1" s="13" t="s">
        <v>261</v>
      </c>
      <c r="F1" s="13" t="s">
        <v>262</v>
      </c>
      <c r="G1" s="13" t="s">
        <v>263</v>
      </c>
    </row>
    <row r="2" spans="1:12" x14ac:dyDescent="0.35">
      <c r="A2" t="s">
        <v>92</v>
      </c>
      <c r="B2">
        <v>36.24</v>
      </c>
      <c r="D2">
        <v>11.26</v>
      </c>
      <c r="E2">
        <v>46.99</v>
      </c>
      <c r="F2" t="s">
        <v>264</v>
      </c>
      <c r="G2" t="s">
        <v>264</v>
      </c>
    </row>
    <row r="3" spans="1:12" x14ac:dyDescent="0.35">
      <c r="A3" t="s">
        <v>92</v>
      </c>
      <c r="B3">
        <v>36.090000000000003</v>
      </c>
      <c r="D3">
        <v>9.1999999999999993</v>
      </c>
      <c r="E3">
        <v>46.71</v>
      </c>
      <c r="F3" t="s">
        <v>264</v>
      </c>
      <c r="G3" t="s">
        <v>264</v>
      </c>
    </row>
    <row r="4" spans="1:12" x14ac:dyDescent="0.35">
      <c r="A4" t="s">
        <v>92</v>
      </c>
      <c r="B4">
        <v>35.74</v>
      </c>
      <c r="E4">
        <v>50.97</v>
      </c>
      <c r="F4" t="s">
        <v>264</v>
      </c>
      <c r="G4" t="s">
        <v>264</v>
      </c>
      <c r="J4" s="48" t="s">
        <v>270</v>
      </c>
      <c r="K4" t="s">
        <v>6</v>
      </c>
      <c r="L4" t="s">
        <v>7</v>
      </c>
    </row>
    <row r="5" spans="1:12" x14ac:dyDescent="0.35">
      <c r="A5" t="s">
        <v>92</v>
      </c>
      <c r="B5">
        <v>34.44</v>
      </c>
      <c r="E5">
        <v>49.52</v>
      </c>
      <c r="F5" t="s">
        <v>264</v>
      </c>
      <c r="G5" t="s">
        <v>264</v>
      </c>
      <c r="J5" t="s">
        <v>169</v>
      </c>
      <c r="K5" s="104">
        <f>AVERAGE(F10:F13)</f>
        <v>78.167500000000004</v>
      </c>
      <c r="L5" s="37">
        <f>_xlfn.STDEV.S(F10:F13)</f>
        <v>3.1779907174187945</v>
      </c>
    </row>
    <row r="6" spans="1:12" x14ac:dyDescent="0.35">
      <c r="A6" t="s">
        <v>97</v>
      </c>
      <c r="B6">
        <v>36.9</v>
      </c>
      <c r="D6">
        <v>6.39</v>
      </c>
      <c r="E6">
        <v>36.22</v>
      </c>
      <c r="F6" t="s">
        <v>264</v>
      </c>
      <c r="G6" t="s">
        <v>264</v>
      </c>
      <c r="J6" t="s">
        <v>171</v>
      </c>
      <c r="K6" s="104">
        <f>AVERAGE(F14:F17)</f>
        <v>81.267499999999998</v>
      </c>
      <c r="L6" s="37">
        <f>_xlfn.STDEV.S(F14:F17)</f>
        <v>2.7735581839939862</v>
      </c>
    </row>
    <row r="7" spans="1:12" x14ac:dyDescent="0.35">
      <c r="A7" t="s">
        <v>97</v>
      </c>
      <c r="B7">
        <v>37.18</v>
      </c>
      <c r="D7">
        <v>7.75</v>
      </c>
      <c r="E7">
        <v>35.81</v>
      </c>
      <c r="F7" t="s">
        <v>264</v>
      </c>
      <c r="G7" t="s">
        <v>264</v>
      </c>
      <c r="J7" t="s">
        <v>172</v>
      </c>
      <c r="K7" s="104">
        <f>AVERAGE(F18:F21)</f>
        <v>75.694999999999993</v>
      </c>
      <c r="L7" s="37">
        <f>_xlfn.STDEV.S(F18:F21)</f>
        <v>0.272090671161904</v>
      </c>
    </row>
    <row r="8" spans="1:12" x14ac:dyDescent="0.35">
      <c r="A8" t="s">
        <v>97</v>
      </c>
      <c r="B8">
        <v>33.299999999999997</v>
      </c>
      <c r="E8">
        <v>37.15</v>
      </c>
      <c r="F8" t="s">
        <v>264</v>
      </c>
      <c r="G8" t="s">
        <v>264</v>
      </c>
      <c r="J8" t="s">
        <v>173</v>
      </c>
      <c r="K8" s="104">
        <f>AVERAGE(F22:F25)</f>
        <v>75.62</v>
      </c>
      <c r="L8" s="37">
        <f>_xlfn.STDEV.S(F22:F25)</f>
        <v>2.4729873971912322</v>
      </c>
    </row>
    <row r="9" spans="1:12" x14ac:dyDescent="0.35">
      <c r="A9" t="s">
        <v>97</v>
      </c>
      <c r="B9">
        <v>33.35</v>
      </c>
      <c r="E9">
        <v>37.58</v>
      </c>
      <c r="F9" t="s">
        <v>264</v>
      </c>
      <c r="G9" t="s">
        <v>264</v>
      </c>
    </row>
    <row r="10" spans="1:12" x14ac:dyDescent="0.35">
      <c r="A10">
        <v>1</v>
      </c>
      <c r="B10">
        <v>10.8</v>
      </c>
      <c r="C10">
        <v>10.050000000000001</v>
      </c>
      <c r="D10">
        <v>3.44</v>
      </c>
      <c r="E10">
        <v>1.91</v>
      </c>
      <c r="F10">
        <f>100-B10-C10-D10</f>
        <v>75.710000000000008</v>
      </c>
      <c r="G10">
        <f>(4.18)*((4*F10)+(4*B10)+(9*E10))</f>
        <v>1518.3014000000001</v>
      </c>
      <c r="J10" s="48" t="s">
        <v>263</v>
      </c>
      <c r="K10" t="s">
        <v>6</v>
      </c>
      <c r="L10" t="s">
        <v>7</v>
      </c>
    </row>
    <row r="11" spans="1:12" x14ac:dyDescent="0.35">
      <c r="A11">
        <v>1</v>
      </c>
      <c r="B11">
        <v>10.59</v>
      </c>
      <c r="C11">
        <v>10.62</v>
      </c>
      <c r="D11">
        <v>3.62</v>
      </c>
      <c r="E11">
        <v>1.95</v>
      </c>
      <c r="F11">
        <f t="shared" ref="F11:F25" si="0">100-B11-C11-D11</f>
        <v>75.169999999999987</v>
      </c>
      <c r="G11">
        <f t="shared" ref="G11:G25" si="1">(4.18)*((4*F11)+(4*B11)+(9*E11))</f>
        <v>1507.2661999999998</v>
      </c>
      <c r="J11" t="s">
        <v>169</v>
      </c>
      <c r="K11" s="105">
        <f>AVERAGE(G10:G13)</f>
        <v>1561.3867500000001</v>
      </c>
      <c r="L11" s="102">
        <f>_xlfn.STDEV.S(G10:G13)</f>
        <v>56.302695383524963</v>
      </c>
    </row>
    <row r="12" spans="1:12" x14ac:dyDescent="0.35">
      <c r="A12">
        <v>1</v>
      </c>
      <c r="B12">
        <v>10.1</v>
      </c>
      <c r="C12">
        <v>8.56</v>
      </c>
      <c r="D12" s="22"/>
      <c r="E12">
        <v>2.15</v>
      </c>
      <c r="F12">
        <f t="shared" si="0"/>
        <v>81.34</v>
      </c>
      <c r="G12">
        <f t="shared" si="1"/>
        <v>1609.7598</v>
      </c>
      <c r="J12" t="s">
        <v>171</v>
      </c>
      <c r="K12" s="105">
        <f>AVERAGE(G14:G17)</f>
        <v>1628.9878000000001</v>
      </c>
      <c r="L12" s="102">
        <f>_xlfn.STDEV.S(G14:G17)</f>
        <v>13.202052073825453</v>
      </c>
    </row>
    <row r="13" spans="1:12" x14ac:dyDescent="0.35">
      <c r="A13">
        <v>1</v>
      </c>
      <c r="B13">
        <v>11.04</v>
      </c>
      <c r="C13">
        <v>8.51</v>
      </c>
      <c r="D13" s="22"/>
      <c r="E13">
        <v>2.14</v>
      </c>
      <c r="F13">
        <f t="shared" si="0"/>
        <v>80.45</v>
      </c>
      <c r="G13">
        <f t="shared" si="1"/>
        <v>1610.2195999999999</v>
      </c>
      <c r="J13" t="s">
        <v>172</v>
      </c>
      <c r="K13" s="105">
        <f>AVERAGE(G18:G21)</f>
        <v>2124.4640999999997</v>
      </c>
      <c r="L13" s="102">
        <f>_xlfn.STDEV.S(G18:G21)</f>
        <v>19.25277628360795</v>
      </c>
    </row>
    <row r="14" spans="1:12" x14ac:dyDescent="0.35">
      <c r="A14">
        <v>3</v>
      </c>
      <c r="B14">
        <v>10.46</v>
      </c>
      <c r="C14">
        <v>5.22</v>
      </c>
      <c r="D14">
        <v>3.41</v>
      </c>
      <c r="E14">
        <v>2.92</v>
      </c>
      <c r="F14">
        <f t="shared" si="0"/>
        <v>80.91</v>
      </c>
      <c r="G14">
        <f t="shared" si="1"/>
        <v>1637.5567999999998</v>
      </c>
      <c r="J14" t="s">
        <v>173</v>
      </c>
      <c r="K14" s="105">
        <f>AVERAGE(G22:G25)</f>
        <v>1971.1521499999999</v>
      </c>
      <c r="L14" s="102">
        <f>_xlfn.STDEV.S(G22:G25)</f>
        <v>12.010179741508111</v>
      </c>
    </row>
    <row r="15" spans="1:12" x14ac:dyDescent="0.35">
      <c r="A15">
        <v>3</v>
      </c>
      <c r="B15">
        <v>10.59</v>
      </c>
      <c r="C15">
        <v>5.86</v>
      </c>
      <c r="D15">
        <v>4.8099999999999996</v>
      </c>
      <c r="E15">
        <v>3.97</v>
      </c>
      <c r="F15">
        <f t="shared" si="0"/>
        <v>78.739999999999995</v>
      </c>
      <c r="G15">
        <f t="shared" si="1"/>
        <v>1642.9489999999998</v>
      </c>
    </row>
    <row r="16" spans="1:12" x14ac:dyDescent="0.35">
      <c r="A16">
        <v>3</v>
      </c>
      <c r="B16">
        <v>11.66</v>
      </c>
      <c r="C16">
        <v>8.1199999999999992</v>
      </c>
      <c r="D16" s="22"/>
      <c r="E16">
        <v>2.15</v>
      </c>
      <c r="F16">
        <f t="shared" si="0"/>
        <v>80.22</v>
      </c>
      <c r="G16">
        <f t="shared" si="1"/>
        <v>1617.1165999999998</v>
      </c>
    </row>
    <row r="17" spans="1:7" x14ac:dyDescent="0.35">
      <c r="A17">
        <v>3</v>
      </c>
      <c r="B17">
        <v>6.64</v>
      </c>
      <c r="C17">
        <v>8.16</v>
      </c>
      <c r="D17" s="22"/>
      <c r="E17">
        <v>2.2000000000000002</v>
      </c>
      <c r="F17">
        <f t="shared" si="0"/>
        <v>85.2</v>
      </c>
      <c r="G17">
        <f t="shared" si="1"/>
        <v>1618.3288</v>
      </c>
    </row>
    <row r="18" spans="1:7" x14ac:dyDescent="0.35">
      <c r="A18">
        <v>4</v>
      </c>
      <c r="B18">
        <v>17.23</v>
      </c>
      <c r="C18">
        <v>2.93</v>
      </c>
      <c r="D18">
        <v>4.5</v>
      </c>
      <c r="E18">
        <v>15.67</v>
      </c>
      <c r="F18">
        <f t="shared" si="0"/>
        <v>75.339999999999989</v>
      </c>
      <c r="G18">
        <f t="shared" si="1"/>
        <v>2137.2757999999994</v>
      </c>
    </row>
    <row r="19" spans="1:7" x14ac:dyDescent="0.35">
      <c r="A19">
        <v>4</v>
      </c>
      <c r="B19">
        <v>17.010000000000002</v>
      </c>
      <c r="C19">
        <v>3.01</v>
      </c>
      <c r="D19">
        <v>4.2300000000000004</v>
      </c>
      <c r="E19">
        <v>15.78</v>
      </c>
      <c r="F19">
        <f t="shared" si="0"/>
        <v>75.749999999999986</v>
      </c>
      <c r="G19">
        <f t="shared" si="1"/>
        <v>2144.5907999999995</v>
      </c>
    </row>
    <row r="20" spans="1:7" x14ac:dyDescent="0.35">
      <c r="A20">
        <v>4</v>
      </c>
      <c r="B20">
        <v>18.84</v>
      </c>
      <c r="C20">
        <v>5.47</v>
      </c>
      <c r="D20" s="22"/>
      <c r="E20">
        <v>14.01</v>
      </c>
      <c r="F20">
        <f t="shared" si="0"/>
        <v>75.69</v>
      </c>
      <c r="G20">
        <f t="shared" si="1"/>
        <v>2107.5978</v>
      </c>
    </row>
    <row r="21" spans="1:7" x14ac:dyDescent="0.35">
      <c r="A21">
        <v>4</v>
      </c>
      <c r="B21">
        <v>18.690000000000001</v>
      </c>
      <c r="C21">
        <v>5.31</v>
      </c>
      <c r="D21" s="22"/>
      <c r="E21">
        <v>13.96</v>
      </c>
      <c r="F21">
        <f t="shared" si="0"/>
        <v>76</v>
      </c>
      <c r="G21">
        <f t="shared" si="1"/>
        <v>2108.3919999999998</v>
      </c>
    </row>
    <row r="22" spans="1:7" x14ac:dyDescent="0.35">
      <c r="A22">
        <v>5</v>
      </c>
      <c r="B22">
        <v>17.03</v>
      </c>
      <c r="C22">
        <v>3.59</v>
      </c>
      <c r="D22">
        <v>3.97</v>
      </c>
      <c r="E22">
        <v>11.73</v>
      </c>
      <c r="F22">
        <f t="shared" si="0"/>
        <v>75.41</v>
      </c>
      <c r="G22">
        <f t="shared" si="1"/>
        <v>1986.8793999999998</v>
      </c>
    </row>
    <row r="23" spans="1:7" x14ac:dyDescent="0.35">
      <c r="A23">
        <v>5</v>
      </c>
      <c r="B23">
        <v>18.52</v>
      </c>
      <c r="C23">
        <v>3.47</v>
      </c>
      <c r="D23">
        <v>5.81</v>
      </c>
      <c r="E23">
        <v>11.72</v>
      </c>
      <c r="F23">
        <f t="shared" si="0"/>
        <v>72.2</v>
      </c>
      <c r="G23">
        <f t="shared" si="1"/>
        <v>1957.7447999999999</v>
      </c>
    </row>
    <row r="24" spans="1:7" x14ac:dyDescent="0.35">
      <c r="A24">
        <v>5</v>
      </c>
      <c r="B24">
        <v>18.82</v>
      </c>
      <c r="C24">
        <v>3.84</v>
      </c>
      <c r="D24" s="22"/>
      <c r="E24">
        <v>9.66</v>
      </c>
      <c r="F24">
        <f t="shared" si="0"/>
        <v>77.34</v>
      </c>
      <c r="G24">
        <f t="shared" si="1"/>
        <v>1971.2043999999999</v>
      </c>
    </row>
    <row r="25" spans="1:7" x14ac:dyDescent="0.35">
      <c r="A25">
        <v>5</v>
      </c>
      <c r="B25">
        <v>18.62</v>
      </c>
      <c r="C25">
        <v>3.85</v>
      </c>
      <c r="D25" s="22"/>
      <c r="E25">
        <v>9.6</v>
      </c>
      <c r="F25">
        <f t="shared" si="0"/>
        <v>77.53</v>
      </c>
      <c r="G25">
        <f t="shared" si="1"/>
        <v>1968.78</v>
      </c>
    </row>
    <row r="30" spans="1:7" x14ac:dyDescent="0.35">
      <c r="E30" t="s">
        <v>169</v>
      </c>
      <c r="F30">
        <v>1561.3867500000001</v>
      </c>
    </row>
    <row r="31" spans="1:7" x14ac:dyDescent="0.35">
      <c r="E31" t="s">
        <v>170</v>
      </c>
      <c r="F31">
        <v>1639.9080499999998</v>
      </c>
    </row>
    <row r="32" spans="1:7" x14ac:dyDescent="0.35">
      <c r="E32" t="s">
        <v>171</v>
      </c>
      <c r="F32">
        <v>1628.9878000000001</v>
      </c>
    </row>
    <row r="33" spans="5:6" x14ac:dyDescent="0.35">
      <c r="E33" t="s">
        <v>172</v>
      </c>
      <c r="F33">
        <v>2124.4640999999997</v>
      </c>
    </row>
    <row r="34" spans="5:6" x14ac:dyDescent="0.35">
      <c r="E34" t="s">
        <v>173</v>
      </c>
      <c r="F34">
        <v>1971.1521499999999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84128-83FD-48CF-88CD-0097F139A2D6}">
  <dimension ref="A1:AL41"/>
  <sheetViews>
    <sheetView tabSelected="1" topLeftCell="AA10" zoomScale="48" workbookViewId="0">
      <selection activeCell="AK44" sqref="AK44"/>
    </sheetView>
  </sheetViews>
  <sheetFormatPr defaultRowHeight="14.5" x14ac:dyDescent="0.35"/>
  <cols>
    <col min="1" max="1" width="9.90625" bestFit="1" customWidth="1"/>
    <col min="2" max="2" width="9.6328125" bestFit="1" customWidth="1"/>
    <col min="3" max="3" width="10.90625" bestFit="1" customWidth="1"/>
    <col min="4" max="6" width="7.36328125" bestFit="1" customWidth="1"/>
    <col min="9" max="9" width="6.81640625" bestFit="1" customWidth="1"/>
    <col min="10" max="10" width="9.90625" bestFit="1" customWidth="1"/>
    <col min="11" max="11" width="9.6328125" bestFit="1" customWidth="1"/>
    <col min="12" max="12" width="15.26953125" bestFit="1" customWidth="1"/>
    <col min="13" max="13" width="15.6328125" bestFit="1" customWidth="1"/>
    <col min="14" max="14" width="16.453125" bestFit="1" customWidth="1"/>
    <col min="15" max="15" width="20.81640625" bestFit="1" customWidth="1"/>
    <col min="16" max="16" width="8.08984375" customWidth="1"/>
    <col min="17" max="17" width="19.08984375" bestFit="1" customWidth="1"/>
    <col min="18" max="18" width="18.90625" bestFit="1" customWidth="1"/>
    <col min="19" max="19" width="15.26953125" bestFit="1" customWidth="1"/>
    <col min="20" max="20" width="9.90625" bestFit="1" customWidth="1"/>
    <col min="21" max="21" width="20.54296875" customWidth="1"/>
    <col min="22" max="22" width="18" bestFit="1" customWidth="1"/>
    <col min="23" max="23" width="6.6328125" customWidth="1"/>
    <col min="24" max="24" width="26.54296875" customWidth="1"/>
    <col min="25" max="25" width="11.26953125" bestFit="1" customWidth="1"/>
    <col min="26" max="26" width="15.6328125" bestFit="1" customWidth="1"/>
    <col min="27" max="27" width="13.7265625" bestFit="1" customWidth="1"/>
    <col min="28" max="28" width="14.453125" bestFit="1" customWidth="1"/>
    <col min="29" max="29" width="18.90625" bestFit="1" customWidth="1"/>
    <col min="30" max="30" width="11.81640625" bestFit="1" customWidth="1"/>
    <col min="35" max="35" width="25.08984375" bestFit="1" customWidth="1"/>
    <col min="36" max="36" width="13.90625" bestFit="1" customWidth="1"/>
  </cols>
  <sheetData>
    <row r="1" spans="1:38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J1"/>
      <c r="K1"/>
      <c r="L1"/>
      <c r="M1"/>
      <c r="N1"/>
      <c r="O1"/>
      <c r="P1"/>
      <c r="Q1"/>
      <c r="R1"/>
      <c r="S1"/>
      <c r="T1"/>
      <c r="U1"/>
      <c r="V1"/>
    </row>
    <row r="2" spans="1:38" s="1" customFormat="1" x14ac:dyDescent="0.35">
      <c r="A2">
        <v>1</v>
      </c>
      <c r="B2" t="s">
        <v>10</v>
      </c>
      <c r="C2" t="s">
        <v>11</v>
      </c>
      <c r="D2">
        <v>0.33400000000000002</v>
      </c>
      <c r="E2">
        <v>0.34129999999999999</v>
      </c>
      <c r="F2">
        <v>0.34339999999999998</v>
      </c>
      <c r="G2" s="3">
        <f t="shared" ref="G2:G25" si="0">AVERAGE(D2:F2)</f>
        <v>0.33956666666666663</v>
      </c>
      <c r="H2">
        <f>STDEV(D2:F2)</f>
        <v>4.933896364267611E-3</v>
      </c>
      <c r="J2" s="118" t="s">
        <v>29</v>
      </c>
      <c r="K2" s="118"/>
      <c r="L2" s="118"/>
      <c r="M2" s="118"/>
      <c r="N2" s="118"/>
      <c r="O2" s="118"/>
      <c r="P2"/>
      <c r="Q2" s="113" t="s">
        <v>30</v>
      </c>
      <c r="R2" s="114"/>
      <c r="S2" s="115"/>
      <c r="U2" s="116" t="s">
        <v>31</v>
      </c>
      <c r="V2" s="116"/>
      <c r="W2" s="23"/>
      <c r="X2" s="23"/>
    </row>
    <row r="3" spans="1:38" s="1" customFormat="1" x14ac:dyDescent="0.35">
      <c r="A3">
        <v>1</v>
      </c>
      <c r="B3" t="s">
        <v>12</v>
      </c>
      <c r="C3" t="s">
        <v>11</v>
      </c>
      <c r="D3">
        <v>0.32240000000000002</v>
      </c>
      <c r="E3">
        <v>0.32900000000000001</v>
      </c>
      <c r="F3">
        <v>0.32919999999999999</v>
      </c>
      <c r="G3" s="3">
        <f t="shared" si="0"/>
        <v>0.32686666666666664</v>
      </c>
      <c r="H3">
        <f t="shared" ref="H3:H25" si="1">STDEV(D3:F3)</f>
        <v>3.8695391629150443E-3</v>
      </c>
      <c r="J3" s="26"/>
      <c r="K3" s="32" t="s">
        <v>3</v>
      </c>
      <c r="L3" s="32" t="s">
        <v>4</v>
      </c>
      <c r="M3" s="32" t="s">
        <v>5</v>
      </c>
      <c r="N3" s="32" t="s">
        <v>6</v>
      </c>
      <c r="O3" s="32" t="s">
        <v>7</v>
      </c>
      <c r="P3"/>
      <c r="Q3" s="7" t="s">
        <v>13</v>
      </c>
      <c r="R3" s="7" t="s">
        <v>14</v>
      </c>
      <c r="S3" s="7" t="s">
        <v>6</v>
      </c>
      <c r="T3"/>
      <c r="U3" s="33" t="s">
        <v>15</v>
      </c>
      <c r="V3" s="25" t="s">
        <v>16</v>
      </c>
      <c r="W3" s="23"/>
      <c r="X3" s="23"/>
    </row>
    <row r="4" spans="1:38" s="1" customFormat="1" x14ac:dyDescent="0.35">
      <c r="A4">
        <v>1</v>
      </c>
      <c r="B4" t="s">
        <v>26</v>
      </c>
      <c r="C4" t="s">
        <v>11</v>
      </c>
      <c r="D4">
        <v>0.34429999999999999</v>
      </c>
      <c r="E4">
        <v>0.3463</v>
      </c>
      <c r="F4">
        <v>0.34570000000000001</v>
      </c>
      <c r="G4" s="3">
        <f t="shared" si="0"/>
        <v>0.34543333333333331</v>
      </c>
      <c r="H4">
        <f t="shared" si="1"/>
        <v>1.0263202878893793E-3</v>
      </c>
      <c r="J4" s="26" t="s">
        <v>18</v>
      </c>
      <c r="K4" s="26">
        <v>5.9999999999999995E-4</v>
      </c>
      <c r="L4" s="26">
        <v>8.0000000000000004E-4</v>
      </c>
      <c r="M4" s="26">
        <v>1.26E-2</v>
      </c>
      <c r="N4" s="26">
        <f>AVERAGE(K4:M4)</f>
        <v>4.6666666666666671E-3</v>
      </c>
      <c r="O4" s="26">
        <f>STDEV(K4:M4)</f>
        <v>6.8711959172572962E-3</v>
      </c>
      <c r="P4"/>
      <c r="Q4" s="5" t="s">
        <v>18</v>
      </c>
      <c r="R4" s="10">
        <v>0</v>
      </c>
      <c r="S4" s="26">
        <v>4.6666666666666671E-3</v>
      </c>
      <c r="T4"/>
      <c r="U4" s="26">
        <f>S4-S$4</f>
        <v>0</v>
      </c>
      <c r="V4" s="26" t="e">
        <f>R4/U4</f>
        <v>#DIV/0!</v>
      </c>
      <c r="W4" s="23"/>
      <c r="X4" s="23"/>
      <c r="AI4" s="21" t="s">
        <v>8</v>
      </c>
      <c r="AJ4" t="s">
        <v>9</v>
      </c>
      <c r="AK4"/>
    </row>
    <row r="5" spans="1:38" s="1" customFormat="1" x14ac:dyDescent="0.35">
      <c r="A5">
        <v>3</v>
      </c>
      <c r="B5" t="s">
        <v>10</v>
      </c>
      <c r="C5" t="s">
        <v>11</v>
      </c>
      <c r="D5">
        <v>0.44359999999999999</v>
      </c>
      <c r="E5">
        <v>0.44180000000000003</v>
      </c>
      <c r="F5">
        <v>0.44590000000000002</v>
      </c>
      <c r="G5" s="3">
        <f t="shared" si="0"/>
        <v>0.44376666666666664</v>
      </c>
      <c r="H5">
        <f t="shared" si="1"/>
        <v>2.0550750189064445E-3</v>
      </c>
      <c r="J5" s="26" t="s">
        <v>19</v>
      </c>
      <c r="K5" s="26">
        <v>9.7000000000000003E-2</v>
      </c>
      <c r="L5" s="26">
        <v>0.1071</v>
      </c>
      <c r="M5" s="26">
        <v>0.1094</v>
      </c>
      <c r="N5" s="26">
        <f>AVERAGE(K5:M5)</f>
        <v>0.1045</v>
      </c>
      <c r="O5" s="26">
        <f>STDEV(K5:M5)</f>
        <v>6.59621103361619E-3</v>
      </c>
      <c r="P5"/>
      <c r="Q5" s="5" t="s">
        <v>19</v>
      </c>
      <c r="R5" s="10">
        <v>0.5</v>
      </c>
      <c r="S5" s="26">
        <v>0.1045</v>
      </c>
      <c r="T5"/>
      <c r="U5" s="26">
        <f>S5-S$4</f>
        <v>9.9833333333333329E-2</v>
      </c>
      <c r="V5" s="26">
        <f>R5/U5</f>
        <v>5.0083472454090154</v>
      </c>
      <c r="W5" s="23"/>
      <c r="X5" s="7" t="s">
        <v>35</v>
      </c>
      <c r="AE5"/>
      <c r="AI5" s="4" t="s">
        <v>20</v>
      </c>
      <c r="AJ5">
        <v>0.95491388629732898</v>
      </c>
      <c r="AK5"/>
    </row>
    <row r="6" spans="1:38" x14ac:dyDescent="0.35">
      <c r="A6">
        <v>3</v>
      </c>
      <c r="B6" t="s">
        <v>12</v>
      </c>
      <c r="C6" t="s">
        <v>11</v>
      </c>
      <c r="D6">
        <v>0.44400000000000001</v>
      </c>
      <c r="E6">
        <v>0.45879999999999999</v>
      </c>
      <c r="F6">
        <v>0.45900000000000002</v>
      </c>
      <c r="G6" s="3">
        <f t="shared" si="0"/>
        <v>0.45393333333333336</v>
      </c>
      <c r="H6">
        <f t="shared" si="1"/>
        <v>8.603100216394861E-3</v>
      </c>
      <c r="J6" s="26" t="s">
        <v>21</v>
      </c>
      <c r="K6" s="26">
        <v>0.50119999999999998</v>
      </c>
      <c r="L6" s="26">
        <v>0.50390000000000001</v>
      </c>
      <c r="M6" s="26">
        <v>0.504</v>
      </c>
      <c r="N6" s="26">
        <f>AVERAGE(K6:M6)</f>
        <v>0.50303333333333333</v>
      </c>
      <c r="O6" s="26">
        <f>STDEV(K6:M6)</f>
        <v>1.5885003409925312E-3</v>
      </c>
      <c r="Q6" s="5" t="s">
        <v>21</v>
      </c>
      <c r="R6" s="10">
        <v>2.5</v>
      </c>
      <c r="S6" s="26">
        <v>0.50303333333333333</v>
      </c>
      <c r="U6" s="26">
        <f>S6-S$4</f>
        <v>0.49836666666666668</v>
      </c>
      <c r="V6" s="26">
        <f>R6/U6</f>
        <v>5.0163868637549323</v>
      </c>
      <c r="W6" s="24"/>
      <c r="X6" s="9">
        <f>AVERAGE(V5:V8)</f>
        <v>4.9903185524424627</v>
      </c>
      <c r="AI6" s="8" t="s">
        <v>23</v>
      </c>
      <c r="AJ6">
        <v>0.7003273248273425</v>
      </c>
    </row>
    <row r="7" spans="1:38" x14ac:dyDescent="0.35">
      <c r="A7">
        <v>3</v>
      </c>
      <c r="B7" t="s">
        <v>26</v>
      </c>
      <c r="C7" t="s">
        <v>11</v>
      </c>
      <c r="D7">
        <v>0.44119999999999998</v>
      </c>
      <c r="E7">
        <v>0.4415</v>
      </c>
      <c r="F7">
        <v>0.442</v>
      </c>
      <c r="G7" s="3">
        <f t="shared" si="0"/>
        <v>0.44156666666666666</v>
      </c>
      <c r="H7">
        <f t="shared" si="1"/>
        <v>4.0414518843274848E-4</v>
      </c>
      <c r="J7" s="26" t="s">
        <v>24</v>
      </c>
      <c r="K7" s="26">
        <v>1.0115000000000001</v>
      </c>
      <c r="L7" s="26">
        <v>1.0105999999999999</v>
      </c>
      <c r="M7" s="26">
        <v>1.0157</v>
      </c>
      <c r="N7" s="26">
        <f>AVERAGE(K7:M7)</f>
        <v>1.0125999999999999</v>
      </c>
      <c r="O7" s="26">
        <f>STDEV(K7:M7)</f>
        <v>2.7221315177632746E-3</v>
      </c>
      <c r="Q7" s="5" t="s">
        <v>24</v>
      </c>
      <c r="R7" s="10">
        <v>5</v>
      </c>
      <c r="S7" s="26">
        <v>1.0125999999999999</v>
      </c>
      <c r="U7" s="26">
        <f>S7-S$4</f>
        <v>1.0079333333333333</v>
      </c>
      <c r="V7" s="26">
        <f>R7/U7</f>
        <v>4.9606455453403004</v>
      </c>
      <c r="W7" s="24"/>
      <c r="X7" s="27"/>
      <c r="Y7" s="13"/>
      <c r="Z7" s="13"/>
      <c r="AA7" s="13"/>
      <c r="AB7" s="13"/>
      <c r="AI7" s="11" t="s">
        <v>25</v>
      </c>
      <c r="AJ7">
        <v>0.74172675750294159</v>
      </c>
      <c r="AL7" s="1" t="s">
        <v>22</v>
      </c>
    </row>
    <row r="8" spans="1:38" x14ac:dyDescent="0.35">
      <c r="A8">
        <v>4</v>
      </c>
      <c r="B8" t="s">
        <v>10</v>
      </c>
      <c r="C8" t="s">
        <v>11</v>
      </c>
      <c r="D8">
        <v>0.44690000000000002</v>
      </c>
      <c r="E8">
        <v>0.45050000000000001</v>
      </c>
      <c r="F8">
        <v>0.4501</v>
      </c>
      <c r="G8" s="3">
        <f t="shared" si="0"/>
        <v>0.44916666666666666</v>
      </c>
      <c r="H8">
        <f t="shared" si="1"/>
        <v>1.9731531449264919E-3</v>
      </c>
      <c r="J8" s="26" t="s">
        <v>27</v>
      </c>
      <c r="K8" s="26">
        <v>1.5061</v>
      </c>
      <c r="L8" s="26">
        <v>1.5181</v>
      </c>
      <c r="M8" s="26">
        <v>1.5116000000000001</v>
      </c>
      <c r="N8" s="26">
        <f>AVERAGE(K8:M8)</f>
        <v>1.5119333333333334</v>
      </c>
      <c r="O8" s="26">
        <f>STDEV(K8:M8)</f>
        <v>6.0069404303133705E-3</v>
      </c>
      <c r="Q8" s="5" t="s">
        <v>27</v>
      </c>
      <c r="R8" s="10">
        <v>7.5</v>
      </c>
      <c r="S8" s="26">
        <v>1.5119333333333334</v>
      </c>
      <c r="U8" s="26">
        <f>S8-S$4</f>
        <v>1.5072666666666668</v>
      </c>
      <c r="V8" s="26">
        <f>R8/U8</f>
        <v>4.9758945552656018</v>
      </c>
      <c r="W8" s="24"/>
      <c r="X8" s="28"/>
      <c r="AI8" s="12" t="s">
        <v>17</v>
      </c>
      <c r="AJ8">
        <v>0.74172675750294159</v>
      </c>
      <c r="AL8">
        <v>2.9975075681690593E-2</v>
      </c>
    </row>
    <row r="9" spans="1:38" x14ac:dyDescent="0.35">
      <c r="A9">
        <v>4</v>
      </c>
      <c r="B9" t="s">
        <v>12</v>
      </c>
      <c r="C9" t="s">
        <v>11</v>
      </c>
      <c r="D9">
        <v>0.43740000000000001</v>
      </c>
      <c r="E9">
        <v>0.43759999999999999</v>
      </c>
      <c r="F9">
        <v>0.43940000000000001</v>
      </c>
      <c r="G9" s="3">
        <f t="shared" si="0"/>
        <v>0.43813333333333332</v>
      </c>
      <c r="H9">
        <f t="shared" si="1"/>
        <v>1.1015141094572268E-3</v>
      </c>
      <c r="J9" s="24"/>
      <c r="K9" s="24"/>
      <c r="L9" s="24"/>
      <c r="M9" s="24"/>
      <c r="N9" s="24"/>
      <c r="O9" s="24"/>
      <c r="U9" s="24"/>
      <c r="V9" s="24"/>
      <c r="X9" s="1"/>
      <c r="Y9" s="1"/>
      <c r="Z9" s="1"/>
      <c r="AA9" s="1"/>
      <c r="AB9" s="1"/>
      <c r="AI9" s="11" t="s">
        <v>28</v>
      </c>
      <c r="AJ9">
        <v>0.65892789215174352</v>
      </c>
      <c r="AL9">
        <v>1.7281212689849827E-2</v>
      </c>
    </row>
    <row r="10" spans="1:38" x14ac:dyDescent="0.35">
      <c r="A10">
        <v>4</v>
      </c>
      <c r="B10" t="s">
        <v>26</v>
      </c>
      <c r="C10" t="s">
        <v>11</v>
      </c>
      <c r="D10">
        <v>0.45600000000000002</v>
      </c>
      <c r="E10">
        <v>0.45529999999999998</v>
      </c>
      <c r="F10">
        <v>0.45479999999999998</v>
      </c>
      <c r="G10" s="3">
        <f t="shared" si="0"/>
        <v>0.45536666666666664</v>
      </c>
      <c r="H10">
        <f t="shared" si="1"/>
        <v>6.0277137733418884E-4</v>
      </c>
      <c r="J10" s="112" t="s">
        <v>37</v>
      </c>
      <c r="K10" s="112"/>
      <c r="L10" s="112"/>
      <c r="M10" s="112"/>
      <c r="N10" s="112"/>
      <c r="O10" s="112"/>
      <c r="Q10" s="113" t="s">
        <v>38</v>
      </c>
      <c r="R10" s="114"/>
      <c r="S10" s="115"/>
      <c r="T10" s="1"/>
      <c r="U10" s="116" t="s">
        <v>39</v>
      </c>
      <c r="V10" s="116"/>
      <c r="AI10" s="12" t="s">
        <v>17</v>
      </c>
      <c r="AJ10">
        <v>0.65892789215174352</v>
      </c>
      <c r="AL10">
        <v>1.2299915080720612E-2</v>
      </c>
    </row>
    <row r="11" spans="1:38" ht="13" customHeight="1" x14ac:dyDescent="0.35">
      <c r="A11">
        <v>5</v>
      </c>
      <c r="B11" t="s">
        <v>10</v>
      </c>
      <c r="C11" t="s">
        <v>11</v>
      </c>
      <c r="D11">
        <v>0.64859999999999995</v>
      </c>
      <c r="E11">
        <v>0.64880000000000004</v>
      </c>
      <c r="F11">
        <v>0.65090000000000003</v>
      </c>
      <c r="G11" s="3">
        <f t="shared" si="0"/>
        <v>0.64943333333333342</v>
      </c>
      <c r="H11">
        <f t="shared" si="1"/>
        <v>1.2741009902411166E-3</v>
      </c>
      <c r="J11" s="26"/>
      <c r="K11" s="32" t="s">
        <v>3</v>
      </c>
      <c r="L11" s="32" t="s">
        <v>4</v>
      </c>
      <c r="M11" s="32" t="s">
        <v>5</v>
      </c>
      <c r="N11" s="32" t="s">
        <v>6</v>
      </c>
      <c r="O11" s="32" t="s">
        <v>7</v>
      </c>
      <c r="Q11" s="7" t="s">
        <v>13</v>
      </c>
      <c r="R11" s="7" t="s">
        <v>14</v>
      </c>
      <c r="S11" s="7" t="s">
        <v>6</v>
      </c>
      <c r="U11" s="33" t="s">
        <v>15</v>
      </c>
      <c r="V11" s="25" t="s">
        <v>16</v>
      </c>
      <c r="AI11" s="8" t="s">
        <v>32</v>
      </c>
      <c r="AJ11">
        <v>1.2095004477673155</v>
      </c>
      <c r="AL11">
        <v>1.6477047045000585E-2</v>
      </c>
    </row>
    <row r="12" spans="1:38" x14ac:dyDescent="0.35">
      <c r="A12">
        <v>5</v>
      </c>
      <c r="B12" t="s">
        <v>12</v>
      </c>
      <c r="C12" t="s">
        <v>11</v>
      </c>
      <c r="D12">
        <v>0.63439999999999996</v>
      </c>
      <c r="E12">
        <v>0.63300000000000001</v>
      </c>
      <c r="F12">
        <v>0.63360000000000005</v>
      </c>
      <c r="G12" s="3">
        <f t="shared" si="0"/>
        <v>0.6336666666666666</v>
      </c>
      <c r="H12">
        <f t="shared" si="1"/>
        <v>7.0237691685682462E-4</v>
      </c>
      <c r="J12" s="26" t="s">
        <v>18</v>
      </c>
      <c r="K12" s="26">
        <v>-8.0999999999999996E-3</v>
      </c>
      <c r="L12" s="26">
        <v>-4.4999999999999997E-3</v>
      </c>
      <c r="M12" s="26">
        <v>-8.9999999999999993E-3</v>
      </c>
      <c r="N12" s="26">
        <f>AVERAGE(K12:M12)</f>
        <v>-7.2000000000000007E-3</v>
      </c>
      <c r="O12" s="26">
        <f>STDEV(K12:M12)</f>
        <v>2.3811761799581313E-3</v>
      </c>
      <c r="Q12" s="5" t="s">
        <v>18</v>
      </c>
      <c r="R12" s="10">
        <v>0</v>
      </c>
      <c r="S12" s="26">
        <v>-7.2000000000000007E-3</v>
      </c>
      <c r="U12" s="26">
        <f>S12-S$12</f>
        <v>0</v>
      </c>
      <c r="V12" s="26" t="e">
        <f>R12/U12</f>
        <v>#DIV/0!</v>
      </c>
      <c r="AI12" s="11" t="s">
        <v>28</v>
      </c>
      <c r="AJ12">
        <v>1.2095004477673155</v>
      </c>
    </row>
    <row r="13" spans="1:38" x14ac:dyDescent="0.35">
      <c r="A13">
        <v>5</v>
      </c>
      <c r="B13" t="s">
        <v>26</v>
      </c>
      <c r="C13" t="s">
        <v>11</v>
      </c>
      <c r="D13">
        <v>0.63180000000000003</v>
      </c>
      <c r="E13">
        <v>0.63160000000000005</v>
      </c>
      <c r="F13">
        <v>0.63490000000000002</v>
      </c>
      <c r="G13" s="3">
        <f t="shared" si="0"/>
        <v>0.6327666666666667</v>
      </c>
      <c r="H13">
        <f t="shared" si="1"/>
        <v>1.8502252115170439E-3</v>
      </c>
      <c r="J13" s="26" t="s">
        <v>19</v>
      </c>
      <c r="K13" s="26">
        <v>8.5199999999999998E-2</v>
      </c>
      <c r="L13" s="26">
        <v>9.0300000000000005E-2</v>
      </c>
      <c r="M13" s="26">
        <v>9.0999999999999998E-2</v>
      </c>
      <c r="N13" s="26">
        <f>AVERAGE(K13:M13)</f>
        <v>8.883333333333332E-2</v>
      </c>
      <c r="O13" s="26">
        <f t="shared" ref="O13:O16" si="2">STDEV(K13:M13)</f>
        <v>3.1659648345067483E-3</v>
      </c>
      <c r="Q13" s="5" t="s">
        <v>19</v>
      </c>
      <c r="R13" s="10">
        <v>0.5</v>
      </c>
      <c r="S13" s="26">
        <v>8.883333333333332E-2</v>
      </c>
      <c r="U13" s="26">
        <f>S13-S$12</f>
        <v>9.6033333333333318E-2</v>
      </c>
      <c r="V13" s="26">
        <f>R13/U13</f>
        <v>5.2065255119750091</v>
      </c>
      <c r="X13" s="7" t="s">
        <v>40</v>
      </c>
      <c r="AI13" s="12" t="s">
        <v>33</v>
      </c>
      <c r="AJ13">
        <v>1.3945184416612502</v>
      </c>
    </row>
    <row r="14" spans="1:38" x14ac:dyDescent="0.35">
      <c r="A14">
        <v>1</v>
      </c>
      <c r="B14" t="s">
        <v>10</v>
      </c>
      <c r="C14" t="s">
        <v>41</v>
      </c>
      <c r="D14">
        <v>0.72870000000000001</v>
      </c>
      <c r="E14">
        <v>0.72970000000000002</v>
      </c>
      <c r="F14">
        <v>0.72960000000000003</v>
      </c>
      <c r="G14" s="30">
        <f t="shared" si="0"/>
        <v>0.72933333333333339</v>
      </c>
      <c r="H14">
        <f t="shared" si="1"/>
        <v>5.5075705472861338E-4</v>
      </c>
      <c r="J14" s="26" t="s">
        <v>21</v>
      </c>
      <c r="K14" s="26">
        <v>0.4919</v>
      </c>
      <c r="L14" s="26">
        <v>0.49159999999999998</v>
      </c>
      <c r="M14" s="26">
        <v>0.49299999999999999</v>
      </c>
      <c r="N14" s="26">
        <f t="shared" ref="N14" si="3">AVERAGE(K14:M14)</f>
        <v>0.4921666666666667</v>
      </c>
      <c r="O14" s="26">
        <f t="shared" si="2"/>
        <v>7.3711147958320229E-4</v>
      </c>
      <c r="Q14" s="5" t="s">
        <v>21</v>
      </c>
      <c r="R14" s="10">
        <v>2.5</v>
      </c>
      <c r="S14" s="26">
        <v>0.4921666666666667</v>
      </c>
      <c r="U14" s="26">
        <f>S14-S$12</f>
        <v>0.49936666666666668</v>
      </c>
      <c r="V14" s="26">
        <f>R14/U14</f>
        <v>5.0063413657299245</v>
      </c>
      <c r="X14" s="9">
        <f>AVERAGE(V13:V16)</f>
        <v>5.0357288058203924</v>
      </c>
      <c r="AI14" s="12" t="s">
        <v>34</v>
      </c>
      <c r="AJ14">
        <v>1.0244824538733808</v>
      </c>
    </row>
    <row r="15" spans="1:38" x14ac:dyDescent="0.35">
      <c r="A15">
        <v>1</v>
      </c>
      <c r="B15" t="s">
        <v>12</v>
      </c>
      <c r="C15" t="s">
        <v>41</v>
      </c>
      <c r="D15">
        <v>0.71330000000000005</v>
      </c>
      <c r="E15">
        <v>0.71260000000000001</v>
      </c>
      <c r="F15">
        <v>0.71299999999999997</v>
      </c>
      <c r="G15" s="30">
        <f t="shared" si="0"/>
        <v>0.71296666666666664</v>
      </c>
      <c r="H15">
        <f t="shared" si="1"/>
        <v>3.5118845842843866E-4</v>
      </c>
      <c r="J15" s="26" t="s">
        <v>24</v>
      </c>
      <c r="K15" s="26">
        <v>1.0015000000000001</v>
      </c>
      <c r="L15" s="26">
        <v>0.99670000000000003</v>
      </c>
      <c r="M15" s="26">
        <v>1.0012000000000001</v>
      </c>
      <c r="N15" s="26">
        <f>AVERAGE(K15:M15)</f>
        <v>0.99980000000000013</v>
      </c>
      <c r="O15" s="26">
        <f t="shared" si="2"/>
        <v>2.6888659319497742E-3</v>
      </c>
      <c r="Q15" s="5" t="s">
        <v>24</v>
      </c>
      <c r="R15" s="10">
        <v>5</v>
      </c>
      <c r="S15" s="26">
        <v>0.99980000000000013</v>
      </c>
      <c r="U15" s="26">
        <f>S15-S$12</f>
        <v>1.0070000000000001</v>
      </c>
      <c r="V15" s="26">
        <f>R15/U15</f>
        <v>4.9652432969215488</v>
      </c>
      <c r="Y15" s="13"/>
      <c r="Z15" s="13"/>
      <c r="AA15" s="13"/>
      <c r="AB15" s="13"/>
      <c r="AI15" s="4" t="s">
        <v>36</v>
      </c>
      <c r="AJ15">
        <v>0.95491388629732898</v>
      </c>
    </row>
    <row r="16" spans="1:38" x14ac:dyDescent="0.35">
      <c r="A16">
        <v>1</v>
      </c>
      <c r="B16" t="s">
        <v>26</v>
      </c>
      <c r="C16" t="s">
        <v>41</v>
      </c>
      <c r="D16">
        <v>0.70840000000000003</v>
      </c>
      <c r="E16">
        <v>0.70730000000000004</v>
      </c>
      <c r="F16">
        <v>0.70709999999999995</v>
      </c>
      <c r="G16" s="30">
        <f t="shared" si="0"/>
        <v>0.70760000000000012</v>
      </c>
      <c r="H16">
        <f t="shared" si="1"/>
        <v>7.0000000000002601E-4</v>
      </c>
      <c r="J16" s="26" t="s">
        <v>27</v>
      </c>
      <c r="K16" s="26">
        <v>1.5044</v>
      </c>
      <c r="L16" s="26">
        <v>1.5106999999999999</v>
      </c>
      <c r="M16" s="26">
        <v>1.4952000000000001</v>
      </c>
      <c r="N16" s="26">
        <f>AVERAGE(K16:M16)</f>
        <v>1.5034333333333334</v>
      </c>
      <c r="O16" s="26">
        <f t="shared" si="2"/>
        <v>7.7950839208652594E-3</v>
      </c>
      <c r="Q16" s="5" t="s">
        <v>27</v>
      </c>
      <c r="R16" s="10">
        <v>7.5</v>
      </c>
      <c r="S16" s="26">
        <v>1.5034333333333334</v>
      </c>
      <c r="U16" s="26">
        <f>S16-S$12</f>
        <v>1.5106333333333335</v>
      </c>
      <c r="V16" s="26">
        <f>R16/U16</f>
        <v>4.964805048655089</v>
      </c>
    </row>
    <row r="17" spans="1:30" x14ac:dyDescent="0.35">
      <c r="A17">
        <v>3</v>
      </c>
      <c r="B17" t="s">
        <v>10</v>
      </c>
      <c r="C17" t="s">
        <v>41</v>
      </c>
      <c r="D17">
        <v>0.77759999999999996</v>
      </c>
      <c r="E17">
        <v>0.78059999999999996</v>
      </c>
      <c r="F17">
        <v>0.77859999999999996</v>
      </c>
      <c r="G17" s="30">
        <f t="shared" si="0"/>
        <v>0.77893333333333326</v>
      </c>
      <c r="H17">
        <f t="shared" si="1"/>
        <v>1.5275252316519479E-3</v>
      </c>
    </row>
    <row r="18" spans="1:30" x14ac:dyDescent="0.35">
      <c r="A18">
        <v>3</v>
      </c>
      <c r="B18" t="s">
        <v>12</v>
      </c>
      <c r="C18" t="s">
        <v>41</v>
      </c>
      <c r="D18">
        <v>0.78290000000000004</v>
      </c>
      <c r="E18">
        <v>0.78300000000000003</v>
      </c>
      <c r="F18">
        <v>0.78339999999999999</v>
      </c>
      <c r="G18" s="30">
        <f t="shared" si="0"/>
        <v>0.78310000000000002</v>
      </c>
      <c r="H18">
        <f t="shared" si="1"/>
        <v>2.6457513110642993E-4</v>
      </c>
    </row>
    <row r="19" spans="1:30" ht="12.5" customHeight="1" x14ac:dyDescent="0.35">
      <c r="A19">
        <v>3</v>
      </c>
      <c r="B19" t="s">
        <v>26</v>
      </c>
      <c r="C19" t="s">
        <v>41</v>
      </c>
      <c r="D19">
        <v>0.78790000000000004</v>
      </c>
      <c r="E19">
        <v>0.7863</v>
      </c>
      <c r="F19">
        <v>0.7853</v>
      </c>
      <c r="G19" s="30">
        <f t="shared" si="0"/>
        <v>0.78650000000000009</v>
      </c>
      <c r="H19">
        <f t="shared" si="1"/>
        <v>1.3114877048604251E-3</v>
      </c>
      <c r="J19" s="117" t="s">
        <v>42</v>
      </c>
      <c r="K19" s="117"/>
      <c r="L19" s="117"/>
      <c r="M19" s="117"/>
      <c r="N19" s="117"/>
      <c r="O19" s="117"/>
      <c r="Q19" s="117" t="s">
        <v>43</v>
      </c>
      <c r="R19" s="117"/>
      <c r="T19" s="117" t="s">
        <v>43</v>
      </c>
      <c r="U19" s="117"/>
      <c r="V19" s="117"/>
      <c r="X19" s="5"/>
      <c r="Y19" s="5"/>
      <c r="Z19" s="5"/>
      <c r="AA19" s="5"/>
      <c r="AB19" s="5"/>
      <c r="AC19" s="111" t="s">
        <v>44</v>
      </c>
      <c r="AD19" s="111"/>
    </row>
    <row r="20" spans="1:30" x14ac:dyDescent="0.35">
      <c r="A20">
        <v>4</v>
      </c>
      <c r="B20" t="s">
        <v>10</v>
      </c>
      <c r="C20" t="s">
        <v>41</v>
      </c>
      <c r="D20">
        <v>1.1619999999999999</v>
      </c>
      <c r="E20">
        <v>1.1597</v>
      </c>
      <c r="F20">
        <v>1.1557999999999999</v>
      </c>
      <c r="G20" s="30">
        <f t="shared" si="0"/>
        <v>1.1591666666666667</v>
      </c>
      <c r="H20">
        <f t="shared" si="1"/>
        <v>3.1342197327777284E-3</v>
      </c>
      <c r="J20" s="6" t="s">
        <v>45</v>
      </c>
      <c r="K20" s="6" t="s">
        <v>46</v>
      </c>
      <c r="L20" s="6" t="s">
        <v>47</v>
      </c>
      <c r="M20" s="6" t="s">
        <v>48</v>
      </c>
      <c r="N20" s="6" t="s">
        <v>49</v>
      </c>
      <c r="O20" s="6" t="s">
        <v>50</v>
      </c>
      <c r="Q20" s="6" t="s">
        <v>51</v>
      </c>
      <c r="R20" s="6" t="s">
        <v>52</v>
      </c>
      <c r="T20" s="6" t="s">
        <v>45</v>
      </c>
      <c r="U20" s="6" t="s">
        <v>46</v>
      </c>
      <c r="V20" s="6" t="s">
        <v>44</v>
      </c>
      <c r="X20" s="6" t="s">
        <v>45</v>
      </c>
      <c r="Y20" s="6" t="s">
        <v>53</v>
      </c>
      <c r="Z20" s="6" t="s">
        <v>54</v>
      </c>
      <c r="AA20" s="6" t="s">
        <v>55</v>
      </c>
      <c r="AB20" s="14" t="s">
        <v>56</v>
      </c>
      <c r="AC20" s="6" t="s">
        <v>6</v>
      </c>
      <c r="AD20" s="6" t="s">
        <v>7</v>
      </c>
    </row>
    <row r="21" spans="1:30" x14ac:dyDescent="0.35">
      <c r="A21">
        <v>4</v>
      </c>
      <c r="B21" t="s">
        <v>12</v>
      </c>
      <c r="C21" t="s">
        <v>41</v>
      </c>
      <c r="D21">
        <v>1.1555</v>
      </c>
      <c r="E21">
        <v>1.1621999999999999</v>
      </c>
      <c r="F21">
        <v>1.1566000000000001</v>
      </c>
      <c r="G21" s="30">
        <f t="shared" si="0"/>
        <v>1.1580999999999999</v>
      </c>
      <c r="H21">
        <f t="shared" si="1"/>
        <v>3.5930488446442744E-3</v>
      </c>
      <c r="J21" s="5">
        <v>1</v>
      </c>
      <c r="K21" s="5" t="s">
        <v>10</v>
      </c>
      <c r="L21" s="29">
        <v>0.33956666666666663</v>
      </c>
      <c r="M21" s="31">
        <v>0.72933333333333339</v>
      </c>
      <c r="N21" s="5">
        <v>1.0073000000000001</v>
      </c>
      <c r="O21" s="5">
        <v>20</v>
      </c>
      <c r="Q21" s="5">
        <f>M21-L21</f>
        <v>0.38976666666666676</v>
      </c>
      <c r="R21" s="5">
        <f t="shared" ref="R21:R32" si="4">(X$6*O21*55.6)/(10000*N21*1)*Q21</f>
        <v>0.21472317368240254</v>
      </c>
      <c r="T21" s="5">
        <v>1</v>
      </c>
      <c r="U21" s="5" t="s">
        <v>10</v>
      </c>
      <c r="V21" s="5">
        <f t="shared" ref="V21:V32" si="5">R21/0.282</f>
        <v>0.76142969390922899</v>
      </c>
      <c r="X21" s="5">
        <v>1</v>
      </c>
      <c r="Y21" s="5" t="s">
        <v>20</v>
      </c>
      <c r="Z21" s="5" t="s">
        <v>23</v>
      </c>
      <c r="AA21" s="5" t="s">
        <v>25</v>
      </c>
      <c r="AB21" s="5" t="s">
        <v>17</v>
      </c>
      <c r="AC21" s="15">
        <f>AVERAGE(V21:V23)</f>
        <v>0.74172675750294159</v>
      </c>
      <c r="AD21" s="5">
        <f>STDEV(V21:V23)</f>
        <v>2.9975075681690593E-2</v>
      </c>
    </row>
    <row r="22" spans="1:30" x14ac:dyDescent="0.35">
      <c r="A22">
        <v>4</v>
      </c>
      <c r="B22" t="s">
        <v>26</v>
      </c>
      <c r="C22" t="s">
        <v>41</v>
      </c>
      <c r="D22">
        <v>1.1669</v>
      </c>
      <c r="E22">
        <v>1.1652</v>
      </c>
      <c r="F22">
        <v>1.1671</v>
      </c>
      <c r="G22" s="30">
        <f t="shared" si="0"/>
        <v>1.1664000000000001</v>
      </c>
      <c r="H22">
        <f t="shared" si="1"/>
        <v>1.0440306508910677E-3</v>
      </c>
      <c r="J22" s="5">
        <v>1</v>
      </c>
      <c r="K22" s="5" t="s">
        <v>12</v>
      </c>
      <c r="L22" s="29">
        <v>0.32686666666666664</v>
      </c>
      <c r="M22" s="31">
        <v>0.71296666666666664</v>
      </c>
      <c r="N22" s="5">
        <v>1.0043</v>
      </c>
      <c r="O22" s="5">
        <v>20</v>
      </c>
      <c r="Q22" s="5">
        <f t="shared" ref="Q22:Q32" si="6">M22-L22</f>
        <v>0.3861</v>
      </c>
      <c r="R22" s="5">
        <f t="shared" si="4"/>
        <v>0.21333857774818427</v>
      </c>
      <c r="T22" s="5">
        <v>1</v>
      </c>
      <c r="U22" s="5" t="s">
        <v>12</v>
      </c>
      <c r="V22" s="5">
        <f t="shared" si="5"/>
        <v>0.75651977924888048</v>
      </c>
      <c r="X22" s="5">
        <v>3</v>
      </c>
      <c r="Y22" s="5" t="s">
        <v>20</v>
      </c>
      <c r="Z22" s="5" t="s">
        <v>23</v>
      </c>
      <c r="AA22" s="5" t="s">
        <v>28</v>
      </c>
      <c r="AB22" s="5" t="s">
        <v>17</v>
      </c>
      <c r="AC22" s="15">
        <f>AVERAGE(V24:V26)</f>
        <v>0.65892789215174352</v>
      </c>
      <c r="AD22" s="5">
        <f>STDEV(V24:V26)</f>
        <v>1.7281212689849827E-2</v>
      </c>
    </row>
    <row r="23" spans="1:30" x14ac:dyDescent="0.35">
      <c r="A23">
        <v>5</v>
      </c>
      <c r="B23" t="s">
        <v>10</v>
      </c>
      <c r="C23" t="s">
        <v>41</v>
      </c>
      <c r="D23">
        <v>1.1678999999999999</v>
      </c>
      <c r="E23">
        <v>1.1629</v>
      </c>
      <c r="F23">
        <v>1.1615</v>
      </c>
      <c r="G23" s="30">
        <f t="shared" si="0"/>
        <v>1.1641000000000001</v>
      </c>
      <c r="H23">
        <f t="shared" si="1"/>
        <v>3.3645207682521105E-3</v>
      </c>
      <c r="J23" s="5">
        <v>1</v>
      </c>
      <c r="K23" s="5" t="s">
        <v>26</v>
      </c>
      <c r="L23" s="29">
        <v>0.34543333333333331</v>
      </c>
      <c r="M23" s="31">
        <v>0.70760000000000012</v>
      </c>
      <c r="N23" s="5">
        <v>1.0077</v>
      </c>
      <c r="O23" s="5">
        <v>20</v>
      </c>
      <c r="Q23" s="5">
        <f t="shared" si="6"/>
        <v>0.3621666666666668</v>
      </c>
      <c r="R23" s="5">
        <f t="shared" si="4"/>
        <v>0.19943908541690175</v>
      </c>
      <c r="T23" s="5">
        <v>1</v>
      </c>
      <c r="U23" s="5" t="s">
        <v>26</v>
      </c>
      <c r="V23" s="5">
        <f t="shared" si="5"/>
        <v>0.70723079935071553</v>
      </c>
      <c r="X23" s="5">
        <v>4</v>
      </c>
      <c r="Y23" s="5" t="s">
        <v>20</v>
      </c>
      <c r="Z23" s="5" t="s">
        <v>32</v>
      </c>
      <c r="AA23" s="5" t="s">
        <v>28</v>
      </c>
      <c r="AB23" s="5" t="s">
        <v>33</v>
      </c>
      <c r="AC23" s="15">
        <f>AVERAGE(V27:V29)</f>
        <v>1.3945184416612502</v>
      </c>
      <c r="AD23" s="5">
        <f>STDEV(V27:V29)</f>
        <v>1.2299915080720612E-2</v>
      </c>
    </row>
    <row r="24" spans="1:30" x14ac:dyDescent="0.35">
      <c r="A24">
        <v>5</v>
      </c>
      <c r="B24" t="s">
        <v>12</v>
      </c>
      <c r="C24" t="s">
        <v>41</v>
      </c>
      <c r="D24">
        <v>1.1615</v>
      </c>
      <c r="E24">
        <v>1.1654</v>
      </c>
      <c r="F24">
        <v>1.1752</v>
      </c>
      <c r="G24" s="30">
        <f t="shared" si="0"/>
        <v>1.1673666666666669</v>
      </c>
      <c r="H24">
        <f t="shared" si="1"/>
        <v>7.0585645377324174E-3</v>
      </c>
      <c r="J24" s="5">
        <v>3</v>
      </c>
      <c r="K24" s="5" t="s">
        <v>10</v>
      </c>
      <c r="L24" s="29">
        <v>0.44376666666666664</v>
      </c>
      <c r="M24" s="31">
        <v>0.77893333333333326</v>
      </c>
      <c r="N24" s="5">
        <v>1.0082</v>
      </c>
      <c r="O24" s="5">
        <v>20</v>
      </c>
      <c r="Q24" s="5">
        <f t="shared" si="6"/>
        <v>0.33516666666666661</v>
      </c>
      <c r="R24" s="5">
        <f t="shared" si="4"/>
        <v>0.18447910528938558</v>
      </c>
      <c r="T24" s="5">
        <v>3</v>
      </c>
      <c r="U24" s="5" t="s">
        <v>10</v>
      </c>
      <c r="V24" s="5">
        <f t="shared" si="5"/>
        <v>0.65418122443044535</v>
      </c>
      <c r="X24" s="5">
        <v>5</v>
      </c>
      <c r="Y24" s="5" t="s">
        <v>20</v>
      </c>
      <c r="Z24" s="5" t="s">
        <v>32</v>
      </c>
      <c r="AA24" s="5" t="s">
        <v>28</v>
      </c>
      <c r="AB24" s="5" t="s">
        <v>34</v>
      </c>
      <c r="AC24" s="15">
        <f>AVERAGE(V30:V32)</f>
        <v>1.0244824538733808</v>
      </c>
      <c r="AD24" s="5">
        <f>STDEV(V30:V32)</f>
        <v>1.6477047045000585E-2</v>
      </c>
    </row>
    <row r="25" spans="1:30" x14ac:dyDescent="0.35">
      <c r="A25">
        <v>5</v>
      </c>
      <c r="B25" t="s">
        <v>26</v>
      </c>
      <c r="C25" t="s">
        <v>41</v>
      </c>
      <c r="D25">
        <v>1.1568000000000001</v>
      </c>
      <c r="E25">
        <v>1.1565000000000001</v>
      </c>
      <c r="F25">
        <v>1.1512</v>
      </c>
      <c r="G25" s="30">
        <f t="shared" si="0"/>
        <v>1.1548333333333334</v>
      </c>
      <c r="H25">
        <f t="shared" si="1"/>
        <v>3.1501322723551731E-3</v>
      </c>
      <c r="J25" s="5">
        <v>3</v>
      </c>
      <c r="K25" s="5" t="s">
        <v>12</v>
      </c>
      <c r="L25" s="29">
        <v>0.45393333333333336</v>
      </c>
      <c r="M25" s="31">
        <v>0.78310000000000002</v>
      </c>
      <c r="N25" s="5">
        <v>1.0049999999999999</v>
      </c>
      <c r="O25" s="5">
        <v>20</v>
      </c>
      <c r="Q25" s="5">
        <f t="shared" si="6"/>
        <v>0.32916666666666666</v>
      </c>
      <c r="R25" s="5">
        <f t="shared" si="4"/>
        <v>0.18175352578564077</v>
      </c>
      <c r="T25" s="5">
        <v>3</v>
      </c>
      <c r="U25" s="5" t="s">
        <v>12</v>
      </c>
      <c r="V25" s="5">
        <f t="shared" si="5"/>
        <v>0.64451604888525105</v>
      </c>
    </row>
    <row r="26" spans="1:30" x14ac:dyDescent="0.35">
      <c r="J26" s="5">
        <v>3</v>
      </c>
      <c r="K26" s="5" t="s">
        <v>26</v>
      </c>
      <c r="L26" s="29">
        <v>0.44156666666666666</v>
      </c>
      <c r="M26" s="31">
        <v>0.78650000000000009</v>
      </c>
      <c r="N26" s="5">
        <v>1.0009999999999999</v>
      </c>
      <c r="O26" s="5">
        <v>20</v>
      </c>
      <c r="Q26" s="5">
        <f t="shared" si="6"/>
        <v>0.34493333333333343</v>
      </c>
      <c r="R26" s="5">
        <f t="shared" si="4"/>
        <v>0.19122036568534861</v>
      </c>
      <c r="T26" s="5">
        <v>3</v>
      </c>
      <c r="U26" s="5" t="s">
        <v>26</v>
      </c>
      <c r="V26" s="5">
        <f t="shared" si="5"/>
        <v>0.67808640313953417</v>
      </c>
    </row>
    <row r="27" spans="1:30" x14ac:dyDescent="0.35">
      <c r="J27" s="5">
        <v>4</v>
      </c>
      <c r="K27" s="5" t="s">
        <v>10</v>
      </c>
      <c r="L27" s="29">
        <v>0.44916666666666666</v>
      </c>
      <c r="M27" s="31">
        <v>1.1591666666666667</v>
      </c>
      <c r="N27" s="5">
        <v>1.0089999999999999</v>
      </c>
      <c r="O27" s="5">
        <v>20</v>
      </c>
      <c r="Q27" s="5">
        <f t="shared" si="6"/>
        <v>0.71</v>
      </c>
      <c r="R27" s="5">
        <f t="shared" si="4"/>
        <v>0.39048129866445724</v>
      </c>
      <c r="T27" s="5">
        <v>4</v>
      </c>
      <c r="U27" s="5" t="s">
        <v>10</v>
      </c>
      <c r="V27" s="5">
        <f t="shared" si="5"/>
        <v>1.3846854562569406</v>
      </c>
    </row>
    <row r="28" spans="1:30" x14ac:dyDescent="0.35">
      <c r="J28" s="5">
        <v>4</v>
      </c>
      <c r="K28" s="5" t="s">
        <v>12</v>
      </c>
      <c r="L28" s="29">
        <v>0.43813333333333332</v>
      </c>
      <c r="M28" s="31">
        <v>1.1580999999999999</v>
      </c>
      <c r="N28" s="5">
        <v>1.006</v>
      </c>
      <c r="O28" s="5">
        <v>20</v>
      </c>
      <c r="Q28" s="5">
        <f t="shared" si="6"/>
        <v>0.71996666666666664</v>
      </c>
      <c r="R28" s="5">
        <f t="shared" si="4"/>
        <v>0.39714350609872662</v>
      </c>
      <c r="T28" s="5">
        <v>4</v>
      </c>
      <c r="U28" s="5" t="s">
        <v>12</v>
      </c>
      <c r="V28" s="5">
        <f t="shared" si="5"/>
        <v>1.4083103053146335</v>
      </c>
      <c r="X28" s="1"/>
      <c r="Y28" s="1"/>
      <c r="Z28" s="1"/>
      <c r="AA28" s="1"/>
      <c r="AB28" s="1"/>
      <c r="AC28" s="1" t="s">
        <v>44</v>
      </c>
    </row>
    <row r="29" spans="1:30" x14ac:dyDescent="0.35">
      <c r="J29" s="5">
        <v>4</v>
      </c>
      <c r="K29" s="5" t="s">
        <v>26</v>
      </c>
      <c r="L29" s="29">
        <v>0.45536666666666664</v>
      </c>
      <c r="M29" s="31">
        <v>1.1664000000000001</v>
      </c>
      <c r="N29" s="5">
        <v>1.0062</v>
      </c>
      <c r="O29" s="5">
        <v>20</v>
      </c>
      <c r="Q29" s="5">
        <f t="shared" si="6"/>
        <v>0.71103333333333341</v>
      </c>
      <c r="R29" s="5">
        <f t="shared" si="4"/>
        <v>0.39213779688223349</v>
      </c>
      <c r="T29" s="5">
        <v>4</v>
      </c>
      <c r="U29" s="5" t="s">
        <v>26</v>
      </c>
      <c r="V29" s="5">
        <f t="shared" si="5"/>
        <v>1.3905595634121757</v>
      </c>
      <c r="X29" s="1" t="s">
        <v>45</v>
      </c>
      <c r="Y29" s="1" t="s">
        <v>53</v>
      </c>
      <c r="Z29" s="1" t="s">
        <v>54</v>
      </c>
      <c r="AA29" s="1" t="s">
        <v>55</v>
      </c>
      <c r="AB29" s="1" t="s">
        <v>56</v>
      </c>
      <c r="AC29" s="1" t="s">
        <v>46</v>
      </c>
      <c r="AD29" s="1" t="s">
        <v>57</v>
      </c>
    </row>
    <row r="30" spans="1:30" x14ac:dyDescent="0.35">
      <c r="J30" s="5">
        <v>5</v>
      </c>
      <c r="K30" s="5" t="s">
        <v>10</v>
      </c>
      <c r="L30" s="29">
        <v>0.64943333333333342</v>
      </c>
      <c r="M30" s="31">
        <v>1.1641000000000001</v>
      </c>
      <c r="N30" s="5">
        <v>1.0044</v>
      </c>
      <c r="O30" s="5">
        <v>20</v>
      </c>
      <c r="Q30" s="5">
        <f t="shared" si="6"/>
        <v>0.51466666666666672</v>
      </c>
      <c r="R30" s="5">
        <f t="shared" si="4"/>
        <v>0.28434945080339613</v>
      </c>
      <c r="T30" s="5">
        <v>5</v>
      </c>
      <c r="U30" s="5" t="s">
        <v>10</v>
      </c>
      <c r="V30" s="5">
        <f t="shared" si="5"/>
        <v>1.0083313858276459</v>
      </c>
      <c r="X30" s="16">
        <v>1</v>
      </c>
      <c r="Y30" s="17" t="s">
        <v>20</v>
      </c>
      <c r="Z30" s="17" t="s">
        <v>23</v>
      </c>
      <c r="AA30" s="17" t="s">
        <v>25</v>
      </c>
      <c r="AB30" s="17" t="s">
        <v>17</v>
      </c>
      <c r="AC30" s="17">
        <v>0.76142969390922899</v>
      </c>
      <c r="AD30" s="108" t="s">
        <v>26</v>
      </c>
    </row>
    <row r="31" spans="1:30" x14ac:dyDescent="0.35">
      <c r="J31" s="5">
        <v>5</v>
      </c>
      <c r="K31" s="5" t="s">
        <v>12</v>
      </c>
      <c r="L31" s="29">
        <v>0.6336666666666666</v>
      </c>
      <c r="M31" s="31">
        <v>1.1673666666666669</v>
      </c>
      <c r="N31" s="5">
        <v>1.0085999999999999</v>
      </c>
      <c r="O31" s="5">
        <v>20</v>
      </c>
      <c r="Q31" s="5">
        <f t="shared" si="6"/>
        <v>0.53370000000000029</v>
      </c>
      <c r="R31" s="5">
        <f t="shared" si="4"/>
        <v>0.29363734966484833</v>
      </c>
      <c r="T31" s="5">
        <v>5</v>
      </c>
      <c r="U31" s="5" t="s">
        <v>12</v>
      </c>
      <c r="V31" s="5">
        <f t="shared" si="5"/>
        <v>1.0412671973930794</v>
      </c>
      <c r="X31" s="18">
        <v>1</v>
      </c>
      <c r="Y31" t="s">
        <v>20</v>
      </c>
      <c r="Z31" t="s">
        <v>23</v>
      </c>
      <c r="AA31" t="s">
        <v>25</v>
      </c>
      <c r="AB31" t="s">
        <v>17</v>
      </c>
      <c r="AC31">
        <v>0.75651977924888048</v>
      </c>
      <c r="AD31" s="109"/>
    </row>
    <row r="32" spans="1:30" x14ac:dyDescent="0.35">
      <c r="J32" s="5">
        <v>5</v>
      </c>
      <c r="K32" s="5" t="s">
        <v>26</v>
      </c>
      <c r="L32" s="29">
        <v>0.6327666666666667</v>
      </c>
      <c r="M32" s="31">
        <v>1.1548333333333334</v>
      </c>
      <c r="N32" s="5">
        <v>1.0034000000000001</v>
      </c>
      <c r="O32" s="5">
        <v>20</v>
      </c>
      <c r="Q32" s="5">
        <f t="shared" si="6"/>
        <v>0.52206666666666668</v>
      </c>
      <c r="R32" s="5">
        <f t="shared" si="4"/>
        <v>0.28872535550863559</v>
      </c>
      <c r="T32" s="5">
        <v>5</v>
      </c>
      <c r="U32" s="5" t="s">
        <v>26</v>
      </c>
      <c r="V32" s="5">
        <f t="shared" si="5"/>
        <v>1.023848778399417</v>
      </c>
      <c r="X32" s="19">
        <v>1</v>
      </c>
      <c r="Y32" s="20" t="s">
        <v>20</v>
      </c>
      <c r="Z32" s="20" t="s">
        <v>23</v>
      </c>
      <c r="AA32" s="20" t="s">
        <v>25</v>
      </c>
      <c r="AB32" s="20" t="s">
        <v>17</v>
      </c>
      <c r="AC32" s="20">
        <v>0.70723079935071553</v>
      </c>
      <c r="AD32" s="110"/>
    </row>
    <row r="33" spans="24:38" x14ac:dyDescent="0.35">
      <c r="X33" s="16">
        <v>3</v>
      </c>
      <c r="Y33" s="17" t="s">
        <v>20</v>
      </c>
      <c r="Z33" s="17" t="s">
        <v>23</v>
      </c>
      <c r="AA33" s="17" t="s">
        <v>28</v>
      </c>
      <c r="AB33" s="17" t="s">
        <v>17</v>
      </c>
      <c r="AC33" s="17">
        <v>0.65418122443044535</v>
      </c>
      <c r="AD33" s="108" t="s">
        <v>58</v>
      </c>
    </row>
    <row r="34" spans="24:38" x14ac:dyDescent="0.35">
      <c r="X34" s="18">
        <v>3</v>
      </c>
      <c r="Y34" t="s">
        <v>20</v>
      </c>
      <c r="Z34" t="s">
        <v>23</v>
      </c>
      <c r="AA34" t="s">
        <v>28</v>
      </c>
      <c r="AB34" t="s">
        <v>17</v>
      </c>
      <c r="AC34">
        <v>0.64451604888525105</v>
      </c>
      <c r="AD34" s="109"/>
    </row>
    <row r="35" spans="24:38" x14ac:dyDescent="0.35">
      <c r="X35" s="19">
        <v>3</v>
      </c>
      <c r="Y35" s="20" t="s">
        <v>20</v>
      </c>
      <c r="Z35" s="20" t="s">
        <v>23</v>
      </c>
      <c r="AA35" s="20" t="s">
        <v>28</v>
      </c>
      <c r="AB35" s="20" t="s">
        <v>17</v>
      </c>
      <c r="AC35" s="20">
        <v>0.67808640313953417</v>
      </c>
      <c r="AD35" s="110"/>
    </row>
    <row r="36" spans="24:38" x14ac:dyDescent="0.35">
      <c r="X36" s="16">
        <v>4</v>
      </c>
      <c r="Y36" s="17" t="s">
        <v>20</v>
      </c>
      <c r="Z36" s="17" t="s">
        <v>32</v>
      </c>
      <c r="AA36" s="17" t="s">
        <v>28</v>
      </c>
      <c r="AB36" s="17" t="s">
        <v>33</v>
      </c>
      <c r="AC36" s="17">
        <v>1.3846854562569406</v>
      </c>
      <c r="AD36" s="108" t="s">
        <v>10</v>
      </c>
    </row>
    <row r="37" spans="24:38" x14ac:dyDescent="0.35">
      <c r="X37" s="18">
        <v>4</v>
      </c>
      <c r="Y37" t="s">
        <v>20</v>
      </c>
      <c r="Z37" t="s">
        <v>32</v>
      </c>
      <c r="AA37" t="s">
        <v>28</v>
      </c>
      <c r="AB37" t="s">
        <v>33</v>
      </c>
      <c r="AC37">
        <v>1.4083103053146335</v>
      </c>
      <c r="AD37" s="109"/>
    </row>
    <row r="38" spans="24:38" x14ac:dyDescent="0.35">
      <c r="X38" s="19">
        <v>4</v>
      </c>
      <c r="Y38" s="20" t="s">
        <v>20</v>
      </c>
      <c r="Z38" s="20" t="s">
        <v>32</v>
      </c>
      <c r="AA38" s="20" t="s">
        <v>28</v>
      </c>
      <c r="AB38" s="20" t="s">
        <v>33</v>
      </c>
      <c r="AC38" s="20">
        <v>1.3905595634121757</v>
      </c>
      <c r="AD38" s="110"/>
    </row>
    <row r="39" spans="24:38" x14ac:dyDescent="0.35">
      <c r="X39" s="16">
        <v>5</v>
      </c>
      <c r="Y39" s="17" t="s">
        <v>20</v>
      </c>
      <c r="Z39" s="17" t="s">
        <v>32</v>
      </c>
      <c r="AA39" s="17" t="s">
        <v>28</v>
      </c>
      <c r="AB39" s="17" t="s">
        <v>34</v>
      </c>
      <c r="AC39" s="17">
        <v>1.0083313858276459</v>
      </c>
      <c r="AD39" s="108" t="s">
        <v>12</v>
      </c>
      <c r="AL39" s="1"/>
    </row>
    <row r="40" spans="24:38" x14ac:dyDescent="0.35">
      <c r="X40" s="18">
        <v>5</v>
      </c>
      <c r="Y40" t="s">
        <v>20</v>
      </c>
      <c r="Z40" t="s">
        <v>32</v>
      </c>
      <c r="AA40" t="s">
        <v>28</v>
      </c>
      <c r="AB40" t="s">
        <v>34</v>
      </c>
      <c r="AC40">
        <v>1.0412671973930794</v>
      </c>
      <c r="AD40" s="109"/>
    </row>
    <row r="41" spans="24:38" x14ac:dyDescent="0.35">
      <c r="X41" s="19">
        <v>5</v>
      </c>
      <c r="Y41" s="20" t="s">
        <v>20</v>
      </c>
      <c r="Z41" s="20" t="s">
        <v>32</v>
      </c>
      <c r="AA41" s="20" t="s">
        <v>28</v>
      </c>
      <c r="AB41" s="20" t="s">
        <v>34</v>
      </c>
      <c r="AC41" s="20">
        <v>1.023848778399417</v>
      </c>
      <c r="AD41" s="110"/>
    </row>
  </sheetData>
  <mergeCells count="14">
    <mergeCell ref="J2:O2"/>
    <mergeCell ref="Q2:S2"/>
    <mergeCell ref="U2:V2"/>
    <mergeCell ref="J10:O10"/>
    <mergeCell ref="Q10:S10"/>
    <mergeCell ref="U10:V10"/>
    <mergeCell ref="J19:O19"/>
    <mergeCell ref="Q19:R19"/>
    <mergeCell ref="T19:V19"/>
    <mergeCell ref="AD33:AD35"/>
    <mergeCell ref="AD30:AD32"/>
    <mergeCell ref="AD39:AD41"/>
    <mergeCell ref="AD36:AD38"/>
    <mergeCell ref="AC19:AD19"/>
  </mergeCell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4B67-12A4-466A-9145-342B0A233374}">
  <dimension ref="A1:Y39"/>
  <sheetViews>
    <sheetView topLeftCell="S1" zoomScale="48" workbookViewId="0">
      <selection activeCell="AE23" sqref="AE23"/>
    </sheetView>
  </sheetViews>
  <sheetFormatPr defaultRowHeight="14.5" x14ac:dyDescent="0.35"/>
  <cols>
    <col min="1" max="1" width="7.36328125" bestFit="1" customWidth="1"/>
    <col min="2" max="11" width="8.81640625" bestFit="1" customWidth="1"/>
    <col min="12" max="12" width="11.54296875" bestFit="1" customWidth="1"/>
    <col min="13" max="14" width="12" bestFit="1" customWidth="1"/>
    <col min="15" max="15" width="12.36328125" bestFit="1" customWidth="1"/>
    <col min="16" max="16" width="12" bestFit="1" customWidth="1"/>
    <col min="17" max="17" width="11.81640625" bestFit="1" customWidth="1"/>
    <col min="18" max="18" width="11.1796875" bestFit="1" customWidth="1"/>
    <col min="19" max="19" width="11.54296875" bestFit="1" customWidth="1"/>
    <col min="20" max="21" width="12" bestFit="1" customWidth="1"/>
    <col min="22" max="22" width="12.36328125" bestFit="1" customWidth="1"/>
    <col min="23" max="23" width="12" bestFit="1" customWidth="1"/>
    <col min="24" max="24" width="12.36328125" bestFit="1" customWidth="1"/>
    <col min="25" max="25" width="11.1796875" bestFit="1" customWidth="1"/>
  </cols>
  <sheetData>
    <row r="1" spans="1:25" s="35" customFormat="1" x14ac:dyDescent="0.35">
      <c r="A1" s="34" t="s">
        <v>60</v>
      </c>
      <c r="B1" s="35" t="s">
        <v>61</v>
      </c>
      <c r="C1" s="35" t="s">
        <v>62</v>
      </c>
      <c r="D1" s="35" t="s">
        <v>63</v>
      </c>
      <c r="E1" s="35" t="s">
        <v>64</v>
      </c>
      <c r="F1" s="36" t="s">
        <v>65</v>
      </c>
      <c r="G1" s="35" t="s">
        <v>66</v>
      </c>
      <c r="H1" s="35" t="s">
        <v>67</v>
      </c>
      <c r="I1" s="35" t="s">
        <v>68</v>
      </c>
      <c r="J1" s="35" t="s">
        <v>69</v>
      </c>
      <c r="K1" s="36" t="s">
        <v>70</v>
      </c>
      <c r="L1" s="35" t="s">
        <v>71</v>
      </c>
      <c r="M1" s="35" t="s">
        <v>72</v>
      </c>
      <c r="N1" s="35" t="s">
        <v>73</v>
      </c>
      <c r="O1" s="35" t="s">
        <v>74</v>
      </c>
      <c r="P1" s="35" t="s">
        <v>75</v>
      </c>
      <c r="Q1" s="35" t="s">
        <v>76</v>
      </c>
      <c r="R1" s="36" t="s">
        <v>77</v>
      </c>
      <c r="S1" s="35" t="s">
        <v>78</v>
      </c>
      <c r="T1" s="35" t="s">
        <v>79</v>
      </c>
      <c r="U1" s="35" t="s">
        <v>80</v>
      </c>
      <c r="V1" s="35" t="s">
        <v>81</v>
      </c>
      <c r="W1" s="35" t="s">
        <v>82</v>
      </c>
      <c r="X1" s="35" t="s">
        <v>83</v>
      </c>
      <c r="Y1" s="36" t="s">
        <v>84</v>
      </c>
    </row>
    <row r="2" spans="1:25" x14ac:dyDescent="0.35">
      <c r="A2" s="37">
        <v>0.1</v>
      </c>
      <c r="B2" s="37">
        <v>5032.3999999999996</v>
      </c>
      <c r="C2" s="37">
        <v>6236.1</v>
      </c>
      <c r="D2" s="37">
        <v>6794.4</v>
      </c>
      <c r="E2" s="37">
        <v>8176.8</v>
      </c>
      <c r="F2" s="37">
        <f>AVERAGE(B2:E2)</f>
        <v>6559.9250000000002</v>
      </c>
      <c r="G2" s="37">
        <v>3722.5</v>
      </c>
      <c r="H2" s="37">
        <v>4787.6000000000004</v>
      </c>
      <c r="I2" s="37">
        <v>5717.6</v>
      </c>
      <c r="J2" s="37">
        <v>5758.2</v>
      </c>
      <c r="K2" s="37">
        <f>AVERAGE(G2:J2)</f>
        <v>4996.4750000000004</v>
      </c>
      <c r="L2" s="37">
        <v>3891.8</v>
      </c>
      <c r="M2" s="37">
        <v>4088.5</v>
      </c>
      <c r="N2" s="37">
        <v>4138.8</v>
      </c>
      <c r="O2" s="37">
        <v>2426.9</v>
      </c>
      <c r="P2" s="37">
        <v>3655.4</v>
      </c>
      <c r="Q2" s="37">
        <v>2810.8</v>
      </c>
      <c r="R2" s="37">
        <f>AVERAGE(L2:Q2)</f>
        <v>3502.0333333333333</v>
      </c>
      <c r="S2" s="37">
        <v>7118.5</v>
      </c>
      <c r="T2" s="37">
        <v>4720.7</v>
      </c>
      <c r="U2" s="37">
        <v>5770</v>
      </c>
      <c r="V2" s="37">
        <v>4706.3</v>
      </c>
      <c r="W2" s="37">
        <v>3981</v>
      </c>
      <c r="X2" s="37">
        <v>3356.3</v>
      </c>
      <c r="Y2" s="37">
        <f>AVERAGE(S2:X2)</f>
        <v>4942.1333333333332</v>
      </c>
    </row>
    <row r="3" spans="1:25" x14ac:dyDescent="0.35">
      <c r="A3" s="37">
        <v>0.121</v>
      </c>
      <c r="B3" s="37">
        <v>4848.7</v>
      </c>
      <c r="C3" s="37">
        <v>5674.2</v>
      </c>
      <c r="D3" s="37">
        <v>5998.8</v>
      </c>
      <c r="E3" s="37">
        <v>7123.3</v>
      </c>
      <c r="F3" s="37">
        <f t="shared" ref="F3:F39" si="0">AVERAGE(B3:E3)</f>
        <v>5911.25</v>
      </c>
      <c r="G3" s="37">
        <v>3098.4</v>
      </c>
      <c r="H3" s="37">
        <v>3962.2</v>
      </c>
      <c r="I3" s="37">
        <v>5093.3999999999996</v>
      </c>
      <c r="J3" s="37">
        <v>5246.9</v>
      </c>
      <c r="K3" s="37">
        <f t="shared" ref="K3:K39" si="1">AVERAGE(G3:J3)</f>
        <v>4350.2250000000004</v>
      </c>
      <c r="L3" s="37">
        <v>2845.6</v>
      </c>
      <c r="M3" s="37">
        <v>3177.6</v>
      </c>
      <c r="N3" s="37">
        <v>3111.9</v>
      </c>
      <c r="O3" s="37">
        <v>2225.4</v>
      </c>
      <c r="P3" s="37">
        <v>2720.7</v>
      </c>
      <c r="Q3" s="37">
        <v>2645.4</v>
      </c>
      <c r="R3" s="37">
        <f t="shared" ref="R3:R39" si="2">AVERAGE(L3:Q3)</f>
        <v>2787.7666666666669</v>
      </c>
      <c r="S3" s="37">
        <v>5233.8</v>
      </c>
      <c r="T3" s="37">
        <v>4212.2</v>
      </c>
      <c r="U3" s="37">
        <v>4523.6000000000004</v>
      </c>
      <c r="V3" s="37">
        <v>4111.3999999999996</v>
      </c>
      <c r="W3" s="37">
        <v>3263.8</v>
      </c>
      <c r="X3" s="37">
        <v>2962.9</v>
      </c>
      <c r="Y3" s="37">
        <f t="shared" ref="Y3:Y39" si="3">AVERAGE(S3:X3)</f>
        <v>4051.2833333333333</v>
      </c>
    </row>
    <row r="4" spans="1:25" x14ac:dyDescent="0.35">
      <c r="A4" s="37">
        <v>0.14599999999999999</v>
      </c>
      <c r="B4" s="37">
        <v>3305.8</v>
      </c>
      <c r="C4" s="37">
        <v>3871.9</v>
      </c>
      <c r="D4" s="37">
        <v>4959.8999999999996</v>
      </c>
      <c r="E4" s="37">
        <v>5770.6</v>
      </c>
      <c r="F4" s="37">
        <f t="shared" si="0"/>
        <v>4477.05</v>
      </c>
      <c r="G4" s="37">
        <v>2558.8000000000002</v>
      </c>
      <c r="H4" s="37">
        <v>3188</v>
      </c>
      <c r="I4" s="37">
        <v>4265.5</v>
      </c>
      <c r="J4" s="37">
        <v>4419</v>
      </c>
      <c r="K4" s="37">
        <f t="shared" si="1"/>
        <v>3607.8249999999998</v>
      </c>
      <c r="L4" s="37">
        <v>2135.1</v>
      </c>
      <c r="M4" s="37">
        <v>2417.9</v>
      </c>
      <c r="N4" s="37">
        <v>2333.6999999999998</v>
      </c>
      <c r="O4" s="37">
        <v>1861.2</v>
      </c>
      <c r="P4" s="37">
        <v>2026.2</v>
      </c>
      <c r="Q4" s="37">
        <v>2267.3000000000002</v>
      </c>
      <c r="R4" s="37">
        <f t="shared" si="2"/>
        <v>2173.5666666666671</v>
      </c>
      <c r="S4" s="37">
        <v>3936.7</v>
      </c>
      <c r="T4" s="37">
        <v>3490.5</v>
      </c>
      <c r="U4" s="37">
        <v>3487.5</v>
      </c>
      <c r="V4" s="37">
        <v>3434.9</v>
      </c>
      <c r="W4" s="37">
        <v>2516</v>
      </c>
      <c r="X4" s="37">
        <v>2400.5</v>
      </c>
      <c r="Y4" s="37">
        <f t="shared" si="3"/>
        <v>3211.0166666666664</v>
      </c>
    </row>
    <row r="5" spans="1:25" x14ac:dyDescent="0.35">
      <c r="A5" s="37">
        <v>0.17599999999999999</v>
      </c>
      <c r="B5" s="37">
        <v>2810.1</v>
      </c>
      <c r="C5" s="37">
        <v>3137.5</v>
      </c>
      <c r="D5" s="37">
        <v>4037.2</v>
      </c>
      <c r="E5" s="37">
        <v>4555.3999999999996</v>
      </c>
      <c r="F5" s="37">
        <f t="shared" si="0"/>
        <v>3635.0499999999997</v>
      </c>
      <c r="G5" s="37">
        <v>2118.6999999999998</v>
      </c>
      <c r="H5" s="37">
        <v>2575.3000000000002</v>
      </c>
      <c r="I5" s="37">
        <v>3561.9</v>
      </c>
      <c r="J5" s="37">
        <v>3641.6</v>
      </c>
      <c r="K5" s="37">
        <f t="shared" si="1"/>
        <v>2974.375</v>
      </c>
      <c r="L5" s="37">
        <v>1654.2</v>
      </c>
      <c r="M5" s="37">
        <v>1947.8</v>
      </c>
      <c r="N5" s="37">
        <v>1813.6</v>
      </c>
      <c r="O5" s="37">
        <v>1541.6</v>
      </c>
      <c r="P5" s="37">
        <v>1620.6</v>
      </c>
      <c r="Q5" s="37">
        <v>1900.7</v>
      </c>
      <c r="R5" s="37">
        <f t="shared" si="2"/>
        <v>1746.416666666667</v>
      </c>
      <c r="S5" s="37">
        <v>3058.2</v>
      </c>
      <c r="T5" s="37">
        <v>2851.8</v>
      </c>
      <c r="U5" s="37">
        <v>2767.9</v>
      </c>
      <c r="V5" s="37">
        <v>2787.7</v>
      </c>
      <c r="W5" s="37">
        <v>1986.7</v>
      </c>
      <c r="X5" s="37">
        <v>1941.6</v>
      </c>
      <c r="Y5" s="37">
        <f t="shared" si="3"/>
        <v>2565.65</v>
      </c>
    </row>
    <row r="6" spans="1:25" x14ac:dyDescent="0.35">
      <c r="A6" s="37">
        <v>0.21199999999999999</v>
      </c>
      <c r="B6" s="37">
        <v>2338.9</v>
      </c>
      <c r="C6" s="37">
        <v>2568.5</v>
      </c>
      <c r="D6" s="37">
        <v>3276.7</v>
      </c>
      <c r="E6" s="37">
        <v>3575.3</v>
      </c>
      <c r="F6" s="37">
        <f t="shared" si="0"/>
        <v>2939.85</v>
      </c>
      <c r="G6" s="37">
        <v>1754.8</v>
      </c>
      <c r="H6" s="37">
        <v>2085.1</v>
      </c>
      <c r="I6" s="37">
        <v>2931.3</v>
      </c>
      <c r="J6" s="37">
        <v>2997</v>
      </c>
      <c r="K6" s="37">
        <f t="shared" si="1"/>
        <v>2442.0500000000002</v>
      </c>
      <c r="L6" s="37">
        <v>1328.5</v>
      </c>
      <c r="M6" s="37">
        <v>1645.6</v>
      </c>
      <c r="N6" s="37">
        <v>1433.9</v>
      </c>
      <c r="O6" s="37">
        <v>1269.3</v>
      </c>
      <c r="P6" s="37">
        <v>1310.7</v>
      </c>
      <c r="Q6" s="37">
        <v>1567.1</v>
      </c>
      <c r="R6" s="37">
        <f t="shared" si="2"/>
        <v>1425.8500000000001</v>
      </c>
      <c r="S6" s="37">
        <v>2428.1</v>
      </c>
      <c r="T6" s="37">
        <v>2309.1</v>
      </c>
      <c r="U6" s="37">
        <v>2224.6999999999998</v>
      </c>
      <c r="V6" s="37">
        <v>2231.9</v>
      </c>
      <c r="W6" s="37">
        <v>1574.9</v>
      </c>
      <c r="X6" s="37">
        <v>1580.1</v>
      </c>
      <c r="Y6" s="37">
        <f t="shared" si="3"/>
        <v>2058.1333333333332</v>
      </c>
    </row>
    <row r="7" spans="1:25" x14ac:dyDescent="0.35">
      <c r="A7" s="37">
        <v>0.25600000000000001</v>
      </c>
      <c r="B7" s="37">
        <v>1960.8</v>
      </c>
      <c r="C7" s="37">
        <v>2085.5</v>
      </c>
      <c r="D7" s="37">
        <v>2652.2</v>
      </c>
      <c r="E7" s="37">
        <v>2834.6</v>
      </c>
      <c r="F7" s="37">
        <f t="shared" si="0"/>
        <v>2383.2750000000001</v>
      </c>
      <c r="G7" s="37">
        <v>1452.9</v>
      </c>
      <c r="H7" s="37">
        <v>1708.9</v>
      </c>
      <c r="I7" s="37">
        <v>2418.6</v>
      </c>
      <c r="J7" s="37">
        <v>2458.3000000000002</v>
      </c>
      <c r="K7" s="37">
        <f t="shared" si="1"/>
        <v>2009.675</v>
      </c>
      <c r="L7" s="37">
        <v>1062.4000000000001</v>
      </c>
      <c r="M7" s="37">
        <v>1380</v>
      </c>
      <c r="N7" s="37">
        <v>1150.2</v>
      </c>
      <c r="O7" s="37">
        <v>1049.7</v>
      </c>
      <c r="P7" s="37">
        <v>1095.0999999999999</v>
      </c>
      <c r="Q7" s="37">
        <v>1305.4000000000001</v>
      </c>
      <c r="R7" s="37">
        <f t="shared" si="2"/>
        <v>1173.8</v>
      </c>
      <c r="S7" s="37">
        <v>1930.9</v>
      </c>
      <c r="T7" s="37">
        <v>1876.8</v>
      </c>
      <c r="U7" s="37">
        <v>1770.7</v>
      </c>
      <c r="V7" s="37">
        <v>1798.1</v>
      </c>
      <c r="W7" s="37">
        <v>1238.5</v>
      </c>
      <c r="X7" s="37">
        <v>1271.9000000000001</v>
      </c>
      <c r="Y7" s="37">
        <f t="shared" si="3"/>
        <v>1647.8166666666666</v>
      </c>
    </row>
    <row r="8" spans="1:25" x14ac:dyDescent="0.35">
      <c r="A8" s="37">
        <v>0.309</v>
      </c>
      <c r="B8" s="37">
        <v>1641.5</v>
      </c>
      <c r="C8" s="37">
        <v>1677</v>
      </c>
      <c r="D8" s="37">
        <v>2137.1</v>
      </c>
      <c r="E8" s="37">
        <v>2225.5</v>
      </c>
      <c r="F8" s="37">
        <f t="shared" si="0"/>
        <v>1920.2750000000001</v>
      </c>
      <c r="G8" s="37">
        <v>1213.5999999999999</v>
      </c>
      <c r="H8" s="37">
        <v>1387.2</v>
      </c>
      <c r="I8" s="37">
        <v>2011.5</v>
      </c>
      <c r="J8" s="37">
        <v>2028.5</v>
      </c>
      <c r="K8" s="37">
        <f t="shared" si="1"/>
        <v>1660.2</v>
      </c>
      <c r="L8" s="37">
        <v>848.99</v>
      </c>
      <c r="M8" s="37">
        <v>1047.7</v>
      </c>
      <c r="N8" s="37">
        <v>926.35</v>
      </c>
      <c r="O8" s="37">
        <v>866.61</v>
      </c>
      <c r="P8" s="37">
        <v>862.24</v>
      </c>
      <c r="Q8" s="37">
        <v>1031.5999999999999</v>
      </c>
      <c r="R8" s="37">
        <f t="shared" si="2"/>
        <v>930.58166666666659</v>
      </c>
      <c r="S8" s="37">
        <v>1524.9</v>
      </c>
      <c r="T8" s="37">
        <v>1527.9</v>
      </c>
      <c r="U8" s="37">
        <v>1433</v>
      </c>
      <c r="V8" s="37">
        <v>1436</v>
      </c>
      <c r="W8" s="37">
        <v>1005.2</v>
      </c>
      <c r="X8" s="37">
        <v>1042.9000000000001</v>
      </c>
      <c r="Y8" s="37">
        <f t="shared" si="3"/>
        <v>1328.3166666666666</v>
      </c>
    </row>
    <row r="9" spans="1:25" x14ac:dyDescent="0.35">
      <c r="A9" s="37">
        <v>0.373</v>
      </c>
      <c r="B9" s="37">
        <v>1374.6</v>
      </c>
      <c r="C9" s="37">
        <v>1352.9</v>
      </c>
      <c r="D9" s="37">
        <v>1723.5</v>
      </c>
      <c r="E9" s="37">
        <v>1794.9</v>
      </c>
      <c r="F9" s="37">
        <f t="shared" si="0"/>
        <v>1561.4749999999999</v>
      </c>
      <c r="G9" s="37">
        <v>1011.7</v>
      </c>
      <c r="H9" s="37">
        <v>1133.2</v>
      </c>
      <c r="I9" s="37">
        <v>1661</v>
      </c>
      <c r="J9" s="37">
        <v>1657.7</v>
      </c>
      <c r="K9" s="37">
        <f t="shared" si="1"/>
        <v>1365.9</v>
      </c>
      <c r="L9" s="37">
        <v>698.61</v>
      </c>
      <c r="M9" s="37">
        <v>907.51</v>
      </c>
      <c r="N9" s="37">
        <v>752.8</v>
      </c>
      <c r="O9" s="37">
        <v>716.33</v>
      </c>
      <c r="P9" s="37">
        <v>718.62</v>
      </c>
      <c r="Q9" s="37">
        <v>853.82</v>
      </c>
      <c r="R9" s="37">
        <f t="shared" si="2"/>
        <v>774.6149999999999</v>
      </c>
      <c r="S9" s="37">
        <v>1226.2</v>
      </c>
      <c r="T9" s="37">
        <v>1240.9000000000001</v>
      </c>
      <c r="U9" s="37">
        <v>1124</v>
      </c>
      <c r="V9" s="37">
        <v>1135.4000000000001</v>
      </c>
      <c r="W9" s="37">
        <v>813.89</v>
      </c>
      <c r="X9" s="37">
        <v>890.39</v>
      </c>
      <c r="Y9" s="37">
        <f t="shared" si="3"/>
        <v>1071.7966666666669</v>
      </c>
    </row>
    <row r="10" spans="1:25" x14ac:dyDescent="0.35">
      <c r="A10" s="37">
        <v>0.45</v>
      </c>
      <c r="B10" s="37">
        <v>1148.9000000000001</v>
      </c>
      <c r="C10" s="37">
        <v>1084.9000000000001</v>
      </c>
      <c r="D10" s="37">
        <v>1371.1</v>
      </c>
      <c r="E10" s="37">
        <v>1450</v>
      </c>
      <c r="F10" s="37">
        <f t="shared" si="0"/>
        <v>1263.7249999999999</v>
      </c>
      <c r="G10" s="37">
        <v>844.25</v>
      </c>
      <c r="H10" s="37">
        <v>923.48</v>
      </c>
      <c r="I10" s="37">
        <v>1375.6</v>
      </c>
      <c r="J10" s="37">
        <v>1357.7</v>
      </c>
      <c r="K10" s="37">
        <f t="shared" si="1"/>
        <v>1125.2574999999999</v>
      </c>
      <c r="L10" s="37">
        <v>579.32000000000005</v>
      </c>
      <c r="M10" s="37">
        <v>723.99</v>
      </c>
      <c r="N10" s="37">
        <v>626.02</v>
      </c>
      <c r="O10" s="37">
        <v>598.64</v>
      </c>
      <c r="P10" s="37">
        <v>602.71</v>
      </c>
      <c r="Q10" s="37">
        <v>709.1</v>
      </c>
      <c r="R10" s="37">
        <f t="shared" si="2"/>
        <v>639.96333333333325</v>
      </c>
      <c r="S10" s="37">
        <v>975.29</v>
      </c>
      <c r="T10" s="37">
        <v>1000.8</v>
      </c>
      <c r="U10" s="37">
        <v>879.06</v>
      </c>
      <c r="V10" s="37">
        <v>914.55</v>
      </c>
      <c r="W10" s="37">
        <v>653.19000000000005</v>
      </c>
      <c r="X10" s="37">
        <v>748.26</v>
      </c>
      <c r="Y10" s="37">
        <f t="shared" si="3"/>
        <v>861.85833333333323</v>
      </c>
    </row>
    <row r="11" spans="1:25" x14ac:dyDescent="0.35">
      <c r="A11" s="37">
        <v>0.54300000000000004</v>
      </c>
      <c r="B11" s="37">
        <v>947.04</v>
      </c>
      <c r="C11" s="37">
        <v>876.65</v>
      </c>
      <c r="D11" s="37">
        <v>1096.5</v>
      </c>
      <c r="E11" s="37">
        <v>1184</v>
      </c>
      <c r="F11" s="37">
        <f t="shared" si="0"/>
        <v>1026.0475000000001</v>
      </c>
      <c r="G11" s="37">
        <v>704.41</v>
      </c>
      <c r="H11" s="37">
        <v>747.35</v>
      </c>
      <c r="I11" s="37">
        <v>1131.9000000000001</v>
      </c>
      <c r="J11" s="37">
        <v>1115.3</v>
      </c>
      <c r="K11" s="37">
        <f t="shared" si="1"/>
        <v>924.74</v>
      </c>
      <c r="L11" s="37">
        <v>496.88</v>
      </c>
      <c r="M11" s="37">
        <v>581.27</v>
      </c>
      <c r="N11" s="37">
        <v>512.28</v>
      </c>
      <c r="O11" s="37">
        <v>492.26</v>
      </c>
      <c r="P11" s="37">
        <v>502.41999999999996</v>
      </c>
      <c r="Q11" s="37">
        <v>599.91</v>
      </c>
      <c r="R11" s="37">
        <f t="shared" si="2"/>
        <v>530.8366666666667</v>
      </c>
      <c r="S11" s="37">
        <v>770.36</v>
      </c>
      <c r="T11" s="37">
        <v>801.58</v>
      </c>
      <c r="U11" s="37">
        <v>709.5</v>
      </c>
      <c r="V11" s="37">
        <v>732.84</v>
      </c>
      <c r="W11" s="37">
        <v>531.57000000000005</v>
      </c>
      <c r="X11" s="37">
        <v>585.32000000000005</v>
      </c>
      <c r="Y11" s="37">
        <f t="shared" si="3"/>
        <v>688.52833333333331</v>
      </c>
    </row>
    <row r="12" spans="1:25" x14ac:dyDescent="0.35">
      <c r="A12" s="37">
        <v>0.65500000000000003</v>
      </c>
      <c r="B12" s="37">
        <v>781.04</v>
      </c>
      <c r="C12" s="37">
        <v>710.55</v>
      </c>
      <c r="D12" s="37">
        <v>892.74</v>
      </c>
      <c r="E12" s="37">
        <v>990.35</v>
      </c>
      <c r="F12" s="37">
        <f t="shared" si="0"/>
        <v>843.67</v>
      </c>
      <c r="G12" s="37">
        <v>593.69000000000005</v>
      </c>
      <c r="H12" s="37">
        <v>599.12</v>
      </c>
      <c r="I12" s="37">
        <v>919.91</v>
      </c>
      <c r="J12" s="37">
        <v>919.54</v>
      </c>
      <c r="K12" s="37">
        <f t="shared" si="1"/>
        <v>758.06499999999994</v>
      </c>
      <c r="L12" s="37">
        <v>394.24</v>
      </c>
      <c r="M12" s="37">
        <v>500.65</v>
      </c>
      <c r="N12" s="37">
        <v>417.19</v>
      </c>
      <c r="O12" s="37">
        <v>410.45</v>
      </c>
      <c r="P12" s="37">
        <v>424.32</v>
      </c>
      <c r="Q12" s="37">
        <v>499.27</v>
      </c>
      <c r="R12" s="37">
        <f t="shared" si="2"/>
        <v>441.02</v>
      </c>
      <c r="S12" s="37">
        <v>634.42999999999995</v>
      </c>
      <c r="T12" s="37">
        <v>643.41</v>
      </c>
      <c r="U12" s="37">
        <v>587.62</v>
      </c>
      <c r="V12" s="37">
        <v>592.79</v>
      </c>
      <c r="W12" s="37">
        <v>438.98</v>
      </c>
      <c r="X12" s="37">
        <v>466.8</v>
      </c>
      <c r="Y12" s="37">
        <f t="shared" si="3"/>
        <v>560.67166666666674</v>
      </c>
    </row>
    <row r="13" spans="1:25" x14ac:dyDescent="0.35">
      <c r="A13" s="37">
        <v>0.79100000000000004</v>
      </c>
      <c r="B13" s="37">
        <v>651.23</v>
      </c>
      <c r="C13" s="37">
        <v>580.66999999999996</v>
      </c>
      <c r="D13" s="37">
        <v>710.54</v>
      </c>
      <c r="E13" s="37">
        <v>820.1</v>
      </c>
      <c r="F13" s="37">
        <f t="shared" si="0"/>
        <v>690.63499999999999</v>
      </c>
      <c r="G13" s="37">
        <v>495.21</v>
      </c>
      <c r="H13" s="37">
        <v>479.13</v>
      </c>
      <c r="I13" s="37">
        <v>744.79</v>
      </c>
      <c r="J13" s="37">
        <v>748.3</v>
      </c>
      <c r="K13" s="37">
        <f t="shared" si="1"/>
        <v>616.85749999999996</v>
      </c>
      <c r="L13" s="37">
        <v>317.13</v>
      </c>
      <c r="M13" s="37">
        <v>399.57</v>
      </c>
      <c r="N13" s="37">
        <v>343.66</v>
      </c>
      <c r="O13" s="37">
        <v>342.37</v>
      </c>
      <c r="P13" s="37">
        <v>360.48</v>
      </c>
      <c r="Q13" s="37">
        <v>416.69</v>
      </c>
      <c r="R13" s="37">
        <f t="shared" si="2"/>
        <v>363.31666666666666</v>
      </c>
      <c r="S13" s="37">
        <v>514.86</v>
      </c>
      <c r="T13" s="37">
        <v>529.59</v>
      </c>
      <c r="U13" s="37">
        <v>457.72</v>
      </c>
      <c r="V13" s="37">
        <v>477.61</v>
      </c>
      <c r="W13" s="37">
        <v>355.56</v>
      </c>
      <c r="X13" s="37">
        <v>393.04</v>
      </c>
      <c r="Y13" s="37">
        <f t="shared" si="3"/>
        <v>454.73</v>
      </c>
    </row>
    <row r="14" spans="1:25" x14ac:dyDescent="0.35">
      <c r="A14" s="37">
        <v>0.95399999999999996</v>
      </c>
      <c r="B14" s="37">
        <v>548.51</v>
      </c>
      <c r="C14" s="37">
        <v>466.36</v>
      </c>
      <c r="D14" s="37">
        <v>567.27</v>
      </c>
      <c r="E14" s="37">
        <v>613.77</v>
      </c>
      <c r="F14" s="37">
        <f t="shared" si="0"/>
        <v>548.97749999999996</v>
      </c>
      <c r="G14" s="37">
        <v>414.02</v>
      </c>
      <c r="H14" s="37">
        <v>380.65</v>
      </c>
      <c r="I14" s="37">
        <v>609.16999999999996</v>
      </c>
      <c r="J14" s="37">
        <v>610.32000000000005</v>
      </c>
      <c r="K14" s="37">
        <f t="shared" si="1"/>
        <v>503.53999999999996</v>
      </c>
      <c r="L14" s="37">
        <v>256.8</v>
      </c>
      <c r="M14" s="37">
        <v>329.21</v>
      </c>
      <c r="N14" s="37">
        <v>282.08</v>
      </c>
      <c r="O14" s="37">
        <v>286.83</v>
      </c>
      <c r="P14" s="37">
        <v>310.72000000000003</v>
      </c>
      <c r="Q14" s="37">
        <v>356.9</v>
      </c>
      <c r="R14" s="37">
        <f t="shared" si="2"/>
        <v>303.75666666666666</v>
      </c>
      <c r="S14" s="37">
        <v>402.65</v>
      </c>
      <c r="T14" s="37">
        <v>434.52</v>
      </c>
      <c r="U14" s="37">
        <v>353.17</v>
      </c>
      <c r="V14" s="37">
        <v>378.23</v>
      </c>
      <c r="W14" s="37">
        <v>293.48</v>
      </c>
      <c r="X14" s="37">
        <v>323.98</v>
      </c>
      <c r="Y14" s="37">
        <f t="shared" si="3"/>
        <v>364.33833333333331</v>
      </c>
    </row>
    <row r="15" spans="1:25" x14ac:dyDescent="0.35">
      <c r="A15" s="37">
        <v>1.1499999999999999</v>
      </c>
      <c r="B15" s="37">
        <v>443.41</v>
      </c>
      <c r="C15" s="37">
        <v>377.6</v>
      </c>
      <c r="D15" s="37">
        <v>464.36</v>
      </c>
      <c r="E15" s="37">
        <v>455.46</v>
      </c>
      <c r="F15" s="37">
        <f t="shared" si="0"/>
        <v>435.20749999999998</v>
      </c>
      <c r="G15" s="37">
        <v>347.03</v>
      </c>
      <c r="H15" s="37">
        <v>311.14</v>
      </c>
      <c r="I15" s="37">
        <v>471.74</v>
      </c>
      <c r="J15" s="37">
        <v>498.72</v>
      </c>
      <c r="K15" s="37">
        <f t="shared" si="1"/>
        <v>407.15749999999997</v>
      </c>
      <c r="L15" s="37">
        <v>209.96</v>
      </c>
      <c r="M15" s="37">
        <v>278.89999999999998</v>
      </c>
      <c r="N15" s="37">
        <v>231.88</v>
      </c>
      <c r="O15" s="37">
        <v>238.22</v>
      </c>
      <c r="P15" s="37">
        <v>259.33</v>
      </c>
      <c r="Q15" s="37">
        <v>299.72000000000003</v>
      </c>
      <c r="R15" s="37">
        <f t="shared" si="2"/>
        <v>253.00166666666667</v>
      </c>
      <c r="S15" s="37">
        <v>309.69</v>
      </c>
      <c r="T15" s="37">
        <v>348.16</v>
      </c>
      <c r="U15" s="37">
        <v>284.5</v>
      </c>
      <c r="V15" s="37">
        <v>298.8</v>
      </c>
      <c r="W15" s="37">
        <v>241.9</v>
      </c>
      <c r="X15" s="37">
        <v>256.60000000000002</v>
      </c>
      <c r="Y15" s="37">
        <f t="shared" si="3"/>
        <v>289.94166666666666</v>
      </c>
    </row>
    <row r="16" spans="1:25" x14ac:dyDescent="0.35">
      <c r="A16" s="37">
        <v>1.39</v>
      </c>
      <c r="B16" s="37">
        <v>356.19</v>
      </c>
      <c r="C16" s="37">
        <v>297.02</v>
      </c>
      <c r="D16" s="37">
        <v>376.48</v>
      </c>
      <c r="E16" s="37">
        <v>372.63</v>
      </c>
      <c r="F16" s="37">
        <f t="shared" si="0"/>
        <v>350.58000000000004</v>
      </c>
      <c r="G16" s="37">
        <v>292.29000000000002</v>
      </c>
      <c r="H16" s="37">
        <v>242.97</v>
      </c>
      <c r="I16" s="37">
        <v>373.17</v>
      </c>
      <c r="J16" s="37">
        <v>412.47</v>
      </c>
      <c r="K16" s="37">
        <f t="shared" si="1"/>
        <v>330.22500000000002</v>
      </c>
      <c r="L16" s="37">
        <v>169.56</v>
      </c>
      <c r="M16" s="37">
        <v>228.2</v>
      </c>
      <c r="N16" s="37">
        <v>191.56</v>
      </c>
      <c r="O16" s="37">
        <v>199.61</v>
      </c>
      <c r="P16" s="37">
        <v>218.07999999999998</v>
      </c>
      <c r="Q16" s="37">
        <v>251.26999999999998</v>
      </c>
      <c r="R16" s="37">
        <f t="shared" si="2"/>
        <v>209.71333333333334</v>
      </c>
      <c r="S16" s="37">
        <v>249.58</v>
      </c>
      <c r="T16" s="37">
        <v>291.14</v>
      </c>
      <c r="U16" s="37">
        <v>230</v>
      </c>
      <c r="V16" s="37">
        <v>239.19</v>
      </c>
      <c r="W16" s="37">
        <v>204.11</v>
      </c>
      <c r="X16" s="37">
        <v>199.51</v>
      </c>
      <c r="Y16" s="37">
        <f t="shared" si="3"/>
        <v>235.58833333333334</v>
      </c>
    </row>
    <row r="17" spans="1:25" x14ac:dyDescent="0.35">
      <c r="A17" s="37">
        <v>1.68</v>
      </c>
      <c r="B17" s="37">
        <v>294.23</v>
      </c>
      <c r="C17" s="37">
        <v>231.31</v>
      </c>
      <c r="D17" s="37">
        <v>312.94</v>
      </c>
      <c r="E17" s="37">
        <v>301.43</v>
      </c>
      <c r="F17" s="37">
        <f t="shared" si="0"/>
        <v>284.97750000000002</v>
      </c>
      <c r="G17" s="37">
        <v>248.51</v>
      </c>
      <c r="H17" s="37">
        <v>184.3</v>
      </c>
      <c r="I17" s="37">
        <v>292.17</v>
      </c>
      <c r="J17" s="37">
        <v>342.72</v>
      </c>
      <c r="K17" s="37">
        <f t="shared" si="1"/>
        <v>266.92500000000001</v>
      </c>
      <c r="L17" s="37">
        <v>147.11000000000001</v>
      </c>
      <c r="M17" s="37">
        <v>188.53</v>
      </c>
      <c r="N17" s="37">
        <v>157.78</v>
      </c>
      <c r="O17" s="37">
        <v>167.45</v>
      </c>
      <c r="P17" s="37">
        <v>178.97</v>
      </c>
      <c r="Q17" s="37">
        <v>209.24</v>
      </c>
      <c r="R17" s="37">
        <f t="shared" si="2"/>
        <v>174.84666666666666</v>
      </c>
      <c r="S17" s="37">
        <v>205.32</v>
      </c>
      <c r="T17" s="37">
        <v>234.08</v>
      </c>
      <c r="U17" s="37">
        <v>183.7</v>
      </c>
      <c r="V17" s="37">
        <v>185.58</v>
      </c>
      <c r="W17" s="37">
        <v>166.66</v>
      </c>
      <c r="X17" s="37">
        <v>159.09</v>
      </c>
      <c r="Y17" s="37">
        <f t="shared" si="3"/>
        <v>189.07166666666663</v>
      </c>
    </row>
    <row r="18" spans="1:25" x14ac:dyDescent="0.35">
      <c r="A18" s="37">
        <v>2.02</v>
      </c>
      <c r="B18" s="37">
        <v>237.41</v>
      </c>
      <c r="C18" s="37">
        <v>174.85</v>
      </c>
      <c r="D18" s="37">
        <v>231.93</v>
      </c>
      <c r="E18" s="37">
        <v>256.35000000000002</v>
      </c>
      <c r="F18" s="37">
        <f t="shared" si="0"/>
        <v>225.13500000000002</v>
      </c>
      <c r="G18" s="37">
        <v>209.05</v>
      </c>
      <c r="H18" s="37">
        <v>135.04</v>
      </c>
      <c r="I18" s="37">
        <v>232.65</v>
      </c>
      <c r="J18" s="37">
        <v>290.43</v>
      </c>
      <c r="K18" s="37">
        <f t="shared" si="1"/>
        <v>216.79250000000002</v>
      </c>
      <c r="L18" s="37">
        <v>126.46</v>
      </c>
      <c r="M18" s="37">
        <v>160.16999999999999</v>
      </c>
      <c r="N18" s="37">
        <v>133.16999999999999</v>
      </c>
      <c r="O18" s="37">
        <v>138.66</v>
      </c>
      <c r="P18" s="37">
        <v>151.74</v>
      </c>
      <c r="Q18" s="37">
        <v>173.82</v>
      </c>
      <c r="R18" s="37">
        <f t="shared" si="2"/>
        <v>147.33666666666667</v>
      </c>
      <c r="S18" s="37">
        <v>177.58</v>
      </c>
      <c r="T18" s="37">
        <v>191.37</v>
      </c>
      <c r="U18" s="37">
        <v>147.86000000000001</v>
      </c>
      <c r="V18" s="37">
        <v>140.84</v>
      </c>
      <c r="W18" s="37">
        <v>136.11000000000001</v>
      </c>
      <c r="X18" s="37">
        <v>124.93</v>
      </c>
      <c r="Y18" s="37">
        <f t="shared" si="3"/>
        <v>153.11500000000001</v>
      </c>
    </row>
    <row r="19" spans="1:25" x14ac:dyDescent="0.35">
      <c r="A19" s="37">
        <v>2.44</v>
      </c>
      <c r="B19" s="37">
        <v>203.27</v>
      </c>
      <c r="C19" s="37">
        <v>151.11000000000001</v>
      </c>
      <c r="D19" s="37">
        <v>196.04</v>
      </c>
      <c r="E19" s="37">
        <v>179.52</v>
      </c>
      <c r="F19" s="37">
        <f t="shared" si="0"/>
        <v>182.48499999999999</v>
      </c>
      <c r="G19" s="37">
        <v>176.66</v>
      </c>
      <c r="H19" s="37">
        <v>106.5</v>
      </c>
      <c r="I19" s="37">
        <v>191.07</v>
      </c>
      <c r="J19" s="37">
        <v>248.4</v>
      </c>
      <c r="K19" s="37">
        <f t="shared" si="1"/>
        <v>180.6575</v>
      </c>
      <c r="L19" s="37">
        <v>102.98</v>
      </c>
      <c r="M19" s="37">
        <v>136.12</v>
      </c>
      <c r="N19" s="37">
        <v>110.17</v>
      </c>
      <c r="O19" s="37">
        <v>116.63</v>
      </c>
      <c r="P19" s="37">
        <v>141.31</v>
      </c>
      <c r="Q19" s="37">
        <v>162.79</v>
      </c>
      <c r="R19" s="37">
        <f t="shared" si="2"/>
        <v>128.33333333333334</v>
      </c>
      <c r="S19" s="37">
        <v>141.01</v>
      </c>
      <c r="T19" s="37">
        <v>160.09</v>
      </c>
      <c r="U19" s="37">
        <v>121.14</v>
      </c>
      <c r="V19" s="37">
        <v>107.44</v>
      </c>
      <c r="W19" s="37">
        <v>115.12</v>
      </c>
      <c r="X19" s="37">
        <v>96.027000000000001</v>
      </c>
      <c r="Y19" s="37">
        <f t="shared" si="3"/>
        <v>123.47116666666669</v>
      </c>
    </row>
    <row r="20" spans="1:25" x14ac:dyDescent="0.35">
      <c r="A20" s="37">
        <v>2.95</v>
      </c>
      <c r="B20" s="37">
        <v>165.08</v>
      </c>
      <c r="C20" s="37">
        <v>133.07</v>
      </c>
      <c r="D20" s="37">
        <v>147.72</v>
      </c>
      <c r="E20" s="37">
        <v>124.04</v>
      </c>
      <c r="F20" s="37">
        <f t="shared" si="0"/>
        <v>142.47749999999999</v>
      </c>
      <c r="G20" s="37">
        <v>149.25</v>
      </c>
      <c r="H20" s="37">
        <v>87.507000000000005</v>
      </c>
      <c r="I20" s="37">
        <v>149.07</v>
      </c>
      <c r="J20" s="37">
        <v>199.37</v>
      </c>
      <c r="K20" s="37">
        <f t="shared" si="1"/>
        <v>146.29925</v>
      </c>
      <c r="L20" s="37">
        <v>91.081999999999994</v>
      </c>
      <c r="M20" s="37">
        <v>116.13</v>
      </c>
      <c r="N20" s="37">
        <v>90.738</v>
      </c>
      <c r="O20" s="37">
        <v>99.257000000000005</v>
      </c>
      <c r="P20" s="37">
        <v>118.24000000000001</v>
      </c>
      <c r="Q20" s="37">
        <v>140.66999999999999</v>
      </c>
      <c r="R20" s="37">
        <f t="shared" si="2"/>
        <v>109.35283333333332</v>
      </c>
      <c r="S20" s="37">
        <v>112.91</v>
      </c>
      <c r="T20" s="37">
        <v>137.32</v>
      </c>
      <c r="U20" s="37">
        <v>106.17</v>
      </c>
      <c r="V20" s="37">
        <v>95.29</v>
      </c>
      <c r="W20" s="37">
        <v>96.474000000000004</v>
      </c>
      <c r="X20" s="37">
        <v>75.668000000000006</v>
      </c>
      <c r="Y20" s="37">
        <f t="shared" si="3"/>
        <v>103.97199999999999</v>
      </c>
    </row>
    <row r="21" spans="1:25" x14ac:dyDescent="0.35">
      <c r="A21" s="37">
        <v>3.56</v>
      </c>
      <c r="B21" s="37">
        <v>143.30000000000001</v>
      </c>
      <c r="C21" s="37">
        <v>118.81</v>
      </c>
      <c r="D21" s="37">
        <v>100.58</v>
      </c>
      <c r="E21" s="37">
        <v>94.497</v>
      </c>
      <c r="F21" s="37">
        <f t="shared" si="0"/>
        <v>114.29675</v>
      </c>
      <c r="G21" s="37">
        <v>125.57</v>
      </c>
      <c r="H21" s="37">
        <v>68.790999999999997</v>
      </c>
      <c r="I21" s="37">
        <v>118.55</v>
      </c>
      <c r="J21" s="37">
        <v>166.96</v>
      </c>
      <c r="K21" s="37">
        <f t="shared" si="1"/>
        <v>119.96775</v>
      </c>
      <c r="L21" s="37">
        <v>76.123000000000005</v>
      </c>
      <c r="M21" s="37">
        <v>96.224999999999994</v>
      </c>
      <c r="N21" s="37">
        <v>77.108999999999995</v>
      </c>
      <c r="O21" s="37">
        <v>82.742999999999995</v>
      </c>
      <c r="P21" s="37">
        <v>99.22</v>
      </c>
      <c r="Q21" s="37">
        <v>117.88999999999999</v>
      </c>
      <c r="R21" s="37">
        <f t="shared" si="2"/>
        <v>91.551666666666662</v>
      </c>
      <c r="S21" s="37">
        <v>94.447000000000003</v>
      </c>
      <c r="T21" s="37">
        <v>113.27</v>
      </c>
      <c r="U21" s="37">
        <v>88.933999999999997</v>
      </c>
      <c r="V21" s="37">
        <v>74.015000000000001</v>
      </c>
      <c r="W21" s="37">
        <v>81.747</v>
      </c>
      <c r="X21" s="37">
        <v>58.649000000000001</v>
      </c>
      <c r="Y21" s="37">
        <f t="shared" si="3"/>
        <v>85.176999999999992</v>
      </c>
    </row>
    <row r="22" spans="1:25" x14ac:dyDescent="0.35">
      <c r="A22" s="37">
        <v>4.29</v>
      </c>
      <c r="B22" s="37">
        <v>112.22</v>
      </c>
      <c r="C22" s="37">
        <v>89.361999999999995</v>
      </c>
      <c r="D22" s="37">
        <v>63.347999999999999</v>
      </c>
      <c r="E22" s="37">
        <v>88.867000000000004</v>
      </c>
      <c r="F22" s="37">
        <f t="shared" si="0"/>
        <v>88.449250000000006</v>
      </c>
      <c r="G22" s="37">
        <v>106.69</v>
      </c>
      <c r="H22" s="37">
        <v>61.295999999999999</v>
      </c>
      <c r="I22" s="37">
        <v>93.028999999999996</v>
      </c>
      <c r="J22" s="37">
        <v>139</v>
      </c>
      <c r="K22" s="37">
        <f t="shared" si="1"/>
        <v>100.00375</v>
      </c>
      <c r="L22" s="37">
        <v>66.932000000000002</v>
      </c>
      <c r="M22" s="37">
        <v>82.046999999999997</v>
      </c>
      <c r="N22" s="37">
        <v>66.314999999999998</v>
      </c>
      <c r="O22" s="37">
        <v>70.936000000000007</v>
      </c>
      <c r="P22" s="37">
        <v>85.74</v>
      </c>
      <c r="Q22" s="37">
        <v>98.59</v>
      </c>
      <c r="R22" s="37">
        <f t="shared" si="2"/>
        <v>78.426666666666677</v>
      </c>
      <c r="S22" s="37">
        <v>78.929000000000002</v>
      </c>
      <c r="T22" s="37">
        <v>92.417000000000002</v>
      </c>
      <c r="U22" s="37">
        <v>70.134</v>
      </c>
      <c r="V22" s="37">
        <v>56.658999999999999</v>
      </c>
      <c r="W22" s="37">
        <v>69.039000000000001</v>
      </c>
      <c r="X22" s="37">
        <v>49.848999999999997</v>
      </c>
      <c r="Y22" s="37">
        <f t="shared" si="3"/>
        <v>69.504499999999993</v>
      </c>
    </row>
    <row r="23" spans="1:25" x14ac:dyDescent="0.35">
      <c r="A23" s="37">
        <v>5.18</v>
      </c>
      <c r="B23" s="37">
        <v>94.262</v>
      </c>
      <c r="C23" s="37">
        <v>69.268000000000001</v>
      </c>
      <c r="D23" s="37">
        <v>44.140999999999998</v>
      </c>
      <c r="E23" s="37">
        <v>56.045999999999999</v>
      </c>
      <c r="F23" s="37">
        <f t="shared" si="0"/>
        <v>65.929249999999996</v>
      </c>
      <c r="G23" s="37">
        <v>90.180999999999997</v>
      </c>
      <c r="H23" s="37">
        <v>54.14</v>
      </c>
      <c r="I23" s="37">
        <v>69.849999999999994</v>
      </c>
      <c r="J23" s="37">
        <v>116.42</v>
      </c>
      <c r="K23" s="37">
        <f t="shared" si="1"/>
        <v>82.647750000000002</v>
      </c>
      <c r="L23" s="37">
        <v>54.107999999999997</v>
      </c>
      <c r="M23" s="37">
        <v>68.350999999999999</v>
      </c>
      <c r="N23" s="37">
        <v>55.412999999999997</v>
      </c>
      <c r="O23" s="37">
        <v>59.079000000000001</v>
      </c>
      <c r="P23" s="37">
        <v>70.867000000000004</v>
      </c>
      <c r="Q23" s="37">
        <v>82.62</v>
      </c>
      <c r="R23" s="37">
        <f t="shared" si="2"/>
        <v>65.073000000000008</v>
      </c>
      <c r="S23" s="37">
        <v>68.844999999999999</v>
      </c>
      <c r="T23" s="37">
        <v>77.647000000000006</v>
      </c>
      <c r="U23" s="37">
        <v>59.3</v>
      </c>
      <c r="V23" s="37">
        <v>58.604999999999997</v>
      </c>
      <c r="W23" s="37">
        <v>58.912999999999997</v>
      </c>
      <c r="X23" s="37">
        <v>44.758000000000003</v>
      </c>
      <c r="Y23" s="37">
        <f t="shared" si="3"/>
        <v>61.344666666666676</v>
      </c>
    </row>
    <row r="24" spans="1:25" x14ac:dyDescent="0.35">
      <c r="A24" s="37">
        <v>6.25</v>
      </c>
      <c r="B24" s="37">
        <v>74.656999999999996</v>
      </c>
      <c r="C24" s="37">
        <v>57.268999999999998</v>
      </c>
      <c r="D24" s="37">
        <v>35.835000000000001</v>
      </c>
      <c r="E24" s="37">
        <v>51.103000000000002</v>
      </c>
      <c r="F24" s="37">
        <f t="shared" si="0"/>
        <v>54.716000000000001</v>
      </c>
      <c r="G24" s="37">
        <v>77.320999999999998</v>
      </c>
      <c r="H24" s="37">
        <v>43.966000000000001</v>
      </c>
      <c r="I24" s="37">
        <v>51.293999999999997</v>
      </c>
      <c r="J24" s="37">
        <v>99.081000000000003</v>
      </c>
      <c r="K24" s="37">
        <f t="shared" si="1"/>
        <v>67.915500000000009</v>
      </c>
      <c r="L24" s="37">
        <v>45.481999999999999</v>
      </c>
      <c r="M24" s="37">
        <v>57.817999999999998</v>
      </c>
      <c r="N24" s="37">
        <v>47.234999999999999</v>
      </c>
      <c r="O24" s="37">
        <v>50.292999999999999</v>
      </c>
      <c r="P24" s="37">
        <v>57.495000000000005</v>
      </c>
      <c r="Q24" s="37">
        <v>67.86</v>
      </c>
      <c r="R24" s="37">
        <f t="shared" si="2"/>
        <v>54.363833333333332</v>
      </c>
      <c r="S24" s="37">
        <v>59.47</v>
      </c>
      <c r="T24" s="37">
        <v>64.757999999999996</v>
      </c>
      <c r="U24" s="37">
        <v>48.624000000000002</v>
      </c>
      <c r="V24" s="37">
        <v>44.59</v>
      </c>
      <c r="W24" s="37">
        <v>48.957000000000001</v>
      </c>
      <c r="X24" s="37">
        <v>39.466000000000001</v>
      </c>
      <c r="Y24" s="37">
        <f t="shared" si="3"/>
        <v>50.977499999999999</v>
      </c>
    </row>
    <row r="25" spans="1:25" x14ac:dyDescent="0.35">
      <c r="A25" s="37">
        <v>7.54</v>
      </c>
      <c r="B25" s="37">
        <v>65.840999999999994</v>
      </c>
      <c r="C25" s="37">
        <v>47.453000000000003</v>
      </c>
      <c r="D25" s="37">
        <v>31.478000000000002</v>
      </c>
      <c r="E25" s="37">
        <v>35.555</v>
      </c>
      <c r="F25" s="37">
        <f t="shared" si="0"/>
        <v>45.08175</v>
      </c>
      <c r="G25" s="37">
        <v>65.066000000000003</v>
      </c>
      <c r="H25" s="37">
        <v>40.475000000000001</v>
      </c>
      <c r="I25" s="37">
        <v>44.969000000000001</v>
      </c>
      <c r="J25" s="37">
        <v>81.617000000000004</v>
      </c>
      <c r="K25" s="37">
        <f t="shared" si="1"/>
        <v>58.031750000000002</v>
      </c>
      <c r="L25" s="37">
        <v>39.143000000000001</v>
      </c>
      <c r="M25" s="37">
        <v>48.564999999999998</v>
      </c>
      <c r="N25" s="37">
        <v>40.728000000000002</v>
      </c>
      <c r="O25" s="37">
        <v>42.024000000000001</v>
      </c>
      <c r="P25" s="37">
        <v>45.631</v>
      </c>
      <c r="Q25" s="37">
        <v>55.724999999999994</v>
      </c>
      <c r="R25" s="37">
        <f t="shared" si="2"/>
        <v>45.302666666666674</v>
      </c>
      <c r="S25" s="37">
        <v>49.698</v>
      </c>
      <c r="T25" s="37">
        <v>54.207999999999998</v>
      </c>
      <c r="U25" s="37">
        <v>39.991999999999997</v>
      </c>
      <c r="V25" s="37">
        <v>33.609000000000002</v>
      </c>
      <c r="W25" s="37">
        <v>40.688000000000002</v>
      </c>
      <c r="X25" s="37">
        <v>31.09</v>
      </c>
      <c r="Y25" s="37">
        <f t="shared" si="3"/>
        <v>41.547499999999999</v>
      </c>
    </row>
    <row r="26" spans="1:25" x14ac:dyDescent="0.35">
      <c r="A26" s="37">
        <v>9.1</v>
      </c>
      <c r="B26" s="37">
        <v>54.893999999999998</v>
      </c>
      <c r="C26" s="37">
        <v>45.116</v>
      </c>
      <c r="D26" s="37">
        <v>22.224</v>
      </c>
      <c r="E26" s="37">
        <v>27.635000000000002</v>
      </c>
      <c r="F26" s="37">
        <f t="shared" si="0"/>
        <v>37.46725</v>
      </c>
      <c r="G26" s="37">
        <v>56.152000000000001</v>
      </c>
      <c r="H26" s="37">
        <v>34.176000000000002</v>
      </c>
      <c r="I26" s="37">
        <v>35.603999999999999</v>
      </c>
      <c r="J26" s="37">
        <v>68.667000000000002</v>
      </c>
      <c r="K26" s="37">
        <f t="shared" si="1"/>
        <v>48.649749999999997</v>
      </c>
      <c r="L26" s="37">
        <v>34.966000000000001</v>
      </c>
      <c r="M26" s="37">
        <v>41.286999999999999</v>
      </c>
      <c r="N26" s="37">
        <v>34.249000000000002</v>
      </c>
      <c r="O26" s="37">
        <v>35.44</v>
      </c>
      <c r="P26" s="37">
        <v>38.765999999999998</v>
      </c>
      <c r="Q26" s="37">
        <v>46.209999999999994</v>
      </c>
      <c r="R26" s="37">
        <f t="shared" si="2"/>
        <v>38.486333333333334</v>
      </c>
      <c r="S26" s="37">
        <v>41.83</v>
      </c>
      <c r="T26" s="37">
        <v>45.798000000000002</v>
      </c>
      <c r="U26" s="37">
        <v>32.659999999999997</v>
      </c>
      <c r="V26" s="37">
        <v>26.855</v>
      </c>
      <c r="W26" s="37">
        <v>35.276000000000003</v>
      </c>
      <c r="X26" s="37">
        <v>25.547999999999998</v>
      </c>
      <c r="Y26" s="37">
        <f t="shared" si="3"/>
        <v>34.661166666666666</v>
      </c>
    </row>
    <row r="27" spans="1:25" x14ac:dyDescent="0.35">
      <c r="A27" s="37">
        <v>11</v>
      </c>
      <c r="B27" s="37">
        <v>46.567999999999998</v>
      </c>
      <c r="C27" s="37">
        <v>37.911999999999999</v>
      </c>
      <c r="D27" s="37">
        <v>18.791</v>
      </c>
      <c r="E27" s="37">
        <v>23.134</v>
      </c>
      <c r="F27" s="37">
        <f t="shared" si="0"/>
        <v>31.601249999999997</v>
      </c>
      <c r="G27" s="37">
        <v>48.018999999999998</v>
      </c>
      <c r="H27" s="37">
        <v>26.896000000000001</v>
      </c>
      <c r="I27" s="37">
        <v>30.423999999999999</v>
      </c>
      <c r="J27" s="37">
        <v>58.512</v>
      </c>
      <c r="K27" s="37">
        <f t="shared" si="1"/>
        <v>40.96275</v>
      </c>
      <c r="L27" s="37">
        <v>29.298999999999999</v>
      </c>
      <c r="M27" s="37">
        <v>35.116</v>
      </c>
      <c r="N27" s="37">
        <v>29.227</v>
      </c>
      <c r="O27" s="37">
        <v>29.837</v>
      </c>
      <c r="P27" s="37">
        <v>38.264000000000003</v>
      </c>
      <c r="Q27" s="37">
        <v>49.046999999999997</v>
      </c>
      <c r="R27" s="37">
        <f t="shared" si="2"/>
        <v>35.131666666666668</v>
      </c>
      <c r="S27" s="37">
        <v>36.351999999999997</v>
      </c>
      <c r="T27" s="37">
        <v>37.773000000000003</v>
      </c>
      <c r="U27" s="37">
        <v>26.297999999999998</v>
      </c>
      <c r="V27" s="37">
        <v>22.123999999999999</v>
      </c>
      <c r="W27" s="37">
        <v>29.927</v>
      </c>
      <c r="X27" s="37">
        <v>20.516999999999999</v>
      </c>
      <c r="Y27" s="37">
        <f t="shared" si="3"/>
        <v>28.831833333333332</v>
      </c>
    </row>
    <row r="28" spans="1:25" x14ac:dyDescent="0.35">
      <c r="A28" s="37">
        <v>13.3</v>
      </c>
      <c r="B28" s="37">
        <v>40.421999999999997</v>
      </c>
      <c r="C28" s="37">
        <v>28.655999999999999</v>
      </c>
      <c r="D28" s="37">
        <v>14.116</v>
      </c>
      <c r="E28" s="37">
        <v>16.015000000000001</v>
      </c>
      <c r="F28" s="37">
        <f t="shared" si="0"/>
        <v>24.802250000000001</v>
      </c>
      <c r="G28" s="37">
        <v>40.503999999999998</v>
      </c>
      <c r="H28" s="37">
        <v>23.734999999999999</v>
      </c>
      <c r="I28" s="37">
        <v>24.06</v>
      </c>
      <c r="J28" s="37">
        <v>50.777000000000001</v>
      </c>
      <c r="K28" s="37">
        <f t="shared" si="1"/>
        <v>34.769000000000005</v>
      </c>
      <c r="L28" s="37">
        <v>25.317</v>
      </c>
      <c r="M28" s="37">
        <v>29.792000000000002</v>
      </c>
      <c r="N28" s="37">
        <v>24.902000000000001</v>
      </c>
      <c r="O28" s="37">
        <v>25.204000000000001</v>
      </c>
      <c r="P28" s="37">
        <v>31.572000000000003</v>
      </c>
      <c r="Q28" s="37">
        <v>41.392000000000003</v>
      </c>
      <c r="R28" s="37">
        <f t="shared" si="2"/>
        <v>29.6965</v>
      </c>
      <c r="S28" s="37">
        <v>30.236999999999998</v>
      </c>
      <c r="T28" s="37">
        <v>31.449000000000002</v>
      </c>
      <c r="U28" s="37">
        <v>21.074000000000002</v>
      </c>
      <c r="V28" s="37">
        <v>18.396000000000001</v>
      </c>
      <c r="W28" s="37">
        <v>25.437999999999999</v>
      </c>
      <c r="X28" s="37">
        <v>16.196999999999999</v>
      </c>
      <c r="Y28" s="37">
        <f t="shared" si="3"/>
        <v>23.798500000000001</v>
      </c>
    </row>
    <row r="29" spans="1:25" x14ac:dyDescent="0.35">
      <c r="A29" s="37">
        <v>16</v>
      </c>
      <c r="B29" s="37">
        <v>34.53</v>
      </c>
      <c r="C29" s="37">
        <v>23.623000000000001</v>
      </c>
      <c r="D29" s="37">
        <v>10.260999999999999</v>
      </c>
      <c r="E29" s="37">
        <v>12.21</v>
      </c>
      <c r="F29" s="37">
        <f t="shared" si="0"/>
        <v>20.155999999999999</v>
      </c>
      <c r="G29" s="37">
        <v>35.076999999999998</v>
      </c>
      <c r="H29" s="37">
        <v>20.873000000000001</v>
      </c>
      <c r="I29" s="37">
        <v>18.888999999999999</v>
      </c>
      <c r="J29" s="37">
        <v>42.072000000000003</v>
      </c>
      <c r="K29" s="37">
        <f t="shared" si="1"/>
        <v>29.22775</v>
      </c>
      <c r="L29" s="37">
        <v>21.652999999999999</v>
      </c>
      <c r="M29" s="37">
        <v>24.798999999999999</v>
      </c>
      <c r="N29" s="37">
        <v>21.138999999999999</v>
      </c>
      <c r="O29" s="37">
        <v>21.388000000000002</v>
      </c>
      <c r="P29" s="37">
        <v>24.268999999999998</v>
      </c>
      <c r="Q29" s="37">
        <v>34.561999999999998</v>
      </c>
      <c r="R29" s="37">
        <f t="shared" si="2"/>
        <v>24.635000000000002</v>
      </c>
      <c r="S29" s="37">
        <v>26.189</v>
      </c>
      <c r="T29" s="37">
        <v>26.585000000000001</v>
      </c>
      <c r="U29" s="37">
        <v>17.555</v>
      </c>
      <c r="V29" s="37">
        <v>15.18</v>
      </c>
      <c r="W29" s="37">
        <v>21.321000000000002</v>
      </c>
      <c r="X29" s="37">
        <v>13.326000000000001</v>
      </c>
      <c r="Y29" s="37">
        <f t="shared" si="3"/>
        <v>20.026</v>
      </c>
    </row>
    <row r="30" spans="1:25" x14ac:dyDescent="0.35">
      <c r="A30" s="37">
        <v>19.3</v>
      </c>
      <c r="B30" s="37">
        <v>29.969000000000001</v>
      </c>
      <c r="C30" s="37">
        <v>19.917000000000002</v>
      </c>
      <c r="D30" s="37">
        <v>8.2776999999999994</v>
      </c>
      <c r="E30" s="37">
        <v>9.3504000000000005</v>
      </c>
      <c r="F30" s="37">
        <f t="shared" si="0"/>
        <v>16.878525000000003</v>
      </c>
      <c r="G30" s="37">
        <v>29.687000000000001</v>
      </c>
      <c r="H30" s="37">
        <v>18.489000000000001</v>
      </c>
      <c r="I30" s="37">
        <v>14.308</v>
      </c>
      <c r="J30" s="37">
        <v>35.871000000000002</v>
      </c>
      <c r="K30" s="37">
        <f t="shared" si="1"/>
        <v>24.588750000000001</v>
      </c>
      <c r="L30" s="37">
        <v>18.481000000000002</v>
      </c>
      <c r="M30" s="37">
        <v>21.023</v>
      </c>
      <c r="N30" s="37">
        <v>17.88</v>
      </c>
      <c r="O30" s="37">
        <v>17.908000000000001</v>
      </c>
      <c r="P30" s="37">
        <v>20.238</v>
      </c>
      <c r="Q30" s="37">
        <v>28.889000000000003</v>
      </c>
      <c r="R30" s="37">
        <f t="shared" si="2"/>
        <v>20.736500000000003</v>
      </c>
      <c r="S30" s="37">
        <v>21.53</v>
      </c>
      <c r="T30" s="37">
        <v>22.068000000000001</v>
      </c>
      <c r="U30" s="37">
        <v>15.29</v>
      </c>
      <c r="V30" s="37">
        <v>12.66</v>
      </c>
      <c r="W30" s="37">
        <v>18.033000000000001</v>
      </c>
      <c r="X30" s="37">
        <v>10.638</v>
      </c>
      <c r="Y30" s="37">
        <f t="shared" si="3"/>
        <v>16.703166666666668</v>
      </c>
    </row>
    <row r="31" spans="1:25" x14ac:dyDescent="0.35">
      <c r="A31" s="37">
        <v>23.3</v>
      </c>
      <c r="B31" s="37">
        <v>25.079000000000001</v>
      </c>
      <c r="C31" s="37">
        <v>16.414000000000001</v>
      </c>
      <c r="D31" s="37">
        <v>6.7819000000000003</v>
      </c>
      <c r="E31" s="37">
        <v>7.0801999999999996</v>
      </c>
      <c r="F31" s="37">
        <f t="shared" si="0"/>
        <v>13.838775</v>
      </c>
      <c r="G31" s="37">
        <v>25.096</v>
      </c>
      <c r="H31" s="37">
        <v>16.013000000000002</v>
      </c>
      <c r="I31" s="37">
        <v>10.231999999999999</v>
      </c>
      <c r="J31" s="37">
        <v>30.053999999999998</v>
      </c>
      <c r="K31" s="37">
        <f t="shared" si="1"/>
        <v>20.348749999999999</v>
      </c>
      <c r="L31" s="37">
        <v>15.715</v>
      </c>
      <c r="M31" s="37">
        <v>17.641999999999999</v>
      </c>
      <c r="N31" s="37">
        <v>15.16</v>
      </c>
      <c r="O31" s="37">
        <v>15.016</v>
      </c>
      <c r="P31" s="37">
        <v>15.867000000000001</v>
      </c>
      <c r="Q31" s="37">
        <v>23.686</v>
      </c>
      <c r="R31" s="37">
        <f t="shared" si="2"/>
        <v>17.180999999999997</v>
      </c>
      <c r="S31" s="37">
        <v>18.074999999999999</v>
      </c>
      <c r="T31" s="37">
        <v>18.425999999999998</v>
      </c>
      <c r="U31" s="37">
        <v>13.298</v>
      </c>
      <c r="V31" s="37">
        <v>10.645</v>
      </c>
      <c r="W31" s="37">
        <v>15.272</v>
      </c>
      <c r="X31" s="37">
        <v>9.3709000000000007</v>
      </c>
      <c r="Y31" s="37">
        <f t="shared" si="3"/>
        <v>14.181150000000002</v>
      </c>
    </row>
    <row r="32" spans="1:25" x14ac:dyDescent="0.35">
      <c r="A32" s="37">
        <v>28.1</v>
      </c>
      <c r="B32" s="37">
        <v>21.356999999999999</v>
      </c>
      <c r="C32" s="37">
        <v>13.865</v>
      </c>
      <c r="D32" s="37">
        <v>5.7053000000000003</v>
      </c>
      <c r="E32" s="37">
        <v>4.9489999999999998</v>
      </c>
      <c r="F32" s="37">
        <f t="shared" si="0"/>
        <v>11.469075</v>
      </c>
      <c r="G32" s="37">
        <v>21.288</v>
      </c>
      <c r="H32" s="37">
        <v>14.286</v>
      </c>
      <c r="I32" s="37">
        <v>6.8841000000000001</v>
      </c>
      <c r="J32" s="37">
        <v>25.064</v>
      </c>
      <c r="K32" s="37">
        <f t="shared" si="1"/>
        <v>16.880524999999999</v>
      </c>
      <c r="L32" s="37">
        <v>13.365</v>
      </c>
      <c r="M32" s="37">
        <v>14.884</v>
      </c>
      <c r="N32" s="37">
        <v>12.81</v>
      </c>
      <c r="O32" s="37">
        <v>12.596</v>
      </c>
      <c r="P32" s="37">
        <v>8.8625000000000007</v>
      </c>
      <c r="Q32" s="37">
        <v>10.89</v>
      </c>
      <c r="R32" s="37">
        <f t="shared" si="2"/>
        <v>12.234583333333333</v>
      </c>
      <c r="S32" s="37">
        <v>15.151999999999999</v>
      </c>
      <c r="T32" s="37">
        <v>15.507999999999999</v>
      </c>
      <c r="U32" s="37">
        <v>11.231999999999999</v>
      </c>
      <c r="V32" s="37">
        <v>8.9097000000000008</v>
      </c>
      <c r="W32" s="37">
        <v>12.916</v>
      </c>
      <c r="X32" s="37">
        <v>7.8574999999999999</v>
      </c>
      <c r="Y32" s="37">
        <f t="shared" si="3"/>
        <v>11.9292</v>
      </c>
    </row>
    <row r="33" spans="1:25" x14ac:dyDescent="0.35">
      <c r="A33" s="37">
        <v>33.9</v>
      </c>
      <c r="B33" s="37">
        <v>18.224</v>
      </c>
      <c r="C33" s="37">
        <v>11.571</v>
      </c>
      <c r="D33" s="37">
        <v>4.7923</v>
      </c>
      <c r="E33" s="37">
        <v>4.3537999999999997</v>
      </c>
      <c r="F33" s="37">
        <f t="shared" si="0"/>
        <v>9.7352749999999997</v>
      </c>
      <c r="G33" s="37">
        <v>18.138999999999999</v>
      </c>
      <c r="H33" s="37">
        <v>11.878</v>
      </c>
      <c r="I33" s="37">
        <v>4.7279</v>
      </c>
      <c r="J33" s="37">
        <v>20.795999999999999</v>
      </c>
      <c r="K33" s="37">
        <f t="shared" si="1"/>
        <v>13.885225</v>
      </c>
      <c r="L33" s="37">
        <v>11.336</v>
      </c>
      <c r="M33" s="37">
        <v>12.48</v>
      </c>
      <c r="N33" s="37">
        <v>10.842000000000001</v>
      </c>
      <c r="O33" s="37">
        <v>10.599</v>
      </c>
      <c r="P33" s="37">
        <v>7.7751999999999999</v>
      </c>
      <c r="Q33" s="37">
        <v>9.3757000000000001</v>
      </c>
      <c r="R33" s="37">
        <f t="shared" si="2"/>
        <v>10.401316666666668</v>
      </c>
      <c r="S33" s="37">
        <v>12.912000000000001</v>
      </c>
      <c r="T33" s="37">
        <v>13.122999999999999</v>
      </c>
      <c r="U33" s="37">
        <v>9.2752999999999997</v>
      </c>
      <c r="V33" s="37">
        <v>7.4653</v>
      </c>
      <c r="W33" s="37">
        <v>10.875999999999999</v>
      </c>
      <c r="X33" s="37">
        <v>6.6760000000000002</v>
      </c>
      <c r="Y33" s="37">
        <f t="shared" si="3"/>
        <v>10.054599999999999</v>
      </c>
    </row>
    <row r="34" spans="1:25" x14ac:dyDescent="0.35">
      <c r="A34" s="37">
        <v>40.9</v>
      </c>
      <c r="B34" s="37">
        <v>14.968999999999999</v>
      </c>
      <c r="C34" s="37">
        <v>9.5946999999999996</v>
      </c>
      <c r="D34" s="37">
        <v>4.085</v>
      </c>
      <c r="E34" s="37">
        <v>3.0558999999999998</v>
      </c>
      <c r="F34" s="37">
        <f t="shared" si="0"/>
        <v>7.9261499999999998</v>
      </c>
      <c r="G34" s="37">
        <v>15.545999999999999</v>
      </c>
      <c r="H34" s="37">
        <v>10.644</v>
      </c>
      <c r="I34" s="37">
        <v>3.3811</v>
      </c>
      <c r="J34" s="37">
        <v>17.515999999999998</v>
      </c>
      <c r="K34" s="37">
        <f t="shared" si="1"/>
        <v>11.771774999999998</v>
      </c>
      <c r="L34" s="37">
        <v>9.5891999999999999</v>
      </c>
      <c r="M34" s="37">
        <v>10.452999999999999</v>
      </c>
      <c r="N34" s="37">
        <v>9.1445000000000007</v>
      </c>
      <c r="O34" s="37">
        <v>8.9167000000000005</v>
      </c>
      <c r="P34" s="37">
        <v>6.8217999999999996</v>
      </c>
      <c r="Q34" s="37">
        <v>8.0885999999999996</v>
      </c>
      <c r="R34" s="37">
        <f t="shared" si="2"/>
        <v>8.8356333333333339</v>
      </c>
      <c r="S34" s="37">
        <v>10.804</v>
      </c>
      <c r="T34" s="37">
        <v>10.742000000000001</v>
      </c>
      <c r="U34" s="37">
        <v>7.8819999999999997</v>
      </c>
      <c r="V34" s="37">
        <v>6.2394999999999996</v>
      </c>
      <c r="W34" s="37">
        <v>9.2004000000000001</v>
      </c>
      <c r="X34" s="37">
        <v>5.5697999999999999</v>
      </c>
      <c r="Y34" s="37">
        <f t="shared" si="3"/>
        <v>8.4062833333333327</v>
      </c>
    </row>
    <row r="35" spans="1:25" x14ac:dyDescent="0.35">
      <c r="A35" s="37">
        <v>49.4</v>
      </c>
      <c r="B35" s="37">
        <v>13.018000000000001</v>
      </c>
      <c r="C35" s="37">
        <v>8.0542999999999996</v>
      </c>
      <c r="D35" s="37">
        <v>3.4500999999999999</v>
      </c>
      <c r="E35" s="37">
        <v>2.3109999999999999</v>
      </c>
      <c r="F35" s="37">
        <f t="shared" si="0"/>
        <v>6.7083499999999994</v>
      </c>
      <c r="G35" s="37">
        <v>13.141</v>
      </c>
      <c r="H35" s="37">
        <v>9.1470000000000002</v>
      </c>
      <c r="I35" s="37">
        <v>2.4556</v>
      </c>
      <c r="J35" s="37">
        <v>14.670999999999999</v>
      </c>
      <c r="K35" s="37">
        <f t="shared" si="1"/>
        <v>9.85365</v>
      </c>
      <c r="L35" s="37">
        <v>8.1568000000000005</v>
      </c>
      <c r="M35" s="37">
        <v>8.7820999999999998</v>
      </c>
      <c r="N35" s="37">
        <v>7.7149999999999999</v>
      </c>
      <c r="O35" s="37">
        <v>7.4659000000000004</v>
      </c>
      <c r="P35" s="37">
        <v>5.9149000000000003</v>
      </c>
      <c r="Q35" s="37">
        <v>6.9718999999999998</v>
      </c>
      <c r="R35" s="37">
        <f t="shared" si="2"/>
        <v>7.5011000000000001</v>
      </c>
      <c r="S35" s="37">
        <v>8.9920000000000009</v>
      </c>
      <c r="T35" s="37">
        <v>8.952</v>
      </c>
      <c r="U35" s="37">
        <v>6.6197999999999997</v>
      </c>
      <c r="V35" s="37">
        <v>5.2279</v>
      </c>
      <c r="W35" s="37">
        <v>7.7382999999999997</v>
      </c>
      <c r="X35" s="37">
        <v>4.6862000000000004</v>
      </c>
      <c r="Y35" s="37">
        <f t="shared" si="3"/>
        <v>7.0360333333333331</v>
      </c>
    </row>
    <row r="36" spans="1:25" x14ac:dyDescent="0.35">
      <c r="A36" s="37">
        <v>59.6</v>
      </c>
      <c r="B36" s="37">
        <v>10.904999999999999</v>
      </c>
      <c r="C36" s="37">
        <v>6.7542999999999997</v>
      </c>
      <c r="D36" s="37">
        <v>2.9096000000000002</v>
      </c>
      <c r="E36" s="37">
        <v>1.5972999999999999</v>
      </c>
      <c r="F36" s="37">
        <f t="shared" si="0"/>
        <v>5.54155</v>
      </c>
      <c r="G36" s="37">
        <v>11.318</v>
      </c>
      <c r="H36" s="37">
        <v>7.8232999999999997</v>
      </c>
      <c r="I36" s="37">
        <v>1.8916999999999999</v>
      </c>
      <c r="J36" s="37">
        <v>12.102</v>
      </c>
      <c r="K36" s="37">
        <f t="shared" si="1"/>
        <v>8.2837500000000013</v>
      </c>
      <c r="L36" s="37">
        <v>6.8308</v>
      </c>
      <c r="M36" s="37">
        <v>7.3703000000000003</v>
      </c>
      <c r="N36" s="37">
        <v>6.5008999999999997</v>
      </c>
      <c r="O36" s="37">
        <v>6.2670000000000003</v>
      </c>
      <c r="P36" s="37">
        <v>5.1135999999999999</v>
      </c>
      <c r="Q36" s="37">
        <v>6.0091000000000001</v>
      </c>
      <c r="R36" s="37">
        <f t="shared" si="2"/>
        <v>6.3486166666666675</v>
      </c>
      <c r="S36" s="37">
        <v>7.5151000000000003</v>
      </c>
      <c r="T36" s="37">
        <v>7.5521000000000003</v>
      </c>
      <c r="U36" s="37">
        <v>5.5500999999999996</v>
      </c>
      <c r="V36" s="37">
        <v>4.3715000000000002</v>
      </c>
      <c r="W36" s="37">
        <v>6.5148000000000001</v>
      </c>
      <c r="X36" s="37">
        <v>3.9274</v>
      </c>
      <c r="Y36" s="37">
        <f t="shared" si="3"/>
        <v>5.9051666666666671</v>
      </c>
    </row>
    <row r="37" spans="1:25" x14ac:dyDescent="0.35">
      <c r="A37" s="37">
        <v>72</v>
      </c>
      <c r="B37" s="37">
        <v>9.0273000000000003</v>
      </c>
      <c r="C37" s="37">
        <v>5.6661999999999999</v>
      </c>
      <c r="D37" s="37">
        <v>2.4468999999999999</v>
      </c>
      <c r="E37" s="37">
        <v>1.4575</v>
      </c>
      <c r="F37" s="37">
        <f t="shared" si="0"/>
        <v>4.6494749999999998</v>
      </c>
      <c r="G37" s="37">
        <v>9.6140000000000008</v>
      </c>
      <c r="H37" s="37">
        <v>6.6181000000000001</v>
      </c>
      <c r="I37" s="37">
        <v>1.3241000000000001</v>
      </c>
      <c r="J37" s="37">
        <v>10.105</v>
      </c>
      <c r="K37" s="37">
        <f t="shared" si="1"/>
        <v>6.9153000000000011</v>
      </c>
      <c r="L37" s="37">
        <v>5.7371999999999996</v>
      </c>
      <c r="M37" s="37">
        <v>6.1984000000000004</v>
      </c>
      <c r="N37" s="37">
        <v>5.4724000000000004</v>
      </c>
      <c r="O37" s="37">
        <v>5.2821999999999996</v>
      </c>
      <c r="P37" s="37">
        <v>4.4752000000000001</v>
      </c>
      <c r="Q37" s="37">
        <v>5.1844999999999999</v>
      </c>
      <c r="R37" s="37">
        <f t="shared" si="2"/>
        <v>5.3916500000000012</v>
      </c>
      <c r="S37" s="37">
        <v>6.3175999999999997</v>
      </c>
      <c r="T37" s="37">
        <v>6.4573999999999998</v>
      </c>
      <c r="U37" s="37">
        <v>4.6429</v>
      </c>
      <c r="V37" s="37">
        <v>3.6467000000000001</v>
      </c>
      <c r="W37" s="37">
        <v>5.4978999999999996</v>
      </c>
      <c r="X37" s="37">
        <v>3.2774999999999999</v>
      </c>
      <c r="Y37" s="37">
        <f t="shared" si="3"/>
        <v>4.9733333333333336</v>
      </c>
    </row>
    <row r="38" spans="1:25" x14ac:dyDescent="0.35">
      <c r="A38" s="37">
        <v>86.9</v>
      </c>
      <c r="B38" s="37">
        <v>7.9459</v>
      </c>
      <c r="C38" s="37">
        <v>4.7979000000000003</v>
      </c>
      <c r="D38" s="37">
        <v>2.0697000000000001</v>
      </c>
      <c r="E38" s="37">
        <v>0.93139000000000005</v>
      </c>
      <c r="F38" s="37">
        <f t="shared" si="0"/>
        <v>3.9362225000000004</v>
      </c>
      <c r="G38" s="37">
        <v>8.1851000000000003</v>
      </c>
      <c r="H38" s="37">
        <v>5.5903</v>
      </c>
      <c r="I38" s="37">
        <v>0.93127000000000004</v>
      </c>
      <c r="J38" s="37">
        <v>8.5241000000000007</v>
      </c>
      <c r="K38" s="37">
        <f t="shared" si="1"/>
        <v>5.8076924999999999</v>
      </c>
      <c r="L38" s="37">
        <v>4.8249000000000004</v>
      </c>
      <c r="M38" s="37">
        <v>5.1947000000000001</v>
      </c>
      <c r="N38" s="37">
        <v>4.6128</v>
      </c>
      <c r="O38" s="37">
        <v>4.4476000000000004</v>
      </c>
      <c r="P38" s="37">
        <v>3.8786999999999998</v>
      </c>
      <c r="Q38" s="37">
        <v>4.4718</v>
      </c>
      <c r="R38" s="37">
        <f t="shared" si="2"/>
        <v>4.5717500000000006</v>
      </c>
      <c r="S38" s="37">
        <v>5.2733999999999996</v>
      </c>
      <c r="T38" s="37">
        <v>5.2522000000000002</v>
      </c>
      <c r="U38" s="37">
        <v>3.8662000000000001</v>
      </c>
      <c r="V38" s="37">
        <v>3.0434000000000001</v>
      </c>
      <c r="W38" s="37">
        <v>4.6205999999999996</v>
      </c>
      <c r="X38" s="37">
        <v>2.7530000000000001</v>
      </c>
      <c r="Y38" s="37">
        <f t="shared" si="3"/>
        <v>4.1348000000000003</v>
      </c>
    </row>
    <row r="39" spans="1:25" x14ac:dyDescent="0.35">
      <c r="A39" s="37">
        <v>105</v>
      </c>
      <c r="B39" s="37">
        <v>7.1622000000000003</v>
      </c>
      <c r="C39" s="37">
        <v>4.0460000000000003</v>
      </c>
      <c r="D39" s="37">
        <v>1.7477</v>
      </c>
      <c r="E39" s="37">
        <v>0.77825</v>
      </c>
      <c r="F39" s="37">
        <f t="shared" si="0"/>
        <v>3.4335375000000004</v>
      </c>
      <c r="G39" s="37">
        <v>6.9711999999999996</v>
      </c>
      <c r="H39" s="37">
        <v>4.3891</v>
      </c>
      <c r="I39" s="37">
        <v>0.77847</v>
      </c>
      <c r="J39" s="37">
        <v>6.9273999999999996</v>
      </c>
      <c r="K39" s="37">
        <f t="shared" si="1"/>
        <v>4.7665424999999999</v>
      </c>
      <c r="L39" s="37">
        <v>4.0651999999999999</v>
      </c>
      <c r="M39" s="37">
        <v>4.3586</v>
      </c>
      <c r="N39" s="37">
        <v>3.8860999999999999</v>
      </c>
      <c r="O39" s="37">
        <v>3.7366000000000001</v>
      </c>
      <c r="P39" s="37">
        <v>3.3557999999999999</v>
      </c>
      <c r="Q39" s="37">
        <v>3.8586</v>
      </c>
      <c r="R39" s="37">
        <f t="shared" si="2"/>
        <v>3.8768166666666661</v>
      </c>
      <c r="S39" s="37">
        <v>4.3680000000000003</v>
      </c>
      <c r="T39" s="37">
        <v>4.3022999999999998</v>
      </c>
      <c r="U39" s="37">
        <v>3.0082</v>
      </c>
      <c r="V39" s="37">
        <v>2.5411000000000001</v>
      </c>
      <c r="W39" s="37">
        <v>3.8856000000000002</v>
      </c>
      <c r="X39" s="37">
        <v>2.3069999999999999</v>
      </c>
      <c r="Y39" s="37">
        <f t="shared" si="3"/>
        <v>3.4020333333333337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872B-0977-4F7B-A04A-2CC477E94AC1}">
  <dimension ref="A1:M17"/>
  <sheetViews>
    <sheetView topLeftCell="H1" workbookViewId="0">
      <selection activeCell="J5" sqref="J5"/>
    </sheetView>
  </sheetViews>
  <sheetFormatPr defaultRowHeight="14.5" x14ac:dyDescent="0.35"/>
  <cols>
    <col min="9" max="9" width="9.6328125" bestFit="1" customWidth="1"/>
    <col min="10" max="10" width="5.6328125" bestFit="1" customWidth="1"/>
    <col min="11" max="11" width="4.26953125" bestFit="1" customWidth="1"/>
    <col min="12" max="12" width="5.81640625" bestFit="1" customWidth="1"/>
    <col min="13" max="13" width="15.26953125" bestFit="1" customWidth="1"/>
    <col min="14" max="14" width="14.453125" bestFit="1" customWidth="1"/>
  </cols>
  <sheetData>
    <row r="1" spans="1:13" s="1" customFormat="1" x14ac:dyDescent="0.35">
      <c r="A1" s="1" t="s">
        <v>45</v>
      </c>
      <c r="B1" s="1" t="s">
        <v>145</v>
      </c>
      <c r="C1" s="1" t="s">
        <v>146</v>
      </c>
      <c r="D1" s="1" t="s">
        <v>147</v>
      </c>
      <c r="E1" s="1" t="s">
        <v>148</v>
      </c>
      <c r="F1" s="1" t="s">
        <v>149</v>
      </c>
      <c r="M1"/>
    </row>
    <row r="2" spans="1:13" x14ac:dyDescent="0.35">
      <c r="A2" t="s">
        <v>106</v>
      </c>
      <c r="B2">
        <v>5.4512999999999998</v>
      </c>
      <c r="C2">
        <v>6.3162000000000003</v>
      </c>
      <c r="D2">
        <f>C2-B2</f>
        <v>0.86490000000000045</v>
      </c>
      <c r="E2">
        <v>0.52400000000000002</v>
      </c>
      <c r="F2">
        <f>D2/E2</f>
        <v>1.6505725190839702</v>
      </c>
    </row>
    <row r="3" spans="1:13" x14ac:dyDescent="0.35">
      <c r="A3" t="s">
        <v>109</v>
      </c>
      <c r="B3">
        <v>5.4783999999999997</v>
      </c>
      <c r="C3">
        <v>6.4566999999999997</v>
      </c>
      <c r="D3">
        <f>C3-B3</f>
        <v>0.97829999999999995</v>
      </c>
      <c r="E3">
        <v>0.5736</v>
      </c>
      <c r="F3">
        <f t="shared" ref="F3:F17" si="0">D3/E3</f>
        <v>1.7055439330543931</v>
      </c>
    </row>
    <row r="4" spans="1:13" x14ac:dyDescent="0.35">
      <c r="A4" t="s">
        <v>112</v>
      </c>
      <c r="B4">
        <v>4.5026000000000002</v>
      </c>
      <c r="C4">
        <v>5.3647</v>
      </c>
      <c r="D4">
        <f t="shared" ref="D4:D17" si="1">C4-B4</f>
        <v>0.86209999999999987</v>
      </c>
      <c r="E4">
        <v>0.50409999999999999</v>
      </c>
      <c r="F4">
        <f t="shared" si="0"/>
        <v>1.7101765522713746</v>
      </c>
      <c r="I4" s="48" t="s">
        <v>149</v>
      </c>
      <c r="J4" s="1" t="s">
        <v>6</v>
      </c>
      <c r="K4" s="1" t="s">
        <v>7</v>
      </c>
      <c r="L4" s="34" t="s">
        <v>57</v>
      </c>
    </row>
    <row r="5" spans="1:13" x14ac:dyDescent="0.35">
      <c r="A5" t="s">
        <v>113</v>
      </c>
      <c r="B5">
        <v>4.492</v>
      </c>
      <c r="C5">
        <v>5.3914999999999997</v>
      </c>
      <c r="D5">
        <f t="shared" si="1"/>
        <v>0.89949999999999974</v>
      </c>
      <c r="E5">
        <v>0.51819999999999999</v>
      </c>
      <c r="F5">
        <f t="shared" si="0"/>
        <v>1.7358162871478189</v>
      </c>
      <c r="I5" t="s">
        <v>99</v>
      </c>
      <c r="J5" s="65">
        <f>AVERAGE(F2:F5)</f>
        <v>1.7005273228893893</v>
      </c>
      <c r="K5" s="37">
        <f>STDEV(F2:F5)</f>
        <v>3.5865802778712132E-2</v>
      </c>
      <c r="L5" s="49" t="s">
        <v>12</v>
      </c>
    </row>
    <row r="6" spans="1:13" x14ac:dyDescent="0.35">
      <c r="A6" t="s">
        <v>124</v>
      </c>
      <c r="B6">
        <v>4.5231000000000003</v>
      </c>
      <c r="C6">
        <v>5.4424000000000001</v>
      </c>
      <c r="D6">
        <f t="shared" si="1"/>
        <v>0.91929999999999978</v>
      </c>
      <c r="E6">
        <v>0.50229999999999997</v>
      </c>
      <c r="F6">
        <f t="shared" si="0"/>
        <v>1.8301811666334857</v>
      </c>
      <c r="I6" t="s">
        <v>267</v>
      </c>
      <c r="J6" s="104">
        <f>AVERAGE(F6:F9)</f>
        <v>1.8421112150409367</v>
      </c>
      <c r="K6" s="37">
        <f>STDEV(F6:F9)</f>
        <v>0.10830036612250549</v>
      </c>
      <c r="L6" s="49" t="s">
        <v>59</v>
      </c>
    </row>
    <row r="7" spans="1:13" x14ac:dyDescent="0.35">
      <c r="A7" t="s">
        <v>125</v>
      </c>
      <c r="B7">
        <v>4.5442</v>
      </c>
      <c r="C7">
        <v>5.4619999999999997</v>
      </c>
      <c r="D7">
        <f t="shared" si="1"/>
        <v>0.91779999999999973</v>
      </c>
      <c r="E7">
        <v>0.54200000000000004</v>
      </c>
      <c r="F7">
        <f t="shared" si="0"/>
        <v>1.6933579335793352</v>
      </c>
      <c r="I7" t="s">
        <v>268</v>
      </c>
      <c r="J7" s="65">
        <f>AVERAGE(F10:F13)</f>
        <v>1.715667871066638</v>
      </c>
      <c r="K7" s="37">
        <f>STDEV(F10:F13)</f>
        <v>4.1317137765118958E-2</v>
      </c>
      <c r="L7" s="49" t="s">
        <v>12</v>
      </c>
    </row>
    <row r="8" spans="1:13" x14ac:dyDescent="0.35">
      <c r="A8" t="s">
        <v>126</v>
      </c>
      <c r="B8">
        <v>4.5110000000000001</v>
      </c>
      <c r="C8">
        <v>5.4832000000000001</v>
      </c>
      <c r="D8">
        <f t="shared" si="1"/>
        <v>0.97219999999999995</v>
      </c>
      <c r="E8">
        <v>0.50519999999999998</v>
      </c>
      <c r="F8">
        <f t="shared" si="0"/>
        <v>1.9243863816310371</v>
      </c>
      <c r="I8" t="s">
        <v>269</v>
      </c>
      <c r="J8" s="65">
        <f>AVERAGE(F14:F17)</f>
        <v>1.8446896434838651</v>
      </c>
      <c r="K8" s="37">
        <f>STDEV(F14:F17)</f>
        <v>7.50981373125299E-2</v>
      </c>
      <c r="L8" s="49" t="s">
        <v>59</v>
      </c>
    </row>
    <row r="9" spans="1:13" x14ac:dyDescent="0.35">
      <c r="A9" t="s">
        <v>127</v>
      </c>
      <c r="B9">
        <v>4.5265000000000004</v>
      </c>
      <c r="C9">
        <v>5.5026999999999999</v>
      </c>
      <c r="D9">
        <f t="shared" si="1"/>
        <v>0.97619999999999951</v>
      </c>
      <c r="E9">
        <v>0.50829999999999997</v>
      </c>
      <c r="F9">
        <f t="shared" si="0"/>
        <v>1.9205193783198891</v>
      </c>
    </row>
    <row r="10" spans="1:13" x14ac:dyDescent="0.35">
      <c r="A10" t="s">
        <v>128</v>
      </c>
      <c r="B10">
        <v>5.4707999999999997</v>
      </c>
      <c r="C10">
        <v>6.4612999999999996</v>
      </c>
      <c r="D10">
        <f t="shared" si="1"/>
        <v>0.99049999999999994</v>
      </c>
      <c r="E10">
        <v>0.5706</v>
      </c>
      <c r="F10">
        <f t="shared" si="0"/>
        <v>1.7358920434630212</v>
      </c>
    </row>
    <row r="11" spans="1:13" x14ac:dyDescent="0.35">
      <c r="A11" t="s">
        <v>129</v>
      </c>
      <c r="B11">
        <v>5.4528999999999996</v>
      </c>
      <c r="C11">
        <v>6.4378000000000002</v>
      </c>
      <c r="D11">
        <f t="shared" si="1"/>
        <v>0.98490000000000055</v>
      </c>
      <c r="E11">
        <v>0.55879999999999996</v>
      </c>
      <c r="F11">
        <f t="shared" si="0"/>
        <v>1.7625268432355057</v>
      </c>
    </row>
    <row r="12" spans="1:13" x14ac:dyDescent="0.35">
      <c r="A12" t="s">
        <v>130</v>
      </c>
      <c r="B12">
        <v>4.5035999999999996</v>
      </c>
      <c r="C12">
        <v>5.3708</v>
      </c>
      <c r="D12">
        <f t="shared" si="1"/>
        <v>0.86720000000000041</v>
      </c>
      <c r="E12">
        <v>0.51910000000000001</v>
      </c>
      <c r="F12">
        <f t="shared" si="0"/>
        <v>1.6705837025621275</v>
      </c>
    </row>
    <row r="13" spans="1:13" x14ac:dyDescent="0.35">
      <c r="A13" t="s">
        <v>131</v>
      </c>
      <c r="B13">
        <v>4.4640000000000004</v>
      </c>
      <c r="C13">
        <v>5.3254000000000001</v>
      </c>
      <c r="D13">
        <f t="shared" si="1"/>
        <v>0.86139999999999972</v>
      </c>
      <c r="E13">
        <v>0.50860000000000005</v>
      </c>
      <c r="F13">
        <f t="shared" si="0"/>
        <v>1.6936688950058978</v>
      </c>
    </row>
    <row r="14" spans="1:13" x14ac:dyDescent="0.35">
      <c r="A14" t="s">
        <v>132</v>
      </c>
      <c r="B14">
        <v>5.4447999999999999</v>
      </c>
      <c r="C14">
        <v>6.5357000000000003</v>
      </c>
      <c r="D14">
        <f t="shared" si="1"/>
        <v>1.0909000000000004</v>
      </c>
      <c r="E14">
        <v>0.56999999999999995</v>
      </c>
      <c r="F14">
        <f t="shared" si="0"/>
        <v>1.9138596491228079</v>
      </c>
    </row>
    <row r="15" spans="1:13" x14ac:dyDescent="0.35">
      <c r="A15" t="s">
        <v>133</v>
      </c>
      <c r="B15">
        <v>5.4955999999999996</v>
      </c>
      <c r="C15">
        <v>6.5011000000000001</v>
      </c>
      <c r="D15">
        <f t="shared" si="1"/>
        <v>1.0055000000000005</v>
      </c>
      <c r="E15">
        <v>0.52769999999999995</v>
      </c>
      <c r="F15">
        <f t="shared" si="0"/>
        <v>1.9054386962289191</v>
      </c>
    </row>
    <row r="16" spans="1:13" x14ac:dyDescent="0.35">
      <c r="A16" t="s">
        <v>134</v>
      </c>
      <c r="B16">
        <v>4.4791999999999996</v>
      </c>
      <c r="C16">
        <v>5.4002999999999997</v>
      </c>
      <c r="D16">
        <f t="shared" si="1"/>
        <v>0.92110000000000003</v>
      </c>
      <c r="E16">
        <v>0.51800000000000002</v>
      </c>
      <c r="F16">
        <f t="shared" si="0"/>
        <v>1.7781853281853282</v>
      </c>
    </row>
    <row r="17" spans="1:6" x14ac:dyDescent="0.35">
      <c r="A17" t="s">
        <v>135</v>
      </c>
      <c r="B17">
        <v>4.5101000000000004</v>
      </c>
      <c r="C17">
        <v>5.4043000000000001</v>
      </c>
      <c r="D17">
        <f t="shared" si="1"/>
        <v>0.89419999999999966</v>
      </c>
      <c r="E17">
        <v>0.502</v>
      </c>
      <c r="F17">
        <f t="shared" si="0"/>
        <v>1.7812749003984056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AE6AD-3F92-42C3-8055-461838E35100}">
  <dimension ref="A1:M17"/>
  <sheetViews>
    <sheetView topLeftCell="C1" workbookViewId="0">
      <selection activeCell="I8" sqref="I8"/>
    </sheetView>
  </sheetViews>
  <sheetFormatPr defaultRowHeight="14.5" x14ac:dyDescent="0.35"/>
  <cols>
    <col min="6" max="6" width="6.26953125" bestFit="1" customWidth="1"/>
    <col min="7" max="7" width="6.90625" bestFit="1" customWidth="1"/>
    <col min="8" max="8" width="9.6328125" bestFit="1" customWidth="1"/>
    <col min="9" max="9" width="5.6328125" bestFit="1" customWidth="1"/>
    <col min="10" max="10" width="4.26953125" bestFit="1" customWidth="1"/>
    <col min="11" max="11" width="5.81640625" bestFit="1" customWidth="1"/>
    <col min="12" max="13" width="11.81640625" bestFit="1" customWidth="1"/>
  </cols>
  <sheetData>
    <row r="1" spans="1:13" x14ac:dyDescent="0.35">
      <c r="B1" t="s">
        <v>150</v>
      </c>
      <c r="C1" t="s">
        <v>151</v>
      </c>
      <c r="D1" t="s">
        <v>152</v>
      </c>
      <c r="H1" s="34"/>
      <c r="I1" s="34"/>
      <c r="J1" s="34"/>
      <c r="K1" s="34"/>
      <c r="L1" s="34"/>
      <c r="M1" s="34"/>
    </row>
    <row r="2" spans="1:13" x14ac:dyDescent="0.35">
      <c r="A2" t="s">
        <v>106</v>
      </c>
      <c r="B2">
        <v>5.5</v>
      </c>
      <c r="C2">
        <v>4.7801</v>
      </c>
      <c r="D2">
        <f>C2/B2</f>
        <v>0.86910909090909094</v>
      </c>
    </row>
    <row r="3" spans="1:13" x14ac:dyDescent="0.35">
      <c r="A3" t="s">
        <v>109</v>
      </c>
      <c r="B3">
        <v>5.5</v>
      </c>
      <c r="C3">
        <v>4.8807999999999998</v>
      </c>
      <c r="D3">
        <f t="shared" ref="D3:D17" si="0">C3/B3</f>
        <v>0.88741818181818177</v>
      </c>
    </row>
    <row r="4" spans="1:13" x14ac:dyDescent="0.35">
      <c r="A4" t="s">
        <v>112</v>
      </c>
      <c r="B4">
        <v>6</v>
      </c>
      <c r="C4">
        <v>4.9375999999999998</v>
      </c>
      <c r="D4">
        <f t="shared" si="0"/>
        <v>0.82293333333333329</v>
      </c>
      <c r="F4" s="34" t="s">
        <v>88</v>
      </c>
      <c r="G4" s="34" t="s">
        <v>45</v>
      </c>
      <c r="I4" s="1" t="s">
        <v>6</v>
      </c>
      <c r="J4" s="1" t="s">
        <v>7</v>
      </c>
      <c r="K4" s="34" t="s">
        <v>57</v>
      </c>
    </row>
    <row r="5" spans="1:13" x14ac:dyDescent="0.35">
      <c r="A5" t="s">
        <v>113</v>
      </c>
      <c r="B5">
        <v>5.5</v>
      </c>
      <c r="C5">
        <v>4.7020999999999997</v>
      </c>
      <c r="D5">
        <f t="shared" si="0"/>
        <v>0.85492727272727265</v>
      </c>
      <c r="F5" t="s">
        <v>99</v>
      </c>
      <c r="G5" t="s">
        <v>100</v>
      </c>
      <c r="H5" t="s">
        <v>99</v>
      </c>
      <c r="I5" s="65">
        <f>AVERAGE(D2:D5)</f>
        <v>0.85859696969696975</v>
      </c>
      <c r="J5" s="37">
        <f>STDEV(D2:D5)</f>
        <v>2.72429109741802E-2</v>
      </c>
      <c r="K5" s="49" t="s">
        <v>10</v>
      </c>
    </row>
    <row r="6" spans="1:13" x14ac:dyDescent="0.35">
      <c r="A6" t="s">
        <v>124</v>
      </c>
      <c r="B6">
        <v>6</v>
      </c>
      <c r="C6">
        <v>4.2205000000000004</v>
      </c>
      <c r="D6">
        <f t="shared" si="0"/>
        <v>0.70341666666666669</v>
      </c>
      <c r="F6" t="s">
        <v>267</v>
      </c>
      <c r="G6" t="s">
        <v>104</v>
      </c>
      <c r="H6" t="s">
        <v>103</v>
      </c>
      <c r="I6" s="65">
        <f>AVERAGE(D6:D9)</f>
        <v>0.70766993207941487</v>
      </c>
      <c r="J6" s="37">
        <f>STDEV(D6:D9)</f>
        <v>1.8969340703477094E-2</v>
      </c>
      <c r="K6" s="49" t="s">
        <v>12</v>
      </c>
    </row>
    <row r="7" spans="1:13" x14ac:dyDescent="0.35">
      <c r="A7" t="s">
        <v>125</v>
      </c>
      <c r="B7">
        <v>6</v>
      </c>
      <c r="C7">
        <v>4.2205000000000004</v>
      </c>
      <c r="D7">
        <f t="shared" si="0"/>
        <v>0.70341666666666669</v>
      </c>
      <c r="F7" t="s">
        <v>268</v>
      </c>
      <c r="G7" t="s">
        <v>108</v>
      </c>
      <c r="H7" t="s">
        <v>265</v>
      </c>
      <c r="I7" s="65">
        <f>AVERAGE(D10:D13)</f>
        <v>0.73965910537738122</v>
      </c>
      <c r="J7" s="37">
        <f>STDEV(D10:D13)</f>
        <v>6.3831167901314018E-2</v>
      </c>
      <c r="K7" s="49" t="s">
        <v>12</v>
      </c>
    </row>
    <row r="8" spans="1:13" x14ac:dyDescent="0.35">
      <c r="A8" t="s">
        <v>126</v>
      </c>
      <c r="B8">
        <v>5.8</v>
      </c>
      <c r="C8">
        <v>3.9990000000000001</v>
      </c>
      <c r="D8">
        <f t="shared" si="0"/>
        <v>0.68948275862068975</v>
      </c>
      <c r="F8" t="s">
        <v>269</v>
      </c>
      <c r="G8" t="s">
        <v>111</v>
      </c>
      <c r="H8" t="s">
        <v>266</v>
      </c>
      <c r="I8" s="65">
        <f>AVERAGE(D14:D17)</f>
        <v>0.70970454545454542</v>
      </c>
      <c r="J8" s="37">
        <f>STDEV(D14:D17)</f>
        <v>3.0550815853448078E-2</v>
      </c>
      <c r="K8" s="49" t="s">
        <v>12</v>
      </c>
    </row>
    <row r="9" spans="1:13" x14ac:dyDescent="0.35">
      <c r="A9" t="s">
        <v>127</v>
      </c>
      <c r="B9">
        <v>5.5</v>
      </c>
      <c r="C9">
        <v>4.0389999999999997</v>
      </c>
      <c r="D9">
        <f t="shared" si="0"/>
        <v>0.73436363636363633</v>
      </c>
    </row>
    <row r="10" spans="1:13" x14ac:dyDescent="0.35">
      <c r="A10" t="s">
        <v>128</v>
      </c>
      <c r="B10">
        <v>6.5</v>
      </c>
      <c r="C10">
        <v>4.2657999999999996</v>
      </c>
      <c r="D10">
        <f t="shared" si="0"/>
        <v>0.65627692307692298</v>
      </c>
    </row>
    <row r="11" spans="1:13" x14ac:dyDescent="0.35">
      <c r="A11" t="s">
        <v>129</v>
      </c>
      <c r="B11">
        <v>5.5</v>
      </c>
      <c r="C11">
        <v>4.0961999999999996</v>
      </c>
      <c r="D11">
        <f t="shared" si="0"/>
        <v>0.74476363636363629</v>
      </c>
    </row>
    <row r="12" spans="1:13" x14ac:dyDescent="0.35">
      <c r="A12" t="s">
        <v>130</v>
      </c>
      <c r="B12">
        <v>5.8</v>
      </c>
      <c r="C12">
        <v>4.3254999999999999</v>
      </c>
      <c r="D12">
        <f t="shared" si="0"/>
        <v>0.74577586206896551</v>
      </c>
    </row>
    <row r="13" spans="1:13" x14ac:dyDescent="0.35">
      <c r="A13" t="s">
        <v>131</v>
      </c>
      <c r="B13">
        <v>5</v>
      </c>
      <c r="C13">
        <v>4.0590999999999999</v>
      </c>
      <c r="D13">
        <f t="shared" si="0"/>
        <v>0.81181999999999999</v>
      </c>
    </row>
    <row r="14" spans="1:13" x14ac:dyDescent="0.35">
      <c r="A14" t="s">
        <v>132</v>
      </c>
      <c r="B14">
        <v>5</v>
      </c>
      <c r="C14">
        <v>3.6040999999999999</v>
      </c>
      <c r="D14">
        <f t="shared" si="0"/>
        <v>0.72082000000000002</v>
      </c>
    </row>
    <row r="15" spans="1:13" x14ac:dyDescent="0.35">
      <c r="A15" t="s">
        <v>133</v>
      </c>
      <c r="B15">
        <v>5</v>
      </c>
      <c r="C15">
        <v>3.3369</v>
      </c>
      <c r="D15">
        <f t="shared" si="0"/>
        <v>0.66737999999999997</v>
      </c>
    </row>
    <row r="16" spans="1:13" x14ac:dyDescent="0.35">
      <c r="A16" t="s">
        <v>134</v>
      </c>
      <c r="B16">
        <v>5.5</v>
      </c>
      <c r="C16">
        <v>3.9116</v>
      </c>
      <c r="D16">
        <f t="shared" si="0"/>
        <v>0.71119999999999994</v>
      </c>
    </row>
    <row r="17" spans="1:4" x14ac:dyDescent="0.35">
      <c r="A17" t="s">
        <v>135</v>
      </c>
      <c r="B17">
        <v>5.5</v>
      </c>
      <c r="C17">
        <v>4.0667999999999997</v>
      </c>
      <c r="D17">
        <f t="shared" si="0"/>
        <v>0.73941818181818175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C17B-AA27-4E87-A48B-FFDACE99D5D1}">
  <dimension ref="A1:Q19"/>
  <sheetViews>
    <sheetView topLeftCell="G1" zoomScale="85" workbookViewId="0">
      <selection activeCell="L3" sqref="L3:L6"/>
    </sheetView>
  </sheetViews>
  <sheetFormatPr defaultRowHeight="14.5" x14ac:dyDescent="0.35"/>
  <cols>
    <col min="1" max="1" width="6" style="35" bestFit="1" customWidth="1"/>
    <col min="2" max="2" width="8.7265625" style="4" bestFit="1"/>
    <col min="3" max="3" width="7.453125" bestFit="1" customWidth="1"/>
    <col min="4" max="4" width="15.54296875" bestFit="1" customWidth="1"/>
    <col min="5" max="5" width="16.453125" bestFit="1" customWidth="1"/>
    <col min="6" max="6" width="15.81640625" bestFit="1" customWidth="1"/>
    <col min="7" max="7" width="15.81640625" customWidth="1"/>
    <col min="8" max="8" width="7.08984375" bestFit="1" customWidth="1"/>
    <col min="9" max="9" width="3.08984375" bestFit="1" customWidth="1"/>
    <col min="10" max="11" width="3.08984375" customWidth="1"/>
    <col min="12" max="12" width="7.1796875" bestFit="1" customWidth="1"/>
    <col min="13" max="13" width="6.90625" bestFit="1" customWidth="1"/>
    <col min="14" max="14" width="5.6328125" bestFit="1" customWidth="1"/>
    <col min="15" max="15" width="4.7265625" bestFit="1" customWidth="1"/>
    <col min="16" max="16" width="5.81640625" bestFit="1" customWidth="1"/>
  </cols>
  <sheetData>
    <row r="1" spans="1:17" x14ac:dyDescent="0.35">
      <c r="A1" s="34" t="s">
        <v>153</v>
      </c>
      <c r="B1" s="50" t="s">
        <v>88</v>
      </c>
      <c r="C1" s="34" t="s">
        <v>45</v>
      </c>
      <c r="D1" s="34" t="s">
        <v>54</v>
      </c>
      <c r="E1" s="34" t="s">
        <v>55</v>
      </c>
      <c r="F1" s="34" t="s">
        <v>56</v>
      </c>
      <c r="G1" s="34" t="s">
        <v>154</v>
      </c>
      <c r="H1" s="34" t="s">
        <v>155</v>
      </c>
    </row>
    <row r="2" spans="1:17" ht="15.5" x14ac:dyDescent="0.35">
      <c r="A2" s="51">
        <v>1</v>
      </c>
      <c r="B2" s="52" t="s">
        <v>156</v>
      </c>
      <c r="C2" s="53" t="s">
        <v>100</v>
      </c>
      <c r="D2" t="s">
        <v>23</v>
      </c>
      <c r="E2" t="s">
        <v>25</v>
      </c>
      <c r="F2" t="s">
        <v>17</v>
      </c>
      <c r="G2" s="53" t="s">
        <v>157</v>
      </c>
      <c r="H2" s="54">
        <v>6.3730000000000002</v>
      </c>
      <c r="L2" s="34" t="s">
        <v>88</v>
      </c>
      <c r="M2" s="34" t="s">
        <v>45</v>
      </c>
      <c r="N2" s="34" t="s">
        <v>6</v>
      </c>
      <c r="O2" s="34" t="s">
        <v>7</v>
      </c>
      <c r="P2" s="34" t="s">
        <v>57</v>
      </c>
    </row>
    <row r="3" spans="1:17" ht="15.5" x14ac:dyDescent="0.35">
      <c r="A3" s="51">
        <v>1</v>
      </c>
      <c r="B3" s="52" t="s">
        <v>156</v>
      </c>
      <c r="C3" s="53" t="s">
        <v>100</v>
      </c>
      <c r="D3" t="s">
        <v>23</v>
      </c>
      <c r="E3" t="s">
        <v>25</v>
      </c>
      <c r="F3" t="s">
        <v>17</v>
      </c>
      <c r="G3" s="53" t="s">
        <v>157</v>
      </c>
      <c r="H3" s="54">
        <v>6.3550000000000004</v>
      </c>
      <c r="L3" t="s">
        <v>99</v>
      </c>
      <c r="M3" s="35" t="s">
        <v>100</v>
      </c>
      <c r="N3" s="65">
        <f>AVERAGE(H2:H7)</f>
        <v>6.3323333333333336</v>
      </c>
      <c r="O3" s="37">
        <f>STDEV(H2:H7)</f>
        <v>3.1620668346299681E-2</v>
      </c>
      <c r="P3" s="49" t="s">
        <v>10</v>
      </c>
      <c r="Q3" s="37"/>
    </row>
    <row r="4" spans="1:17" ht="15.5" x14ac:dyDescent="0.35">
      <c r="A4" s="51">
        <v>1</v>
      </c>
      <c r="B4" s="52" t="s">
        <v>156</v>
      </c>
      <c r="C4" s="53" t="s">
        <v>100</v>
      </c>
      <c r="D4" t="s">
        <v>23</v>
      </c>
      <c r="E4" t="s">
        <v>25</v>
      </c>
      <c r="F4" t="s">
        <v>17</v>
      </c>
      <c r="G4" s="53" t="s">
        <v>157</v>
      </c>
      <c r="H4" s="54">
        <v>6.3529999999999998</v>
      </c>
      <c r="L4" t="s">
        <v>267</v>
      </c>
      <c r="M4" s="35" t="s">
        <v>104</v>
      </c>
      <c r="N4" s="65">
        <f>AVERAGE(H8:H13)</f>
        <v>3.8386666666666667</v>
      </c>
      <c r="O4" s="37">
        <f>STDEV(H8:H13)</f>
        <v>6.8359832260375494E-2</v>
      </c>
      <c r="P4" s="49" t="s">
        <v>26</v>
      </c>
    </row>
    <row r="5" spans="1:17" ht="15.5" x14ac:dyDescent="0.35">
      <c r="A5" s="55">
        <v>2</v>
      </c>
      <c r="B5" s="52" t="s">
        <v>156</v>
      </c>
      <c r="C5" s="53" t="s">
        <v>100</v>
      </c>
      <c r="D5" t="s">
        <v>23</v>
      </c>
      <c r="E5" t="s">
        <v>25</v>
      </c>
      <c r="F5" t="s">
        <v>17</v>
      </c>
      <c r="G5" s="53" t="s">
        <v>157</v>
      </c>
      <c r="H5" s="56">
        <v>6.31</v>
      </c>
      <c r="L5" t="s">
        <v>268</v>
      </c>
      <c r="M5" s="35" t="s">
        <v>108</v>
      </c>
      <c r="N5" s="65">
        <f>AVERAGE(H14:H16)</f>
        <v>4.423</v>
      </c>
      <c r="O5" s="37">
        <f>STDEV(H14:H16)</f>
        <v>7.8102496759069311E-3</v>
      </c>
      <c r="P5" s="49" t="s">
        <v>12</v>
      </c>
    </row>
    <row r="6" spans="1:17" ht="15.5" x14ac:dyDescent="0.35">
      <c r="A6" s="55">
        <v>2</v>
      </c>
      <c r="B6" s="52" t="s">
        <v>156</v>
      </c>
      <c r="C6" s="53" t="s">
        <v>100</v>
      </c>
      <c r="D6" t="s">
        <v>23</v>
      </c>
      <c r="E6" t="s">
        <v>25</v>
      </c>
      <c r="F6" t="s">
        <v>17</v>
      </c>
      <c r="G6" s="53" t="s">
        <v>157</v>
      </c>
      <c r="H6" s="56">
        <v>6.3029999999999999</v>
      </c>
      <c r="L6" t="s">
        <v>269</v>
      </c>
      <c r="M6" s="35" t="s">
        <v>111</v>
      </c>
      <c r="N6" s="104">
        <f>AVERAGE(H17:H19)</f>
        <v>4.4560000000000004</v>
      </c>
      <c r="O6" s="37">
        <f>STDEV(H17:H19)</f>
        <v>5.0685303589896535E-2</v>
      </c>
      <c r="P6" s="49" t="s">
        <v>12</v>
      </c>
    </row>
    <row r="7" spans="1:17" ht="15.5" x14ac:dyDescent="0.35">
      <c r="A7" s="55">
        <v>2</v>
      </c>
      <c r="B7" s="52" t="s">
        <v>156</v>
      </c>
      <c r="C7" s="53" t="s">
        <v>100</v>
      </c>
      <c r="D7" t="s">
        <v>23</v>
      </c>
      <c r="E7" t="s">
        <v>25</v>
      </c>
      <c r="F7" t="s">
        <v>17</v>
      </c>
      <c r="G7" s="53" t="s">
        <v>157</v>
      </c>
      <c r="H7" s="56">
        <v>6.3</v>
      </c>
    </row>
    <row r="8" spans="1:17" ht="15.5" x14ac:dyDescent="0.35">
      <c r="A8" s="57">
        <v>1</v>
      </c>
      <c r="B8" s="58" t="s">
        <v>158</v>
      </c>
      <c r="C8" s="59" t="s">
        <v>104</v>
      </c>
      <c r="D8" t="s">
        <v>23</v>
      </c>
      <c r="E8" t="s">
        <v>105</v>
      </c>
      <c r="F8" t="s">
        <v>17</v>
      </c>
      <c r="G8" s="59" t="s">
        <v>157</v>
      </c>
      <c r="H8" s="60">
        <v>3.8940000000000001</v>
      </c>
    </row>
    <row r="9" spans="1:17" ht="15.5" x14ac:dyDescent="0.35">
      <c r="A9" s="57">
        <v>1</v>
      </c>
      <c r="B9" s="58" t="s">
        <v>158</v>
      </c>
      <c r="C9" s="59" t="s">
        <v>104</v>
      </c>
      <c r="D9" t="s">
        <v>23</v>
      </c>
      <c r="E9" t="s">
        <v>105</v>
      </c>
      <c r="F9" t="s">
        <v>17</v>
      </c>
      <c r="G9" s="59" t="s">
        <v>157</v>
      </c>
      <c r="H9" s="60">
        <v>3.895</v>
      </c>
    </row>
    <row r="10" spans="1:17" ht="15.5" x14ac:dyDescent="0.35">
      <c r="A10" s="57">
        <v>1</v>
      </c>
      <c r="B10" s="58" t="s">
        <v>158</v>
      </c>
      <c r="C10" s="59" t="s">
        <v>104</v>
      </c>
      <c r="D10" t="s">
        <v>23</v>
      </c>
      <c r="E10" t="s">
        <v>105</v>
      </c>
      <c r="F10" t="s">
        <v>17</v>
      </c>
      <c r="G10" s="59" t="s">
        <v>157</v>
      </c>
      <c r="H10" s="60">
        <v>3.9129999999999998</v>
      </c>
    </row>
    <row r="11" spans="1:17" ht="15.5" x14ac:dyDescent="0.35">
      <c r="A11" s="61">
        <v>2</v>
      </c>
      <c r="B11" s="58" t="s">
        <v>158</v>
      </c>
      <c r="C11" s="59" t="s">
        <v>104</v>
      </c>
      <c r="D11" t="s">
        <v>23</v>
      </c>
      <c r="E11" t="s">
        <v>105</v>
      </c>
      <c r="F11" t="s">
        <v>17</v>
      </c>
      <c r="G11" s="59" t="s">
        <v>157</v>
      </c>
      <c r="H11" s="60">
        <v>3.7709999999999999</v>
      </c>
    </row>
    <row r="12" spans="1:17" ht="15.5" x14ac:dyDescent="0.35">
      <c r="A12" s="61">
        <v>2</v>
      </c>
      <c r="B12" s="58" t="s">
        <v>158</v>
      </c>
      <c r="C12" s="59" t="s">
        <v>104</v>
      </c>
      <c r="D12" t="s">
        <v>23</v>
      </c>
      <c r="E12" t="s">
        <v>105</v>
      </c>
      <c r="F12" t="s">
        <v>17</v>
      </c>
      <c r="G12" s="59" t="s">
        <v>157</v>
      </c>
      <c r="H12" s="60">
        <v>3.7829999999999999</v>
      </c>
    </row>
    <row r="13" spans="1:17" ht="15.5" x14ac:dyDescent="0.35">
      <c r="A13" s="61">
        <v>2</v>
      </c>
      <c r="B13" s="58" t="s">
        <v>158</v>
      </c>
      <c r="C13" s="59" t="s">
        <v>104</v>
      </c>
      <c r="D13" t="s">
        <v>23</v>
      </c>
      <c r="E13" t="s">
        <v>105</v>
      </c>
      <c r="F13" t="s">
        <v>17</v>
      </c>
      <c r="G13" s="59" t="s">
        <v>157</v>
      </c>
      <c r="H13" s="60">
        <v>3.7759999999999998</v>
      </c>
    </row>
    <row r="14" spans="1:17" x14ac:dyDescent="0.35">
      <c r="A14" s="62">
        <v>1</v>
      </c>
      <c r="B14" s="63" t="s">
        <v>159</v>
      </c>
      <c r="C14" s="3" t="s">
        <v>108</v>
      </c>
      <c r="D14" t="s">
        <v>32</v>
      </c>
      <c r="E14" t="s">
        <v>105</v>
      </c>
      <c r="F14" t="s">
        <v>33</v>
      </c>
      <c r="G14" s="3" t="s">
        <v>157</v>
      </c>
      <c r="H14" s="3">
        <v>4.4180000000000001</v>
      </c>
    </row>
    <row r="15" spans="1:17" x14ac:dyDescent="0.35">
      <c r="A15" s="62">
        <v>1</v>
      </c>
      <c r="B15" s="63" t="s">
        <v>159</v>
      </c>
      <c r="C15" s="3" t="s">
        <v>108</v>
      </c>
      <c r="D15" t="s">
        <v>32</v>
      </c>
      <c r="E15" t="s">
        <v>105</v>
      </c>
      <c r="F15" t="s">
        <v>33</v>
      </c>
      <c r="G15" s="3" t="s">
        <v>157</v>
      </c>
      <c r="H15" s="3">
        <v>4.4189999999999996</v>
      </c>
    </row>
    <row r="16" spans="1:17" x14ac:dyDescent="0.35">
      <c r="A16" s="62">
        <v>1</v>
      </c>
      <c r="B16" s="63" t="s">
        <v>159</v>
      </c>
      <c r="C16" s="3" t="s">
        <v>108</v>
      </c>
      <c r="D16" t="s">
        <v>32</v>
      </c>
      <c r="E16" t="s">
        <v>105</v>
      </c>
      <c r="F16" t="s">
        <v>33</v>
      </c>
      <c r="G16" s="3" t="s">
        <v>157</v>
      </c>
      <c r="H16" s="3">
        <v>4.4320000000000004</v>
      </c>
      <c r="M16" s="34"/>
      <c r="N16" s="34"/>
    </row>
    <row r="17" spans="1:8" x14ac:dyDescent="0.35">
      <c r="A17" s="47">
        <v>1</v>
      </c>
      <c r="B17" s="64" t="s">
        <v>160</v>
      </c>
      <c r="C17" s="30" t="s">
        <v>111</v>
      </c>
      <c r="D17" t="s">
        <v>32</v>
      </c>
      <c r="E17" t="s">
        <v>105</v>
      </c>
      <c r="F17" t="s">
        <v>34</v>
      </c>
      <c r="G17" s="30" t="s">
        <v>157</v>
      </c>
      <c r="H17" s="30">
        <v>4.4390000000000001</v>
      </c>
    </row>
    <row r="18" spans="1:8" x14ac:dyDescent="0.35">
      <c r="A18" s="47">
        <v>1</v>
      </c>
      <c r="B18" s="64" t="s">
        <v>160</v>
      </c>
      <c r="C18" s="30" t="s">
        <v>111</v>
      </c>
      <c r="D18" t="s">
        <v>32</v>
      </c>
      <c r="E18" t="s">
        <v>105</v>
      </c>
      <c r="F18" t="s">
        <v>34</v>
      </c>
      <c r="G18" s="30" t="s">
        <v>157</v>
      </c>
      <c r="H18" s="30">
        <v>4.4160000000000004</v>
      </c>
    </row>
    <row r="19" spans="1:8" x14ac:dyDescent="0.35">
      <c r="A19" s="47">
        <v>1</v>
      </c>
      <c r="B19" s="64" t="s">
        <v>160</v>
      </c>
      <c r="C19" s="30" t="s">
        <v>111</v>
      </c>
      <c r="D19" t="s">
        <v>32</v>
      </c>
      <c r="E19" t="s">
        <v>105</v>
      </c>
      <c r="F19" t="s">
        <v>34</v>
      </c>
      <c r="G19" s="30" t="s">
        <v>157</v>
      </c>
      <c r="H19" s="30">
        <v>4.5129999999999999</v>
      </c>
    </row>
  </sheetData>
  <pageMargins left="0.7" right="0.7" top="0.75" bottom="0.75" header="0.3" footer="0.3"/>
  <ignoredErrors>
    <ignoredError sqref="N3:O5 N6:O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D0D7-75A0-46EB-B5C6-BEA05607CF79}">
  <dimension ref="A1:M33"/>
  <sheetViews>
    <sheetView zoomScale="52" workbookViewId="0">
      <selection activeCell="I24" sqref="I24"/>
    </sheetView>
  </sheetViews>
  <sheetFormatPr defaultRowHeight="14.5" x14ac:dyDescent="0.35"/>
  <cols>
    <col min="1" max="1" width="19.453125" bestFit="1" customWidth="1"/>
    <col min="2" max="2" width="11.1796875" customWidth="1"/>
    <col min="4" max="4" width="17.7265625" bestFit="1" customWidth="1"/>
    <col min="10" max="10" width="9.54296875" bestFit="1" customWidth="1"/>
    <col min="11" max="11" width="17.54296875" bestFit="1" customWidth="1"/>
    <col min="12" max="12" width="6.36328125" bestFit="1" customWidth="1"/>
  </cols>
  <sheetData>
    <row r="1" spans="1:13" x14ac:dyDescent="0.35">
      <c r="A1" s="42"/>
      <c r="B1" s="42"/>
      <c r="C1" s="42"/>
      <c r="D1" s="43" t="s">
        <v>85</v>
      </c>
      <c r="E1" s="42">
        <v>8.6E-3</v>
      </c>
      <c r="F1" s="42">
        <v>0.81679999999999997</v>
      </c>
      <c r="J1" t="s">
        <v>86</v>
      </c>
      <c r="K1" t="s">
        <v>87</v>
      </c>
      <c r="L1">
        <v>0.313</v>
      </c>
    </row>
    <row r="2" spans="1:13" x14ac:dyDescent="0.35">
      <c r="A2" s="42"/>
      <c r="B2" s="42"/>
      <c r="C2" s="42"/>
      <c r="D2" s="42"/>
      <c r="E2" s="42"/>
      <c r="F2" s="42" t="s">
        <v>89</v>
      </c>
      <c r="J2" t="s">
        <v>90</v>
      </c>
      <c r="K2" t="s">
        <v>91</v>
      </c>
      <c r="L2">
        <v>376</v>
      </c>
    </row>
    <row r="3" spans="1:13" x14ac:dyDescent="0.35">
      <c r="A3" s="107" t="s">
        <v>93</v>
      </c>
      <c r="B3" s="42" t="s">
        <v>94</v>
      </c>
      <c r="C3" s="42">
        <v>0.29759999999999998</v>
      </c>
      <c r="D3" s="42">
        <f>C3-$E$1</f>
        <v>0.28899999999999998</v>
      </c>
      <c r="E3" s="42"/>
      <c r="F3" s="44">
        <f>D3*$L$1</f>
        <v>9.0456999999999996E-2</v>
      </c>
      <c r="J3" t="s">
        <v>95</v>
      </c>
      <c r="K3" t="s">
        <v>96</v>
      </c>
      <c r="L3">
        <v>4.7</v>
      </c>
    </row>
    <row r="4" spans="1:13" x14ac:dyDescent="0.35">
      <c r="A4" s="107"/>
      <c r="B4" s="42" t="s">
        <v>98</v>
      </c>
      <c r="C4" s="42">
        <v>0.2903</v>
      </c>
      <c r="D4" s="42">
        <f t="shared" ref="D4:D10" si="0">C4-$E$1</f>
        <v>0.28170000000000001</v>
      </c>
      <c r="E4" s="42"/>
      <c r="F4" s="44">
        <f t="shared" ref="F4:F10" si="1">D4*$L$1</f>
        <v>8.8172100000000003E-2</v>
      </c>
    </row>
    <row r="5" spans="1:13" x14ac:dyDescent="0.35">
      <c r="A5" s="107"/>
      <c r="B5" s="45" t="s">
        <v>101</v>
      </c>
      <c r="C5" s="42">
        <v>2.0940000000000003</v>
      </c>
      <c r="D5" s="42">
        <f t="shared" si="0"/>
        <v>2.0854000000000004</v>
      </c>
      <c r="E5" s="42"/>
      <c r="F5" s="44">
        <f t="shared" si="1"/>
        <v>0.65273020000000015</v>
      </c>
    </row>
    <row r="6" spans="1:13" x14ac:dyDescent="0.35">
      <c r="A6" s="107"/>
      <c r="B6" s="45" t="s">
        <v>102</v>
      </c>
      <c r="C6" s="42">
        <v>2.0951000000000004</v>
      </c>
      <c r="D6" s="42">
        <f t="shared" si="0"/>
        <v>2.0865000000000005</v>
      </c>
      <c r="E6" s="42"/>
      <c r="F6" s="44">
        <f t="shared" si="1"/>
        <v>0.65307450000000011</v>
      </c>
    </row>
    <row r="7" spans="1:13" x14ac:dyDescent="0.35">
      <c r="A7" s="107"/>
      <c r="B7" s="42" t="s">
        <v>106</v>
      </c>
      <c r="C7" s="42">
        <v>0.55769999999999997</v>
      </c>
      <c r="D7" s="42">
        <f t="shared" si="0"/>
        <v>0.54909999999999992</v>
      </c>
      <c r="E7" s="42"/>
      <c r="F7" s="44">
        <f t="shared" si="1"/>
        <v>0.17186829999999997</v>
      </c>
    </row>
    <row r="8" spans="1:13" x14ac:dyDescent="0.35">
      <c r="A8" s="107"/>
      <c r="B8" s="42" t="s">
        <v>109</v>
      </c>
      <c r="C8" s="42">
        <v>0.59830000000000005</v>
      </c>
      <c r="D8" s="42">
        <f t="shared" si="0"/>
        <v>0.5897</v>
      </c>
      <c r="E8" s="42"/>
      <c r="F8" s="44">
        <f t="shared" si="1"/>
        <v>0.18457609999999999</v>
      </c>
    </row>
    <row r="9" spans="1:13" x14ac:dyDescent="0.35">
      <c r="A9" s="107"/>
      <c r="B9" s="45" t="s">
        <v>112</v>
      </c>
      <c r="C9" s="42">
        <v>1.4177999999999999</v>
      </c>
      <c r="D9" s="42">
        <f t="shared" si="0"/>
        <v>1.4092</v>
      </c>
      <c r="E9" s="42"/>
      <c r="F9" s="44">
        <f t="shared" si="1"/>
        <v>0.44107960000000002</v>
      </c>
    </row>
    <row r="10" spans="1:13" x14ac:dyDescent="0.35">
      <c r="A10" s="107"/>
      <c r="B10" s="45" t="s">
        <v>113</v>
      </c>
      <c r="C10" s="42">
        <v>1.4180999999999999</v>
      </c>
      <c r="D10" s="42">
        <f t="shared" si="0"/>
        <v>1.4095</v>
      </c>
      <c r="E10" s="42"/>
      <c r="F10" s="44">
        <f t="shared" si="1"/>
        <v>0.4411735</v>
      </c>
    </row>
    <row r="11" spans="1:13" x14ac:dyDescent="0.35">
      <c r="A11" s="46"/>
      <c r="B11" s="42"/>
      <c r="C11" s="42"/>
      <c r="D11" s="42" t="s">
        <v>114</v>
      </c>
      <c r="E11" s="42">
        <v>0.81910000000000005</v>
      </c>
      <c r="F11" s="44"/>
    </row>
    <row r="12" spans="1:13" x14ac:dyDescent="0.35">
      <c r="A12" s="107" t="s">
        <v>115</v>
      </c>
      <c r="B12" s="42" t="s">
        <v>116</v>
      </c>
      <c r="C12" s="42">
        <v>0.82669999999999999</v>
      </c>
      <c r="D12" s="42">
        <f>C12-$E$11</f>
        <v>7.5999999999999401E-3</v>
      </c>
      <c r="E12" s="42"/>
      <c r="F12" s="44">
        <f>D12*376</f>
        <v>2.8575999999999775</v>
      </c>
      <c r="K12" s="1" t="s">
        <v>117</v>
      </c>
      <c r="L12" s="1" t="s">
        <v>7</v>
      </c>
      <c r="M12" s="1" t="s">
        <v>57</v>
      </c>
    </row>
    <row r="13" spans="1:13" x14ac:dyDescent="0.35">
      <c r="A13" s="107"/>
      <c r="B13" s="42" t="s">
        <v>119</v>
      </c>
      <c r="C13" s="42">
        <v>0.83240000000000003</v>
      </c>
      <c r="D13" s="42">
        <f>C13-$E$11</f>
        <v>1.3299999999999979E-2</v>
      </c>
      <c r="E13" s="42"/>
      <c r="F13" s="44">
        <f t="shared" ref="F13" si="2">D13*376</f>
        <v>5.0007999999999919</v>
      </c>
      <c r="J13" t="s">
        <v>92</v>
      </c>
      <c r="K13" s="37">
        <f>AVERAGE(F3:F6)</f>
        <v>0.37110845000000003</v>
      </c>
      <c r="L13" s="37">
        <f>_xlfn.STDEV.S(F3:F6)</f>
        <v>0.3253889354624146</v>
      </c>
      <c r="M13" s="49" t="s">
        <v>12</v>
      </c>
    </row>
    <row r="14" spans="1:13" x14ac:dyDescent="0.35">
      <c r="A14" s="107"/>
      <c r="B14" s="45" t="s">
        <v>120</v>
      </c>
      <c r="C14" s="42">
        <v>0.83379999999999999</v>
      </c>
      <c r="D14" s="42">
        <f>C14-$E$11</f>
        <v>1.4699999999999935E-2</v>
      </c>
      <c r="E14" s="42"/>
      <c r="F14" s="44">
        <f>D14*376</f>
        <v>5.5271999999999757</v>
      </c>
      <c r="J14" t="s">
        <v>97</v>
      </c>
      <c r="K14" s="37">
        <f>AVERAGE(F12:F15)</f>
        <v>3.9667999999999806</v>
      </c>
      <c r="L14" s="37">
        <f>_xlfn.STDEV.S(F12:F15)</f>
        <v>1.5209808063658596</v>
      </c>
      <c r="M14" s="49" t="s">
        <v>10</v>
      </c>
    </row>
    <row r="15" spans="1:13" x14ac:dyDescent="0.35">
      <c r="A15" s="107"/>
      <c r="B15" s="45" t="s">
        <v>121</v>
      </c>
      <c r="C15" s="42">
        <v>0.82569999999999999</v>
      </c>
      <c r="D15" s="42">
        <f t="shared" ref="D15" si="3">C15-$E$11</f>
        <v>6.5999999999999392E-3</v>
      </c>
      <c r="E15" s="42"/>
      <c r="F15" s="44">
        <f>D15*376</f>
        <v>2.4815999999999772</v>
      </c>
      <c r="J15" t="s">
        <v>99</v>
      </c>
      <c r="K15" s="65">
        <f>AVERAGE(F7:F10)</f>
        <v>0.309674375</v>
      </c>
      <c r="L15" s="37">
        <f>_xlfn.STDEV.S(F7:F10)</f>
        <v>0.15187653510658744</v>
      </c>
      <c r="M15" s="49" t="s">
        <v>12</v>
      </c>
    </row>
    <row r="16" spans="1:13" x14ac:dyDescent="0.35">
      <c r="A16" s="46"/>
      <c r="B16" s="28"/>
      <c r="C16" s="42"/>
      <c r="D16" s="43" t="s">
        <v>122</v>
      </c>
      <c r="E16" s="42">
        <v>0.85763333333333325</v>
      </c>
      <c r="F16" s="44"/>
      <c r="J16" t="s">
        <v>267</v>
      </c>
      <c r="K16" s="65">
        <f>AVERAGE(F17:F20)</f>
        <v>3.3683333333333385</v>
      </c>
      <c r="L16" s="37">
        <f>_xlfn.STDEV.S(F17:F20)</f>
        <v>1.3324092439387136</v>
      </c>
      <c r="M16" s="49" t="s">
        <v>10</v>
      </c>
    </row>
    <row r="17" spans="1:13" x14ac:dyDescent="0.35">
      <c r="A17" s="107" t="s">
        <v>123</v>
      </c>
      <c r="B17" s="42" t="s">
        <v>124</v>
      </c>
      <c r="C17" s="42">
        <v>0.9597</v>
      </c>
      <c r="D17" s="42"/>
      <c r="E17" s="42">
        <f t="shared" ref="E17:E28" si="4">C17-$E$16</f>
        <v>0.10206666666666675</v>
      </c>
      <c r="F17" s="44">
        <f t="shared" ref="F17:F20" si="5">E17*4.7*10</f>
        <v>4.7971333333333375</v>
      </c>
      <c r="J17" t="s">
        <v>268</v>
      </c>
      <c r="K17" s="65">
        <f>AVERAGE(F21:F24)</f>
        <v>3.1229150000000021</v>
      </c>
      <c r="L17" s="37">
        <f>_xlfn.STDEV.S(F21:F24)</f>
        <v>0.44261847333458365</v>
      </c>
      <c r="M17" s="49" t="s">
        <v>10</v>
      </c>
    </row>
    <row r="18" spans="1:13" x14ac:dyDescent="0.35">
      <c r="A18" s="107"/>
      <c r="B18" s="42" t="s">
        <v>125</v>
      </c>
      <c r="C18" s="42">
        <v>0.94720000000000004</v>
      </c>
      <c r="D18" s="42"/>
      <c r="E18" s="42">
        <f t="shared" si="4"/>
        <v>8.9566666666666794E-2</v>
      </c>
      <c r="F18" s="44">
        <f t="shared" si="5"/>
        <v>4.2096333333333398</v>
      </c>
      <c r="J18" t="s">
        <v>269</v>
      </c>
      <c r="K18" s="65">
        <f>AVERAGE(F25:F28)</f>
        <v>2.8423250000000011</v>
      </c>
      <c r="L18" s="37">
        <f>_xlfn.STDEV.S(F25:F28)</f>
        <v>0.42154584846640092</v>
      </c>
      <c r="M18" s="49" t="s">
        <v>10</v>
      </c>
    </row>
    <row r="19" spans="1:13" x14ac:dyDescent="0.35">
      <c r="A19" s="107"/>
      <c r="B19" s="45" t="s">
        <v>126</v>
      </c>
      <c r="C19" s="42">
        <v>0.90510000000000002</v>
      </c>
      <c r="D19" s="42"/>
      <c r="E19" s="42">
        <f t="shared" si="4"/>
        <v>4.7466666666666768E-2</v>
      </c>
      <c r="F19" s="44">
        <f t="shared" si="5"/>
        <v>2.2309333333333381</v>
      </c>
    </row>
    <row r="20" spans="1:13" x14ac:dyDescent="0.35">
      <c r="A20" s="107"/>
      <c r="B20" s="45" t="s">
        <v>127</v>
      </c>
      <c r="C20" s="42">
        <v>0.9052</v>
      </c>
      <c r="D20" s="42"/>
      <c r="E20" s="42">
        <f t="shared" si="4"/>
        <v>4.7566666666666757E-2</v>
      </c>
      <c r="F20" s="44">
        <f t="shared" si="5"/>
        <v>2.2356333333333378</v>
      </c>
    </row>
    <row r="21" spans="1:13" x14ac:dyDescent="0.35">
      <c r="A21" s="107"/>
      <c r="B21" s="42" t="s">
        <v>128</v>
      </c>
      <c r="C21" s="42">
        <v>0.96289999999999998</v>
      </c>
      <c r="D21" s="42"/>
      <c r="E21" s="42">
        <f t="shared" si="4"/>
        <v>0.10526666666666673</v>
      </c>
      <c r="F21" s="44">
        <f>E21*4.7*5</f>
        <v>2.4737666666666684</v>
      </c>
    </row>
    <row r="22" spans="1:13" x14ac:dyDescent="0.35">
      <c r="A22" s="107"/>
      <c r="B22" s="42" t="s">
        <v>129</v>
      </c>
      <c r="C22" s="42">
        <v>1.0012000000000001</v>
      </c>
      <c r="D22" s="42"/>
      <c r="E22" s="42">
        <f t="shared" si="4"/>
        <v>0.14356666666666684</v>
      </c>
      <c r="F22" s="44">
        <f>E22*4.7*5</f>
        <v>3.3738166666666709</v>
      </c>
    </row>
    <row r="23" spans="1:13" x14ac:dyDescent="0.35">
      <c r="A23" s="107"/>
      <c r="B23" s="45" t="s">
        <v>130</v>
      </c>
      <c r="C23" s="42">
        <v>1.5878000000000001</v>
      </c>
      <c r="D23" s="42"/>
      <c r="E23" s="42">
        <f t="shared" si="4"/>
        <v>0.73016666666666685</v>
      </c>
      <c r="F23" s="44">
        <f>E23*4.7</f>
        <v>3.4317833333333345</v>
      </c>
    </row>
    <row r="24" spans="1:13" x14ac:dyDescent="0.35">
      <c r="A24" s="107"/>
      <c r="B24" s="45" t="s">
        <v>131</v>
      </c>
      <c r="C24" s="42">
        <v>1.5410999999999999</v>
      </c>
      <c r="D24" s="42"/>
      <c r="E24" s="42">
        <f t="shared" si="4"/>
        <v>0.68346666666666667</v>
      </c>
      <c r="F24" s="44">
        <f>E24*4.7</f>
        <v>3.2122933333333337</v>
      </c>
    </row>
    <row r="25" spans="1:13" x14ac:dyDescent="0.35">
      <c r="A25" s="107"/>
      <c r="B25" s="42" t="s">
        <v>132</v>
      </c>
      <c r="C25" s="42">
        <v>0.96289999999999998</v>
      </c>
      <c r="D25" s="42"/>
      <c r="E25" s="42">
        <f t="shared" si="4"/>
        <v>0.10526666666666673</v>
      </c>
      <c r="F25" s="44">
        <f>E25*4.7*5</f>
        <v>2.4737666666666684</v>
      </c>
    </row>
    <row r="26" spans="1:13" x14ac:dyDescent="0.35">
      <c r="A26" s="107"/>
      <c r="B26" s="42" t="s">
        <v>133</v>
      </c>
      <c r="C26" s="42">
        <v>0.96319999999999995</v>
      </c>
      <c r="D26" s="42"/>
      <c r="E26" s="42">
        <f t="shared" si="4"/>
        <v>0.1055666666666667</v>
      </c>
      <c r="F26" s="44">
        <f>E26*4.7*5</f>
        <v>2.4808166666666676</v>
      </c>
    </row>
    <row r="27" spans="1:13" x14ac:dyDescent="0.35">
      <c r="A27" s="107"/>
      <c r="B27" s="45" t="s">
        <v>134</v>
      </c>
      <c r="C27" s="42">
        <v>1.5414000000000001</v>
      </c>
      <c r="D27" s="42"/>
      <c r="E27" s="42">
        <f t="shared" si="4"/>
        <v>0.68376666666666686</v>
      </c>
      <c r="F27" s="44">
        <f>E27*4.7</f>
        <v>3.2137033333333345</v>
      </c>
    </row>
    <row r="28" spans="1:13" x14ac:dyDescent="0.35">
      <c r="A28" s="107"/>
      <c r="B28" s="45" t="s">
        <v>135</v>
      </c>
      <c r="C28" s="42">
        <v>1.5387</v>
      </c>
      <c r="D28" s="42"/>
      <c r="E28" s="42">
        <f t="shared" si="4"/>
        <v>0.68106666666666671</v>
      </c>
      <c r="F28" s="44">
        <f>E28*4.7</f>
        <v>3.2010133333333335</v>
      </c>
    </row>
    <row r="29" spans="1:13" x14ac:dyDescent="0.35">
      <c r="A29" s="41"/>
    </row>
    <row r="30" spans="1:13" x14ac:dyDescent="0.35">
      <c r="A30" s="41"/>
    </row>
    <row r="31" spans="1:13" x14ac:dyDescent="0.35">
      <c r="A31" s="41"/>
    </row>
    <row r="32" spans="1:13" x14ac:dyDescent="0.35">
      <c r="A32" s="41"/>
    </row>
    <row r="33" spans="1:1" x14ac:dyDescent="0.35">
      <c r="A33" s="40"/>
    </row>
  </sheetData>
  <mergeCells count="3">
    <mergeCell ref="A3:A10"/>
    <mergeCell ref="A12:A15"/>
    <mergeCell ref="A17:A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E5AC0-2E8F-4190-B92B-CC1510017346}">
  <dimension ref="A1:N17"/>
  <sheetViews>
    <sheetView topLeftCell="H1" zoomScale="63" workbookViewId="0">
      <selection activeCell="V17" sqref="V17"/>
    </sheetView>
  </sheetViews>
  <sheetFormatPr defaultRowHeight="14.5" x14ac:dyDescent="0.35"/>
  <cols>
    <col min="4" max="4" width="10" bestFit="1" customWidth="1"/>
    <col min="7" max="8" width="12" bestFit="1" customWidth="1"/>
    <col min="9" max="9" width="11" bestFit="1" customWidth="1"/>
    <col min="10" max="10" width="6.54296875" bestFit="1" customWidth="1"/>
    <col min="11" max="11" width="21.54296875" bestFit="1" customWidth="1"/>
    <col min="12" max="12" width="14.7265625" bestFit="1" customWidth="1"/>
    <col min="13" max="13" width="14.1796875" bestFit="1" customWidth="1"/>
    <col min="14" max="14" width="15.26953125" bestFit="1" customWidth="1"/>
    <col min="15" max="15" width="14.453125" bestFit="1" customWidth="1"/>
    <col min="16" max="16" width="5.81640625" bestFit="1" customWidth="1"/>
    <col min="17" max="17" width="4.36328125" bestFit="1" customWidth="1"/>
  </cols>
  <sheetData>
    <row r="1" spans="1:14" x14ac:dyDescent="0.35">
      <c r="A1" s="1" t="s">
        <v>45</v>
      </c>
      <c r="B1" s="1"/>
      <c r="C1" s="1" t="s">
        <v>246</v>
      </c>
      <c r="D1" s="1" t="s">
        <v>247</v>
      </c>
      <c r="E1" s="1" t="s">
        <v>248</v>
      </c>
      <c r="F1" s="1"/>
      <c r="G1" s="1"/>
      <c r="H1" s="1" t="s">
        <v>249</v>
      </c>
      <c r="J1" s="34" t="s">
        <v>88</v>
      </c>
      <c r="K1" s="34" t="s">
        <v>45</v>
      </c>
      <c r="L1" s="1" t="s">
        <v>258</v>
      </c>
      <c r="M1" s="1" t="s">
        <v>118</v>
      </c>
      <c r="N1" s="34" t="s">
        <v>57</v>
      </c>
    </row>
    <row r="2" spans="1:14" x14ac:dyDescent="0.35">
      <c r="A2" t="s">
        <v>100</v>
      </c>
      <c r="B2" t="s">
        <v>250</v>
      </c>
      <c r="C2">
        <v>1.2431000000000001</v>
      </c>
      <c r="D2">
        <v>3.0556000000000001</v>
      </c>
      <c r="E2">
        <v>3.9916999999999998</v>
      </c>
      <c r="F2">
        <f>E2-C2</f>
        <v>2.7485999999999997</v>
      </c>
      <c r="G2">
        <f>D2-F2</f>
        <v>0.30700000000000038</v>
      </c>
      <c r="H2">
        <f>((D2-F2)/D2) *100</f>
        <v>10.047126587249652</v>
      </c>
      <c r="J2" t="s">
        <v>65</v>
      </c>
      <c r="K2" t="s">
        <v>100</v>
      </c>
      <c r="L2" s="65">
        <f>AVERAGE(H2:H5)</f>
        <v>9.432959029168611</v>
      </c>
      <c r="M2" s="37">
        <f>_xlfn.STDEV.S(H2:H5)</f>
        <v>1.0641369452265332</v>
      </c>
      <c r="N2" s="49" t="s">
        <v>10</v>
      </c>
    </row>
    <row r="3" spans="1:14" x14ac:dyDescent="0.35">
      <c r="A3" t="s">
        <v>100</v>
      </c>
      <c r="B3" t="s">
        <v>251</v>
      </c>
      <c r="C3">
        <v>1.2315</v>
      </c>
      <c r="D3">
        <v>3.0423</v>
      </c>
      <c r="E3">
        <v>3.9508000000000001</v>
      </c>
      <c r="F3">
        <f>E3-C3</f>
        <v>2.7193000000000001</v>
      </c>
      <c r="G3">
        <f t="shared" ref="G3:G17" si="0">D3-F3</f>
        <v>0.32299999999999995</v>
      </c>
      <c r="H3">
        <f t="shared" ref="H3:H17" si="1">(D3-F3)/D3 *100</f>
        <v>10.61696742596062</v>
      </c>
      <c r="J3" t="s">
        <v>70</v>
      </c>
      <c r="K3" t="s">
        <v>104</v>
      </c>
      <c r="L3" s="65">
        <f>AVERAGE(H6:H9)</f>
        <v>6.8421833041286586</v>
      </c>
      <c r="M3" s="37">
        <f>_xlfn.STDEV.S(H6:H9)</f>
        <v>1.5238025924090841</v>
      </c>
      <c r="N3" s="49" t="s">
        <v>12</v>
      </c>
    </row>
    <row r="4" spans="1:14" x14ac:dyDescent="0.35">
      <c r="A4" t="s">
        <v>100</v>
      </c>
      <c r="B4" t="s">
        <v>252</v>
      </c>
      <c r="C4">
        <v>1.2338</v>
      </c>
      <c r="D4">
        <v>3.0771000000000002</v>
      </c>
      <c r="E4">
        <v>4.0475000000000003</v>
      </c>
      <c r="F4">
        <f>E4-C4</f>
        <v>2.8137000000000003</v>
      </c>
      <c r="G4">
        <f t="shared" si="0"/>
        <v>0.26339999999999986</v>
      </c>
      <c r="H4">
        <f t="shared" si="1"/>
        <v>8.5600077995515207</v>
      </c>
      <c r="J4" t="s">
        <v>77</v>
      </c>
      <c r="K4" t="s">
        <v>108</v>
      </c>
      <c r="L4" s="65">
        <f>AVERAGE(H10:H13)</f>
        <v>4.1780583226743175</v>
      </c>
      <c r="M4" s="37">
        <f>_xlfn.STDEV.S((H10:H13))</f>
        <v>1.3999531590388841</v>
      </c>
      <c r="N4" s="49" t="s">
        <v>26</v>
      </c>
    </row>
    <row r="5" spans="1:14" x14ac:dyDescent="0.35">
      <c r="A5" t="s">
        <v>100</v>
      </c>
      <c r="B5" t="s">
        <v>253</v>
      </c>
      <c r="C5">
        <v>1.2399</v>
      </c>
      <c r="D5">
        <v>3.0771999999999999</v>
      </c>
      <c r="E5">
        <v>4.0552999999999999</v>
      </c>
      <c r="F5">
        <f t="shared" ref="F5:F17" si="2">E5-C5</f>
        <v>2.8153999999999999</v>
      </c>
      <c r="G5">
        <f>D5-F5</f>
        <v>0.26180000000000003</v>
      </c>
      <c r="H5">
        <f t="shared" si="1"/>
        <v>8.507734303912649</v>
      </c>
      <c r="J5" t="s">
        <v>84</v>
      </c>
      <c r="K5" t="s">
        <v>111</v>
      </c>
      <c r="L5" s="65">
        <f>AVERAGE(H14:H17)</f>
        <v>3.6853508441650762</v>
      </c>
      <c r="M5" s="37">
        <f>_xlfn.STDEV.S(H14:H17)</f>
        <v>0.1899891006838661</v>
      </c>
      <c r="N5" s="49" t="s">
        <v>26</v>
      </c>
    </row>
    <row r="6" spans="1:14" x14ac:dyDescent="0.35">
      <c r="A6" t="s">
        <v>104</v>
      </c>
      <c r="B6" t="s">
        <v>254</v>
      </c>
      <c r="C6">
        <v>1.2315</v>
      </c>
      <c r="D6">
        <v>3.0322</v>
      </c>
      <c r="E6">
        <v>4.1054000000000004</v>
      </c>
      <c r="F6">
        <f t="shared" si="2"/>
        <v>2.8739000000000003</v>
      </c>
      <c r="G6">
        <f t="shared" si="0"/>
        <v>0.15829999999999966</v>
      </c>
      <c r="H6">
        <f t="shared" si="1"/>
        <v>5.220631884440329</v>
      </c>
    </row>
    <row r="7" spans="1:14" x14ac:dyDescent="0.35">
      <c r="A7" t="s">
        <v>104</v>
      </c>
      <c r="B7" t="s">
        <v>255</v>
      </c>
      <c r="C7">
        <v>1.2283999999999999</v>
      </c>
      <c r="D7">
        <v>3.0916999999999999</v>
      </c>
      <c r="E7">
        <v>4.1387999999999998</v>
      </c>
      <c r="F7">
        <f t="shared" si="2"/>
        <v>2.9104000000000001</v>
      </c>
      <c r="G7">
        <f t="shared" si="0"/>
        <v>0.18129999999999979</v>
      </c>
      <c r="H7">
        <f t="shared" si="1"/>
        <v>5.8640877187307892</v>
      </c>
    </row>
    <row r="8" spans="1:14" x14ac:dyDescent="0.35">
      <c r="A8" t="s">
        <v>104</v>
      </c>
      <c r="B8" t="s">
        <v>256</v>
      </c>
      <c r="C8">
        <v>1.2244999999999999</v>
      </c>
      <c r="D8">
        <v>3.0432999999999999</v>
      </c>
      <c r="E8">
        <v>4.0206</v>
      </c>
      <c r="F8">
        <f t="shared" si="2"/>
        <v>2.7961</v>
      </c>
      <c r="G8">
        <f t="shared" si="0"/>
        <v>0.24719999999999986</v>
      </c>
      <c r="H8">
        <f t="shared" si="1"/>
        <v>8.1227614760293054</v>
      </c>
    </row>
    <row r="9" spans="1:14" x14ac:dyDescent="0.35">
      <c r="A9" t="s">
        <v>104</v>
      </c>
      <c r="B9" t="s">
        <v>257</v>
      </c>
      <c r="C9">
        <v>1.296</v>
      </c>
      <c r="D9">
        <v>3.0411999999999999</v>
      </c>
      <c r="E9">
        <v>4.0890000000000004</v>
      </c>
      <c r="F9">
        <f t="shared" si="2"/>
        <v>2.7930000000000001</v>
      </c>
      <c r="G9">
        <f t="shared" si="0"/>
        <v>0.24819999999999975</v>
      </c>
      <c r="H9">
        <f t="shared" si="1"/>
        <v>8.1612521373142108</v>
      </c>
    </row>
    <row r="10" spans="1:14" x14ac:dyDescent="0.35">
      <c r="A10" t="s">
        <v>108</v>
      </c>
      <c r="B10" t="s">
        <v>71</v>
      </c>
      <c r="C10">
        <v>1.2673000000000001</v>
      </c>
      <c r="D10">
        <v>3.0137999999999998</v>
      </c>
      <c r="E10">
        <v>4.1928999999999998</v>
      </c>
      <c r="F10">
        <f t="shared" si="2"/>
        <v>2.9255999999999998</v>
      </c>
      <c r="G10">
        <f t="shared" si="0"/>
        <v>8.8200000000000056E-2</v>
      </c>
      <c r="H10">
        <f t="shared" si="1"/>
        <v>2.9265379255425064</v>
      </c>
    </row>
    <row r="11" spans="1:14" x14ac:dyDescent="0.35">
      <c r="A11" t="s">
        <v>108</v>
      </c>
      <c r="B11" t="s">
        <v>72</v>
      </c>
      <c r="C11">
        <v>1.2695000000000001</v>
      </c>
      <c r="D11">
        <v>3.0750000000000002</v>
      </c>
      <c r="E11">
        <v>4.2519999999999998</v>
      </c>
      <c r="F11">
        <f t="shared" si="2"/>
        <v>2.9824999999999999</v>
      </c>
      <c r="G11">
        <f t="shared" si="0"/>
        <v>9.2500000000000249E-2</v>
      </c>
      <c r="H11">
        <f t="shared" si="1"/>
        <v>3.0081300813008207</v>
      </c>
    </row>
    <row r="12" spans="1:14" x14ac:dyDescent="0.35">
      <c r="A12" t="s">
        <v>108</v>
      </c>
      <c r="B12" t="s">
        <v>73</v>
      </c>
      <c r="C12">
        <v>1.2708999999999999</v>
      </c>
      <c r="D12">
        <v>3.0097</v>
      </c>
      <c r="E12">
        <v>4.1159999999999997</v>
      </c>
      <c r="F12">
        <f t="shared" si="2"/>
        <v>2.8450999999999995</v>
      </c>
      <c r="G12">
        <f>D12-F12</f>
        <v>0.16460000000000052</v>
      </c>
      <c r="H12">
        <f t="shared" si="1"/>
        <v>5.4689836196298813</v>
      </c>
    </row>
    <row r="13" spans="1:14" x14ac:dyDescent="0.35">
      <c r="A13" t="s">
        <v>108</v>
      </c>
      <c r="B13" t="s">
        <v>74</v>
      </c>
      <c r="C13">
        <v>1.2646999999999999</v>
      </c>
      <c r="D13">
        <v>3.0705</v>
      </c>
      <c r="E13">
        <v>4.1722000000000001</v>
      </c>
      <c r="F13">
        <f t="shared" si="2"/>
        <v>2.9075000000000002</v>
      </c>
      <c r="G13">
        <f t="shared" si="0"/>
        <v>0.16299999999999981</v>
      </c>
      <c r="H13">
        <f t="shared" si="1"/>
        <v>5.3085816642240617</v>
      </c>
    </row>
    <row r="14" spans="1:14" x14ac:dyDescent="0.35">
      <c r="A14" t="s">
        <v>111</v>
      </c>
      <c r="B14" t="s">
        <v>78</v>
      </c>
      <c r="C14">
        <v>1.2681</v>
      </c>
      <c r="D14">
        <v>3.0116999999999998</v>
      </c>
      <c r="E14">
        <v>4.1718000000000002</v>
      </c>
      <c r="F14">
        <f t="shared" si="2"/>
        <v>2.9037000000000002</v>
      </c>
      <c r="G14">
        <f t="shared" si="0"/>
        <v>0.10799999999999965</v>
      </c>
      <c r="H14">
        <f t="shared" si="1"/>
        <v>3.5860145432811921</v>
      </c>
    </row>
    <row r="15" spans="1:14" x14ac:dyDescent="0.35">
      <c r="A15" t="s">
        <v>111</v>
      </c>
      <c r="B15" t="s">
        <v>79</v>
      </c>
      <c r="C15">
        <v>1.2910999999999999</v>
      </c>
      <c r="D15">
        <v>3.0432999999999999</v>
      </c>
      <c r="E15">
        <v>4.2289000000000003</v>
      </c>
      <c r="F15">
        <f t="shared" si="2"/>
        <v>2.9378000000000002</v>
      </c>
      <c r="G15">
        <f t="shared" si="0"/>
        <v>0.10549999999999971</v>
      </c>
      <c r="H15">
        <f t="shared" si="1"/>
        <v>3.4666316169947002</v>
      </c>
    </row>
    <row r="16" spans="1:14" x14ac:dyDescent="0.35">
      <c r="A16" t="s">
        <v>111</v>
      </c>
      <c r="B16" t="s">
        <v>80</v>
      </c>
      <c r="C16">
        <v>1.2785</v>
      </c>
      <c r="D16">
        <v>3.0182000000000002</v>
      </c>
      <c r="E16">
        <v>4.1806999999999999</v>
      </c>
      <c r="F16">
        <f t="shared" si="2"/>
        <v>2.9021999999999997</v>
      </c>
      <c r="G16">
        <f t="shared" si="0"/>
        <v>0.11600000000000055</v>
      </c>
      <c r="H16">
        <f t="shared" si="1"/>
        <v>3.8433503412630223</v>
      </c>
    </row>
    <row r="17" spans="1:8" x14ac:dyDescent="0.35">
      <c r="A17" t="s">
        <v>111</v>
      </c>
      <c r="B17" t="s">
        <v>81</v>
      </c>
      <c r="C17">
        <v>1.2677</v>
      </c>
      <c r="D17">
        <v>3.0893999999999999</v>
      </c>
      <c r="E17">
        <v>4.2382999999999997</v>
      </c>
      <c r="F17">
        <f t="shared" si="2"/>
        <v>2.9705999999999997</v>
      </c>
      <c r="G17">
        <f t="shared" si="0"/>
        <v>0.11880000000000024</v>
      </c>
      <c r="H17">
        <f t="shared" si="1"/>
        <v>3.8454068751213906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73229-9399-45A4-B8E9-4FEE751D9C03}">
  <dimension ref="A1:AD42"/>
  <sheetViews>
    <sheetView topLeftCell="V1" zoomScale="40" workbookViewId="0">
      <selection activeCell="AC35" sqref="AC35:AD35"/>
    </sheetView>
  </sheetViews>
  <sheetFormatPr defaultColWidth="9.1796875" defaultRowHeight="14.5" x14ac:dyDescent="0.35"/>
  <cols>
    <col min="1" max="1" width="13.1796875" bestFit="1" customWidth="1"/>
    <col min="2" max="2" width="17.54296875" bestFit="1" customWidth="1"/>
    <col min="3" max="7" width="17.54296875" customWidth="1"/>
    <col min="8" max="8" width="16.7265625" bestFit="1" customWidth="1"/>
    <col min="9" max="9" width="16.7265625" customWidth="1"/>
    <col min="10" max="11" width="13.7265625" customWidth="1"/>
    <col min="12" max="13" width="16.7265625" customWidth="1"/>
    <col min="14" max="14" width="13.7265625" bestFit="1" customWidth="1"/>
    <col min="15" max="15" width="11.26953125" customWidth="1"/>
    <col min="18" max="18" width="9" customWidth="1"/>
    <col min="19" max="19" width="13.7265625" customWidth="1"/>
    <col min="20" max="20" width="12.26953125" customWidth="1"/>
    <col min="21" max="21" width="14.54296875" customWidth="1"/>
    <col min="22" max="23" width="12.26953125" customWidth="1"/>
    <col min="24" max="24" width="12.1796875" bestFit="1" customWidth="1"/>
    <col min="25" max="25" width="27.6328125" bestFit="1" customWidth="1"/>
    <col min="26" max="26" width="5.54296875" bestFit="1" customWidth="1"/>
    <col min="28" max="28" width="18.7265625" bestFit="1" customWidth="1"/>
    <col min="29" max="29" width="11.90625" bestFit="1" customWidth="1"/>
    <col min="30" max="30" width="14" bestFit="1" customWidth="1"/>
    <col min="31" max="31" width="12.1796875" bestFit="1" customWidth="1"/>
    <col min="32" max="32" width="20.54296875" bestFit="1" customWidth="1"/>
    <col min="33" max="33" width="5.36328125" bestFit="1" customWidth="1"/>
  </cols>
  <sheetData>
    <row r="1" spans="1:30" x14ac:dyDescent="0.35">
      <c r="A1" s="5"/>
      <c r="B1" s="5" t="s">
        <v>208</v>
      </c>
      <c r="C1" s="5" t="s">
        <v>209</v>
      </c>
      <c r="D1" s="5"/>
      <c r="E1" s="5"/>
      <c r="F1" s="5" t="s">
        <v>210</v>
      </c>
      <c r="G1" s="5"/>
      <c r="H1" s="5"/>
      <c r="I1" s="5" t="s">
        <v>211</v>
      </c>
      <c r="J1" s="5"/>
      <c r="K1" s="5" t="s">
        <v>212</v>
      </c>
      <c r="L1" s="5"/>
      <c r="M1" s="5"/>
      <c r="N1" s="5"/>
      <c r="O1" s="5"/>
      <c r="P1" s="5"/>
      <c r="Q1" s="5"/>
      <c r="R1" s="5"/>
    </row>
    <row r="2" spans="1:30" ht="63.75" customHeight="1" thickBot="1" x14ac:dyDescent="0.4">
      <c r="A2" s="5"/>
      <c r="B2" s="5"/>
      <c r="C2" s="72" t="s">
        <v>213</v>
      </c>
      <c r="D2" s="73" t="s">
        <v>214</v>
      </c>
      <c r="E2" s="73" t="s">
        <v>215</v>
      </c>
      <c r="F2" s="73" t="s">
        <v>216</v>
      </c>
      <c r="G2" s="73" t="s">
        <v>217</v>
      </c>
      <c r="H2" s="73" t="s">
        <v>218</v>
      </c>
      <c r="I2" s="73" t="s">
        <v>219</v>
      </c>
      <c r="J2" s="73" t="s">
        <v>220</v>
      </c>
      <c r="K2" s="73" t="s">
        <v>221</v>
      </c>
      <c r="L2" s="73" t="s">
        <v>222</v>
      </c>
      <c r="M2" s="73" t="s">
        <v>223</v>
      </c>
      <c r="N2" s="72" t="s">
        <v>224</v>
      </c>
      <c r="O2" s="73" t="s">
        <v>225</v>
      </c>
      <c r="P2" s="73" t="s">
        <v>226</v>
      </c>
      <c r="Q2" s="5" t="s">
        <v>227</v>
      </c>
      <c r="R2" s="5"/>
      <c r="S2" t="s">
        <v>230</v>
      </c>
      <c r="T2" t="s">
        <v>231</v>
      </c>
    </row>
    <row r="3" spans="1:30" x14ac:dyDescent="0.35">
      <c r="A3" s="5" t="s">
        <v>45</v>
      </c>
      <c r="B3" s="5" t="s">
        <v>228</v>
      </c>
      <c r="C3" s="5"/>
      <c r="D3" s="5"/>
      <c r="E3" s="5"/>
      <c r="F3" s="5"/>
      <c r="G3" s="5" t="s">
        <v>229</v>
      </c>
      <c r="H3" s="5"/>
      <c r="I3" s="5"/>
      <c r="J3" s="5"/>
      <c r="K3" s="5"/>
      <c r="L3" s="5"/>
      <c r="M3" s="5"/>
      <c r="N3" s="5"/>
      <c r="O3" s="5"/>
      <c r="P3" s="5"/>
      <c r="Q3" s="5"/>
      <c r="R3" s="5">
        <v>100</v>
      </c>
      <c r="S3" s="75">
        <f>Q4</f>
        <v>18.913877088556625</v>
      </c>
    </row>
    <row r="4" spans="1:30" x14ac:dyDescent="0.35">
      <c r="A4" s="5" t="s">
        <v>94</v>
      </c>
      <c r="B4" s="5">
        <v>1.0075000000000001</v>
      </c>
      <c r="C4" s="5">
        <v>51.308900000000001</v>
      </c>
      <c r="D4" s="5">
        <v>51.794699999999999</v>
      </c>
      <c r="E4" s="5">
        <f>D4-C4</f>
        <v>0.48579999999999757</v>
      </c>
      <c r="F4" s="5">
        <f>AVERAGE(E4:E5)*1000</f>
        <v>509.050000000002</v>
      </c>
      <c r="G4" s="5">
        <v>51.4223</v>
      </c>
      <c r="H4" s="5">
        <f>G4-C4</f>
        <v>0.11339999999999861</v>
      </c>
      <c r="I4" s="5"/>
      <c r="J4" s="5">
        <f t="shared" ref="J4:J28" si="0">(F3*I4)/100</f>
        <v>0</v>
      </c>
      <c r="K4" s="74">
        <f>(H4/B4)*100</f>
        <v>11.25558312655073</v>
      </c>
      <c r="L4" s="5">
        <f>(F4*K4)/100</f>
        <v>57.296545905706715</v>
      </c>
      <c r="M4" s="5"/>
      <c r="N4" s="74">
        <f>F4-J5-L4-$M$28</f>
        <v>190.55731166720801</v>
      </c>
      <c r="O4" s="5">
        <f>B4*1000</f>
        <v>1007.5000000000001</v>
      </c>
      <c r="P4" s="5">
        <f>N4/O4</f>
        <v>0.18913877088556624</v>
      </c>
      <c r="Q4" s="5">
        <f>P4*100</f>
        <v>18.913877088556625</v>
      </c>
      <c r="R4" s="74">
        <f>100-R34</f>
        <v>51.453649454354242</v>
      </c>
      <c r="S4" s="76">
        <f>(R4*S3)/100</f>
        <v>9.7318800153733473</v>
      </c>
      <c r="T4" s="77">
        <v>9.7318800153733473</v>
      </c>
      <c r="X4" s="38" t="s">
        <v>244</v>
      </c>
      <c r="Y4" s="17" t="s">
        <v>232</v>
      </c>
      <c r="Z4" s="82"/>
      <c r="AC4" t="s">
        <v>234</v>
      </c>
    </row>
    <row r="5" spans="1:30" x14ac:dyDescent="0.35">
      <c r="A5" s="5" t="s">
        <v>98</v>
      </c>
      <c r="B5" s="5">
        <v>1.0043</v>
      </c>
      <c r="C5" s="5">
        <v>50.400799999999997</v>
      </c>
      <c r="D5" s="5">
        <v>50.933100000000003</v>
      </c>
      <c r="E5" s="5">
        <f t="shared" ref="E5:E29" si="1">D5-C5</f>
        <v>0.53230000000000643</v>
      </c>
      <c r="F5" s="5"/>
      <c r="G5" s="5"/>
      <c r="H5" s="5"/>
      <c r="I5" s="74">
        <v>43.454560000000001</v>
      </c>
      <c r="J5" s="5">
        <f>(F4*I5)/100</f>
        <v>221.20543768000087</v>
      </c>
      <c r="K5" s="74"/>
      <c r="L5" s="5">
        <f t="shared" ref="L5:L28" si="2">(F5*K5)/100</f>
        <v>0</v>
      </c>
      <c r="M5" s="5"/>
      <c r="N5" s="74"/>
      <c r="O5" s="5">
        <f t="shared" ref="O5:O27" si="3">B5*1000</f>
        <v>1004.3</v>
      </c>
      <c r="P5" s="5">
        <f t="shared" ref="P5:P27" si="4">N5/O5</f>
        <v>0</v>
      </c>
      <c r="Q5" s="5">
        <f t="shared" ref="Q5:Q27" si="5">P5*100</f>
        <v>0</v>
      </c>
      <c r="R5" s="5">
        <v>100</v>
      </c>
      <c r="S5" s="79">
        <f>Q6</f>
        <v>23.279985856622506</v>
      </c>
      <c r="U5" s="78">
        <f>T4*$M$36</f>
        <v>9.4399236149121464</v>
      </c>
      <c r="X5" s="39" t="s">
        <v>227</v>
      </c>
      <c r="Y5" t="s">
        <v>205</v>
      </c>
      <c r="Z5" s="85" t="s">
        <v>118</v>
      </c>
      <c r="AB5" s="38" t="s">
        <v>245</v>
      </c>
      <c r="AC5" s="17" t="s">
        <v>236</v>
      </c>
      <c r="AD5" s="82" t="s">
        <v>118</v>
      </c>
    </row>
    <row r="6" spans="1:30" x14ac:dyDescent="0.35">
      <c r="A6" s="5" t="s">
        <v>101</v>
      </c>
      <c r="B6" s="5">
        <v>1.0411999999999999</v>
      </c>
      <c r="C6" s="5">
        <v>51.1449</v>
      </c>
      <c r="D6" s="5">
        <v>51.7089</v>
      </c>
      <c r="E6" s="5">
        <f t="shared" si="1"/>
        <v>0.56400000000000006</v>
      </c>
      <c r="F6" s="5">
        <f>AVERAGE(E6:E7)*1000</f>
        <v>545.79999999999984</v>
      </c>
      <c r="G6" s="5"/>
      <c r="H6" s="5"/>
      <c r="I6" s="5">
        <v>48.262748719999998</v>
      </c>
      <c r="J6" s="5">
        <f>(F5*I6)/100</f>
        <v>0</v>
      </c>
      <c r="K6" s="74"/>
      <c r="L6" s="5">
        <f t="shared" si="2"/>
        <v>0</v>
      </c>
      <c r="M6" s="5"/>
      <c r="N6" s="74">
        <f>F6-J7-L6-$M$28</f>
        <v>242.3912127391535</v>
      </c>
      <c r="O6" s="5">
        <f t="shared" si="3"/>
        <v>1041.1999999999998</v>
      </c>
      <c r="P6" s="5">
        <f>N6/O6</f>
        <v>0.23279985856622507</v>
      </c>
      <c r="Q6" s="5">
        <f t="shared" si="5"/>
        <v>23.279985856622506</v>
      </c>
      <c r="R6" s="74">
        <f>100-R34</f>
        <v>51.453649454354242</v>
      </c>
      <c r="S6" s="76">
        <f>(R6*S5)/100</f>
        <v>11.978402315689792</v>
      </c>
      <c r="T6" s="77">
        <v>11.978402315689792</v>
      </c>
      <c r="X6" s="39" t="s">
        <v>92</v>
      </c>
      <c r="Y6" s="37">
        <f>AVERAGE(S4,S6)</f>
        <v>10.85514116553157</v>
      </c>
      <c r="Z6" s="86">
        <f>_xlfn.STDEV.S(S4,S6)</f>
        <v>1.5885311526405346</v>
      </c>
      <c r="AB6" s="39" t="s">
        <v>92</v>
      </c>
      <c r="AC6" s="37">
        <v>10.225379065747362</v>
      </c>
      <c r="AD6" s="86">
        <v>1.4569285547999571</v>
      </c>
    </row>
    <row r="7" spans="1:30" x14ac:dyDescent="0.35">
      <c r="A7" s="5" t="s">
        <v>102</v>
      </c>
      <c r="B7" s="5">
        <v>1.0114000000000001</v>
      </c>
      <c r="C7" s="5">
        <v>51.590499999999999</v>
      </c>
      <c r="D7" s="5">
        <v>52.118099999999998</v>
      </c>
      <c r="E7" s="5">
        <f t="shared" si="1"/>
        <v>0.52759999999999962</v>
      </c>
      <c r="F7" s="5"/>
      <c r="G7" s="5">
        <v>51.683500000000002</v>
      </c>
      <c r="H7" s="5">
        <f>G7-C7</f>
        <v>9.3000000000003524E-2</v>
      </c>
      <c r="I7" s="5"/>
      <c r="J7" s="5">
        <f>(F6*I6)/100</f>
        <v>263.41808251375988</v>
      </c>
      <c r="K7" s="74">
        <f>(H7/B7)*100</f>
        <v>9.1951750049439909</v>
      </c>
      <c r="L7" s="5">
        <f>(F6*K7)/100</f>
        <v>50.187265176984283</v>
      </c>
      <c r="M7" s="5"/>
      <c r="N7" s="74"/>
      <c r="O7" s="5">
        <f t="shared" si="3"/>
        <v>1011.4000000000001</v>
      </c>
      <c r="P7" s="5">
        <f t="shared" si="4"/>
        <v>0</v>
      </c>
      <c r="Q7" s="5">
        <f t="shared" si="5"/>
        <v>0</v>
      </c>
      <c r="R7" s="5">
        <v>100</v>
      </c>
      <c r="S7" s="79">
        <f>Q8</f>
        <v>27.042770694106501</v>
      </c>
      <c r="U7" s="80">
        <f>T6*$M$36</f>
        <v>11.619050246219098</v>
      </c>
      <c r="X7" s="39" t="s">
        <v>97</v>
      </c>
      <c r="Y7" s="37">
        <f>AVERAGE(S8,S10)</f>
        <v>15.26024707559529</v>
      </c>
      <c r="Z7" s="86">
        <f>_xlfn.STDEV.S(S8,S10)</f>
        <v>2.631727059567722</v>
      </c>
      <c r="AB7" s="39" t="s">
        <v>97</v>
      </c>
      <c r="AC7" s="37">
        <v>7.0674261819972601</v>
      </c>
      <c r="AD7" s="86">
        <v>0.96488308143189883</v>
      </c>
    </row>
    <row r="8" spans="1:30" x14ac:dyDescent="0.35">
      <c r="A8" s="5" t="s">
        <v>116</v>
      </c>
      <c r="B8" s="5">
        <v>1.0004999999999999</v>
      </c>
      <c r="C8" s="5">
        <v>51.345100000000002</v>
      </c>
      <c r="D8" s="5">
        <v>51.750999999999998</v>
      </c>
      <c r="E8" s="5">
        <f t="shared" si="1"/>
        <v>0.40589999999999549</v>
      </c>
      <c r="F8" s="5">
        <f>AVERAGE(E8:E9)*1000</f>
        <v>375.84999999999627</v>
      </c>
      <c r="G8" s="5"/>
      <c r="H8" s="5"/>
      <c r="I8" s="81">
        <v>17.37298775</v>
      </c>
      <c r="J8" s="5">
        <f>(F7*I8)/100</f>
        <v>0</v>
      </c>
      <c r="K8" s="74"/>
      <c r="L8" s="5">
        <f t="shared" ref="L8" si="6">(F8*K8)/100</f>
        <v>0</v>
      </c>
      <c r="M8" s="5"/>
      <c r="N8" s="74">
        <f>F8-J9-L8-$M$28</f>
        <v>270.5629207945355</v>
      </c>
      <c r="O8" s="5">
        <f t="shared" si="3"/>
        <v>1000.5</v>
      </c>
      <c r="P8" s="5">
        <f>N8/O8</f>
        <v>0.27042770694106499</v>
      </c>
      <c r="Q8" s="5">
        <f t="shared" si="5"/>
        <v>27.042770694106501</v>
      </c>
      <c r="R8" s="74">
        <f>100-R35</f>
        <v>63.311408876380455</v>
      </c>
      <c r="S8" s="76">
        <f>(R8*S7)/100</f>
        <v>17.121159125647754</v>
      </c>
      <c r="T8" s="77">
        <v>17.121159125647754</v>
      </c>
      <c r="X8" s="39" t="s">
        <v>169</v>
      </c>
      <c r="Y8" s="37">
        <f>AVERAGE(S12,S14)</f>
        <v>9.6231616182644295</v>
      </c>
      <c r="Z8" s="86">
        <f>_xlfn.STDEV.S(S12,S14)</f>
        <v>1.8145754885583802</v>
      </c>
      <c r="AB8" s="39" t="s">
        <v>239</v>
      </c>
      <c r="AC8" s="37">
        <v>3.5274267484932613</v>
      </c>
      <c r="AD8" s="86">
        <v>0.12730222193613316</v>
      </c>
    </row>
    <row r="9" spans="1:30" x14ac:dyDescent="0.35">
      <c r="A9" s="5" t="s">
        <v>119</v>
      </c>
      <c r="B9" s="5">
        <v>1.0774999999999999</v>
      </c>
      <c r="C9" s="5">
        <v>51.407200000000003</v>
      </c>
      <c r="D9" s="5">
        <v>51.753</v>
      </c>
      <c r="E9" s="5">
        <f t="shared" si="1"/>
        <v>0.345799999999997</v>
      </c>
      <c r="F9" s="5"/>
      <c r="G9" s="5">
        <v>51.475999999999999</v>
      </c>
      <c r="H9" s="5">
        <f>G9-C9</f>
        <v>6.8799999999995975E-2</v>
      </c>
      <c r="I9" s="5"/>
      <c r="J9" s="5">
        <f>(F8*I8)/100</f>
        <v>65.296374458374345</v>
      </c>
      <c r="K9" s="74">
        <f>(H9/B9)*100</f>
        <v>6.3851508120645928</v>
      </c>
      <c r="L9" s="5">
        <f>(F8*K9)/100</f>
        <v>23.998589327144533</v>
      </c>
      <c r="M9" s="5"/>
      <c r="N9" s="74"/>
      <c r="O9" s="5">
        <f t="shared" si="3"/>
        <v>1077.5</v>
      </c>
      <c r="P9" s="5">
        <f t="shared" si="4"/>
        <v>0</v>
      </c>
      <c r="Q9" s="5">
        <f t="shared" si="5"/>
        <v>0</v>
      </c>
      <c r="R9" s="5">
        <v>100</v>
      </c>
      <c r="S9" s="79">
        <f>Q10</f>
        <v>21.164171297634329</v>
      </c>
      <c r="U9" s="78">
        <f>T8*$M$36</f>
        <v>16.607524351878322</v>
      </c>
      <c r="X9" s="39" t="s">
        <v>171</v>
      </c>
      <c r="Y9" s="37">
        <f>AVERAGE(S18,S16)</f>
        <v>9.5475324784207292</v>
      </c>
      <c r="Z9" s="86">
        <f>_xlfn.STDEV.S(S18,S16)</f>
        <v>0.60273090973472454</v>
      </c>
      <c r="AB9" s="39" t="s">
        <v>240</v>
      </c>
      <c r="AC9" s="37">
        <v>4.1110401335567168</v>
      </c>
      <c r="AD9" s="86">
        <v>0.99226065619897164</v>
      </c>
    </row>
    <row r="10" spans="1:30" ht="15" thickBot="1" x14ac:dyDescent="0.4">
      <c r="A10" s="5" t="s">
        <v>120</v>
      </c>
      <c r="B10" s="5">
        <v>1.0283</v>
      </c>
      <c r="C10" s="5">
        <v>51.363999999999997</v>
      </c>
      <c r="D10" s="5">
        <v>51.744700000000002</v>
      </c>
      <c r="E10" s="5">
        <f t="shared" si="1"/>
        <v>0.38070000000000448</v>
      </c>
      <c r="F10" s="5">
        <f>AVERAGE(E10:E11)*1000</f>
        <v>373.30000000000041</v>
      </c>
      <c r="G10" s="5"/>
      <c r="H10" s="5"/>
      <c r="I10" s="81">
        <v>30.98797798</v>
      </c>
      <c r="J10" s="5">
        <f t="shared" si="0"/>
        <v>0</v>
      </c>
      <c r="K10" s="74"/>
      <c r="L10" s="5">
        <f t="shared" si="2"/>
        <v>0</v>
      </c>
      <c r="M10" s="5"/>
      <c r="N10" s="74">
        <f>F10-J11-L10-$M$28</f>
        <v>217.63117345357381</v>
      </c>
      <c r="O10" s="5">
        <f t="shared" si="3"/>
        <v>1028.3</v>
      </c>
      <c r="P10" s="5">
        <f t="shared" si="4"/>
        <v>0.21164171297634329</v>
      </c>
      <c r="Q10" s="5">
        <f t="shared" si="5"/>
        <v>21.164171297634329</v>
      </c>
      <c r="R10" s="74">
        <f>100-R35</f>
        <v>63.311408876380455</v>
      </c>
      <c r="S10" s="83">
        <f>(R10*S9)/100</f>
        <v>13.399335025542825</v>
      </c>
      <c r="T10" s="84">
        <v>13.399335025542825</v>
      </c>
      <c r="X10" s="39" t="s">
        <v>172</v>
      </c>
      <c r="Y10" s="37">
        <f>AVERAGE(S22,S20)</f>
        <v>8.8938411417001557</v>
      </c>
      <c r="Z10" s="86">
        <f>_xlfn.STDEV.S(S22,S20)</f>
        <v>0.94002203630284664</v>
      </c>
      <c r="AB10" s="39" t="s">
        <v>172</v>
      </c>
      <c r="AC10" s="37">
        <v>4.3624676011678094</v>
      </c>
      <c r="AD10" s="86">
        <v>0.1911303340614896</v>
      </c>
    </row>
    <row r="11" spans="1:30" x14ac:dyDescent="0.35">
      <c r="A11" s="5" t="s">
        <v>121</v>
      </c>
      <c r="B11" s="5">
        <v>1.0052000000000001</v>
      </c>
      <c r="C11" s="5">
        <v>50.662100000000002</v>
      </c>
      <c r="D11" s="5">
        <v>51.027999999999999</v>
      </c>
      <c r="E11" s="5">
        <f t="shared" si="1"/>
        <v>0.36589999999999634</v>
      </c>
      <c r="F11" s="5"/>
      <c r="G11" s="5">
        <v>50.74</v>
      </c>
      <c r="H11" s="5">
        <f>G11-C11</f>
        <v>7.7899999999999636E-2</v>
      </c>
      <c r="I11" s="5"/>
      <c r="J11" s="5">
        <f>(F10*I10)/100</f>
        <v>115.67812179934013</v>
      </c>
      <c r="K11" s="74">
        <f>(H11/B11)*100</f>
        <v>7.7497015519299275</v>
      </c>
      <c r="L11" s="5">
        <f>(F10*K11)/100</f>
        <v>28.929635893354451</v>
      </c>
      <c r="M11" s="5"/>
      <c r="N11" s="74"/>
      <c r="O11" s="5">
        <f t="shared" si="3"/>
        <v>1005.2</v>
      </c>
      <c r="P11" s="5">
        <f t="shared" si="4"/>
        <v>0</v>
      </c>
      <c r="Q11" s="5">
        <f t="shared" si="5"/>
        <v>0</v>
      </c>
      <c r="R11" s="5">
        <v>100</v>
      </c>
      <c r="S11" s="75">
        <f>Q12</f>
        <v>8.5136150052165327</v>
      </c>
      <c r="U11" s="80">
        <f>T10*$M$36</f>
        <v>12.99735497477654</v>
      </c>
      <c r="X11" s="89" t="s">
        <v>173</v>
      </c>
      <c r="Y11" s="90">
        <f>AVERAGE(S26,S24)</f>
        <v>10.386477408363318</v>
      </c>
      <c r="Z11" s="91">
        <f>_xlfn.STDEV.S(S26,S24)</f>
        <v>3.7746083884165142</v>
      </c>
      <c r="AB11" s="89" t="s">
        <v>173</v>
      </c>
      <c r="AC11" s="90">
        <v>4.8905147132434781</v>
      </c>
      <c r="AD11" s="91">
        <v>1.2982392895426413</v>
      </c>
    </row>
    <row r="12" spans="1:30" ht="15" thickBot="1" x14ac:dyDescent="0.4">
      <c r="A12" s="5" t="s">
        <v>187</v>
      </c>
      <c r="B12" s="5">
        <v>1.0013000000000001</v>
      </c>
      <c r="C12" s="5">
        <v>51.670400000000001</v>
      </c>
      <c r="D12" s="5">
        <v>51.803199999999997</v>
      </c>
      <c r="E12" s="5">
        <f t="shared" si="1"/>
        <v>0.13279999999999603</v>
      </c>
      <c r="F12" s="5">
        <f>AVERAGE(E12:E13)*1000</f>
        <v>149.59999999999951</v>
      </c>
      <c r="G12" s="5"/>
      <c r="H12" s="5"/>
      <c r="I12" s="5">
        <v>16.285072329999998</v>
      </c>
      <c r="J12" s="5">
        <f t="shared" si="0"/>
        <v>0</v>
      </c>
      <c r="K12" s="74"/>
      <c r="L12" s="5">
        <f t="shared" si="2"/>
        <v>0</v>
      </c>
      <c r="M12" s="5"/>
      <c r="N12" s="74">
        <f>F12-J13-L12-$M$28</f>
        <v>85.246827047233154</v>
      </c>
      <c r="O12" s="5">
        <f t="shared" si="3"/>
        <v>1001.3000000000001</v>
      </c>
      <c r="P12" s="5">
        <f t="shared" si="4"/>
        <v>8.5136150052165335E-2</v>
      </c>
      <c r="Q12" s="5">
        <f t="shared" si="5"/>
        <v>8.5136150052165327</v>
      </c>
      <c r="R12" s="74">
        <f>100-R36</f>
        <v>97.961476766564118</v>
      </c>
      <c r="S12" s="83">
        <f>(R12*S11)/100</f>
        <v>8.3400629853299098</v>
      </c>
      <c r="T12" s="84">
        <v>8.3400629853299098</v>
      </c>
    </row>
    <row r="13" spans="1:30" x14ac:dyDescent="0.35">
      <c r="A13" s="5" t="s">
        <v>188</v>
      </c>
      <c r="B13" s="5">
        <v>1.0472999999999999</v>
      </c>
      <c r="C13" s="5">
        <v>50.622</v>
      </c>
      <c r="D13" s="5">
        <v>50.788400000000003</v>
      </c>
      <c r="E13" s="5">
        <f t="shared" si="1"/>
        <v>0.16640000000000299</v>
      </c>
      <c r="F13" s="5"/>
      <c r="G13" s="5">
        <v>50.658000000000001</v>
      </c>
      <c r="H13" s="5">
        <f>G13-C13</f>
        <v>3.6000000000001364E-2</v>
      </c>
      <c r="I13" s="5"/>
      <c r="J13" s="5">
        <f>(F12*I12)/100</f>
        <v>24.362468205679921</v>
      </c>
      <c r="K13" s="74">
        <f>(H13/B13)*100</f>
        <v>3.4374104841021067</v>
      </c>
      <c r="L13" s="5">
        <f>(F12*K13)/100</f>
        <v>5.1423660842167349</v>
      </c>
      <c r="M13" s="5"/>
      <c r="N13" s="74"/>
      <c r="O13" s="5">
        <f t="shared" si="3"/>
        <v>1047.3</v>
      </c>
      <c r="P13" s="5">
        <f t="shared" si="4"/>
        <v>0</v>
      </c>
      <c r="Q13" s="5">
        <f t="shared" si="5"/>
        <v>0</v>
      </c>
      <c r="R13" s="5">
        <v>100</v>
      </c>
      <c r="S13" s="75">
        <f>Q14</f>
        <v>11.133213392839988</v>
      </c>
      <c r="U13" s="87">
        <f>T12*$L$36</f>
        <v>1.668012597065982</v>
      </c>
    </row>
    <row r="14" spans="1:30" ht="15" thickBot="1" x14ac:dyDescent="0.4">
      <c r="A14" s="5" t="s">
        <v>189</v>
      </c>
      <c r="B14" s="5">
        <v>1.0001</v>
      </c>
      <c r="C14" s="5">
        <v>51.613199999999999</v>
      </c>
      <c r="D14" s="5">
        <v>51.777099999999997</v>
      </c>
      <c r="E14" s="5">
        <f t="shared" si="1"/>
        <v>0.16389999999999816</v>
      </c>
      <c r="F14" s="5">
        <f>AVERAGE(E14:E15)*1000</f>
        <v>168.84999999999906</v>
      </c>
      <c r="G14" s="5"/>
      <c r="H14" s="5"/>
      <c r="I14" s="5">
        <v>10.373721120000001</v>
      </c>
      <c r="J14" s="5">
        <f t="shared" si="0"/>
        <v>0</v>
      </c>
      <c r="K14" s="74"/>
      <c r="L14" s="5">
        <f t="shared" si="2"/>
        <v>0</v>
      </c>
      <c r="M14" s="5"/>
      <c r="N14" s="74">
        <f>F14-J15-L14-$M$28</f>
        <v>111.34326714179271</v>
      </c>
      <c r="O14" s="5">
        <f t="shared" si="3"/>
        <v>1000.1</v>
      </c>
      <c r="P14" s="5">
        <f t="shared" si="4"/>
        <v>0.11133213392839987</v>
      </c>
      <c r="Q14" s="5">
        <f t="shared" si="5"/>
        <v>11.133213392839988</v>
      </c>
      <c r="R14" s="74">
        <f>100-R36</f>
        <v>97.961476766564118</v>
      </c>
      <c r="S14" s="83">
        <f>(R14*S13)/100</f>
        <v>10.906260251198949</v>
      </c>
      <c r="T14" s="84">
        <v>10.906260251198949</v>
      </c>
      <c r="X14" s="101" t="s">
        <v>244</v>
      </c>
      <c r="Y14" s="17" t="s">
        <v>233</v>
      </c>
      <c r="Z14" s="82"/>
      <c r="AC14" t="s">
        <v>242</v>
      </c>
    </row>
    <row r="15" spans="1:30" x14ac:dyDescent="0.35">
      <c r="A15" s="5" t="s">
        <v>190</v>
      </c>
      <c r="B15" s="5">
        <v>1.0089999999999999</v>
      </c>
      <c r="C15" s="5">
        <v>51.443199999999997</v>
      </c>
      <c r="D15" s="5">
        <v>51.616999999999997</v>
      </c>
      <c r="E15" s="5">
        <f t="shared" si="1"/>
        <v>0.17379999999999995</v>
      </c>
      <c r="F15" s="5"/>
      <c r="G15" s="5">
        <v>51.479700000000001</v>
      </c>
      <c r="H15" s="5">
        <f>G15-C15</f>
        <v>3.6500000000003752E-2</v>
      </c>
      <c r="I15" s="5"/>
      <c r="J15" s="5">
        <f>(F14*I14)/100</f>
        <v>17.516028111119905</v>
      </c>
      <c r="K15" s="74">
        <f>(H15/B15)*100</f>
        <v>3.6174430128844159</v>
      </c>
      <c r="L15" s="5">
        <f>(F14*K15)/100</f>
        <v>6.1080525272553015</v>
      </c>
      <c r="M15" s="5"/>
      <c r="N15" s="74"/>
      <c r="O15" s="5">
        <f t="shared" si="3"/>
        <v>1008.9999999999999</v>
      </c>
      <c r="P15" s="5">
        <f t="shared" si="4"/>
        <v>0</v>
      </c>
      <c r="Q15" s="5">
        <f t="shared" si="5"/>
        <v>0</v>
      </c>
      <c r="R15" s="5">
        <v>100</v>
      </c>
      <c r="S15" s="75">
        <f>Q16</f>
        <v>9.3850301526333286</v>
      </c>
      <c r="U15" s="88">
        <f>T14*$L$36</f>
        <v>2.1812520502397899</v>
      </c>
      <c r="X15" s="39" t="s">
        <v>227</v>
      </c>
      <c r="Y15" t="s">
        <v>205</v>
      </c>
      <c r="Z15" s="85" t="s">
        <v>118</v>
      </c>
      <c r="AB15" s="101" t="s">
        <v>245</v>
      </c>
      <c r="AC15" s="17" t="s">
        <v>236</v>
      </c>
      <c r="AD15" s="82" t="s">
        <v>118</v>
      </c>
    </row>
    <row r="16" spans="1:30" ht="15" thickBot="1" x14ac:dyDescent="0.4">
      <c r="A16" s="5" t="s">
        <v>191</v>
      </c>
      <c r="B16" s="5">
        <v>1.0330999999999999</v>
      </c>
      <c r="C16" s="5">
        <v>51.046599999999998</v>
      </c>
      <c r="D16" s="5">
        <v>51.195</v>
      </c>
      <c r="E16" s="5">
        <f t="shared" si="1"/>
        <v>0.14840000000000231</v>
      </c>
      <c r="F16" s="5">
        <f>AVERAGE(E16:E17)*1000</f>
        <v>152.55000000000152</v>
      </c>
      <c r="G16" s="5"/>
      <c r="H16" s="5"/>
      <c r="I16" s="81">
        <v>10.22782612</v>
      </c>
      <c r="J16" s="5" t="e">
        <f>(#REF!*I16)/100</f>
        <v>#REF!</v>
      </c>
      <c r="K16" s="74"/>
      <c r="L16" s="5">
        <f t="shared" si="2"/>
        <v>0</v>
      </c>
      <c r="M16" s="5"/>
      <c r="N16" s="74">
        <f t="shared" ref="N16" si="7">F16-J17-L16-$M$28</f>
        <v>96.956746506854913</v>
      </c>
      <c r="O16" s="5">
        <f t="shared" si="3"/>
        <v>1033.0999999999999</v>
      </c>
      <c r="P16" s="5">
        <f t="shared" si="4"/>
        <v>9.3850301526333293E-2</v>
      </c>
      <c r="Q16" s="5">
        <f t="shared" si="5"/>
        <v>9.3850301526333286</v>
      </c>
      <c r="R16" s="74">
        <f>100-R37</f>
        <v>97.190282999327692</v>
      </c>
      <c r="S16" s="83">
        <f>(R16*S15)/100</f>
        <v>9.1213373649165685</v>
      </c>
      <c r="T16" s="84">
        <v>9.1213373649165685</v>
      </c>
      <c r="X16" s="39" t="s">
        <v>92</v>
      </c>
      <c r="Y16" s="65">
        <f>AVERAGE(U5:U7)</f>
        <v>10.529486930565621</v>
      </c>
      <c r="Z16" s="86">
        <f>_xlfn.STDEV.S(U5:U7)</f>
        <v>1.5408752180613527</v>
      </c>
      <c r="AB16" s="39" t="s">
        <v>92</v>
      </c>
      <c r="AC16" s="37">
        <v>6.9453790657471899</v>
      </c>
      <c r="AD16" s="86">
        <v>1.4569285547999571</v>
      </c>
    </row>
    <row r="17" spans="1:30" x14ac:dyDescent="0.35">
      <c r="A17" s="5" t="s">
        <v>192</v>
      </c>
      <c r="B17" s="5">
        <v>1.0823</v>
      </c>
      <c r="C17" s="5">
        <v>50.427799999999998</v>
      </c>
      <c r="D17" s="5">
        <v>50.584499999999998</v>
      </c>
      <c r="E17" s="5">
        <f t="shared" si="1"/>
        <v>0.15670000000000073</v>
      </c>
      <c r="F17" s="5"/>
      <c r="G17" s="5">
        <v>50.464700000000001</v>
      </c>
      <c r="H17" s="5">
        <f>G17-C17</f>
        <v>3.6900000000002819E-2</v>
      </c>
      <c r="I17" s="5"/>
      <c r="J17" s="5">
        <f>(F16*I16)/100</f>
        <v>15.602548746060155</v>
      </c>
      <c r="K17" s="74">
        <f>(H17/B17)*100</f>
        <v>3.4094058948538128</v>
      </c>
      <c r="L17" s="5">
        <f>(F16*K17)/100</f>
        <v>5.2010486925995432</v>
      </c>
      <c r="M17" s="5"/>
      <c r="N17" s="74"/>
      <c r="O17" s="5">
        <f t="shared" si="3"/>
        <v>1082.3</v>
      </c>
      <c r="P17" s="5">
        <f t="shared" si="4"/>
        <v>0</v>
      </c>
      <c r="Q17" s="5">
        <f t="shared" si="5"/>
        <v>0</v>
      </c>
      <c r="R17" s="5">
        <v>100</v>
      </c>
      <c r="S17" s="75">
        <f>Q18</f>
        <v>10.262062506798012</v>
      </c>
      <c r="U17" s="87">
        <f>T16*$L$36</f>
        <v>1.8242674729833137</v>
      </c>
      <c r="X17" s="39" t="s">
        <v>97</v>
      </c>
      <c r="Y17" s="65">
        <f>AVERAGE(U9:U11)</f>
        <v>14.80243966332743</v>
      </c>
      <c r="Z17" s="86">
        <f>_xlfn.STDEV.S(U9:U11)</f>
        <v>2.5527752477806875</v>
      </c>
      <c r="AB17" s="39" t="s">
        <v>97</v>
      </c>
      <c r="AC17" s="37">
        <v>3.7874261819970885</v>
      </c>
      <c r="AD17" s="86">
        <v>0.96488308143189883</v>
      </c>
    </row>
    <row r="18" spans="1:30" ht="15" thickBot="1" x14ac:dyDescent="0.4">
      <c r="A18" s="5" t="s">
        <v>193</v>
      </c>
      <c r="B18" s="5">
        <v>1.0170999999999999</v>
      </c>
      <c r="C18" s="5">
        <v>51.002699999999997</v>
      </c>
      <c r="D18" s="5">
        <v>51.182699999999997</v>
      </c>
      <c r="E18" s="5">
        <f t="shared" si="1"/>
        <v>0.17999999999999972</v>
      </c>
      <c r="F18" s="5">
        <f>AVERAGE(E18:E19)*1000</f>
        <v>168.94999999999882</v>
      </c>
      <c r="G18" s="5"/>
      <c r="H18" s="5"/>
      <c r="I18" s="81">
        <v>14.550966259999999</v>
      </c>
      <c r="J18" s="5">
        <f t="shared" si="0"/>
        <v>0</v>
      </c>
      <c r="K18" s="74"/>
      <c r="L18" s="5">
        <f t="shared" si="2"/>
        <v>0</v>
      </c>
      <c r="M18" s="5"/>
      <c r="N18" s="74">
        <f>F18-J19-L18-$M$28</f>
        <v>104.37543775664257</v>
      </c>
      <c r="O18" s="5">
        <f t="shared" si="3"/>
        <v>1017.0999999999999</v>
      </c>
      <c r="P18" s="5">
        <f t="shared" si="4"/>
        <v>0.10262062506798011</v>
      </c>
      <c r="Q18" s="5">
        <f t="shared" si="5"/>
        <v>10.262062506798012</v>
      </c>
      <c r="R18" s="74">
        <f>100-R37</f>
        <v>97.190282999327692</v>
      </c>
      <c r="S18" s="83">
        <f>(R18*S17)/100</f>
        <v>9.9737275919248898</v>
      </c>
      <c r="T18" s="84">
        <v>9.9737275919248898</v>
      </c>
      <c r="X18" s="39" t="s">
        <v>169</v>
      </c>
      <c r="Y18" s="65">
        <f>AVERAGE(U13:U15)</f>
        <v>1.9246323236528859</v>
      </c>
      <c r="Z18" s="86">
        <f>_xlfn.STDEV.S(U13:U15)</f>
        <v>0.36291509771167441</v>
      </c>
      <c r="AB18" s="39" t="s">
        <v>239</v>
      </c>
      <c r="AC18" s="65">
        <v>0.24742674849308965</v>
      </c>
      <c r="AD18" s="86">
        <v>0.12730222193613316</v>
      </c>
    </row>
    <row r="19" spans="1:30" x14ac:dyDescent="0.35">
      <c r="A19" s="5" t="s">
        <v>192</v>
      </c>
      <c r="B19" s="5">
        <v>1.0036</v>
      </c>
      <c r="C19" s="5">
        <v>51.8446</v>
      </c>
      <c r="D19" s="5">
        <v>52.002499999999998</v>
      </c>
      <c r="E19" s="5">
        <f t="shared" si="1"/>
        <v>0.15789999999999793</v>
      </c>
      <c r="F19" s="5"/>
      <c r="G19" s="5">
        <v>51.892899999999997</v>
      </c>
      <c r="H19" s="5">
        <f>G19-C19</f>
        <v>4.8299999999997567E-2</v>
      </c>
      <c r="I19" s="5"/>
      <c r="J19" s="5">
        <f>(F18*I18)/100</f>
        <v>24.583857496269829</v>
      </c>
      <c r="K19" s="74">
        <f>(H19/B19)*100</f>
        <v>4.8126743722596217</v>
      </c>
      <c r="L19" s="5">
        <f>(F18*K19)/100</f>
        <v>8.1310133519325749</v>
      </c>
      <c r="M19" s="5"/>
      <c r="N19" s="74"/>
      <c r="O19" s="5">
        <f t="shared" si="3"/>
        <v>1003.6</v>
      </c>
      <c r="P19" s="5">
        <f t="shared" si="4"/>
        <v>0</v>
      </c>
      <c r="Q19" s="5">
        <f t="shared" si="5"/>
        <v>0</v>
      </c>
      <c r="R19" s="5">
        <v>100</v>
      </c>
      <c r="S19" s="75">
        <f>Q20</f>
        <v>11.226411133033269</v>
      </c>
      <c r="U19" s="88">
        <f>T18*$L$36</f>
        <v>1.994745518384978</v>
      </c>
      <c r="X19" s="39" t="s">
        <v>171</v>
      </c>
      <c r="Y19" s="65">
        <f>AVERAGE(U17:U19)</f>
        <v>1.9095064956841459</v>
      </c>
      <c r="Z19" s="86">
        <f>_xlfn.STDEV.S(U17:U19)</f>
        <v>0.12054618194694497</v>
      </c>
      <c r="AB19" s="39" t="s">
        <v>240</v>
      </c>
      <c r="AC19" s="65">
        <v>0.83104013355654516</v>
      </c>
      <c r="AD19" s="86">
        <v>0.99226065619897164</v>
      </c>
    </row>
    <row r="20" spans="1:30" ht="15" thickBot="1" x14ac:dyDescent="0.4">
      <c r="A20" s="5" t="s">
        <v>195</v>
      </c>
      <c r="B20" s="5">
        <v>1.0072000000000001</v>
      </c>
      <c r="C20" s="5">
        <v>51.468400000000003</v>
      </c>
      <c r="D20" s="5">
        <v>51.695300000000003</v>
      </c>
      <c r="E20" s="5">
        <f t="shared" si="1"/>
        <v>0.22690000000000055</v>
      </c>
      <c r="F20" s="5">
        <f>AVERAGE(E20:E21)*1000</f>
        <v>217.34999999999971</v>
      </c>
      <c r="G20" s="5">
        <v>51.5137</v>
      </c>
      <c r="H20" s="5">
        <f>G20-C20</f>
        <v>4.5299999999997453E-2</v>
      </c>
      <c r="I20" s="5"/>
      <c r="J20" s="5">
        <f t="shared" si="0"/>
        <v>0</v>
      </c>
      <c r="K20" s="74">
        <f>(H20/B20)*100</f>
        <v>4.4976171564731384</v>
      </c>
      <c r="L20" s="5">
        <f t="shared" si="2"/>
        <v>9.7755708895943538</v>
      </c>
      <c r="M20" s="5"/>
      <c r="N20" s="74">
        <f>F20-J21-L20-$M$28</f>
        <v>113.07241293191107</v>
      </c>
      <c r="O20" s="5">
        <f t="shared" si="3"/>
        <v>1007.2</v>
      </c>
      <c r="P20" s="5">
        <f t="shared" si="4"/>
        <v>0.11226411133033268</v>
      </c>
      <c r="Q20" s="5">
        <f t="shared" si="5"/>
        <v>11.226411133033269</v>
      </c>
      <c r="R20" s="74">
        <f>100-R38</f>
        <v>85.143301672865604</v>
      </c>
      <c r="S20" s="83">
        <f>(R20*S19)/100</f>
        <v>9.5585370980346855</v>
      </c>
      <c r="T20" s="84">
        <v>9.5585370980346855</v>
      </c>
      <c r="X20" s="39" t="s">
        <v>172</v>
      </c>
      <c r="Y20" s="65">
        <f>AVERAGE(U21:U23)</f>
        <v>1.7787682283400312</v>
      </c>
      <c r="Z20" s="86">
        <f>_xlfn.STDEV.S(U21:U23)</f>
        <v>0.18800440726056938</v>
      </c>
      <c r="AB20" s="39" t="s">
        <v>172</v>
      </c>
      <c r="AC20" s="65">
        <v>1.0824676011676377</v>
      </c>
      <c r="AD20" s="86">
        <v>0.1911303340614896</v>
      </c>
    </row>
    <row r="21" spans="1:30" x14ac:dyDescent="0.35">
      <c r="A21" s="5" t="s">
        <v>197</v>
      </c>
      <c r="B21" s="5">
        <v>1.0032000000000001</v>
      </c>
      <c r="C21" s="5">
        <v>51.696800000000003</v>
      </c>
      <c r="D21" s="5">
        <v>51.904600000000002</v>
      </c>
      <c r="E21" s="5">
        <f t="shared" si="1"/>
        <v>0.20779999999999887</v>
      </c>
      <c r="F21" s="5"/>
      <c r="G21" s="5"/>
      <c r="H21" s="5"/>
      <c r="I21" s="74">
        <v>25.079968452453613</v>
      </c>
      <c r="J21" s="5">
        <f>(F20*I21)/100</f>
        <v>54.511311431407854</v>
      </c>
      <c r="K21" s="74"/>
      <c r="L21" s="5">
        <f t="shared" si="2"/>
        <v>0</v>
      </c>
      <c r="M21" s="5"/>
      <c r="N21" s="74"/>
      <c r="O21" s="5">
        <f t="shared" si="3"/>
        <v>1003.2</v>
      </c>
      <c r="P21" s="5">
        <f t="shared" si="4"/>
        <v>0</v>
      </c>
      <c r="Q21" s="5">
        <f t="shared" si="5"/>
        <v>0</v>
      </c>
      <c r="R21" s="5">
        <v>100</v>
      </c>
      <c r="S21" s="75">
        <f>Q22</f>
        <v>9.6650529444856836</v>
      </c>
      <c r="U21" s="87">
        <f>T20*$L$36</f>
        <v>1.9117074196069372</v>
      </c>
      <c r="X21" s="89" t="s">
        <v>173</v>
      </c>
      <c r="Y21" s="100">
        <f>AVERAGE(U25:U27)</f>
        <v>2.0772954816726643</v>
      </c>
      <c r="Z21" s="91">
        <f>_xlfn.STDEV.S(U25:U27)</f>
        <v>0.75492167768330154</v>
      </c>
      <c r="AB21" s="89" t="s">
        <v>173</v>
      </c>
      <c r="AC21" s="100">
        <v>1.6105147132433064</v>
      </c>
      <c r="AD21" s="91">
        <v>1.2982392895426413</v>
      </c>
    </row>
    <row r="22" spans="1:30" ht="15" thickBot="1" x14ac:dyDescent="0.4">
      <c r="A22" s="5" t="s">
        <v>198</v>
      </c>
      <c r="B22" s="5">
        <v>1.0029999999999999</v>
      </c>
      <c r="C22" s="5">
        <v>51.410899999999998</v>
      </c>
      <c r="D22" s="5">
        <v>51.6111</v>
      </c>
      <c r="E22" s="5">
        <f t="shared" si="1"/>
        <v>0.20020000000000238</v>
      </c>
      <c r="F22" s="5">
        <f>AVERAGE(E22:E23)*1000</f>
        <v>200.29999999999859</v>
      </c>
      <c r="G22" s="5">
        <v>51.453299999999999</v>
      </c>
      <c r="H22" s="5">
        <f>G22-C22</f>
        <v>4.2400000000000659E-2</v>
      </c>
      <c r="I22" s="5"/>
      <c r="J22" s="5">
        <f t="shared" si="0"/>
        <v>0</v>
      </c>
      <c r="K22" s="74">
        <f>(H22/B22)*100</f>
        <v>4.2273180458624795</v>
      </c>
      <c r="L22" s="5">
        <f t="shared" si="2"/>
        <v>8.4673180458624877</v>
      </c>
      <c r="M22" s="5"/>
      <c r="N22" s="74">
        <f>F22-J23-L22-$M$28</f>
        <v>96.940481033191404</v>
      </c>
      <c r="O22" s="5">
        <f t="shared" si="3"/>
        <v>1002.9999999999999</v>
      </c>
      <c r="P22" s="5">
        <f t="shared" si="4"/>
        <v>9.6650529444856845E-2</v>
      </c>
      <c r="Q22" s="5">
        <f t="shared" si="5"/>
        <v>9.6650529444856836</v>
      </c>
      <c r="R22" s="74">
        <f>100-R38</f>
        <v>85.143301672865604</v>
      </c>
      <c r="S22" s="83">
        <f>(R22*S21)/100</f>
        <v>8.2291451853656259</v>
      </c>
      <c r="T22" s="84">
        <v>8.2291451853656259</v>
      </c>
    </row>
    <row r="23" spans="1:30" x14ac:dyDescent="0.35">
      <c r="A23" s="5" t="s">
        <v>199</v>
      </c>
      <c r="B23" s="5">
        <v>1.008</v>
      </c>
      <c r="C23" s="5">
        <v>51.009300000000003</v>
      </c>
      <c r="D23" s="5">
        <v>51.209699999999998</v>
      </c>
      <c r="E23" s="5">
        <f t="shared" si="1"/>
        <v>0.2003999999999948</v>
      </c>
      <c r="F23" s="5"/>
      <c r="G23" s="5"/>
      <c r="H23" s="5"/>
      <c r="I23" s="74">
        <v>27.409633636474609</v>
      </c>
      <c r="J23" s="5">
        <f>(F22*I23)/100</f>
        <v>54.901496173858256</v>
      </c>
      <c r="K23" s="74"/>
      <c r="L23" s="5">
        <f t="shared" si="2"/>
        <v>0</v>
      </c>
      <c r="M23" s="5"/>
      <c r="N23" s="74"/>
      <c r="O23" s="5">
        <f t="shared" si="3"/>
        <v>1008</v>
      </c>
      <c r="P23" s="5">
        <f t="shared" si="4"/>
        <v>0</v>
      </c>
      <c r="Q23" s="5">
        <f t="shared" si="5"/>
        <v>0</v>
      </c>
      <c r="R23" s="5">
        <v>100</v>
      </c>
      <c r="S23" s="75">
        <f>Q24</f>
        <v>14.615963153960601</v>
      </c>
      <c r="U23" s="88">
        <f>T22*$L$36</f>
        <v>1.6458290370731252</v>
      </c>
    </row>
    <row r="24" spans="1:30" ht="15" thickBot="1" x14ac:dyDescent="0.4">
      <c r="A24" s="5" t="s">
        <v>200</v>
      </c>
      <c r="B24" s="5">
        <v>1.0044</v>
      </c>
      <c r="C24" s="5">
        <v>50.116</v>
      </c>
      <c r="D24" s="5">
        <v>50.328000000000003</v>
      </c>
      <c r="E24" s="5">
        <f t="shared" si="1"/>
        <v>0.2120000000000033</v>
      </c>
      <c r="F24" s="5">
        <f>AVERAGE(E24:E25)*1000</f>
        <v>237.54999999999882</v>
      </c>
      <c r="G24" s="5">
        <v>50.155900000000003</v>
      </c>
      <c r="H24" s="5">
        <f>G24-C24</f>
        <v>3.9900000000002933E-2</v>
      </c>
      <c r="I24" s="81"/>
      <c r="J24" s="5">
        <f t="shared" si="0"/>
        <v>0</v>
      </c>
      <c r="K24" s="74">
        <f>(H24/B24)*100</f>
        <v>3.9725209080050714</v>
      </c>
      <c r="L24" s="5">
        <f t="shared" si="2"/>
        <v>9.4367234169660001</v>
      </c>
      <c r="M24" s="5"/>
      <c r="N24" s="74">
        <f>F24-J25-L24-$M$28</f>
        <v>146.80273391838028</v>
      </c>
      <c r="O24" s="5">
        <f t="shared" si="3"/>
        <v>1004.4</v>
      </c>
      <c r="P24" s="5">
        <f t="shared" si="4"/>
        <v>0.14615963153960601</v>
      </c>
      <c r="Q24" s="5">
        <f t="shared" si="5"/>
        <v>14.615963153960601</v>
      </c>
      <c r="R24" s="74">
        <f>100-R39</f>
        <v>89.32376510950975</v>
      </c>
      <c r="S24" s="83">
        <f>(R24*S23)/100</f>
        <v>13.055528596136259</v>
      </c>
      <c r="T24" s="84">
        <v>13.055528596136259</v>
      </c>
    </row>
    <row r="25" spans="1:30" x14ac:dyDescent="0.35">
      <c r="A25" s="5" t="s">
        <v>201</v>
      </c>
      <c r="B25" s="5">
        <v>1.0082</v>
      </c>
      <c r="C25" s="5">
        <v>51.068800000000003</v>
      </c>
      <c r="D25" s="5">
        <v>51.331899999999997</v>
      </c>
      <c r="E25" s="5">
        <f t="shared" si="1"/>
        <v>0.26309999999999434</v>
      </c>
      <c r="F25" s="5"/>
      <c r="G25" s="5"/>
      <c r="H25" s="5"/>
      <c r="I25" s="74">
        <v>17.394164562225342</v>
      </c>
      <c r="J25" s="5">
        <f t="shared" si="0"/>
        <v>41.31983791756609</v>
      </c>
      <c r="K25" s="74"/>
      <c r="L25" s="5">
        <f t="shared" si="2"/>
        <v>0</v>
      </c>
      <c r="M25" s="5"/>
      <c r="N25" s="74"/>
      <c r="O25" s="5">
        <f t="shared" si="3"/>
        <v>1008.1999999999999</v>
      </c>
      <c r="P25" s="5">
        <f t="shared" si="4"/>
        <v>0</v>
      </c>
      <c r="Q25" s="5">
        <f t="shared" si="5"/>
        <v>0</v>
      </c>
      <c r="R25" s="5">
        <v>100</v>
      </c>
      <c r="S25" s="75">
        <f>Q26</f>
        <v>8.6398353351192867</v>
      </c>
      <c r="U25" s="87">
        <f>T24*$L$36</f>
        <v>2.6111057192272522</v>
      </c>
    </row>
    <row r="26" spans="1:30" ht="15" thickBot="1" x14ac:dyDescent="0.4">
      <c r="A26" s="5" t="s">
        <v>202</v>
      </c>
      <c r="B26" s="5">
        <v>1.0037</v>
      </c>
      <c r="C26" s="5">
        <v>51.476599999999998</v>
      </c>
      <c r="D26" s="5">
        <v>51.671300000000002</v>
      </c>
      <c r="E26" s="5">
        <f t="shared" si="1"/>
        <v>0.19470000000000454</v>
      </c>
      <c r="F26" s="5">
        <f>AVERAGE(E26:E27)*1000</f>
        <v>188.20000000000192</v>
      </c>
      <c r="G26" s="5">
        <v>51.5349</v>
      </c>
      <c r="H26" s="5">
        <f>G26-C26</f>
        <v>5.8300000000002683E-2</v>
      </c>
      <c r="I26" s="5"/>
      <c r="J26" s="5">
        <f t="shared" si="0"/>
        <v>0</v>
      </c>
      <c r="K26" s="74">
        <f>(H26/B26)*100</f>
        <v>5.8085085184818848</v>
      </c>
      <c r="L26" s="5">
        <f t="shared" si="2"/>
        <v>10.931613031783019</v>
      </c>
      <c r="M26" s="5"/>
      <c r="N26" s="74">
        <f>F26-J27-L26-$M$28</f>
        <v>86.718027258592286</v>
      </c>
      <c r="O26" s="5">
        <f t="shared" si="3"/>
        <v>1003.7</v>
      </c>
      <c r="P26" s="5">
        <f>N26/O26</f>
        <v>8.6398353351192864E-2</v>
      </c>
      <c r="Q26" s="5">
        <f t="shared" si="5"/>
        <v>8.6398353351192867</v>
      </c>
      <c r="R26" s="74">
        <f>100-R39</f>
        <v>89.32376510950975</v>
      </c>
      <c r="S26" s="83">
        <f>(R26*S25)/100</f>
        <v>7.7174262205903768</v>
      </c>
      <c r="T26" s="84">
        <v>7.7174262205903803</v>
      </c>
    </row>
    <row r="27" spans="1:30" x14ac:dyDescent="0.35">
      <c r="A27" s="5" t="s">
        <v>203</v>
      </c>
      <c r="B27" s="5">
        <v>1.006</v>
      </c>
      <c r="C27" s="5">
        <v>51.205399999999997</v>
      </c>
      <c r="D27" s="5">
        <v>51.387099999999997</v>
      </c>
      <c r="E27" s="5">
        <f t="shared" si="1"/>
        <v>0.18169999999999931</v>
      </c>
      <c r="F27" s="5"/>
      <c r="G27" s="5"/>
      <c r="H27" s="5"/>
      <c r="I27" s="74">
        <v>26.864853858947754</v>
      </c>
      <c r="J27" s="5">
        <f t="shared" si="0"/>
        <v>50.559654962540186</v>
      </c>
      <c r="K27" s="74"/>
      <c r="L27" s="5">
        <f t="shared" si="2"/>
        <v>0</v>
      </c>
      <c r="M27" s="5"/>
      <c r="N27" s="74"/>
      <c r="O27" s="5">
        <f t="shared" si="3"/>
        <v>1006</v>
      </c>
      <c r="P27" s="5">
        <f t="shared" si="4"/>
        <v>0</v>
      </c>
      <c r="Q27" s="5">
        <f t="shared" si="5"/>
        <v>0</v>
      </c>
      <c r="R27" s="5"/>
      <c r="U27" s="88">
        <f>T26*$L$36</f>
        <v>1.5434852441180762</v>
      </c>
    </row>
    <row r="28" spans="1:30" x14ac:dyDescent="0.35">
      <c r="A28" s="5" t="s">
        <v>235</v>
      </c>
      <c r="B28" s="5">
        <v>0</v>
      </c>
      <c r="C28" s="5">
        <v>50.347499999999997</v>
      </c>
      <c r="D28" s="5">
        <v>50.379399999999997</v>
      </c>
      <c r="E28" s="5">
        <f t="shared" si="1"/>
        <v>3.1900000000000261E-2</v>
      </c>
      <c r="F28" s="5">
        <f>AVERAGE(E28:E29)*1000</f>
        <v>43.500000000001648</v>
      </c>
      <c r="G28" s="5"/>
      <c r="H28" s="5"/>
      <c r="I28" s="5">
        <v>4.7873454090000003</v>
      </c>
      <c r="J28" s="5">
        <f t="shared" si="0"/>
        <v>0</v>
      </c>
      <c r="K28" s="74"/>
      <c r="L28" s="5">
        <f t="shared" si="2"/>
        <v>0</v>
      </c>
      <c r="M28" s="74">
        <f>F28-J29-L29</f>
        <v>39.99070474708644</v>
      </c>
      <c r="N28" s="5"/>
      <c r="O28" s="5"/>
      <c r="P28" s="5"/>
      <c r="Q28" s="5"/>
      <c r="R28" s="5"/>
      <c r="Y28" t="s">
        <v>241</v>
      </c>
      <c r="AB28" s="38"/>
      <c r="AC28" s="17" t="s">
        <v>236</v>
      </c>
      <c r="AD28" s="82" t="s">
        <v>118</v>
      </c>
    </row>
    <row r="29" spans="1:30" x14ac:dyDescent="0.35">
      <c r="A29" s="5" t="s">
        <v>237</v>
      </c>
      <c r="B29" s="5">
        <v>0</v>
      </c>
      <c r="C29" s="5">
        <v>50.959899999999998</v>
      </c>
      <c r="D29" s="5">
        <v>51.015000000000001</v>
      </c>
      <c r="E29" s="5">
        <f t="shared" si="1"/>
        <v>5.5100000000003035E-2</v>
      </c>
      <c r="F29" s="5"/>
      <c r="G29" s="5">
        <v>50.992699999999999</v>
      </c>
      <c r="H29" s="5">
        <f>G29-C29</f>
        <v>3.2800000000001717E-2</v>
      </c>
      <c r="I29" s="5"/>
      <c r="J29" s="5">
        <f>(F28*I28)/100</f>
        <v>2.0824952529150789</v>
      </c>
      <c r="K29" s="74">
        <f>(H29)*100</f>
        <v>3.2800000000001717</v>
      </c>
      <c r="L29" s="5">
        <f>(F28*K29)/100</f>
        <v>1.4268000000001289</v>
      </c>
      <c r="M29" s="5"/>
      <c r="N29" s="5"/>
      <c r="O29" s="5"/>
      <c r="P29" s="5"/>
      <c r="Q29" s="5"/>
      <c r="R29" s="5"/>
      <c r="Y29" t="s">
        <v>92</v>
      </c>
      <c r="Z29" s="92">
        <v>11.25558312655073</v>
      </c>
      <c r="AB29" s="39" t="s">
        <v>92</v>
      </c>
      <c r="AC29" s="37">
        <f>AVERAGE(K4,K7)</f>
        <v>10.225379065747362</v>
      </c>
      <c r="AD29" s="85">
        <f>_xlfn.STDEV.S(K4:K7)</f>
        <v>1.4569285547999571</v>
      </c>
    </row>
    <row r="30" spans="1:30" x14ac:dyDescent="0.35">
      <c r="A30" s="5"/>
      <c r="B30" s="5"/>
      <c r="C30" s="5"/>
      <c r="D30" s="5"/>
      <c r="E30" s="5"/>
      <c r="F30" s="5" t="s">
        <v>238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Y30" t="s">
        <v>92</v>
      </c>
      <c r="Z30" s="93">
        <v>9.1951750049439909</v>
      </c>
      <c r="AB30" s="39" t="s">
        <v>97</v>
      </c>
      <c r="AC30" s="37">
        <f>AVERAGE(K9,K11)</f>
        <v>7.0674261819972601</v>
      </c>
      <c r="AD30" s="85">
        <f>_xlfn.STDEV.S(K8:K11)</f>
        <v>0.96488308143189883</v>
      </c>
    </row>
    <row r="31" spans="1:30" x14ac:dyDescent="0.35">
      <c r="H31" s="37"/>
      <c r="Y31" t="s">
        <v>97</v>
      </c>
      <c r="Z31" s="94">
        <v>6.3851508120645928</v>
      </c>
      <c r="AB31" s="39" t="s">
        <v>239</v>
      </c>
      <c r="AC31" s="37">
        <f>AVERAGE(K13,K15)</f>
        <v>3.5274267484932613</v>
      </c>
      <c r="AD31" s="85">
        <f>_xlfn.STDEV.S(K12:K15)</f>
        <v>0.12730222193613316</v>
      </c>
    </row>
    <row r="32" spans="1:30" x14ac:dyDescent="0.35">
      <c r="Y32" t="s">
        <v>97</v>
      </c>
      <c r="Z32" s="93">
        <v>7.7497015519299275</v>
      </c>
      <c r="AB32" s="39" t="s">
        <v>240</v>
      </c>
      <c r="AC32" s="37">
        <f>AVERAGE(K19,K17)</f>
        <v>4.1110401335567168</v>
      </c>
      <c r="AD32" s="85">
        <f>_xlfn.STDEV.S(K16:K19)</f>
        <v>0.99226065619897164</v>
      </c>
    </row>
    <row r="33" spans="12:30" x14ac:dyDescent="0.35">
      <c r="Q33" t="s">
        <v>204</v>
      </c>
      <c r="R33" t="s">
        <v>205</v>
      </c>
      <c r="S33" t="s">
        <v>168</v>
      </c>
      <c r="Y33" t="s">
        <v>65</v>
      </c>
      <c r="Z33" s="94">
        <v>3.4374104841021098</v>
      </c>
      <c r="AB33" s="39" t="s">
        <v>172</v>
      </c>
      <c r="AC33" s="37">
        <f>AVERAGE(K20,K22)</f>
        <v>4.3624676011678094</v>
      </c>
      <c r="AD33" s="85">
        <f>_xlfn.STDEV.S(K20:K23)</f>
        <v>0.1911303340614896</v>
      </c>
    </row>
    <row r="34" spans="12:30" ht="29" x14ac:dyDescent="0.35">
      <c r="L34" s="69" t="s">
        <v>206</v>
      </c>
      <c r="M34" s="69" t="s">
        <v>207</v>
      </c>
      <c r="Q34" t="s">
        <v>92</v>
      </c>
      <c r="R34" s="37">
        <v>48.546350545645758</v>
      </c>
      <c r="S34" s="37">
        <v>2.0503465405973049</v>
      </c>
      <c r="T34" s="37"/>
      <c r="Y34" t="s">
        <v>65</v>
      </c>
      <c r="Z34" s="93">
        <v>3.6174430128844159</v>
      </c>
      <c r="AB34" s="89" t="s">
        <v>173</v>
      </c>
      <c r="AC34" s="90">
        <f>AVERAGE(K24,K26)</f>
        <v>4.8905147132434781</v>
      </c>
      <c r="AD34" s="95">
        <f>_xlfn.STDEV.S(K24:K27)</f>
        <v>1.2982392895426413</v>
      </c>
    </row>
    <row r="35" spans="12:30" x14ac:dyDescent="0.35">
      <c r="L35">
        <f>(100-80)/100</f>
        <v>0.2</v>
      </c>
      <c r="M35">
        <f>(100-3)/100</f>
        <v>0.97</v>
      </c>
      <c r="Q35" t="s">
        <v>97</v>
      </c>
      <c r="R35" s="37">
        <v>36.688591123619545</v>
      </c>
      <c r="S35" s="37">
        <v>0.81772675036879072</v>
      </c>
      <c r="T35" s="37"/>
      <c r="Y35" t="s">
        <v>165</v>
      </c>
      <c r="Z35" s="94">
        <v>3.4094058948538128</v>
      </c>
      <c r="AB35" s="106" t="s">
        <v>243</v>
      </c>
      <c r="AC35" s="24"/>
      <c r="AD35" s="24"/>
    </row>
    <row r="36" spans="12:30" x14ac:dyDescent="0.35">
      <c r="L36" s="70">
        <v>0.2</v>
      </c>
      <c r="M36" s="71">
        <v>0.97</v>
      </c>
      <c r="Q36" t="s">
        <v>169</v>
      </c>
      <c r="R36" s="37">
        <v>2.038523233435876</v>
      </c>
      <c r="S36" s="37">
        <v>0.12335317307747629</v>
      </c>
      <c r="T36" s="37"/>
      <c r="Y36" t="s">
        <v>165</v>
      </c>
      <c r="Z36" s="93">
        <v>4.8126743722596217</v>
      </c>
      <c r="AB36" s="38"/>
      <c r="AC36" s="17" t="s">
        <v>236</v>
      </c>
      <c r="AD36" s="82" t="s">
        <v>118</v>
      </c>
    </row>
    <row r="37" spans="12:30" x14ac:dyDescent="0.35">
      <c r="Q37" t="s">
        <v>171</v>
      </c>
      <c r="R37" s="37">
        <v>2.8097170006723018</v>
      </c>
      <c r="S37" s="37">
        <v>0.84869016949993381</v>
      </c>
      <c r="T37" s="37"/>
      <c r="Y37" t="s">
        <v>166</v>
      </c>
      <c r="Z37" s="92">
        <v>4.4976171564731384</v>
      </c>
      <c r="AB37" s="39" t="s">
        <v>92</v>
      </c>
      <c r="AC37" s="96">
        <f t="shared" ref="AC37:AC42" si="8">AC29-$K$29</f>
        <v>6.9453790657471899</v>
      </c>
      <c r="AD37" s="85">
        <v>1.4569285547999571</v>
      </c>
    </row>
    <row r="38" spans="12:30" x14ac:dyDescent="0.35">
      <c r="Q38" t="s">
        <v>194</v>
      </c>
      <c r="R38" s="37">
        <v>14.856698327134394</v>
      </c>
      <c r="S38" s="37">
        <v>1.0050222559703401</v>
      </c>
      <c r="T38" s="37"/>
      <c r="Y38" t="s">
        <v>166</v>
      </c>
      <c r="Z38" s="97">
        <v>4.2273180458624795</v>
      </c>
      <c r="AB38" s="39" t="s">
        <v>97</v>
      </c>
      <c r="AC38" s="96">
        <f t="shared" si="8"/>
        <v>3.7874261819970885</v>
      </c>
      <c r="AD38" s="85">
        <v>0.96488308143189883</v>
      </c>
    </row>
    <row r="39" spans="12:30" x14ac:dyDescent="0.35">
      <c r="Q39" t="s">
        <v>196</v>
      </c>
      <c r="R39" s="37">
        <v>10.676234890490246</v>
      </c>
      <c r="S39" s="37">
        <v>1.2107046188954682</v>
      </c>
      <c r="T39" s="37"/>
      <c r="Y39" t="s">
        <v>167</v>
      </c>
      <c r="Z39" s="92">
        <v>3.9725209080050714</v>
      </c>
      <c r="AB39" s="39" t="s">
        <v>239</v>
      </c>
      <c r="AC39" s="96">
        <f t="shared" si="8"/>
        <v>0.24742674849308965</v>
      </c>
      <c r="AD39" s="85">
        <v>0.12730222193613316</v>
      </c>
    </row>
    <row r="40" spans="12:30" x14ac:dyDescent="0.35">
      <c r="T40" s="37"/>
      <c r="Y40" t="s">
        <v>167</v>
      </c>
      <c r="Z40" s="98">
        <v>5.8085085184818848</v>
      </c>
      <c r="AB40" s="39" t="s">
        <v>240</v>
      </c>
      <c r="AC40" s="96">
        <f t="shared" si="8"/>
        <v>0.83104013355654516</v>
      </c>
      <c r="AD40" s="85">
        <v>0.99226065619897164</v>
      </c>
    </row>
    <row r="41" spans="12:30" x14ac:dyDescent="0.35">
      <c r="AB41" s="39" t="s">
        <v>172</v>
      </c>
      <c r="AC41" s="96">
        <f t="shared" si="8"/>
        <v>1.0824676011676377</v>
      </c>
      <c r="AD41" s="85">
        <v>0.1911303340614896</v>
      </c>
    </row>
    <row r="42" spans="12:30" x14ac:dyDescent="0.35">
      <c r="AB42" s="89" t="s">
        <v>173</v>
      </c>
      <c r="AC42" s="99">
        <f t="shared" si="8"/>
        <v>1.6105147132433064</v>
      </c>
      <c r="AD42" s="95">
        <v>1.2982392895426413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436ED-C7DF-4B7D-B81F-E76BE90F517B}">
  <dimension ref="A1:L25"/>
  <sheetViews>
    <sheetView zoomScale="58" workbookViewId="0">
      <selection activeCell="J25" sqref="J25"/>
    </sheetView>
  </sheetViews>
  <sheetFormatPr defaultRowHeight="14.5" x14ac:dyDescent="0.35"/>
  <cols>
    <col min="1" max="1" width="7.26953125" bestFit="1" customWidth="1"/>
    <col min="2" max="2" width="7.1796875" bestFit="1" customWidth="1"/>
    <col min="3" max="3" width="11.36328125" bestFit="1" customWidth="1"/>
    <col min="4" max="4" width="12.90625" bestFit="1" customWidth="1"/>
    <col min="5" max="6" width="13.08984375" bestFit="1" customWidth="1"/>
    <col min="8" max="8" width="5.453125" bestFit="1" customWidth="1"/>
    <col min="9" max="9" width="7.26953125" bestFit="1" customWidth="1"/>
    <col min="10" max="10" width="5.90625" bestFit="1" customWidth="1"/>
    <col min="11" max="11" width="4.81640625" bestFit="1" customWidth="1"/>
    <col min="12" max="12" width="6.54296875" bestFit="1" customWidth="1"/>
    <col min="13" max="13" width="14.453125" bestFit="1" customWidth="1"/>
    <col min="14" max="15" width="11.81640625" bestFit="1" customWidth="1"/>
  </cols>
  <sheetData>
    <row r="1" spans="1:12" x14ac:dyDescent="0.35">
      <c r="A1" s="1" t="s">
        <v>88</v>
      </c>
      <c r="B1" s="1" t="s">
        <v>45</v>
      </c>
      <c r="C1" s="1" t="s">
        <v>161</v>
      </c>
      <c r="D1" s="1" t="s">
        <v>162</v>
      </c>
      <c r="E1" s="1" t="s">
        <v>163</v>
      </c>
      <c r="F1" s="1" t="s">
        <v>164</v>
      </c>
      <c r="H1" s="34" t="s">
        <v>88</v>
      </c>
      <c r="I1" s="34" t="s">
        <v>45</v>
      </c>
      <c r="J1" s="1" t="s">
        <v>6</v>
      </c>
      <c r="K1" s="1" t="s">
        <v>7</v>
      </c>
      <c r="L1" s="34" t="s">
        <v>57</v>
      </c>
    </row>
    <row r="2" spans="1:12" x14ac:dyDescent="0.35">
      <c r="A2" s="66" t="s">
        <v>92</v>
      </c>
      <c r="B2" s="67" t="s">
        <v>92</v>
      </c>
      <c r="C2" s="67">
        <v>12.086499999999999</v>
      </c>
      <c r="D2" s="67">
        <v>6.25</v>
      </c>
      <c r="E2" s="67">
        <v>5.7981895622678055</v>
      </c>
      <c r="F2" s="67">
        <v>36.238684764173783</v>
      </c>
      <c r="I2" t="s">
        <v>92</v>
      </c>
      <c r="J2" s="65">
        <f>AVERAGE(F2:F5)</f>
        <v>35.628543519468735</v>
      </c>
      <c r="K2" s="37">
        <f>STDEV(F2:F5)</f>
        <v>0.81868160588965222</v>
      </c>
      <c r="L2" s="49" t="s">
        <v>10</v>
      </c>
    </row>
    <row r="3" spans="1:12" x14ac:dyDescent="0.35">
      <c r="A3" s="66" t="s">
        <v>92</v>
      </c>
      <c r="B3" s="67" t="s">
        <v>92</v>
      </c>
      <c r="C3" s="67">
        <v>11.246499999999999</v>
      </c>
      <c r="D3" s="67">
        <v>6.25</v>
      </c>
      <c r="E3" s="67">
        <v>5.7749999210515597</v>
      </c>
      <c r="F3" s="67">
        <v>36.093749506572252</v>
      </c>
      <c r="I3" t="s">
        <v>97</v>
      </c>
      <c r="J3" s="65">
        <f>AVERAGE(F6:F9)</f>
        <v>35.183648789317857</v>
      </c>
      <c r="K3" s="37">
        <f>STDEV(F6:F9)</f>
        <v>2.1491717265593442</v>
      </c>
      <c r="L3" s="49" t="s">
        <v>10</v>
      </c>
    </row>
    <row r="4" spans="1:12" x14ac:dyDescent="0.35">
      <c r="A4" s="66" t="s">
        <v>92</v>
      </c>
      <c r="B4" s="67" t="s">
        <v>92</v>
      </c>
      <c r="C4" s="67">
        <v>12.839</v>
      </c>
      <c r="D4" s="67">
        <v>6.25</v>
      </c>
      <c r="E4" s="67">
        <v>5.718468189239502</v>
      </c>
      <c r="F4" s="67">
        <v>35.740425109863281</v>
      </c>
      <c r="H4" t="s">
        <v>100</v>
      </c>
      <c r="I4" t="s">
        <v>99</v>
      </c>
      <c r="J4" s="65">
        <f>AVERAGE(F10:F13)</f>
        <v>10.632915019989014</v>
      </c>
      <c r="K4" s="37">
        <f>STDEV(F10:F13)</f>
        <v>0.39648609132247631</v>
      </c>
      <c r="L4" s="49" t="s">
        <v>26</v>
      </c>
    </row>
    <row r="5" spans="1:12" x14ac:dyDescent="0.35">
      <c r="A5" s="66" t="s">
        <v>92</v>
      </c>
      <c r="B5" s="67" t="s">
        <v>92</v>
      </c>
      <c r="C5" s="67">
        <v>11.759</v>
      </c>
      <c r="D5" s="67">
        <v>6.25</v>
      </c>
      <c r="E5" s="67">
        <v>5.5106105804443359</v>
      </c>
      <c r="F5" s="67">
        <v>34.441314697265625</v>
      </c>
      <c r="H5" t="s">
        <v>104</v>
      </c>
      <c r="I5" t="s">
        <v>103</v>
      </c>
      <c r="J5" s="65">
        <f>AVERAGE(F14:F17)</f>
        <v>9.8374634774990675</v>
      </c>
      <c r="K5" s="37">
        <f>STDEV(F14:F17)</f>
        <v>2.1985403467936737</v>
      </c>
      <c r="L5" s="49" t="s">
        <v>26</v>
      </c>
    </row>
    <row r="6" spans="1:12" x14ac:dyDescent="0.35">
      <c r="A6" s="66" t="s">
        <v>97</v>
      </c>
      <c r="B6" s="67" t="s">
        <v>97</v>
      </c>
      <c r="C6" s="67">
        <v>11.8325</v>
      </c>
      <c r="D6" s="67">
        <v>6.25</v>
      </c>
      <c r="E6" s="67">
        <v>5.904622629383165</v>
      </c>
      <c r="F6" s="67">
        <v>36.90389143364478</v>
      </c>
      <c r="H6" t="s">
        <v>108</v>
      </c>
      <c r="I6" t="s">
        <v>107</v>
      </c>
      <c r="J6" s="65">
        <f>AVERAGE(F18:F21)</f>
        <v>17.942665634155276</v>
      </c>
      <c r="K6" s="37">
        <f>STDEV(F18:F21)</f>
        <v>0.95597487941277282</v>
      </c>
      <c r="L6" s="49" t="s">
        <v>12</v>
      </c>
    </row>
    <row r="7" spans="1:12" x14ac:dyDescent="0.35">
      <c r="A7" s="66" t="s">
        <v>97</v>
      </c>
      <c r="B7" s="67" t="s">
        <v>97</v>
      </c>
      <c r="C7" s="67">
        <v>11.246</v>
      </c>
      <c r="D7" s="67">
        <v>6.25</v>
      </c>
      <c r="E7" s="67">
        <v>5.9488928203896405</v>
      </c>
      <c r="F7" s="67">
        <v>37.180580127435256</v>
      </c>
      <c r="H7" t="s">
        <v>111</v>
      </c>
      <c r="I7" t="s">
        <v>110</v>
      </c>
      <c r="J7" s="65">
        <f>AVERAGE(F22:F25)</f>
        <v>18.24781675338745</v>
      </c>
      <c r="K7" s="37">
        <f>STDEV(F22:F25)</f>
        <v>0.82123460864339914</v>
      </c>
      <c r="L7" s="49" t="s">
        <v>12</v>
      </c>
    </row>
    <row r="8" spans="1:12" x14ac:dyDescent="0.35">
      <c r="A8" s="66" t="s">
        <v>97</v>
      </c>
      <c r="B8" s="67" t="s">
        <v>97</v>
      </c>
      <c r="C8" s="67">
        <v>10.318</v>
      </c>
      <c r="D8" s="67">
        <v>6.25</v>
      </c>
      <c r="E8" s="67">
        <v>5.3281621932983398</v>
      </c>
      <c r="F8" s="67">
        <v>33.301013946533203</v>
      </c>
    </row>
    <row r="9" spans="1:12" x14ac:dyDescent="0.35">
      <c r="A9" s="66" t="s">
        <v>97</v>
      </c>
      <c r="B9" s="67" t="s">
        <v>97</v>
      </c>
      <c r="C9" s="67">
        <v>11.7315</v>
      </c>
      <c r="D9" s="67">
        <v>6.25</v>
      </c>
      <c r="E9" s="67">
        <v>5.3358573913574219</v>
      </c>
      <c r="F9" s="67">
        <v>33.349109649658203</v>
      </c>
    </row>
    <row r="10" spans="1:12" x14ac:dyDescent="0.35">
      <c r="A10" s="66" t="s">
        <v>100</v>
      </c>
      <c r="B10" s="67" t="s">
        <v>65</v>
      </c>
      <c r="C10" s="67">
        <v>14.786</v>
      </c>
      <c r="D10" s="67">
        <v>6.25</v>
      </c>
      <c r="E10" s="67">
        <v>1.7278618812561035</v>
      </c>
      <c r="F10" s="67">
        <v>10.799137115478516</v>
      </c>
    </row>
    <row r="11" spans="1:12" x14ac:dyDescent="0.35">
      <c r="A11" s="66" t="s">
        <v>100</v>
      </c>
      <c r="B11" s="67" t="s">
        <v>65</v>
      </c>
      <c r="C11" s="67">
        <v>11.254</v>
      </c>
      <c r="D11" s="67">
        <v>6.25</v>
      </c>
      <c r="E11" s="67">
        <v>1.6944814920425415</v>
      </c>
      <c r="F11" s="67">
        <v>10.590509414672852</v>
      </c>
    </row>
    <row r="12" spans="1:12" x14ac:dyDescent="0.35">
      <c r="A12" s="66" t="s">
        <v>100</v>
      </c>
      <c r="B12" s="67" t="s">
        <v>65</v>
      </c>
      <c r="C12" s="67">
        <v>16.834</v>
      </c>
      <c r="D12" s="67">
        <v>6.25</v>
      </c>
      <c r="E12" s="67">
        <v>1.6167840957641602</v>
      </c>
      <c r="F12" s="67">
        <v>10.104900360107422</v>
      </c>
    </row>
    <row r="13" spans="1:12" x14ac:dyDescent="0.35">
      <c r="A13" s="66" t="s">
        <v>100</v>
      </c>
      <c r="B13" s="67" t="s">
        <v>65</v>
      </c>
      <c r="C13" s="67">
        <v>16.714500000000001</v>
      </c>
      <c r="D13" s="67">
        <v>6.25</v>
      </c>
      <c r="E13" s="67">
        <v>1.7659381628036499</v>
      </c>
      <c r="F13" s="67">
        <v>11.037113189697266</v>
      </c>
    </row>
    <row r="14" spans="1:12" x14ac:dyDescent="0.35">
      <c r="A14" s="66" t="s">
        <v>104</v>
      </c>
      <c r="B14" s="67" t="s">
        <v>165</v>
      </c>
      <c r="C14" s="67">
        <v>11.6745</v>
      </c>
      <c r="D14" s="67">
        <v>6.25</v>
      </c>
      <c r="E14" s="67">
        <v>1.673936834534008</v>
      </c>
      <c r="F14" s="67">
        <v>10.46210521583755</v>
      </c>
    </row>
    <row r="15" spans="1:12" x14ac:dyDescent="0.35">
      <c r="A15" s="66" t="s">
        <v>104</v>
      </c>
      <c r="B15" s="67" t="s">
        <v>165</v>
      </c>
      <c r="C15" s="67">
        <v>13.115500000000001</v>
      </c>
      <c r="D15" s="67">
        <v>6.25</v>
      </c>
      <c r="E15" s="67">
        <v>1.6940359458505514</v>
      </c>
      <c r="F15" s="67">
        <v>10.587724661565947</v>
      </c>
    </row>
    <row r="16" spans="1:12" x14ac:dyDescent="0.35">
      <c r="A16" s="66" t="s">
        <v>104</v>
      </c>
      <c r="B16" s="67" t="s">
        <v>165</v>
      </c>
      <c r="C16" s="67">
        <v>13.5105</v>
      </c>
      <c r="D16" s="67">
        <v>6.25</v>
      </c>
      <c r="E16" s="67">
        <v>1.8656384944915771</v>
      </c>
      <c r="F16" s="67">
        <v>11.660240173339844</v>
      </c>
    </row>
    <row r="17" spans="1:6" x14ac:dyDescent="0.35">
      <c r="A17" s="66" t="s">
        <v>104</v>
      </c>
      <c r="B17" s="67" t="s">
        <v>165</v>
      </c>
      <c r="C17" s="67">
        <v>13.278</v>
      </c>
      <c r="D17" s="67">
        <v>6.25</v>
      </c>
      <c r="E17" s="67">
        <v>1.0623654127120972</v>
      </c>
      <c r="F17" s="67">
        <v>6.6397838592529297</v>
      </c>
    </row>
    <row r="18" spans="1:6" x14ac:dyDescent="0.35">
      <c r="A18" s="66" t="s">
        <v>108</v>
      </c>
      <c r="B18" s="67" t="s">
        <v>166</v>
      </c>
      <c r="C18" s="67">
        <v>11.680999999999999</v>
      </c>
      <c r="D18" s="67">
        <v>6.25</v>
      </c>
      <c r="E18" s="67">
        <v>2.76</v>
      </c>
      <c r="F18" s="67">
        <v>17.23</v>
      </c>
    </row>
    <row r="19" spans="1:6" x14ac:dyDescent="0.35">
      <c r="A19" s="66" t="s">
        <v>108</v>
      </c>
      <c r="B19" s="67" t="s">
        <v>166</v>
      </c>
      <c r="C19" s="67">
        <v>10.055999999999999</v>
      </c>
      <c r="D19" s="67">
        <v>6.25</v>
      </c>
      <c r="E19" s="67">
        <v>2.72</v>
      </c>
      <c r="F19" s="67">
        <v>17.010000000000002</v>
      </c>
    </row>
    <row r="20" spans="1:6" x14ac:dyDescent="0.35">
      <c r="A20" s="66" t="s">
        <v>108</v>
      </c>
      <c r="B20" s="67" t="s">
        <v>166</v>
      </c>
      <c r="C20" s="67">
        <v>12.845499999999999</v>
      </c>
      <c r="D20" s="67">
        <v>6.25</v>
      </c>
      <c r="E20" s="67">
        <v>3.0139625072479248</v>
      </c>
      <c r="F20" s="67">
        <v>18.837265014648438</v>
      </c>
    </row>
    <row r="21" spans="1:6" x14ac:dyDescent="0.35">
      <c r="A21" s="66" t="s">
        <v>108</v>
      </c>
      <c r="B21" s="67" t="s">
        <v>166</v>
      </c>
      <c r="C21" s="67">
        <v>10.188499999999999</v>
      </c>
      <c r="D21" s="67">
        <v>6.25</v>
      </c>
      <c r="E21" s="67">
        <v>2.9909436702728271</v>
      </c>
      <c r="F21" s="67">
        <v>18.693397521972656</v>
      </c>
    </row>
    <row r="22" spans="1:6" x14ac:dyDescent="0.35">
      <c r="A22" s="66" t="s">
        <v>111</v>
      </c>
      <c r="B22" s="67" t="s">
        <v>167</v>
      </c>
      <c r="C22" s="67">
        <v>11.535</v>
      </c>
      <c r="D22" s="67">
        <v>6.25</v>
      </c>
      <c r="E22" s="67">
        <v>2.72</v>
      </c>
      <c r="F22" s="67">
        <v>17.03</v>
      </c>
    </row>
    <row r="23" spans="1:6" x14ac:dyDescent="0.35">
      <c r="A23" s="66" t="s">
        <v>111</v>
      </c>
      <c r="B23" s="67" t="s">
        <v>167</v>
      </c>
      <c r="C23" s="67">
        <v>11.789</v>
      </c>
      <c r="D23" s="67">
        <v>6.25</v>
      </c>
      <c r="E23" s="67">
        <v>2.96</v>
      </c>
      <c r="F23" s="67">
        <v>18.52</v>
      </c>
    </row>
    <row r="24" spans="1:6" x14ac:dyDescent="0.35">
      <c r="A24" s="66" t="s">
        <v>111</v>
      </c>
      <c r="B24" s="67" t="s">
        <v>167</v>
      </c>
      <c r="C24" s="67">
        <v>13.823</v>
      </c>
      <c r="D24" s="67">
        <v>6.25</v>
      </c>
      <c r="E24" s="67">
        <v>3.0108988285064697</v>
      </c>
      <c r="F24" s="67">
        <v>18.818117141723633</v>
      </c>
    </row>
    <row r="25" spans="1:6" x14ac:dyDescent="0.35">
      <c r="A25" s="66" t="s">
        <v>111</v>
      </c>
      <c r="B25" s="67" t="s">
        <v>167</v>
      </c>
      <c r="C25" s="67">
        <v>14.49</v>
      </c>
      <c r="D25" s="67">
        <v>6.25</v>
      </c>
      <c r="E25" s="67">
        <v>2.9797039031982422</v>
      </c>
      <c r="F25" s="67">
        <v>18.623149871826172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A712-B720-4F7E-A097-CC8BD27733DD}">
  <dimension ref="A1:N25"/>
  <sheetViews>
    <sheetView zoomScale="54" workbookViewId="0">
      <selection activeCell="L28" sqref="L28"/>
    </sheetView>
  </sheetViews>
  <sheetFormatPr defaultRowHeight="14.5" x14ac:dyDescent="0.35"/>
  <sheetData>
    <row r="1" spans="1:14" x14ac:dyDescent="0.35">
      <c r="A1" s="1" t="s">
        <v>88</v>
      </c>
      <c r="B1" s="1" t="s">
        <v>45</v>
      </c>
      <c r="C1" s="1" t="s">
        <v>174</v>
      </c>
      <c r="D1" s="1" t="s">
        <v>175</v>
      </c>
      <c r="E1" s="1" t="s">
        <v>176</v>
      </c>
      <c r="F1" s="1"/>
      <c r="G1" s="1" t="s">
        <v>177</v>
      </c>
      <c r="I1" s="34" t="s">
        <v>88</v>
      </c>
      <c r="J1" s="34" t="s">
        <v>45</v>
      </c>
      <c r="L1" s="1" t="s">
        <v>6</v>
      </c>
      <c r="M1" s="1" t="s">
        <v>7</v>
      </c>
      <c r="N1" s="34" t="s">
        <v>57</v>
      </c>
    </row>
    <row r="2" spans="1:14" x14ac:dyDescent="0.35">
      <c r="A2" t="s">
        <v>92</v>
      </c>
      <c r="B2" s="67" t="s">
        <v>178</v>
      </c>
      <c r="C2">
        <v>3.0407000000000002</v>
      </c>
      <c r="D2">
        <v>101.7281</v>
      </c>
      <c r="E2">
        <v>103.15689999999999</v>
      </c>
      <c r="F2">
        <f t="shared" ref="F2:F25" si="0">E2-D2</f>
        <v>1.4287999999999954</v>
      </c>
      <c r="G2">
        <f>F2/C2*100</f>
        <v>46.989180122997844</v>
      </c>
      <c r="K2" t="s">
        <v>92</v>
      </c>
      <c r="L2" s="65">
        <f>AVERAGE(G2:G5)</f>
        <v>48.546350545645758</v>
      </c>
      <c r="M2" s="37">
        <f>STDEV(G2:G5)</f>
        <v>2.0503465405973049</v>
      </c>
      <c r="N2" s="49" t="s">
        <v>10</v>
      </c>
    </row>
    <row r="3" spans="1:14" x14ac:dyDescent="0.35">
      <c r="A3" t="s">
        <v>92</v>
      </c>
      <c r="B3" s="67" t="s">
        <v>179</v>
      </c>
      <c r="C3">
        <v>3.0289999999999999</v>
      </c>
      <c r="D3">
        <v>107.5423</v>
      </c>
      <c r="E3">
        <v>108.9571</v>
      </c>
      <c r="F3">
        <f t="shared" si="0"/>
        <v>1.4147999999999996</v>
      </c>
      <c r="G3">
        <f>F3/C3*100</f>
        <v>46.708484648398802</v>
      </c>
      <c r="K3" t="s">
        <v>97</v>
      </c>
      <c r="L3" s="65">
        <f>AVERAGE(G6:G9)</f>
        <v>36.688591123619545</v>
      </c>
      <c r="M3" s="37">
        <f>STDEV(G6:G9)</f>
        <v>0.81772675036879072</v>
      </c>
      <c r="N3" s="49" t="s">
        <v>12</v>
      </c>
    </row>
    <row r="4" spans="1:14" x14ac:dyDescent="0.35">
      <c r="A4" t="s">
        <v>92</v>
      </c>
      <c r="B4" s="67" t="s">
        <v>180</v>
      </c>
      <c r="C4">
        <v>4.0533999999999999</v>
      </c>
      <c r="D4">
        <v>107.6417</v>
      </c>
      <c r="E4">
        <v>109.7076</v>
      </c>
      <c r="F4">
        <f t="shared" si="0"/>
        <v>2.0658999999999992</v>
      </c>
      <c r="G4">
        <f t="shared" ref="G4:G25" si="1">F4/C4*100</f>
        <v>50.967089357082926</v>
      </c>
      <c r="I4" t="s">
        <v>99</v>
      </c>
      <c r="J4" t="s">
        <v>100</v>
      </c>
      <c r="K4" t="s">
        <v>169</v>
      </c>
      <c r="L4" s="65">
        <f>AVERAGE(G10:G13)</f>
        <v>2.038523233435876</v>
      </c>
      <c r="M4" s="37">
        <f>STDEV(G10:G13)</f>
        <v>0.12335317307747629</v>
      </c>
      <c r="N4" s="49" t="s">
        <v>181</v>
      </c>
    </row>
    <row r="5" spans="1:14" x14ac:dyDescent="0.35">
      <c r="A5" t="s">
        <v>92</v>
      </c>
      <c r="B5" s="67" t="s">
        <v>182</v>
      </c>
      <c r="C5">
        <v>4.0366999999999997</v>
      </c>
      <c r="D5">
        <v>107.6228</v>
      </c>
      <c r="E5">
        <v>109.62179999999999</v>
      </c>
      <c r="F5">
        <f t="shared" si="0"/>
        <v>1.9989999999999952</v>
      </c>
      <c r="G5">
        <f t="shared" si="1"/>
        <v>49.520648054103482</v>
      </c>
      <c r="I5" t="s">
        <v>103</v>
      </c>
      <c r="J5" t="s">
        <v>104</v>
      </c>
      <c r="K5" t="s">
        <v>171</v>
      </c>
      <c r="L5" s="65">
        <f>AVERAGE(G14:G17)</f>
        <v>2.8097170006723018</v>
      </c>
      <c r="M5" s="37">
        <f>STDEV(G14:G17)</f>
        <v>0.84869016949993381</v>
      </c>
      <c r="N5" s="49" t="s">
        <v>181</v>
      </c>
    </row>
    <row r="6" spans="1:14" x14ac:dyDescent="0.35">
      <c r="A6" t="s">
        <v>97</v>
      </c>
      <c r="B6" s="67" t="s">
        <v>183</v>
      </c>
      <c r="C6">
        <v>3.0605000000000002</v>
      </c>
      <c r="D6">
        <v>103.91759999999999</v>
      </c>
      <c r="E6">
        <v>105.0261</v>
      </c>
      <c r="F6">
        <f t="shared" si="0"/>
        <v>1.1085000000000065</v>
      </c>
      <c r="G6">
        <f t="shared" si="1"/>
        <v>36.219571965365347</v>
      </c>
      <c r="I6" t="s">
        <v>107</v>
      </c>
      <c r="J6" t="s">
        <v>108</v>
      </c>
      <c r="K6" t="s">
        <v>194</v>
      </c>
      <c r="L6" s="65">
        <f>AVERAGE(G18:G21)</f>
        <v>14.856698327134394</v>
      </c>
      <c r="M6" s="37">
        <f>STDEV(G18:G21)</f>
        <v>1.0050222559703401</v>
      </c>
      <c r="N6" s="49" t="s">
        <v>26</v>
      </c>
    </row>
    <row r="7" spans="1:14" x14ac:dyDescent="0.35">
      <c r="A7" t="s">
        <v>97</v>
      </c>
      <c r="B7" s="67" t="s">
        <v>184</v>
      </c>
      <c r="C7">
        <v>3.0198999999999998</v>
      </c>
      <c r="D7">
        <v>110.33620000000001</v>
      </c>
      <c r="E7">
        <v>111.4175</v>
      </c>
      <c r="F7">
        <f t="shared" si="0"/>
        <v>1.0812999999999988</v>
      </c>
      <c r="G7">
        <f t="shared" si="1"/>
        <v>35.805821384814031</v>
      </c>
      <c r="I7" t="s">
        <v>110</v>
      </c>
      <c r="J7" t="s">
        <v>111</v>
      </c>
      <c r="K7" t="s">
        <v>196</v>
      </c>
      <c r="L7" s="65">
        <f>AVERAGE(G22:G25)</f>
        <v>10.676234890490246</v>
      </c>
      <c r="M7" s="37">
        <f>STDEV(G22:G25)</f>
        <v>1.2107046188954682</v>
      </c>
      <c r="N7" s="49" t="s">
        <v>58</v>
      </c>
    </row>
    <row r="8" spans="1:14" x14ac:dyDescent="0.35">
      <c r="A8" t="s">
        <v>97</v>
      </c>
      <c r="B8" s="67" t="s">
        <v>185</v>
      </c>
      <c r="C8">
        <v>3.0175999999999998</v>
      </c>
      <c r="D8">
        <v>108.20489999999999</v>
      </c>
      <c r="E8">
        <v>109.3259</v>
      </c>
      <c r="F8">
        <f t="shared" si="0"/>
        <v>1.1210000000000093</v>
      </c>
      <c r="G8">
        <f t="shared" si="1"/>
        <v>37.148727465535835</v>
      </c>
    </row>
    <row r="9" spans="1:14" x14ac:dyDescent="0.35">
      <c r="A9" t="s">
        <v>97</v>
      </c>
      <c r="B9" s="67" t="s">
        <v>186</v>
      </c>
      <c r="C9">
        <v>3.0531999999999999</v>
      </c>
      <c r="D9">
        <v>107.0917</v>
      </c>
      <c r="E9">
        <v>108.23909999999999</v>
      </c>
      <c r="F9">
        <f t="shared" si="0"/>
        <v>1.1473999999999904</v>
      </c>
      <c r="G9">
        <f t="shared" si="1"/>
        <v>37.580243678762955</v>
      </c>
    </row>
    <row r="10" spans="1:14" x14ac:dyDescent="0.35">
      <c r="A10" t="s">
        <v>100</v>
      </c>
      <c r="B10" s="67" t="s">
        <v>187</v>
      </c>
      <c r="C10">
        <v>5.0726000000000004</v>
      </c>
      <c r="D10">
        <v>108.2898</v>
      </c>
      <c r="E10">
        <v>108.38679999999999</v>
      </c>
      <c r="F10">
        <f t="shared" si="0"/>
        <v>9.6999999999994202E-2</v>
      </c>
      <c r="G10">
        <f t="shared" si="1"/>
        <v>1.9122343571342939</v>
      </c>
    </row>
    <row r="11" spans="1:14" x14ac:dyDescent="0.35">
      <c r="A11" t="s">
        <v>100</v>
      </c>
      <c r="B11" s="67" t="s">
        <v>188</v>
      </c>
      <c r="C11">
        <v>4.7252999999999998</v>
      </c>
      <c r="D11">
        <v>99.805499999999995</v>
      </c>
      <c r="E11">
        <v>99.897800000000004</v>
      </c>
      <c r="F11">
        <f t="shared" si="0"/>
        <v>9.2300000000008708E-2</v>
      </c>
      <c r="G11">
        <f t="shared" si="1"/>
        <v>1.9533151334308658</v>
      </c>
    </row>
    <row r="12" spans="1:14" x14ac:dyDescent="0.35">
      <c r="A12" t="s">
        <v>100</v>
      </c>
      <c r="B12" s="67" t="s">
        <v>189</v>
      </c>
      <c r="C12">
        <v>5.0038999999999998</v>
      </c>
      <c r="D12">
        <v>104.71420000000001</v>
      </c>
      <c r="E12">
        <v>104.8218</v>
      </c>
      <c r="F12">
        <f t="shared" si="0"/>
        <v>0.10759999999999081</v>
      </c>
      <c r="G12">
        <f t="shared" si="1"/>
        <v>2.1503227482561766</v>
      </c>
    </row>
    <row r="13" spans="1:14" x14ac:dyDescent="0.35">
      <c r="A13" t="s">
        <v>100</v>
      </c>
      <c r="B13" s="67" t="s">
        <v>190</v>
      </c>
      <c r="C13" s="68">
        <v>1.0476000000000001</v>
      </c>
      <c r="D13" s="68">
        <v>105.1926</v>
      </c>
      <c r="E13" s="68">
        <v>105.215</v>
      </c>
      <c r="F13" s="68">
        <f t="shared" si="0"/>
        <v>2.2400000000004638E-2</v>
      </c>
      <c r="G13" s="68">
        <f t="shared" si="1"/>
        <v>2.1382206949221683</v>
      </c>
    </row>
    <row r="14" spans="1:14" x14ac:dyDescent="0.35">
      <c r="A14" t="s">
        <v>104</v>
      </c>
      <c r="B14" s="67" t="s">
        <v>191</v>
      </c>
      <c r="C14">
        <v>5.0594999999999999</v>
      </c>
      <c r="D14">
        <v>107.2298</v>
      </c>
      <c r="E14">
        <v>107.3775</v>
      </c>
      <c r="F14">
        <f t="shared" si="0"/>
        <v>0.14770000000000039</v>
      </c>
      <c r="G14">
        <f t="shared" si="1"/>
        <v>2.9192607965214035</v>
      </c>
    </row>
    <row r="15" spans="1:14" x14ac:dyDescent="0.35">
      <c r="A15" t="s">
        <v>104</v>
      </c>
      <c r="B15" s="67" t="s">
        <v>192</v>
      </c>
      <c r="C15">
        <v>5.0519999999999996</v>
      </c>
      <c r="D15">
        <v>107.80249999999999</v>
      </c>
      <c r="E15">
        <v>108.003</v>
      </c>
      <c r="F15">
        <f t="shared" si="0"/>
        <v>0.20050000000000523</v>
      </c>
      <c r="G15">
        <f t="shared" si="1"/>
        <v>3.968725257323936</v>
      </c>
    </row>
    <row r="16" spans="1:14" x14ac:dyDescent="0.35">
      <c r="A16" t="s">
        <v>104</v>
      </c>
      <c r="B16" s="67" t="s">
        <v>193</v>
      </c>
      <c r="C16">
        <v>5.0740999999999996</v>
      </c>
      <c r="D16">
        <v>99.7517</v>
      </c>
      <c r="E16">
        <v>99.861000000000004</v>
      </c>
      <c r="F16">
        <f t="shared" si="0"/>
        <v>0.10930000000000462</v>
      </c>
      <c r="G16">
        <f t="shared" si="1"/>
        <v>2.154076585010241</v>
      </c>
    </row>
    <row r="17" spans="1:7" x14ac:dyDescent="0.35">
      <c r="A17" t="s">
        <v>104</v>
      </c>
      <c r="B17" s="67" t="s">
        <v>192</v>
      </c>
      <c r="C17">
        <v>5.0709999999999997</v>
      </c>
      <c r="D17">
        <v>106.1643</v>
      </c>
      <c r="E17">
        <v>106.2757</v>
      </c>
      <c r="F17">
        <f t="shared" si="0"/>
        <v>0.11140000000000327</v>
      </c>
      <c r="G17">
        <f t="shared" si="1"/>
        <v>2.196805363833628</v>
      </c>
    </row>
    <row r="18" spans="1:7" x14ac:dyDescent="0.35">
      <c r="A18" t="s">
        <v>108</v>
      </c>
      <c r="B18" s="67" t="s">
        <v>195</v>
      </c>
      <c r="C18">
        <v>4.1589999999999998</v>
      </c>
      <c r="D18">
        <v>107.3374</v>
      </c>
      <c r="E18">
        <v>107.9892</v>
      </c>
      <c r="F18">
        <f t="shared" si="0"/>
        <v>0.65179999999999438</v>
      </c>
      <c r="G18">
        <f t="shared" si="1"/>
        <v>15.672036547246801</v>
      </c>
    </row>
    <row r="19" spans="1:7" x14ac:dyDescent="0.35">
      <c r="A19" t="s">
        <v>108</v>
      </c>
      <c r="B19" s="67" t="s">
        <v>197</v>
      </c>
      <c r="C19">
        <v>4.0418000000000003</v>
      </c>
      <c r="D19">
        <v>105.55200000000001</v>
      </c>
      <c r="E19">
        <v>106.18980000000001</v>
      </c>
      <c r="F19">
        <f t="shared" si="0"/>
        <v>0.63779999999999859</v>
      </c>
      <c r="G19">
        <f t="shared" si="1"/>
        <v>15.780097976149204</v>
      </c>
    </row>
    <row r="20" spans="1:7" x14ac:dyDescent="0.35">
      <c r="A20" t="s">
        <v>108</v>
      </c>
      <c r="B20" s="67" t="s">
        <v>198</v>
      </c>
      <c r="C20">
        <v>5.0415999999999999</v>
      </c>
      <c r="D20">
        <v>99.464200000000005</v>
      </c>
      <c r="E20">
        <v>100.17059999999999</v>
      </c>
      <c r="F20">
        <f t="shared" si="0"/>
        <v>0.70639999999998793</v>
      </c>
      <c r="G20">
        <f t="shared" si="1"/>
        <v>14.011424944461837</v>
      </c>
    </row>
    <row r="21" spans="1:7" x14ac:dyDescent="0.35">
      <c r="A21" t="s">
        <v>108</v>
      </c>
      <c r="B21" s="67" t="s">
        <v>199</v>
      </c>
      <c r="C21">
        <v>5.0590000000000002</v>
      </c>
      <c r="D21">
        <v>99.464200000000005</v>
      </c>
      <c r="E21">
        <v>100.17059999999999</v>
      </c>
      <c r="F21">
        <f t="shared" si="0"/>
        <v>0.70639999999998793</v>
      </c>
      <c r="G21">
        <f t="shared" si="1"/>
        <v>13.963233840679736</v>
      </c>
    </row>
    <row r="22" spans="1:7" x14ac:dyDescent="0.35">
      <c r="A22" t="s">
        <v>111</v>
      </c>
      <c r="B22" s="67" t="s">
        <v>200</v>
      </c>
      <c r="C22">
        <v>4.0185000000000004</v>
      </c>
      <c r="D22">
        <v>98.062100000000001</v>
      </c>
      <c r="E22">
        <v>98.533500000000004</v>
      </c>
      <c r="F22">
        <f t="shared" si="0"/>
        <v>0.47140000000000271</v>
      </c>
      <c r="G22">
        <f t="shared" si="1"/>
        <v>11.730745302973812</v>
      </c>
    </row>
    <row r="23" spans="1:7" x14ac:dyDescent="0.35">
      <c r="A23" t="s">
        <v>111</v>
      </c>
      <c r="B23" s="67" t="s">
        <v>201</v>
      </c>
      <c r="C23">
        <v>4.0586000000000002</v>
      </c>
      <c r="D23">
        <v>107.7687</v>
      </c>
      <c r="E23">
        <v>108.2443</v>
      </c>
      <c r="F23">
        <f t="shared" si="0"/>
        <v>0.47560000000000002</v>
      </c>
      <c r="G23">
        <f t="shared" si="1"/>
        <v>11.718326516532795</v>
      </c>
    </row>
    <row r="24" spans="1:7" x14ac:dyDescent="0.35">
      <c r="A24" t="s">
        <v>111</v>
      </c>
      <c r="B24" s="67" t="s">
        <v>202</v>
      </c>
      <c r="C24">
        <v>5.0206</v>
      </c>
      <c r="D24">
        <v>109.2169</v>
      </c>
      <c r="E24">
        <v>109.7017</v>
      </c>
      <c r="F24">
        <f t="shared" si="0"/>
        <v>0.484800000000007</v>
      </c>
      <c r="G24">
        <f t="shared" si="1"/>
        <v>9.6562163884796046</v>
      </c>
    </row>
    <row r="25" spans="1:7" x14ac:dyDescent="0.35">
      <c r="A25" t="s">
        <v>111</v>
      </c>
      <c r="B25" s="67" t="s">
        <v>203</v>
      </c>
      <c r="C25">
        <v>5.0480999999999998</v>
      </c>
      <c r="D25">
        <v>106.97799999999999</v>
      </c>
      <c r="E25">
        <v>107.46259999999999</v>
      </c>
      <c r="F25">
        <f t="shared" si="0"/>
        <v>0.48460000000000036</v>
      </c>
      <c r="G25">
        <f t="shared" si="1"/>
        <v>9.599651353974771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WAC WSI</vt:lpstr>
      <vt:lpstr>OAI</vt:lpstr>
      <vt:lpstr>Bulk</vt:lpstr>
      <vt:lpstr>pH</vt:lpstr>
      <vt:lpstr>Alpha-amylase</vt:lpstr>
      <vt:lpstr>Moisture</vt:lpstr>
      <vt:lpstr>Fibre and Ash</vt:lpstr>
      <vt:lpstr>Protein</vt:lpstr>
      <vt:lpstr>Lipid</vt:lpstr>
      <vt:lpstr>Carbohydrates and Energy</vt:lpstr>
      <vt:lpstr>Phytic acid</vt:lpstr>
      <vt:lpstr>Viscosity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Ngadze, Ruth Tambudzai</cp:lastModifiedBy>
  <dcterms:created xsi:type="dcterms:W3CDTF">2023-08-31T07:39:31Z</dcterms:created>
  <dcterms:modified xsi:type="dcterms:W3CDTF">2023-09-04T07:50:07Z</dcterms:modified>
</cp:coreProperties>
</file>