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t-my.sharepoint.com/personal/husain_patel_lut_fi/Documents/PhD/1st article hydrogen/EES/Revised/"/>
    </mc:Choice>
  </mc:AlternateContent>
  <xr:revisionPtr revIDLastSave="969" documentId="8_{C1CDA7EB-E91C-4A52-B9B5-30A9F0B880B3}" xr6:coauthVersionLast="47" xr6:coauthVersionMax="47" xr10:uidLastSave="{6D8988CD-DBC4-469F-BC0C-9802B05AAE68}"/>
  <bookViews>
    <workbookView xWindow="-110" yWindow="-110" windowWidth="19420" windowHeight="10420" firstSheet="4" activeTab="8" xr2:uid="{1F1123A4-33AE-41BD-964D-BE5E242D9AD4}"/>
  </bookViews>
  <sheets>
    <sheet name="References" sheetId="1" r:id="rId1"/>
    <sheet name="SMR" sheetId="11" r:id="rId2"/>
    <sheet name="SMR-CCS" sheetId="10" r:id="rId3"/>
    <sheet name="PEM electrolyser" sheetId="12" r:id="rId4"/>
    <sheet name="TDM" sheetId="3" r:id="rId5"/>
    <sheet name="Other inventory" sheetId="7" r:id="rId6"/>
    <sheet name="Background data" sheetId="24" r:id="rId7"/>
    <sheet name="Electricity mix" sheetId="5" r:id="rId8"/>
    <sheet name="Results " sheetId="16" r:id="rId9"/>
    <sheet name="Carbon Black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5" l="1"/>
  <c r="C18" i="25"/>
  <c r="C17" i="25"/>
  <c r="C6" i="25"/>
  <c r="C7" i="25" s="1"/>
  <c r="C8" i="25" s="1"/>
  <c r="C9" i="25" s="1"/>
  <c r="C16" i="25" s="1"/>
  <c r="C21" i="25"/>
  <c r="C39" i="25"/>
  <c r="C20" i="25" l="1"/>
  <c r="C22" i="25" s="1"/>
  <c r="C24" i="25" s="1"/>
  <c r="C5" i="3"/>
  <c r="C8" i="3"/>
  <c r="C7" i="3"/>
  <c r="C4" i="3"/>
  <c r="E40" i="3"/>
  <c r="E39" i="3"/>
  <c r="E35" i="3"/>
  <c r="E33" i="3"/>
  <c r="I16" i="16"/>
  <c r="C8" i="12"/>
  <c r="C7" i="12"/>
  <c r="C6" i="12"/>
  <c r="C43" i="12"/>
  <c r="C25" i="25" l="1"/>
  <c r="C26" i="25" s="1"/>
  <c r="C30" i="25" s="1"/>
  <c r="C40" i="25"/>
  <c r="C31" i="25"/>
  <c r="C15" i="7"/>
  <c r="E33" i="12"/>
  <c r="G30" i="12" s="1"/>
  <c r="E20" i="12"/>
  <c r="C8" i="11"/>
  <c r="E39" i="11"/>
  <c r="E33" i="11"/>
  <c r="G37" i="11"/>
  <c r="C9" i="11"/>
  <c r="E38" i="11"/>
  <c r="G52" i="11"/>
  <c r="G53" i="11"/>
  <c r="L54" i="10"/>
  <c r="F54" i="10"/>
  <c r="L53" i="10"/>
  <c r="C5" i="10"/>
  <c r="F53" i="10"/>
  <c r="C8" i="10" s="1"/>
  <c r="C5" i="11"/>
  <c r="G47" i="11"/>
  <c r="E57" i="16"/>
  <c r="D57" i="16"/>
  <c r="C57" i="16"/>
  <c r="J16" i="16"/>
  <c r="H16" i="16"/>
  <c r="G16" i="16"/>
  <c r="F16" i="16"/>
  <c r="E16" i="16"/>
  <c r="D16" i="16"/>
  <c r="C16" i="16"/>
  <c r="E20" i="11"/>
  <c r="C4" i="11" s="1"/>
  <c r="C4" i="12" l="1"/>
  <c r="C7" i="10"/>
  <c r="C27" i="7"/>
  <c r="E18" i="10"/>
  <c r="J18" i="10"/>
  <c r="G33" i="10"/>
  <c r="F48" i="10"/>
  <c r="L48" i="10" s="1"/>
  <c r="C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</author>
  </authors>
  <commentList>
    <comment ref="D3" authorId="0" shapeId="0" xr:uid="{B60657AC-ACDA-4B4A-B59C-C8A988562E20}">
      <text>
        <r>
          <rPr>
            <b/>
            <sz val="9"/>
            <color indexed="81"/>
            <rFont val="Tahoma"/>
            <family val="2"/>
          </rPr>
          <t>jh:</t>
        </r>
        <r>
          <rPr>
            <sz val="9"/>
            <color indexed="81"/>
            <rFont val="Tahoma"/>
            <family val="2"/>
          </rPr>
          <t xml:space="preserve">
Tarvitseeko jokaisessa mainita Consequential, kun nämä on kaikki sitä.</t>
        </r>
      </text>
    </comment>
  </commentList>
</comments>
</file>

<file path=xl/sharedStrings.xml><?xml version="1.0" encoding="utf-8"?>
<sst xmlns="http://schemas.openxmlformats.org/spreadsheetml/2006/main" count="693" uniqueCount="302">
  <si>
    <t>Parameter</t>
  </si>
  <si>
    <t>Value</t>
  </si>
  <si>
    <t>Unit</t>
  </si>
  <si>
    <t>External process</t>
  </si>
  <si>
    <t>Data source</t>
  </si>
  <si>
    <t>Process</t>
  </si>
  <si>
    <t>Diesel</t>
  </si>
  <si>
    <t>Wind</t>
  </si>
  <si>
    <t>Solar</t>
  </si>
  <si>
    <t>Renewable grid mix</t>
  </si>
  <si>
    <t>Havukainen, J., Saud, A., Astrup, T.F., Peltola, P., Horttanainen, M., 2022. Environmental performance of dewatered sewage sludge digestate utilization based on life cycle assessment. Waste Manag. 137, 210–221. https://doi.org/10.1016/j.wasman.2021.11.005</t>
  </si>
  <si>
    <t>Flows</t>
  </si>
  <si>
    <t>MJ</t>
  </si>
  <si>
    <t>Conversion</t>
  </si>
  <si>
    <t>kg</t>
  </si>
  <si>
    <t>-</t>
  </si>
  <si>
    <t xml:space="preserve">Nitrogen </t>
  </si>
  <si>
    <t>kg/Nm3 H2</t>
  </si>
  <si>
    <t>Carbondioxide emission</t>
  </si>
  <si>
    <t>electricity output</t>
  </si>
  <si>
    <t>kg/h</t>
  </si>
  <si>
    <t>t/h</t>
  </si>
  <si>
    <t>Hydrogen output</t>
  </si>
  <si>
    <t>Output</t>
  </si>
  <si>
    <t xml:space="preserve">Process water </t>
  </si>
  <si>
    <t>electricity input</t>
  </si>
  <si>
    <t>Natural gas Input</t>
  </si>
  <si>
    <t>Input</t>
  </si>
  <si>
    <t>units</t>
  </si>
  <si>
    <t>quantiity</t>
  </si>
  <si>
    <t xml:space="preserve">conversion </t>
  </si>
  <si>
    <t>conversion</t>
  </si>
  <si>
    <t>(CCS 54.1%)</t>
  </si>
  <si>
    <t>Carbon capture rate</t>
  </si>
  <si>
    <t>KWh</t>
  </si>
  <si>
    <t>1kg</t>
  </si>
  <si>
    <t xml:space="preserve">kg </t>
  </si>
  <si>
    <t xml:space="preserve"> (CCS 90%)</t>
  </si>
  <si>
    <t xml:space="preserve">KWh </t>
  </si>
  <si>
    <t xml:space="preserve"> kg</t>
  </si>
  <si>
    <t>Kg</t>
  </si>
  <si>
    <t xml:space="preserve">m^3 </t>
  </si>
  <si>
    <t>(CCS- 56%)</t>
  </si>
  <si>
    <t>Water use</t>
  </si>
  <si>
    <r>
      <t xml:space="preserve">Hermesmann, M., &amp; Müller, T. E. (2022). Green, Turquoise, Blue, or Grey? Environmentally friendly Hydrogen Production in Transforming Energy Systems. In </t>
    </r>
    <r>
      <rPr>
        <i/>
        <sz val="11"/>
        <color theme="1"/>
        <rFont val="Calibri"/>
        <family val="2"/>
        <scheme val="minor"/>
      </rPr>
      <t>Progress in Energy and Combustion Science</t>
    </r>
    <r>
      <rPr>
        <sz val="11"/>
        <color theme="1"/>
        <rFont val="Calibri"/>
        <family val="2"/>
        <scheme val="minor"/>
      </rPr>
      <t xml:space="preserve"> (Vol. 90). Elsevier Ltd. https://doi.org/10.1016/j.pecs.2022.100996</t>
    </r>
  </si>
  <si>
    <t>Petrescu, L., Müller, C. R., &amp; Cormos, C. C. (2014). Life cycle assessment of natural gas-based chemical looping for hydrogen production. Energy Procedia, 63, 7408–7420. https://doi.org/10.1016/j.egypro.2014.11.777</t>
  </si>
  <si>
    <r>
      <t xml:space="preserve">Amaya-Santos, G., Chari, S., Sebastiani, A., Grimaldi, F., Lettieri, P., &amp; Materazzi, M. (2021). Biohydrogen: A life cycle assessment and comparison with alternative low-carbon production routes in UK. </t>
    </r>
    <r>
      <rPr>
        <i/>
        <sz val="11"/>
        <color theme="1"/>
        <rFont val="Calibri"/>
        <family val="2"/>
        <scheme val="minor"/>
      </rPr>
      <t>Journal of Cleaner Production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319</t>
    </r>
    <r>
      <rPr>
        <sz val="11"/>
        <color theme="1"/>
        <rFont val="Calibri"/>
        <family val="2"/>
        <scheme val="minor"/>
      </rPr>
      <t>. https://doi.org/10.1016/j.jclepro.2021.128886</t>
    </r>
  </si>
  <si>
    <r>
      <t xml:space="preserve">Collodi, G., Azzaro, G., Ferrari, N., &amp; Santos, S. (2017). Techno-economic Evaluation of Deploying CCS in SMR Based Merchant H2 Production with NG as Feedstock and Fuel. </t>
    </r>
    <r>
      <rPr>
        <i/>
        <sz val="11"/>
        <color theme="1"/>
        <rFont val="Calibri"/>
        <family val="2"/>
        <scheme val="minor"/>
      </rPr>
      <t>Energy Procedia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114</t>
    </r>
    <r>
      <rPr>
        <sz val="11"/>
        <color theme="1"/>
        <rFont val="Calibri"/>
        <family val="2"/>
        <scheme val="minor"/>
      </rPr>
      <t>, 2690–2712. https://doi.org/10.1016/j.egypro.2017.03.1533</t>
    </r>
  </si>
  <si>
    <t>density of natural gas = 0.717 kg/m^3</t>
  </si>
  <si>
    <t xml:space="preserve">carbondioxide </t>
  </si>
  <si>
    <t>oxygen</t>
  </si>
  <si>
    <t xml:space="preserve">Deionised water </t>
  </si>
  <si>
    <t>Carbon solid</t>
  </si>
  <si>
    <r>
      <t xml:space="preserve">Keipi, T. (2017). </t>
    </r>
    <r>
      <rPr>
        <i/>
        <sz val="11"/>
        <color theme="1"/>
        <rFont val="Calibri"/>
        <family val="2"/>
        <scheme val="minor"/>
      </rPr>
      <t>Technology Development and Techno-Economic Analysis of Hydrogen Production by Thermal Decomposition of Methane</t>
    </r>
    <r>
      <rPr>
        <sz val="11"/>
        <color theme="1"/>
        <rFont val="Calibri"/>
        <family val="2"/>
        <scheme val="minor"/>
      </rPr>
      <t>. https://trepo.tuni.fi/handle/10024/114321</t>
    </r>
  </si>
  <si>
    <t>Keipi, T. (2017)</t>
  </si>
  <si>
    <t>Natural gas input</t>
  </si>
  <si>
    <t>Electricity input</t>
  </si>
  <si>
    <t>Oxygen output</t>
  </si>
  <si>
    <t>Solid carbon output</t>
  </si>
  <si>
    <t>Energy required for CCS (kWh / kg CO2) (David and Herzog, n.d.)</t>
  </si>
  <si>
    <t>GWP100</t>
  </si>
  <si>
    <t>GWP20</t>
  </si>
  <si>
    <t>LNG</t>
  </si>
  <si>
    <r>
      <t xml:space="preserve">Saygin, D., Tör, O. B., Cebeci, M. E., Teimourzadeh, S., &amp; Godron, P. (2021). Increasing Turkey’s power system flexibility for grid integration of 50% renewable energy share. </t>
    </r>
    <r>
      <rPr>
        <i/>
        <sz val="11"/>
        <color theme="1"/>
        <rFont val="Calibri"/>
        <family val="2"/>
        <scheme val="minor"/>
      </rPr>
      <t>Energy Strategy Reviews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34</t>
    </r>
    <r>
      <rPr>
        <sz val="11"/>
        <color theme="1"/>
        <rFont val="Calibri"/>
        <family val="2"/>
        <scheme val="minor"/>
      </rPr>
      <t>, 100625. https://doi.org/10.1016/J.ESR.2021.100625</t>
    </r>
  </si>
  <si>
    <t>Grey</t>
  </si>
  <si>
    <t>Blue</t>
  </si>
  <si>
    <t>Pipeline</t>
  </si>
  <si>
    <t>Transmission</t>
  </si>
  <si>
    <t>Reactor</t>
  </si>
  <si>
    <t xml:space="preserve">Boil off rate </t>
  </si>
  <si>
    <t>https://www.energy.gov/sites/prod/files/2019/09/f66/2019%20NETL%20LCA-GHG%20Report.pdf</t>
  </si>
  <si>
    <t>MJ/Kg NG</t>
  </si>
  <si>
    <r>
      <t xml:space="preserve">Mallapragada, D. S., Reyes-Bastida, E., Roberto, F., McElroy, E. M., Veskovic, D., &amp; Laurenzi, I. J. (2018). Life cycle greenhouse gas emissions and freshwater consumption of liquefied Marcellus shale gas used for international power generation. </t>
    </r>
    <r>
      <rPr>
        <i/>
        <sz val="11"/>
        <color theme="1"/>
        <rFont val="Calibri"/>
        <family val="2"/>
        <scheme val="minor"/>
      </rPr>
      <t>Journal of Cleaner Production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205</t>
    </r>
    <r>
      <rPr>
        <sz val="11"/>
        <color theme="1"/>
        <rFont val="Calibri"/>
        <family val="2"/>
        <scheme val="minor"/>
      </rPr>
      <t>, 672–680. https://doi.org/10.1016/J.JCLEPRO.2018.09.111</t>
    </r>
  </si>
  <si>
    <t>Mallapragada at el 2018</t>
  </si>
  <si>
    <t>KWh/kg</t>
  </si>
  <si>
    <t>KJ/KG</t>
  </si>
  <si>
    <t>Finn et al., 1999</t>
  </si>
  <si>
    <t>Finn, A.J., Johnson, G.L. and Tomlinson, T.R., 1999. Developments in natural gas liquefaction. Hydrocarbon processing, 78(4), pp.47-59.</t>
  </si>
  <si>
    <t>energy requirement for liquefication of NG</t>
  </si>
  <si>
    <t>Kg of NG loss</t>
  </si>
  <si>
    <r>
      <t xml:space="preserve">Hwang, S., Jeong, B., Jung, K., Kim, M., &amp; Zhou, P. (2019). Life Cycle Assessment of LNG Fueled Vessel in Domestic Services. </t>
    </r>
    <r>
      <rPr>
        <i/>
        <sz val="11"/>
        <color theme="1"/>
        <rFont val="Calibri"/>
        <family val="2"/>
        <scheme val="minor"/>
      </rPr>
      <t>Journal of Marine Science and Engineering 2019, Vol. 7, Page 359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(10), 359. https://doi.org/10.3390/JMSE7100359</t>
    </r>
  </si>
  <si>
    <t>Hwang et al 2019</t>
  </si>
  <si>
    <r>
      <t xml:space="preserve">Franco, A., &amp; Casarosa, C. (n.d.). Thermodynamic and heat transfer analysis of LNG energy recovery for power production. </t>
    </r>
    <r>
      <rPr>
        <i/>
        <sz val="11"/>
        <color theme="1"/>
        <rFont val="Calibri"/>
        <family val="2"/>
        <scheme val="minor"/>
      </rPr>
      <t>Journal of Physics: Conference Series OPEN ACCESS</t>
    </r>
    <r>
      <rPr>
        <sz val="11"/>
        <color theme="1"/>
        <rFont val="Calibri"/>
        <family val="2"/>
        <scheme val="minor"/>
      </rPr>
      <t>. https://doi.org/10.1088/1742-6596/547/1/012012</t>
    </r>
  </si>
  <si>
    <t>Franco et al., 2014</t>
  </si>
  <si>
    <t>Average Enegry required for liquefication of NG</t>
  </si>
  <si>
    <t>Turquoise</t>
  </si>
  <si>
    <t>Grey Hydrogen</t>
  </si>
  <si>
    <t>Blue hydrogen</t>
  </si>
  <si>
    <t>Turquoise Hydrogen</t>
  </si>
  <si>
    <t>Green Hydrogen</t>
  </si>
  <si>
    <t>Grid</t>
  </si>
  <si>
    <t>CCS 60%</t>
  </si>
  <si>
    <t>CCS 90%</t>
  </si>
  <si>
    <t>Green hydrogen</t>
  </si>
  <si>
    <t>Liquefication of CO2</t>
  </si>
  <si>
    <t xml:space="preserve">Injection of CO2 </t>
  </si>
  <si>
    <t>electrolyser</t>
  </si>
  <si>
    <t>Wind turbine</t>
  </si>
  <si>
    <t>Solar panel</t>
  </si>
  <si>
    <t xml:space="preserve">CCS </t>
  </si>
  <si>
    <t>Avoided district heat</t>
  </si>
  <si>
    <t>Energy CCS</t>
  </si>
  <si>
    <t xml:space="preserve">Wind </t>
  </si>
  <si>
    <t>Green H2</t>
  </si>
  <si>
    <t>Turquoise hydrogen</t>
  </si>
  <si>
    <t>Heat output</t>
  </si>
  <si>
    <r>
      <t xml:space="preserve">Deng, H., Roussanaly, S., &amp; Skaugen, G. (2019). Techno-economic analyses of CO2 liquefaction: Impact of product pressure and impurities. </t>
    </r>
    <r>
      <rPr>
        <i/>
        <sz val="11"/>
        <color theme="1"/>
        <rFont val="Calibri"/>
        <family val="2"/>
        <scheme val="minor"/>
      </rPr>
      <t>International Journal of Refrigeration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103</t>
    </r>
    <r>
      <rPr>
        <sz val="11"/>
        <color theme="1"/>
        <rFont val="Calibri"/>
        <family val="2"/>
        <scheme val="minor"/>
      </rPr>
      <t>, 301–315. https://doi.org/10.1016/J.IJREFRIG.2019.04.011</t>
    </r>
  </si>
  <si>
    <r>
      <t xml:space="preserve">Jackson, S., &amp; Brodal, E. (2019). Optimization of the CO2 Liquefaction Process-Performance Study with Varying Ambient Temperature. </t>
    </r>
    <r>
      <rPr>
        <i/>
        <sz val="11"/>
        <color theme="1"/>
        <rFont val="Calibri"/>
        <family val="2"/>
        <scheme val="minor"/>
      </rPr>
      <t>Applied Sciences 2019, Vol. 9, Page 4467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(20), 4467. https://doi.org/10.3390/APP9204467</t>
    </r>
  </si>
  <si>
    <t>Deng at el 2019, Jackson, S., &amp; Brodal, E. (2019)</t>
  </si>
  <si>
    <r>
      <t xml:space="preserve">Crijns-Graus, W. H. J. (n.d.). </t>
    </r>
    <r>
      <rPr>
        <i/>
        <sz val="11"/>
        <color theme="1"/>
        <rFont val="Calibri"/>
        <family val="2"/>
        <scheme val="minor"/>
      </rPr>
      <t>Global Carbon Dioxide Storage Potential and Costs</t>
    </r>
    <r>
      <rPr>
        <sz val="11"/>
        <color theme="1"/>
        <rFont val="Calibri"/>
        <family val="2"/>
        <scheme val="minor"/>
      </rPr>
      <t>. Retrieved February 20, 2023, from https://www.researchgate.net/publication/260095614</t>
    </r>
  </si>
  <si>
    <t>50-50% wind-solar</t>
  </si>
  <si>
    <t>Electrolyzer</t>
  </si>
  <si>
    <t>Natural gas extraction</t>
  </si>
  <si>
    <t xml:space="preserve">Grey hydrogen </t>
  </si>
  <si>
    <t>normal</t>
  </si>
  <si>
    <t>Total</t>
  </si>
  <si>
    <t xml:space="preserve">Electricity input </t>
  </si>
  <si>
    <t>De Wild-Scholten, M. J. (2013). Energy payback time and carbon footprint of commercial photovoltaic systems. Solar Energy Materials and Solar Cells, 119, 296–305. https://doi.org/10.1016/J.SOLMAT.2013.08.037</t>
  </si>
  <si>
    <r>
      <t xml:space="preserve">Kamal, M., Rabaia, H., Abdelkareem, M. A., Sayed, E. T., Elsaid, K., Chae, K.-J., Wilberforce, T., &amp; Olabi, A. G. (2020). </t>
    </r>
    <r>
      <rPr>
        <i/>
        <sz val="11"/>
        <color theme="1"/>
        <rFont val="Calibri"/>
        <family val="2"/>
        <scheme val="minor"/>
      </rPr>
      <t>Environmental impacts of solar energy systems: A review</t>
    </r>
    <r>
      <rPr>
        <sz val="11"/>
        <color theme="1"/>
        <rFont val="Calibri"/>
        <family val="2"/>
        <scheme val="minor"/>
      </rPr>
      <t>. https://doi.org/10.1016/j.scitotenv.2020.141989</t>
    </r>
  </si>
  <si>
    <r>
      <t xml:space="preserve">Prakash, R., &amp; Krishnan Bhat, I. (n.d.). </t>
    </r>
    <r>
      <rPr>
        <i/>
        <sz val="11"/>
        <color theme="1"/>
        <rFont val="Calibri"/>
        <family val="2"/>
        <scheme val="minor"/>
      </rPr>
      <t>Energy, economics and environmental impacts of renewable energy systems</t>
    </r>
    <r>
      <rPr>
        <sz val="11"/>
        <color theme="1"/>
        <rFont val="Calibri"/>
        <family val="2"/>
        <scheme val="minor"/>
      </rPr>
      <t>. https://doi.org/10.1016/j.rser.2009.05.007</t>
    </r>
  </si>
  <si>
    <t xml:space="preserve">Results </t>
  </si>
  <si>
    <t xml:space="preserve">Wind Turbine </t>
  </si>
  <si>
    <t>Maximum value from literature</t>
  </si>
  <si>
    <t>100% solar</t>
  </si>
  <si>
    <t>100% wind</t>
  </si>
  <si>
    <t>Results</t>
  </si>
  <si>
    <t>Average value from literature</t>
  </si>
  <si>
    <t>50 - 50% wind and solar</t>
  </si>
  <si>
    <t>50-50% wind and solar</t>
  </si>
  <si>
    <t xml:space="preserve">double vent </t>
  </si>
  <si>
    <t>Oxygen utilisation included</t>
  </si>
  <si>
    <t>Heat recovery included (EU)</t>
  </si>
  <si>
    <t>Heat recovery included (natural gas)</t>
  </si>
  <si>
    <t>Heat recovery included (Biomass)</t>
  </si>
  <si>
    <t>Heat recovery included (Hard coal)</t>
  </si>
  <si>
    <t>Heat recovery included (Peat)</t>
  </si>
  <si>
    <t>kg/MWh</t>
  </si>
  <si>
    <r>
      <t>Natural Gas Density Calculator | Unitrove</t>
    </r>
    <r>
      <rPr>
        <sz val="11"/>
        <color theme="1"/>
        <rFont val="Calibri"/>
        <family val="2"/>
        <scheme val="minor"/>
      </rPr>
      <t>. (n.d.). Retrieved April 24, 2023, from https://www.unitrove.com/engineering/tools/gas/natural-gas-density</t>
    </r>
  </si>
  <si>
    <t>(Natural Gas Density Calculator)</t>
  </si>
  <si>
    <t>References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</si>
  <si>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</si>
  <si>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t xml:space="preserve">Carbon dioxide </t>
  </si>
  <si>
    <t>Electricity output</t>
  </si>
  <si>
    <t>N.D</t>
  </si>
  <si>
    <t xml:space="preserve">N.D = not defined </t>
  </si>
  <si>
    <t xml:space="preserve">a) Electricity input is included in GABI process for SMR </t>
  </si>
  <si>
    <t xml:space="preserve">Table SM 1. LCI for SMR. </t>
  </si>
  <si>
    <t>Grid mix 1 (Saygin et. al. 2021)</t>
  </si>
  <si>
    <t>Grid mix 2 (Agrawal et al. 2019</t>
  </si>
  <si>
    <t>Gabi process name for XX</t>
  </si>
  <si>
    <t>Life cycle inventory data collection for SMR</t>
  </si>
  <si>
    <t xml:space="preserve">a) Heat output is included in the sensitivity analysis. </t>
  </si>
  <si>
    <t>MJ a)</t>
  </si>
  <si>
    <t>Truck</t>
  </si>
  <si>
    <r>
      <t>kg/khH</t>
    </r>
    <r>
      <rPr>
        <vertAlign val="subscript"/>
        <sz val="11"/>
        <color theme="1"/>
        <rFont val="Calibri"/>
        <family val="2"/>
        <scheme val="minor"/>
      </rPr>
      <t>2</t>
    </r>
  </si>
  <si>
    <r>
      <t>MW</t>
    </r>
    <r>
      <rPr>
        <vertAlign val="subscript"/>
        <sz val="11"/>
        <color theme="1"/>
        <rFont val="Calibri"/>
        <family val="2"/>
        <scheme val="minor"/>
      </rPr>
      <t>th</t>
    </r>
  </si>
  <si>
    <r>
      <t>KW</t>
    </r>
    <r>
      <rPr>
        <vertAlign val="subscript"/>
        <sz val="11"/>
        <color theme="1"/>
        <rFont val="Calibri"/>
        <family val="2"/>
        <scheme val="minor"/>
      </rPr>
      <t>th</t>
    </r>
  </si>
  <si>
    <r>
      <t>KgH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/300MW</t>
    </r>
    <r>
      <rPr>
        <vertAlign val="subscript"/>
        <sz val="11"/>
        <color theme="1"/>
        <rFont val="Calibri"/>
        <family val="2"/>
        <scheme val="minor"/>
      </rPr>
      <t>th</t>
    </r>
  </si>
  <si>
    <t>kg b)</t>
  </si>
  <si>
    <t>b) Water use is included in GABI process for SMR</t>
  </si>
  <si>
    <r>
      <t>density of natural gas = 0.717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</si>
  <si>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MW</t>
    </r>
    <r>
      <rPr>
        <vertAlign val="subscript"/>
        <sz val="11"/>
        <color theme="1"/>
        <rFont val="Calibri"/>
        <family val="2"/>
        <scheme val="minor"/>
      </rPr>
      <t>e</t>
    </r>
  </si>
  <si>
    <t>Parameters</t>
  </si>
  <si>
    <t>Values</t>
  </si>
  <si>
    <t>%</t>
  </si>
  <si>
    <t>Reference</t>
  </si>
  <si>
    <t>(MJ/kg)</t>
  </si>
  <si>
    <t>(kWh / kg )</t>
  </si>
  <si>
    <t>Natural gas and energy data used for GABI modelling</t>
  </si>
  <si>
    <t xml:space="preserve">Natural gas tranmission fugitive emission </t>
  </si>
  <si>
    <t>(Lechtenböhmer and Dienst, 2010)</t>
  </si>
  <si>
    <t>Natural gas compression station</t>
  </si>
  <si>
    <t xml:space="preserve">Calorfic value of natural gas  (MJ/kg) </t>
  </si>
  <si>
    <t>(“Heat values of various fuels - World Nuclear Association,”)</t>
  </si>
  <si>
    <t>(Speirs et al., 2022)</t>
  </si>
  <si>
    <t xml:space="preserve">Energy required for regasification </t>
  </si>
  <si>
    <t xml:space="preserve">Natural gas Carbon dioxide emission </t>
  </si>
  <si>
    <t>(“Combustion of Fuels - Carbon Dioxide Emission,”.)</t>
  </si>
  <si>
    <t xml:space="preserve">Energy required for compression of carbon captured ( kWh / kg of CO2) </t>
  </si>
  <si>
    <t>(Jackson and Brodal,2019)</t>
  </si>
  <si>
    <t>Hendriks et al., 2004</t>
  </si>
  <si>
    <t>unit</t>
  </si>
  <si>
    <t>coversion value</t>
  </si>
  <si>
    <t>reference</t>
  </si>
  <si>
    <t>(hydrogen energy density = 120 MJ/kg )</t>
  </si>
  <si>
    <t>(CCS 90%) from flue gas and PSA</t>
  </si>
  <si>
    <t>Heavy fuel oil at refinery (0.3wt.% S)</t>
  </si>
  <si>
    <t>LNG tanker, 125,000 m3 payload capacity, ocean going</t>
  </si>
  <si>
    <t>Electricity grid mix 1kV-60kV (2040) (no improvements in sustainability policy)</t>
  </si>
  <si>
    <t>LNG cargo</t>
  </si>
  <si>
    <t>US electricity grid</t>
  </si>
  <si>
    <t>USA natural gas grid</t>
  </si>
  <si>
    <t>Thermal energy from natural gas</t>
  </si>
  <si>
    <t>Thermal energy</t>
  </si>
  <si>
    <t>Natural gas mix (US)</t>
  </si>
  <si>
    <t>Natural gas mix (RU)</t>
  </si>
  <si>
    <t>Russian natural gas grid</t>
  </si>
  <si>
    <t>Hydrogen (steam reforming, centralised - for partly aggregation, open input natural gas)</t>
  </si>
  <si>
    <t>SMR</t>
  </si>
  <si>
    <t>Electricity grid mix (2030) (significant improvements in sustainability policy)</t>
  </si>
  <si>
    <t>Electrictiy grid 2030 (FI)</t>
  </si>
  <si>
    <t>Truck, Euro 3, 28 - 32t gross weight / 22t payload capacity</t>
  </si>
  <si>
    <t>Heavy fuel oil at refinery (1.0wt.% S)</t>
  </si>
  <si>
    <t xml:space="preserve">District heating </t>
  </si>
  <si>
    <t>District heating mix (EU-28)</t>
  </si>
  <si>
    <t>Compression of hydrogen</t>
  </si>
  <si>
    <t>Hydrogen compression</t>
  </si>
  <si>
    <t>Compressed air 7 bar (medium power consumption)</t>
  </si>
  <si>
    <t>Compressed air</t>
  </si>
  <si>
    <t>Electricity from wind power (FI)</t>
  </si>
  <si>
    <t>Water</t>
  </si>
  <si>
    <t>Tap water from groundwater (EU-28)</t>
  </si>
  <si>
    <t>Deionised water (reverse-osmosis/electro-deionisation, from groundwater, for regionalization)</t>
  </si>
  <si>
    <t>Deionisation</t>
  </si>
  <si>
    <t>Electricity from solar thermal (FI)</t>
  </si>
  <si>
    <t>Electricity from wind energy</t>
  </si>
  <si>
    <t>Electricity from solar energy</t>
  </si>
  <si>
    <t>Hydrogen (electrolysis, decentral - for partly aggregation, open input electricity)</t>
  </si>
  <si>
    <t>PEM electrolyzer</t>
  </si>
  <si>
    <t>Thermal energy from peat</t>
  </si>
  <si>
    <t>Thermal energy from coal</t>
  </si>
  <si>
    <t>Thermal energy from biomass</t>
  </si>
  <si>
    <t>Thermal energy from peat (avioded)</t>
  </si>
  <si>
    <t>Thermal energy from coal (avioded)</t>
  </si>
  <si>
    <t>Thermal energy from biomass (avioded)</t>
  </si>
  <si>
    <t>Oxygen (gaseous)</t>
  </si>
  <si>
    <t>Oxygen (avoided)</t>
  </si>
  <si>
    <t>Hermesmann &amp; Müller (2022)</t>
  </si>
  <si>
    <t>Petrescu et al. (2014)</t>
  </si>
  <si>
    <t>Collodi at el.(2017)</t>
  </si>
  <si>
    <t>Amaya-Santos et al. (2021)</t>
  </si>
  <si>
    <t>KWh (a)</t>
  </si>
  <si>
    <r>
      <t xml:space="preserve">Miljanovic, A., &amp; Jonsson, F. (2022). </t>
    </r>
    <r>
      <rPr>
        <i/>
        <sz val="11"/>
        <color theme="1"/>
        <rFont val="Calibri"/>
        <family val="2"/>
        <scheme val="minor"/>
      </rPr>
      <t>Utilization of waste heat from hydrogen production : A case study on the Botnia Link H2 Project in Luleå, Sweden</t>
    </r>
    <r>
      <rPr>
        <sz val="11"/>
        <color theme="1"/>
        <rFont val="Calibri"/>
        <family val="2"/>
        <scheme val="minor"/>
      </rPr>
      <t>. https://urn.kb.se/resolve?urn=urn:nbn:se:mdh:diva-59079</t>
    </r>
  </si>
  <si>
    <t>Miljanovic, A., &amp; Jonsson, F. (2022)</t>
  </si>
  <si>
    <t xml:space="preserve">Table SM 2. LCI of SMR-CCS. </t>
  </si>
  <si>
    <t>Table SM 3. LCI of hydrogen production py PEM electrolyzer.</t>
  </si>
  <si>
    <t xml:space="preserve">Table SM 4. LCI of TDM. </t>
  </si>
  <si>
    <t>Table SM 5. LCI data collection of liquefication of CO2</t>
  </si>
  <si>
    <t>Life cyle inventory data for energy for liquefication of natural gas</t>
  </si>
  <si>
    <t>Life cycle inventory data collection for SMR- CCS</t>
  </si>
  <si>
    <t>Life cycle inventory data collection for PEM electrolyzer</t>
  </si>
  <si>
    <t>Life cycle inventory data collection for TDM</t>
  </si>
  <si>
    <t xml:space="preserve">Table SM 6. Background data information. </t>
  </si>
  <si>
    <t xml:space="preserve">Table SM 7. Used electricity grid mixes. </t>
  </si>
  <si>
    <t xml:space="preserve">Table SM 8. LCIA results of hydrogen production. </t>
  </si>
  <si>
    <t>kg/s</t>
  </si>
  <si>
    <r>
      <t>kg/Nm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H</t>
    </r>
    <r>
      <rPr>
        <vertAlign val="subscript"/>
        <sz val="11"/>
        <color theme="1"/>
        <rFont val="Calibri"/>
        <family val="2"/>
        <scheme val="minor"/>
      </rPr>
      <t>2</t>
    </r>
  </si>
  <si>
    <r>
      <t>(CO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/ kg)</t>
    </r>
  </si>
  <si>
    <r>
      <t>(kWh / 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</si>
  <si>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Gabi database 10.5.1.124</t>
  </si>
  <si>
    <t>Share of hydrogen produced by turquoise hydrogen (when fulfilling the carbon black demand)</t>
  </si>
  <si>
    <t xml:space="preserve">Mt </t>
  </si>
  <si>
    <t>Mt / a</t>
  </si>
  <si>
    <t>https://www.irena.org/Energy-Transition/Technology/Hydrogen</t>
  </si>
  <si>
    <t>Share by natural gas</t>
  </si>
  <si>
    <t xml:space="preserve">Mt/a </t>
  </si>
  <si>
    <t>Global hydrogen production</t>
  </si>
  <si>
    <t>Mt Hydrogen / a</t>
  </si>
  <si>
    <t>million m3</t>
  </si>
  <si>
    <t>billion m3</t>
  </si>
  <si>
    <t>https://www-statista-com.ezproxy.cc.lut.fi/statistics/265344/total-global-natural-gas-production-since-1998/</t>
  </si>
  <si>
    <t>m3</t>
  </si>
  <si>
    <t xml:space="preserve">m3/kg </t>
  </si>
  <si>
    <t xml:space="preserve">https://www.kaasuyhdistys.fi/julkaisut/maakaasun-kasikirja/ </t>
  </si>
  <si>
    <t>million tonnes</t>
  </si>
  <si>
    <t>kg H2 / kg natural gas</t>
  </si>
  <si>
    <t>kg NG / kg Carbon</t>
  </si>
  <si>
    <t>hydrogen</t>
  </si>
  <si>
    <t>million tons carbon black</t>
  </si>
  <si>
    <t>https://www.chemanalyst.com/Pricing-data/carbon-black-42</t>
  </si>
  <si>
    <t>Carbon black globally</t>
  </si>
  <si>
    <t>Mt</t>
  </si>
  <si>
    <t>Tons</t>
  </si>
  <si>
    <t>USD</t>
  </si>
  <si>
    <t>Million us dollars</t>
  </si>
  <si>
    <t>https://www-statista-com.ezproxy.cc.lut.fi/statistics/1350339/global-carbon-black-market-size/</t>
  </si>
  <si>
    <t>Billion US dollars</t>
  </si>
  <si>
    <t>Carbon black market size</t>
  </si>
  <si>
    <t>US / MT</t>
  </si>
  <si>
    <t>Carbon black prize</t>
  </si>
  <si>
    <t>Demand</t>
  </si>
  <si>
    <t>Solid carbon from TDM</t>
  </si>
  <si>
    <t>kg/kgH2</t>
  </si>
  <si>
    <t>Natural gas needed for TDM</t>
  </si>
  <si>
    <t>Hydrogen produced from TDM</t>
  </si>
  <si>
    <t>Global Natural gas annual consumption</t>
  </si>
  <si>
    <t>Natural neeeded for cabon black from global consumption</t>
  </si>
  <si>
    <t>NG from global consumption for global demand of black carbon</t>
  </si>
  <si>
    <t>Hydrogen produce while producing Global black carbon</t>
  </si>
  <si>
    <t>Natural gas neeeded for global carbon production</t>
  </si>
  <si>
    <t>Table SM 9. LCIA result of GWP100 and GWP20</t>
  </si>
  <si>
    <t>Table SM 10. LCIA result of grid and wind electricity</t>
  </si>
  <si>
    <t>Table SM 11. LCIA result of 60% and 90% Carbon captured</t>
  </si>
  <si>
    <t>Table SM 12. LCIA result of normal and double vent</t>
  </si>
  <si>
    <t>Table SM 13. LCIA result of green hydrogen production</t>
  </si>
  <si>
    <t>Table SM 14. LCIA result of sensitivity analysis of green hydrogen value from literature</t>
  </si>
  <si>
    <t>Table SM 15. LCIA result of sensitivity analysis of green hydrogen when heat is recovered</t>
  </si>
  <si>
    <t>Table SM 16. LCIA result of sensitivity analysis of green hydrogen when oxygen utilisation is included</t>
  </si>
  <si>
    <t>Table SM.17  Carbon black (solid carbon) market globally</t>
  </si>
  <si>
    <t xml:space="preserve">Table SM. 18 Natural gas needed to produce all carbon black </t>
  </si>
  <si>
    <t>Table SM 19. Global hydrogen production</t>
  </si>
  <si>
    <t xml:space="preserve">Normal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</si>
</sst>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#,##0.0"/>
    <numFmt numFmtId="171" formatCode="0.000"/>
  </numFmts>
  <fonts count="1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17" fontId="0" fillId="0" borderId="0" xfId="0" applyNumberFormat="1"/>
    <xf numFmtId="0" fontId="6" fillId="0" borderId="0" xfId="1"/>
    <xf numFmtId="0" fontId="0" fillId="0" borderId="0" xfId="0" applyNumberFormat="1"/>
    <xf numFmtId="10" fontId="3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49" fontId="0" fillId="0" borderId="0" xfId="0" applyNumberFormat="1"/>
    <xf numFmtId="164" fontId="0" fillId="0" borderId="0" xfId="0" applyNumberFormat="1"/>
    <xf numFmtId="0" fontId="4" fillId="0" borderId="0" xfId="0" applyFont="1"/>
    <xf numFmtId="10" fontId="4" fillId="0" borderId="0" xfId="0" applyNumberFormat="1" applyFont="1"/>
    <xf numFmtId="0" fontId="4" fillId="0" borderId="0" xfId="0" applyNumberFormat="1" applyFont="1"/>
    <xf numFmtId="0" fontId="0" fillId="0" borderId="0" xfId="0" applyFill="1"/>
    <xf numFmtId="0" fontId="0" fillId="0" borderId="0" xfId="0" applyFont="1"/>
    <xf numFmtId="0" fontId="7" fillId="0" borderId="0" xfId="0" applyFont="1" applyAlignment="1">
      <alignment vertical="center"/>
    </xf>
    <xf numFmtId="0" fontId="0" fillId="0" borderId="0" xfId="0"/>
    <xf numFmtId="0" fontId="5" fillId="0" borderId="0" xfId="0" applyFont="1" applyFill="1"/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1" xfId="0" applyFont="1" applyFill="1" applyBorder="1"/>
    <xf numFmtId="0" fontId="0" fillId="0" borderId="2" xfId="0" applyFont="1" applyBorder="1"/>
    <xf numFmtId="0" fontId="0" fillId="0" borderId="1" xfId="0" applyFont="1" applyBorder="1"/>
    <xf numFmtId="2" fontId="0" fillId="0" borderId="0" xfId="0" applyNumberFormat="1" applyFont="1"/>
    <xf numFmtId="164" fontId="0" fillId="0" borderId="0" xfId="0" applyNumberFormat="1" applyFont="1"/>
    <xf numFmtId="1" fontId="0" fillId="0" borderId="2" xfId="0" applyNumberFormat="1" applyFont="1" applyBorder="1"/>
    <xf numFmtId="0" fontId="0" fillId="0" borderId="0" xfId="0" applyBorder="1"/>
    <xf numFmtId="0" fontId="0" fillId="0" borderId="0" xfId="0" applyFont="1" applyBorder="1"/>
    <xf numFmtId="0" fontId="0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1" fontId="0" fillId="0" borderId="0" xfId="0" applyNumberFormat="1" applyFont="1" applyBorder="1"/>
    <xf numFmtId="0" fontId="0" fillId="0" borderId="0" xfId="0" applyFont="1" applyFill="1" applyBorder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3" xfId="0" applyBorder="1"/>
    <xf numFmtId="164" fontId="0" fillId="0" borderId="3" xfId="0" applyNumberFormat="1" applyBorder="1"/>
    <xf numFmtId="164" fontId="0" fillId="0" borderId="2" xfId="0" applyNumberFormat="1" applyBorder="1"/>
    <xf numFmtId="1" fontId="0" fillId="0" borderId="1" xfId="0" applyNumberFormat="1" applyBorder="1"/>
    <xf numFmtId="9" fontId="0" fillId="0" borderId="0" xfId="0" applyNumberFormat="1" applyBorder="1"/>
    <xf numFmtId="9" fontId="0" fillId="0" borderId="2" xfId="0" applyNumberFormat="1" applyBorder="1"/>
    <xf numFmtId="0" fontId="0" fillId="0" borderId="2" xfId="0" applyBorder="1" applyAlignment="1">
      <alignment horizontal="right"/>
    </xf>
    <xf numFmtId="2" fontId="0" fillId="0" borderId="0" xfId="0" applyNumberFormat="1"/>
    <xf numFmtId="0" fontId="0" fillId="0" borderId="2" xfId="0" applyFill="1" applyBorder="1"/>
    <xf numFmtId="0" fontId="0" fillId="0" borderId="0" xfId="0" applyFont="1" applyFill="1"/>
    <xf numFmtId="0" fontId="0" fillId="0" borderId="2" xfId="0" applyFont="1" applyFill="1" applyBorder="1"/>
    <xf numFmtId="0" fontId="0" fillId="0" borderId="3" xfId="0" applyFont="1" applyBorder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2" fontId="0" fillId="0" borderId="2" xfId="0" applyNumberFormat="1" applyBorder="1"/>
    <xf numFmtId="0" fontId="0" fillId="0" borderId="1" xfId="0" applyFill="1" applyBorder="1"/>
    <xf numFmtId="0" fontId="4" fillId="0" borderId="2" xfId="0" applyFont="1" applyBorder="1"/>
    <xf numFmtId="0" fontId="4" fillId="0" borderId="2" xfId="0" applyNumberFormat="1" applyFont="1" applyBorder="1"/>
    <xf numFmtId="164" fontId="0" fillId="0" borderId="0" xfId="0" applyNumberFormat="1" applyFill="1" applyBorder="1"/>
    <xf numFmtId="164" fontId="0" fillId="0" borderId="2" xfId="0" applyNumberFormat="1" applyFill="1" applyBorder="1"/>
    <xf numFmtId="0" fontId="0" fillId="0" borderId="1" xfId="0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4" fillId="0" borderId="0" xfId="0" applyFont="1" applyFill="1"/>
    <xf numFmtId="0" fontId="0" fillId="0" borderId="0" xfId="0" applyAlignment="1">
      <alignment horizontal="left"/>
    </xf>
    <xf numFmtId="0" fontId="0" fillId="0" borderId="0" xfId="0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11" fillId="0" borderId="0" xfId="0" applyFont="1"/>
    <xf numFmtId="16" fontId="11" fillId="0" borderId="0" xfId="0" applyNumberFormat="1" applyFont="1"/>
    <xf numFmtId="0" fontId="11" fillId="3" borderId="0" xfId="0" applyFont="1" applyFill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0" xfId="0" applyNumberFormat="1"/>
    <xf numFmtId="10" fontId="0" fillId="0" borderId="0" xfId="2" applyNumberFormat="1" applyFont="1"/>
    <xf numFmtId="3" fontId="0" fillId="0" borderId="0" xfId="0" applyNumberFormat="1"/>
    <xf numFmtId="171" fontId="0" fillId="0" borderId="0" xfId="0" applyNumberFormat="1"/>
    <xf numFmtId="166" fontId="0" fillId="0" borderId="2" xfId="0" applyNumberFormat="1" applyBorder="1"/>
    <xf numFmtId="9" fontId="0" fillId="0" borderId="2" xfId="2" applyFont="1" applyBorder="1"/>
    <xf numFmtId="0" fontId="0" fillId="0" borderId="0" xfId="0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https://www.chemanalyst.com/Pricing-data/carbon-black-42" TargetMode="External"/><Relationship Id="rId7" Type="http://schemas.openxmlformats.org/officeDocument/2006/relationships/hyperlink" Target="https://www.irena.org/Energy-Transition/Technology/Hydrogen" TargetMode="External"/><Relationship Id="rId2" Type="http://schemas.openxmlformats.org/officeDocument/2006/relationships/hyperlink" Target="https://www-statista-com.ezproxy.cc.lut.fi/statistics/1350339/global-carbon-black-market-size/" TargetMode="External"/><Relationship Id="rId1" Type="http://schemas.openxmlformats.org/officeDocument/2006/relationships/hyperlink" Target="https://www.chemanalyst.com/Pricing-data/carbon-black-42" TargetMode="External"/><Relationship Id="rId6" Type="http://schemas.openxmlformats.org/officeDocument/2006/relationships/hyperlink" Target="https://www.irena.org/Energy-Transition/Technology/Hydrogen" TargetMode="External"/><Relationship Id="rId5" Type="http://schemas.openxmlformats.org/officeDocument/2006/relationships/hyperlink" Target="https://www-statista-com.ezproxy.cc.lut.fi/statistics/265344/total-global-natural-gas-production-since-1998/" TargetMode="External"/><Relationship Id="rId4" Type="http://schemas.openxmlformats.org/officeDocument/2006/relationships/hyperlink" Target="https://www.kaasuyhdistys.fi/julkaisut/maakaasun-kasikirj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42A-49E8-494F-B964-F6429F18E297}">
  <dimension ref="B2:B50"/>
  <sheetViews>
    <sheetView showGridLines="0" topLeftCell="A34" zoomScale="90" zoomScaleNormal="90" workbookViewId="0">
      <selection activeCell="B52" sqref="B52"/>
    </sheetView>
  </sheetViews>
  <sheetFormatPr defaultRowHeight="14.5" x14ac:dyDescent="0.35"/>
  <sheetData>
    <row r="2" spans="2:2" s="20" customFormat="1" x14ac:dyDescent="0.35">
      <c r="B2" s="20" t="s">
        <v>139</v>
      </c>
    </row>
    <row r="3" spans="2:2" s="20" customFormat="1" x14ac:dyDescent="0.35"/>
    <row r="4" spans="2:2" x14ac:dyDescent="0.35">
      <c r="B4" s="3" t="s">
        <v>10</v>
      </c>
    </row>
    <row r="6" spans="2:2" x14ac:dyDescent="0.35">
      <c r="B6" s="3" t="s">
        <v>44</v>
      </c>
    </row>
    <row r="7" spans="2:2" x14ac:dyDescent="0.35">
      <c r="B7" s="7"/>
    </row>
    <row r="8" spans="2:2" x14ac:dyDescent="0.35">
      <c r="B8" s="3" t="s">
        <v>45</v>
      </c>
    </row>
    <row r="9" spans="2:2" x14ac:dyDescent="0.35">
      <c r="B9" s="7"/>
    </row>
    <row r="10" spans="2:2" x14ac:dyDescent="0.35">
      <c r="B10" s="3" t="s">
        <v>46</v>
      </c>
    </row>
    <row r="12" spans="2:2" x14ac:dyDescent="0.35">
      <c r="B12" s="3" t="s">
        <v>47</v>
      </c>
    </row>
    <row r="14" spans="2:2" x14ac:dyDescent="0.35">
      <c r="B14" s="3" t="s">
        <v>53</v>
      </c>
    </row>
    <row r="16" spans="2:2" x14ac:dyDescent="0.35">
      <c r="B16" s="3" t="s">
        <v>63</v>
      </c>
    </row>
    <row r="18" spans="2:2" x14ac:dyDescent="0.35">
      <c r="B18" s="10" t="s">
        <v>72</v>
      </c>
    </row>
    <row r="20" spans="2:2" x14ac:dyDescent="0.35">
      <c r="B20" t="s">
        <v>77</v>
      </c>
    </row>
    <row r="22" spans="2:2" x14ac:dyDescent="0.35">
      <c r="B22" s="3" t="s">
        <v>80</v>
      </c>
    </row>
    <row r="24" spans="2:2" x14ac:dyDescent="0.35">
      <c r="B24" s="11" t="s">
        <v>82</v>
      </c>
    </row>
    <row r="26" spans="2:2" x14ac:dyDescent="0.35">
      <c r="B26" s="3" t="s">
        <v>106</v>
      </c>
    </row>
    <row r="28" spans="2:2" x14ac:dyDescent="0.35">
      <c r="B28" s="3" t="s">
        <v>107</v>
      </c>
    </row>
    <row r="30" spans="2:2" x14ac:dyDescent="0.35">
      <c r="B30" s="3" t="s">
        <v>109</v>
      </c>
    </row>
    <row r="32" spans="2:2" x14ac:dyDescent="0.35">
      <c r="B32" t="s">
        <v>117</v>
      </c>
    </row>
    <row r="34" spans="2:2" x14ac:dyDescent="0.35">
      <c r="B34" s="3" t="s">
        <v>118</v>
      </c>
    </row>
    <row r="36" spans="2:2" x14ac:dyDescent="0.35">
      <c r="B36" s="3" t="s">
        <v>119</v>
      </c>
    </row>
    <row r="38" spans="2:2" x14ac:dyDescent="0.35">
      <c r="B38" s="19" t="s">
        <v>137</v>
      </c>
    </row>
    <row r="40" spans="2:2" x14ac:dyDescent="0.35">
      <c r="B40" s="3" t="s">
        <v>232</v>
      </c>
    </row>
    <row r="42" spans="2:2" x14ac:dyDescent="0.35">
      <c r="B42" t="s">
        <v>269</v>
      </c>
    </row>
    <row r="44" spans="2:2" x14ac:dyDescent="0.35">
      <c r="B44" t="s">
        <v>275</v>
      </c>
    </row>
    <row r="46" spans="2:2" x14ac:dyDescent="0.35">
      <c r="B46" t="s">
        <v>263</v>
      </c>
    </row>
    <row r="48" spans="2:2" x14ac:dyDescent="0.35">
      <c r="B48" t="s">
        <v>260</v>
      </c>
    </row>
    <row r="50" spans="2:2" x14ac:dyDescent="0.35">
      <c r="B50" t="s">
        <v>253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5BB6-47F6-4E9E-80A2-46DCD8ABD7EC}">
  <dimension ref="B2:I58"/>
  <sheetViews>
    <sheetView showGridLines="0" workbookViewId="0">
      <selection activeCell="M18" sqref="M18"/>
    </sheetView>
  </sheetViews>
  <sheetFormatPr defaultRowHeight="14.5" x14ac:dyDescent="0.35"/>
  <cols>
    <col min="1" max="1" width="8.7265625" style="20"/>
    <col min="2" max="2" width="37.54296875" style="20" customWidth="1"/>
    <col min="3" max="3" width="13.54296875" style="20" customWidth="1"/>
    <col min="4" max="16384" width="8.7265625" style="20"/>
  </cols>
  <sheetData>
    <row r="2" spans="2:9" s="17" customFormat="1" x14ac:dyDescent="0.35">
      <c r="B2" s="17" t="s">
        <v>298</v>
      </c>
    </row>
    <row r="3" spans="2:9" x14ac:dyDescent="0.35">
      <c r="B3" s="1" t="s">
        <v>0</v>
      </c>
      <c r="C3" s="1" t="s">
        <v>1</v>
      </c>
      <c r="D3" s="1" t="s">
        <v>2</v>
      </c>
      <c r="E3" s="1"/>
    </row>
    <row r="4" spans="2:9" x14ac:dyDescent="0.35">
      <c r="B4" s="30" t="s">
        <v>279</v>
      </c>
      <c r="C4" s="30">
        <v>1143</v>
      </c>
      <c r="D4" s="30" t="s">
        <v>278</v>
      </c>
      <c r="E4" s="30"/>
      <c r="F4" s="7" t="s">
        <v>269</v>
      </c>
    </row>
    <row r="5" spans="2:9" x14ac:dyDescent="0.35">
      <c r="B5" s="30" t="s">
        <v>277</v>
      </c>
      <c r="C5" s="30">
        <v>17.2</v>
      </c>
      <c r="D5" s="30" t="s">
        <v>276</v>
      </c>
      <c r="E5" s="30"/>
      <c r="F5" s="7" t="s">
        <v>275</v>
      </c>
    </row>
    <row r="6" spans="2:9" x14ac:dyDescent="0.35">
      <c r="B6" s="30"/>
      <c r="C6" s="30">
        <f>+C5*1000</f>
        <v>17200</v>
      </c>
      <c r="D6" s="30" t="s">
        <v>274</v>
      </c>
      <c r="E6" s="30"/>
    </row>
    <row r="7" spans="2:9" x14ac:dyDescent="0.35">
      <c r="B7" s="30"/>
      <c r="C7" s="30">
        <f>+C6*1000000</f>
        <v>17200000000</v>
      </c>
      <c r="D7" s="30" t="s">
        <v>273</v>
      </c>
      <c r="E7" s="30"/>
    </row>
    <row r="8" spans="2:9" x14ac:dyDescent="0.35">
      <c r="B8" s="30"/>
      <c r="C8" s="30">
        <f>+C7/C4</f>
        <v>15048118.985126859</v>
      </c>
      <c r="D8" s="30" t="s">
        <v>272</v>
      </c>
      <c r="E8" s="30"/>
    </row>
    <row r="9" spans="2:9" x14ac:dyDescent="0.35">
      <c r="B9" s="30"/>
      <c r="C9" s="30">
        <f>+C8/1000000</f>
        <v>15.048118985126859</v>
      </c>
      <c r="D9" s="30" t="s">
        <v>271</v>
      </c>
      <c r="E9" s="30"/>
    </row>
    <row r="10" spans="2:9" x14ac:dyDescent="0.35">
      <c r="B10" s="23" t="s">
        <v>270</v>
      </c>
      <c r="C10" s="23">
        <v>15</v>
      </c>
      <c r="D10" s="23" t="s">
        <v>251</v>
      </c>
      <c r="E10" s="23"/>
      <c r="F10" s="7" t="s">
        <v>269</v>
      </c>
    </row>
    <row r="14" spans="2:9" x14ac:dyDescent="0.35">
      <c r="B14" s="30" t="s">
        <v>299</v>
      </c>
      <c r="C14" s="30"/>
      <c r="D14" s="30"/>
    </row>
    <row r="15" spans="2:9" x14ac:dyDescent="0.35">
      <c r="B15" s="1" t="s">
        <v>0</v>
      </c>
      <c r="C15" s="1" t="s">
        <v>1</v>
      </c>
      <c r="D15" s="1" t="s">
        <v>2</v>
      </c>
      <c r="E15" s="1"/>
      <c r="F15" s="1"/>
      <c r="G15" s="1"/>
      <c r="H15" s="1"/>
      <c r="I15" s="1"/>
    </row>
    <row r="16" spans="2:9" x14ac:dyDescent="0.35">
      <c r="B16" s="20" t="s">
        <v>280</v>
      </c>
      <c r="C16" s="13">
        <f>+C9</f>
        <v>15.048118985126859</v>
      </c>
      <c r="D16" s="20" t="s">
        <v>268</v>
      </c>
    </row>
    <row r="17" spans="2:9" x14ac:dyDescent="0.35">
      <c r="B17" s="20" t="s">
        <v>281</v>
      </c>
      <c r="C17" s="20">
        <f>TDM!C8</f>
        <v>3.25</v>
      </c>
      <c r="D17" s="20" t="s">
        <v>282</v>
      </c>
    </row>
    <row r="18" spans="2:9" x14ac:dyDescent="0.35">
      <c r="B18" s="20" t="s">
        <v>283</v>
      </c>
      <c r="C18" s="20">
        <f>TDM!C4</f>
        <v>4.8038999999999996</v>
      </c>
      <c r="D18" s="20" t="s">
        <v>282</v>
      </c>
    </row>
    <row r="19" spans="2:9" s="17" customFormat="1" x14ac:dyDescent="0.35">
      <c r="B19" s="17" t="s">
        <v>284</v>
      </c>
      <c r="C19" s="20">
        <v>1</v>
      </c>
      <c r="D19" s="20" t="s">
        <v>267</v>
      </c>
    </row>
    <row r="20" spans="2:9" x14ac:dyDescent="0.35">
      <c r="B20" s="17"/>
      <c r="C20" s="76">
        <f>+C18/C17</f>
        <v>1.4781230769230769</v>
      </c>
      <c r="D20" s="20" t="s">
        <v>266</v>
      </c>
    </row>
    <row r="21" spans="2:9" x14ac:dyDescent="0.35">
      <c r="C21" s="76">
        <f>+C19/C18</f>
        <v>0.20816419992089763</v>
      </c>
      <c r="D21" s="20" t="s">
        <v>265</v>
      </c>
    </row>
    <row r="22" spans="2:9" x14ac:dyDescent="0.35">
      <c r="B22" s="20" t="s">
        <v>289</v>
      </c>
      <c r="C22" s="20">
        <f>+C20*C16</f>
        <v>22.242971936200281</v>
      </c>
      <c r="D22" s="20" t="s">
        <v>264</v>
      </c>
    </row>
    <row r="23" spans="2:9" x14ac:dyDescent="0.35">
      <c r="C23" s="20">
        <v>0.72</v>
      </c>
      <c r="D23" s="20" t="s">
        <v>262</v>
      </c>
      <c r="F23" s="7" t="s">
        <v>263</v>
      </c>
    </row>
    <row r="24" spans="2:9" x14ac:dyDescent="0.35">
      <c r="C24" s="75">
        <f>+C22*1000000*1000</f>
        <v>22242971936.200279</v>
      </c>
      <c r="D24" s="20" t="s">
        <v>14</v>
      </c>
    </row>
    <row r="25" spans="2:9" x14ac:dyDescent="0.35">
      <c r="C25" s="75">
        <f>+C24/C23</f>
        <v>30893016578.055946</v>
      </c>
      <c r="D25" s="20" t="s">
        <v>261</v>
      </c>
    </row>
    <row r="26" spans="2:9" x14ac:dyDescent="0.35">
      <c r="C26" s="75">
        <f>+C25/1000000</f>
        <v>30893.016578055947</v>
      </c>
      <c r="D26" s="20" t="s">
        <v>258</v>
      </c>
    </row>
    <row r="28" spans="2:9" x14ac:dyDescent="0.35">
      <c r="B28" s="20" t="s">
        <v>285</v>
      </c>
      <c r="C28" s="75">
        <v>4089</v>
      </c>
      <c r="D28" s="20" t="s">
        <v>259</v>
      </c>
      <c r="F28" s="7" t="s">
        <v>260</v>
      </c>
    </row>
    <row r="29" spans="2:9" x14ac:dyDescent="0.35">
      <c r="C29" s="75">
        <f>+C28*1000</f>
        <v>4089000</v>
      </c>
      <c r="D29" s="20" t="s">
        <v>258</v>
      </c>
    </row>
    <row r="30" spans="2:9" x14ac:dyDescent="0.35">
      <c r="B30" s="20" t="s">
        <v>286</v>
      </c>
      <c r="C30" s="74">
        <f>+C26/C29</f>
        <v>7.5551520122416112E-3</v>
      </c>
      <c r="D30" s="20" t="s">
        <v>287</v>
      </c>
    </row>
    <row r="31" spans="2:9" x14ac:dyDescent="0.35">
      <c r="B31" s="23" t="s">
        <v>288</v>
      </c>
      <c r="C31" s="77">
        <f>+C22*C21</f>
        <v>4.6301904569621106</v>
      </c>
      <c r="D31" s="23" t="s">
        <v>257</v>
      </c>
      <c r="E31" s="23"/>
      <c r="F31" s="23"/>
      <c r="G31" s="23"/>
      <c r="H31" s="23"/>
      <c r="I31" s="23"/>
    </row>
    <row r="35" spans="2:9" x14ac:dyDescent="0.35">
      <c r="B35" s="17" t="s">
        <v>300</v>
      </c>
    </row>
    <row r="36" spans="2:9" x14ac:dyDescent="0.35">
      <c r="B36" s="1" t="s">
        <v>0</v>
      </c>
      <c r="C36" s="1" t="s">
        <v>1</v>
      </c>
      <c r="D36" s="1" t="s">
        <v>2</v>
      </c>
      <c r="E36" s="1"/>
      <c r="F36" s="1"/>
      <c r="G36" s="1"/>
      <c r="H36" s="1"/>
      <c r="I36" s="1"/>
    </row>
    <row r="37" spans="2:9" x14ac:dyDescent="0.35">
      <c r="B37" s="20" t="s">
        <v>256</v>
      </c>
      <c r="C37" s="20">
        <v>75</v>
      </c>
      <c r="D37" s="20" t="s">
        <v>255</v>
      </c>
      <c r="E37" s="7" t="s">
        <v>253</v>
      </c>
    </row>
    <row r="38" spans="2:9" x14ac:dyDescent="0.35">
      <c r="B38" s="20" t="s">
        <v>254</v>
      </c>
      <c r="C38" s="2">
        <v>0.47</v>
      </c>
      <c r="E38" s="7" t="s">
        <v>253</v>
      </c>
    </row>
    <row r="39" spans="2:9" x14ac:dyDescent="0.35">
      <c r="C39" s="20">
        <f>+C37*C38</f>
        <v>35.25</v>
      </c>
      <c r="D39" s="20" t="s">
        <v>252</v>
      </c>
    </row>
    <row r="40" spans="2:9" x14ac:dyDescent="0.35">
      <c r="B40" s="23" t="s">
        <v>250</v>
      </c>
      <c r="C40" s="78">
        <f>+B58/C39</f>
        <v>0</v>
      </c>
      <c r="D40" s="23"/>
      <c r="E40" s="23"/>
      <c r="F40" s="23"/>
      <c r="G40" s="23"/>
      <c r="H40" s="23"/>
      <c r="I40" s="23"/>
    </row>
    <row r="42" spans="2:9" x14ac:dyDescent="0.35">
      <c r="B42" s="74"/>
    </row>
    <row r="44" spans="2:9" s="17" customFormat="1" x14ac:dyDescent="0.35"/>
    <row r="58" spans="2:2" x14ac:dyDescent="0.35">
      <c r="B58" s="73"/>
    </row>
  </sheetData>
  <hyperlinks>
    <hyperlink ref="F4" r:id="rId1" xr:uid="{C38E29DF-30BD-490D-A934-42C58A28981C}"/>
    <hyperlink ref="F5" r:id="rId2" xr:uid="{3C6817A5-D46F-4455-A9A3-E1227831B84C}"/>
    <hyperlink ref="F10" r:id="rId3" xr:uid="{709F95F4-62AB-40BE-A340-62B2865A4853}"/>
    <hyperlink ref="F23" r:id="rId4" xr:uid="{8A90E289-A166-4641-A2DB-0E299ED0DA1D}"/>
    <hyperlink ref="F28" r:id="rId5" xr:uid="{4E9E5EBA-1A3C-460F-9361-4DCC97723DCD}"/>
    <hyperlink ref="E37" r:id="rId6" xr:uid="{158799E4-BE0B-449C-91F9-05A5B3723B6C}"/>
    <hyperlink ref="E38" r:id="rId7" xr:uid="{DB9B1F4E-0CAC-4777-98F2-4D8D44CC2F85}"/>
  </hyperlinks>
  <pageMargins left="0.7" right="0.7" top="0.75" bottom="0.75" header="0.3" footer="0.3"/>
  <pageSetup paperSize="9"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8E38-6B27-47F8-827B-2B4F680BF491}">
  <dimension ref="A2:T86"/>
  <sheetViews>
    <sheetView showGridLines="0" zoomScale="90" zoomScaleNormal="90" workbookViewId="0">
      <selection activeCell="D52" sqref="D52"/>
    </sheetView>
  </sheetViews>
  <sheetFormatPr defaultRowHeight="14.5" x14ac:dyDescent="0.35"/>
  <cols>
    <col min="2" max="2" width="15.7265625" customWidth="1"/>
    <col min="4" max="4" width="10" customWidth="1"/>
    <col min="5" max="5" width="18.26953125" customWidth="1"/>
    <col min="6" max="6" width="12.1796875" bestFit="1" customWidth="1"/>
    <col min="7" max="8" width="8.7265625" customWidth="1"/>
  </cols>
  <sheetData>
    <row r="2" spans="2:20" x14ac:dyDescent="0.35">
      <c r="B2" t="s">
        <v>146</v>
      </c>
    </row>
    <row r="3" spans="2:20" x14ac:dyDescent="0.35">
      <c r="B3" s="1" t="s">
        <v>0</v>
      </c>
      <c r="C3" s="1" t="s">
        <v>1</v>
      </c>
      <c r="D3" s="1" t="s">
        <v>2</v>
      </c>
      <c r="E3" s="1"/>
    </row>
    <row r="4" spans="2:20" ht="16.5" x14ac:dyDescent="0.45">
      <c r="B4" t="s">
        <v>55</v>
      </c>
      <c r="C4" s="45">
        <f>AVERAGE(E20,G47,E33)</f>
        <v>3.2816078962715882</v>
      </c>
      <c r="D4" s="20" t="s">
        <v>154</v>
      </c>
      <c r="G4" s="17"/>
      <c r="H4" s="17"/>
      <c r="I4" s="17"/>
    </row>
    <row r="5" spans="2:20" x14ac:dyDescent="0.35">
      <c r="B5" t="s">
        <v>43</v>
      </c>
      <c r="C5" s="13">
        <f>C22</f>
        <v>6.64</v>
      </c>
      <c r="D5" t="s">
        <v>158</v>
      </c>
      <c r="G5" s="17"/>
      <c r="H5" s="17"/>
      <c r="I5" s="17"/>
    </row>
    <row r="6" spans="2:20" s="20" customFormat="1" x14ac:dyDescent="0.35">
      <c r="B6" s="20" t="s">
        <v>116</v>
      </c>
      <c r="C6" s="36">
        <v>1.01</v>
      </c>
      <c r="D6" s="20" t="s">
        <v>152</v>
      </c>
      <c r="G6" s="17"/>
      <c r="H6" s="17"/>
      <c r="I6" s="17"/>
    </row>
    <row r="7" spans="2:20" x14ac:dyDescent="0.35">
      <c r="B7" t="s">
        <v>22</v>
      </c>
      <c r="C7">
        <v>1</v>
      </c>
      <c r="D7" t="s">
        <v>14</v>
      </c>
    </row>
    <row r="8" spans="2:20" x14ac:dyDescent="0.35">
      <c r="B8" t="s">
        <v>141</v>
      </c>
      <c r="C8">
        <f>AVERAGE(C26,E39,G53)</f>
        <v>8.6711734080897074</v>
      </c>
      <c r="D8" t="s">
        <v>14</v>
      </c>
    </row>
    <row r="9" spans="2:20" x14ac:dyDescent="0.35">
      <c r="B9" s="23" t="s">
        <v>142</v>
      </c>
      <c r="C9" s="52">
        <f>AVERAGE(E25,E38,G52)</f>
        <v>3.2659389502527012</v>
      </c>
      <c r="D9" s="23" t="s">
        <v>12</v>
      </c>
      <c r="E9" s="23"/>
    </row>
    <row r="10" spans="2:20" x14ac:dyDescent="0.35">
      <c r="B10" s="37" t="s">
        <v>145</v>
      </c>
    </row>
    <row r="11" spans="2:20" x14ac:dyDescent="0.35">
      <c r="B11" s="37" t="s">
        <v>159</v>
      </c>
    </row>
    <row r="15" spans="2:20" x14ac:dyDescent="0.35">
      <c r="B15" t="s">
        <v>150</v>
      </c>
    </row>
    <row r="16" spans="2:20" x14ac:dyDescent="0.35">
      <c r="Q16" s="64"/>
      <c r="R16" s="64"/>
      <c r="S16" s="64"/>
      <c r="T16" s="64"/>
    </row>
    <row r="17" spans="2:12" s="17" customFormat="1" x14ac:dyDescent="0.35">
      <c r="B17" s="17" t="s">
        <v>227</v>
      </c>
    </row>
    <row r="18" spans="2:12" s="17" customFormat="1" x14ac:dyDescent="0.35">
      <c r="B18" s="24" t="s">
        <v>11</v>
      </c>
      <c r="C18" s="24" t="s">
        <v>29</v>
      </c>
      <c r="D18" s="24" t="s">
        <v>28</v>
      </c>
      <c r="E18" s="24" t="s">
        <v>31</v>
      </c>
      <c r="F18" s="21"/>
      <c r="G18" s="21"/>
      <c r="H18" s="21"/>
    </row>
    <row r="19" spans="2:12" x14ac:dyDescent="0.35">
      <c r="B19" s="26" t="s">
        <v>27</v>
      </c>
      <c r="C19" s="26"/>
      <c r="D19" s="26"/>
      <c r="E19" s="26"/>
    </row>
    <row r="20" spans="2:12" ht="17.5" x14ac:dyDescent="0.45">
      <c r="B20" s="18" t="s">
        <v>26</v>
      </c>
      <c r="C20" s="18">
        <v>4.8499999999999996</v>
      </c>
      <c r="D20" s="18" t="s">
        <v>140</v>
      </c>
      <c r="E20" s="27">
        <f>0.717*C20</f>
        <v>3.4774499999999997</v>
      </c>
      <c r="F20" t="s">
        <v>154</v>
      </c>
      <c r="H20" t="s">
        <v>160</v>
      </c>
      <c r="L20" t="s">
        <v>138</v>
      </c>
    </row>
    <row r="21" spans="2:12" x14ac:dyDescent="0.35">
      <c r="B21" s="18" t="s">
        <v>25</v>
      </c>
      <c r="C21" s="33" t="s">
        <v>143</v>
      </c>
      <c r="D21" s="18"/>
      <c r="E21" s="18"/>
    </row>
    <row r="22" spans="2:12" x14ac:dyDescent="0.35">
      <c r="B22" s="18" t="s">
        <v>24</v>
      </c>
      <c r="C22" s="28">
        <v>6.64</v>
      </c>
      <c r="D22" s="18" t="s">
        <v>40</v>
      </c>
      <c r="E22" s="18"/>
    </row>
    <row r="23" spans="2:12" x14ac:dyDescent="0.35">
      <c r="B23" s="26" t="s">
        <v>23</v>
      </c>
      <c r="C23" s="26"/>
      <c r="D23" s="26"/>
      <c r="E23" s="26"/>
    </row>
    <row r="24" spans="2:12" x14ac:dyDescent="0.35">
      <c r="B24" s="18" t="s">
        <v>22</v>
      </c>
      <c r="C24" s="18">
        <v>1</v>
      </c>
      <c r="D24" s="18" t="s">
        <v>39</v>
      </c>
      <c r="E24" s="18"/>
    </row>
    <row r="25" spans="2:12" x14ac:dyDescent="0.35">
      <c r="B25" s="18" t="s">
        <v>19</v>
      </c>
      <c r="C25" s="18">
        <v>1.1000000000000001</v>
      </c>
      <c r="D25" s="18" t="s">
        <v>38</v>
      </c>
      <c r="E25" s="27">
        <v>3.96</v>
      </c>
      <c r="F25" t="s">
        <v>12</v>
      </c>
    </row>
    <row r="26" spans="2:12" x14ac:dyDescent="0.35">
      <c r="B26" s="18" t="s">
        <v>18</v>
      </c>
      <c r="C26" s="18">
        <v>9</v>
      </c>
      <c r="D26" s="18" t="s">
        <v>14</v>
      </c>
      <c r="E26" s="18"/>
    </row>
    <row r="27" spans="2:12" x14ac:dyDescent="0.35">
      <c r="B27" s="25" t="s">
        <v>16</v>
      </c>
      <c r="C27" s="29">
        <v>16.41</v>
      </c>
      <c r="D27" s="25" t="s">
        <v>14</v>
      </c>
      <c r="E27" s="25"/>
    </row>
    <row r="28" spans="2:12" s="20" customFormat="1" x14ac:dyDescent="0.35">
      <c r="B28" s="35" t="s">
        <v>144</v>
      </c>
      <c r="C28" s="34"/>
      <c r="D28" s="31"/>
      <c r="E28" s="31"/>
    </row>
    <row r="30" spans="2:12" s="17" customFormat="1" x14ac:dyDescent="0.35">
      <c r="B30" s="17" t="s">
        <v>228</v>
      </c>
    </row>
    <row r="31" spans="2:12" x14ac:dyDescent="0.35">
      <c r="B31" s="26" t="s">
        <v>11</v>
      </c>
      <c r="C31" s="26" t="s">
        <v>29</v>
      </c>
      <c r="D31" s="26" t="s">
        <v>28</v>
      </c>
      <c r="E31" s="26" t="s">
        <v>31</v>
      </c>
      <c r="F31" s="5"/>
      <c r="G31" s="5"/>
      <c r="H31" s="5"/>
    </row>
    <row r="32" spans="2:12" x14ac:dyDescent="0.35">
      <c r="B32" s="26" t="s">
        <v>27</v>
      </c>
      <c r="C32" s="26"/>
      <c r="D32" s="26"/>
      <c r="E32" s="26"/>
    </row>
    <row r="33" spans="1:8" ht="16.5" x14ac:dyDescent="0.45">
      <c r="B33" s="18" t="s">
        <v>26</v>
      </c>
      <c r="C33" s="18">
        <v>31371.58</v>
      </c>
      <c r="D33" s="18" t="s">
        <v>20</v>
      </c>
      <c r="E33" s="18">
        <f>C33/G37</f>
        <v>3.4508738000000005</v>
      </c>
      <c r="F33" s="20" t="s">
        <v>154</v>
      </c>
    </row>
    <row r="34" spans="1:8" x14ac:dyDescent="0.35">
      <c r="B34" s="18" t="s">
        <v>25</v>
      </c>
      <c r="C34" s="33" t="s">
        <v>143</v>
      </c>
      <c r="D34" s="18"/>
      <c r="E34" s="18"/>
    </row>
    <row r="35" spans="1:8" x14ac:dyDescent="0.35">
      <c r="B35" s="18" t="s">
        <v>24</v>
      </c>
      <c r="C35" s="33" t="s">
        <v>143</v>
      </c>
      <c r="D35" s="18"/>
      <c r="E35" s="18"/>
    </row>
    <row r="36" spans="1:8" x14ac:dyDescent="0.35">
      <c r="B36" s="26" t="s">
        <v>23</v>
      </c>
      <c r="C36" s="26"/>
      <c r="D36" s="26"/>
      <c r="E36" s="26"/>
    </row>
    <row r="37" spans="1:8" ht="16.5" x14ac:dyDescent="0.45">
      <c r="B37" s="18" t="s">
        <v>22</v>
      </c>
      <c r="C37" s="18">
        <v>300</v>
      </c>
      <c r="D37" s="18" t="s">
        <v>155</v>
      </c>
      <c r="E37" s="18">
        <v>300000</v>
      </c>
      <c r="F37" s="18" t="s">
        <v>156</v>
      </c>
      <c r="G37">
        <f>E37/33</f>
        <v>9090.9090909090901</v>
      </c>
      <c r="H37" t="s">
        <v>157</v>
      </c>
    </row>
    <row r="38" spans="1:8" ht="16.5" x14ac:dyDescent="0.45">
      <c r="B38" s="18" t="s">
        <v>19</v>
      </c>
      <c r="C38" s="18">
        <v>10.76</v>
      </c>
      <c r="D38" s="18" t="s">
        <v>161</v>
      </c>
      <c r="E38" s="18">
        <f>(C38/C33)*3600</f>
        <v>1.2347481382831211</v>
      </c>
      <c r="F38" t="s">
        <v>12</v>
      </c>
    </row>
    <row r="39" spans="1:8" x14ac:dyDescent="0.35">
      <c r="B39" s="31" t="s">
        <v>18</v>
      </c>
      <c r="C39" s="31">
        <v>267.39</v>
      </c>
      <c r="D39" s="31" t="s">
        <v>136</v>
      </c>
      <c r="E39" s="31">
        <f>((C39*E37)/33)/E37</f>
        <v>8.1027272727272717</v>
      </c>
    </row>
    <row r="40" spans="1:8" x14ac:dyDescent="0.35">
      <c r="B40" s="25" t="s">
        <v>16</v>
      </c>
      <c r="C40" s="32" t="s">
        <v>143</v>
      </c>
      <c r="D40" s="25"/>
      <c r="E40" s="25"/>
    </row>
    <row r="41" spans="1:8" x14ac:dyDescent="0.35">
      <c r="B41" s="35" t="s">
        <v>144</v>
      </c>
    </row>
    <row r="42" spans="1:8" s="20" customFormat="1" x14ac:dyDescent="0.35"/>
    <row r="43" spans="1:8" s="17" customFormat="1" x14ac:dyDescent="0.35"/>
    <row r="44" spans="1:8" s="17" customFormat="1" x14ac:dyDescent="0.35">
      <c r="B44" s="17" t="s">
        <v>229</v>
      </c>
    </row>
    <row r="45" spans="1:8" s="17" customFormat="1" x14ac:dyDescent="0.35">
      <c r="A45" s="47"/>
      <c r="B45" s="24" t="s">
        <v>11</v>
      </c>
      <c r="C45" s="24" t="s">
        <v>29</v>
      </c>
      <c r="D45" s="24" t="s">
        <v>28</v>
      </c>
      <c r="E45" s="58" t="s">
        <v>31</v>
      </c>
      <c r="F45" s="24"/>
      <c r="G45" s="53"/>
      <c r="H45" s="53"/>
    </row>
    <row r="46" spans="1:8" s="17" customFormat="1" x14ac:dyDescent="0.35">
      <c r="A46" s="47"/>
      <c r="B46" s="48" t="s">
        <v>27</v>
      </c>
      <c r="C46" s="48"/>
      <c r="D46" s="48"/>
      <c r="E46" s="24"/>
      <c r="F46" s="24"/>
      <c r="G46" s="53"/>
      <c r="H46" s="53"/>
    </row>
    <row r="47" spans="1:8" s="17" customFormat="1" ht="16.5" x14ac:dyDescent="0.45">
      <c r="B47" s="17" t="s">
        <v>26</v>
      </c>
      <c r="C47" s="17">
        <v>26.231000000000002</v>
      </c>
      <c r="D47" s="17" t="s">
        <v>21</v>
      </c>
      <c r="E47" s="17">
        <v>26231</v>
      </c>
      <c r="F47" s="17" t="s">
        <v>20</v>
      </c>
      <c r="G47" s="17">
        <f>E47/E51</f>
        <v>2.9164998888147653</v>
      </c>
      <c r="H47" s="20" t="s">
        <v>154</v>
      </c>
    </row>
    <row r="48" spans="1:8" s="17" customFormat="1" x14ac:dyDescent="0.35">
      <c r="B48" s="17" t="s">
        <v>25</v>
      </c>
      <c r="C48" s="33" t="s">
        <v>143</v>
      </c>
    </row>
    <row r="49" spans="2:8" s="17" customFormat="1" x14ac:dyDescent="0.35">
      <c r="B49" s="17" t="s">
        <v>24</v>
      </c>
      <c r="C49" s="33" t="s">
        <v>143</v>
      </c>
    </row>
    <row r="50" spans="2:8" s="17" customFormat="1" x14ac:dyDescent="0.35">
      <c r="B50" s="21" t="s">
        <v>23</v>
      </c>
    </row>
    <row r="51" spans="2:8" s="17" customFormat="1" x14ac:dyDescent="0.35">
      <c r="B51" s="17" t="s">
        <v>22</v>
      </c>
      <c r="C51" s="17">
        <v>8.9939999999999998</v>
      </c>
      <c r="D51" s="17" t="s">
        <v>21</v>
      </c>
      <c r="E51" s="17">
        <v>8994</v>
      </c>
      <c r="F51" s="17" t="s">
        <v>20</v>
      </c>
      <c r="G51" s="17">
        <v>1</v>
      </c>
      <c r="H51" s="17" t="s">
        <v>14</v>
      </c>
    </row>
    <row r="52" spans="2:8" s="17" customFormat="1" ht="16.5" x14ac:dyDescent="0.45">
      <c r="B52" s="17" t="s">
        <v>19</v>
      </c>
      <c r="C52" s="17">
        <v>11.5</v>
      </c>
      <c r="D52" s="18" t="s">
        <v>161</v>
      </c>
      <c r="G52" s="17">
        <f>(C52/E51)*3600</f>
        <v>4.6030687124749834</v>
      </c>
      <c r="H52" s="17" t="s">
        <v>12</v>
      </c>
    </row>
    <row r="53" spans="2:8" s="17" customFormat="1" x14ac:dyDescent="0.35">
      <c r="B53" s="17" t="s">
        <v>18</v>
      </c>
      <c r="C53" s="17">
        <v>0.80910000000000004</v>
      </c>
      <c r="D53" s="17" t="s">
        <v>17</v>
      </c>
      <c r="G53" s="17">
        <f>C53/0.0908</f>
        <v>8.9107929515418505</v>
      </c>
      <c r="H53" s="17" t="s">
        <v>14</v>
      </c>
    </row>
    <row r="54" spans="2:8" s="17" customFormat="1" x14ac:dyDescent="0.35">
      <c r="B54" s="46" t="s">
        <v>16</v>
      </c>
      <c r="C54" s="59" t="s">
        <v>143</v>
      </c>
      <c r="D54" s="46"/>
      <c r="E54" s="46"/>
      <c r="F54" s="46"/>
      <c r="G54" s="46"/>
      <c r="H54" s="46"/>
    </row>
    <row r="55" spans="2:8" s="17" customFormat="1" x14ac:dyDescent="0.35">
      <c r="B55" s="35" t="s">
        <v>144</v>
      </c>
    </row>
    <row r="56" spans="2:8" s="17" customFormat="1" x14ac:dyDescent="0.35"/>
    <row r="57" spans="2:8" s="17" customFormat="1" x14ac:dyDescent="0.35"/>
    <row r="58" spans="2:8" s="17" customFormat="1" x14ac:dyDescent="0.35"/>
    <row r="59" spans="2:8" s="17" customFormat="1" x14ac:dyDescent="0.35"/>
    <row r="60" spans="2:8" s="17" customFormat="1" x14ac:dyDescent="0.35"/>
    <row r="61" spans="2:8" s="17" customFormat="1" x14ac:dyDescent="0.35"/>
    <row r="62" spans="2:8" s="17" customFormat="1" x14ac:dyDescent="0.35"/>
    <row r="63" spans="2:8" s="17" customFormat="1" x14ac:dyDescent="0.35"/>
    <row r="64" spans="2:8" s="17" customFormat="1" x14ac:dyDescent="0.35"/>
    <row r="65" s="17" customFormat="1" x14ac:dyDescent="0.35"/>
    <row r="66" s="17" customFormat="1" x14ac:dyDescent="0.35"/>
    <row r="67" s="17" customFormat="1" x14ac:dyDescent="0.35"/>
    <row r="68" s="17" customFormat="1" x14ac:dyDescent="0.35"/>
    <row r="69" s="17" customFormat="1" x14ac:dyDescent="0.35"/>
    <row r="70" s="17" customFormat="1" x14ac:dyDescent="0.35"/>
    <row r="71" s="17" customFormat="1" x14ac:dyDescent="0.35"/>
    <row r="72" s="17" customFormat="1" x14ac:dyDescent="0.35"/>
    <row r="73" s="17" customFormat="1" x14ac:dyDescent="0.35"/>
    <row r="74" s="17" customFormat="1" x14ac:dyDescent="0.35"/>
    <row r="75" s="17" customFormat="1" x14ac:dyDescent="0.35"/>
    <row r="76" s="17" customFormat="1" x14ac:dyDescent="0.35"/>
    <row r="77" s="17" customFormat="1" x14ac:dyDescent="0.35"/>
    <row r="78" s="17" customFormat="1" x14ac:dyDescent="0.35"/>
    <row r="79" s="17" customFormat="1" x14ac:dyDescent="0.35"/>
    <row r="80" s="17" customFormat="1" x14ac:dyDescent="0.35"/>
    <row r="81" s="17" customFormat="1" x14ac:dyDescent="0.35"/>
    <row r="82" s="17" customFormat="1" x14ac:dyDescent="0.35"/>
    <row r="83" s="17" customFormat="1" x14ac:dyDescent="0.35"/>
    <row r="84" s="17" customFormat="1" x14ac:dyDescent="0.35"/>
    <row r="85" s="17" customFormat="1" x14ac:dyDescent="0.35"/>
    <row r="86" s="17" customForma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2C0E-72C0-4CFC-863C-8CFC919EE034}">
  <dimension ref="A2:P86"/>
  <sheetViews>
    <sheetView showGridLines="0" zoomScale="90" zoomScaleNormal="90" workbookViewId="0">
      <selection activeCell="R53" sqref="R53"/>
    </sheetView>
  </sheetViews>
  <sheetFormatPr defaultRowHeight="14.5" x14ac:dyDescent="0.35"/>
  <cols>
    <col min="2" max="2" width="17.81640625" customWidth="1"/>
    <col min="5" max="5" width="9.54296875" customWidth="1"/>
    <col min="8" max="8" width="20.1796875" customWidth="1"/>
    <col min="10" max="10" width="9.7265625" customWidth="1"/>
  </cols>
  <sheetData>
    <row r="2" spans="2:11" x14ac:dyDescent="0.35">
      <c r="B2" t="s">
        <v>234</v>
      </c>
    </row>
    <row r="3" spans="2:11" x14ac:dyDescent="0.35">
      <c r="B3" s="1" t="s">
        <v>0</v>
      </c>
      <c r="C3" s="1" t="s">
        <v>1</v>
      </c>
      <c r="D3" s="1" t="s">
        <v>2</v>
      </c>
      <c r="E3" s="1"/>
    </row>
    <row r="4" spans="2:11" x14ac:dyDescent="0.35">
      <c r="B4" t="s">
        <v>55</v>
      </c>
      <c r="C4" s="8">
        <f>AVERAGE(E18,J18,F48,L48)</f>
        <v>3.3116949444073827</v>
      </c>
      <c r="D4" t="s">
        <v>14</v>
      </c>
    </row>
    <row r="5" spans="2:11" x14ac:dyDescent="0.35">
      <c r="B5" t="s">
        <v>56</v>
      </c>
      <c r="C5">
        <f>G34</f>
        <v>1.01</v>
      </c>
      <c r="D5" t="s">
        <v>152</v>
      </c>
    </row>
    <row r="6" spans="2:11" x14ac:dyDescent="0.35">
      <c r="B6" t="s">
        <v>22</v>
      </c>
      <c r="C6">
        <v>1</v>
      </c>
      <c r="D6" t="s">
        <v>14</v>
      </c>
    </row>
    <row r="7" spans="2:11" x14ac:dyDescent="0.35">
      <c r="B7" s="30" t="s">
        <v>49</v>
      </c>
      <c r="C7" s="30">
        <f>AVERAGE(C24,F54)</f>
        <v>4.1910572687224672</v>
      </c>
      <c r="D7" s="30" t="s">
        <v>14</v>
      </c>
      <c r="E7" s="30"/>
    </row>
    <row r="8" spans="2:11" x14ac:dyDescent="0.35">
      <c r="B8" s="23" t="s">
        <v>19</v>
      </c>
      <c r="C8" s="23">
        <f>AVERAGE(E23,F53,J23,L53)</f>
        <v>2.0592408272181455</v>
      </c>
      <c r="D8" s="23" t="s">
        <v>12</v>
      </c>
      <c r="E8" s="23"/>
    </row>
    <row r="9" spans="2:11" x14ac:dyDescent="0.35">
      <c r="B9" s="37" t="s">
        <v>145</v>
      </c>
      <c r="C9" s="20"/>
      <c r="D9" s="20"/>
      <c r="E9" s="20"/>
    </row>
    <row r="10" spans="2:11" s="20" customFormat="1" x14ac:dyDescent="0.35">
      <c r="B10" s="37"/>
    </row>
    <row r="11" spans="2:11" s="20" customFormat="1" x14ac:dyDescent="0.35"/>
    <row r="12" spans="2:11" x14ac:dyDescent="0.35">
      <c r="B12" s="20" t="s">
        <v>239</v>
      </c>
    </row>
    <row r="14" spans="2:11" s="17" customFormat="1" x14ac:dyDescent="0.35">
      <c r="B14" s="17" t="s">
        <v>227</v>
      </c>
    </row>
    <row r="15" spans="2:11" x14ac:dyDescent="0.35">
      <c r="B15" s="50" t="s">
        <v>33</v>
      </c>
      <c r="C15" s="68" t="s">
        <v>42</v>
      </c>
      <c r="D15" s="68"/>
      <c r="E15" s="18"/>
      <c r="F15" s="18"/>
      <c r="G15" s="18"/>
      <c r="H15" s="68" t="s">
        <v>37</v>
      </c>
      <c r="I15" s="68"/>
    </row>
    <row r="16" spans="2:11" x14ac:dyDescent="0.35">
      <c r="B16" s="49" t="s">
        <v>11</v>
      </c>
      <c r="C16" s="49" t="s">
        <v>29</v>
      </c>
      <c r="D16" s="49" t="s">
        <v>28</v>
      </c>
      <c r="E16" s="49" t="s">
        <v>31</v>
      </c>
      <c r="F16" s="49"/>
      <c r="G16" s="49"/>
      <c r="H16" s="49" t="s">
        <v>29</v>
      </c>
      <c r="I16" s="49" t="s">
        <v>28</v>
      </c>
      <c r="J16" s="26" t="s">
        <v>31</v>
      </c>
      <c r="K16" s="1"/>
    </row>
    <row r="17" spans="1:16" x14ac:dyDescent="0.35">
      <c r="B17" s="26" t="s">
        <v>27</v>
      </c>
      <c r="C17" s="26"/>
      <c r="D17" s="26"/>
      <c r="E17" s="26"/>
      <c r="F17" s="26"/>
      <c r="G17" s="26"/>
      <c r="H17" s="26"/>
      <c r="I17" s="26"/>
      <c r="J17" s="26"/>
      <c r="K17" s="1"/>
    </row>
    <row r="18" spans="1:16" ht="16.5" x14ac:dyDescent="0.35">
      <c r="B18" t="s">
        <v>26</v>
      </c>
      <c r="C18">
        <v>5.01</v>
      </c>
      <c r="D18" s="18" t="s">
        <v>140</v>
      </c>
      <c r="E18">
        <f>0.717*C18</f>
        <v>3.5921699999999999</v>
      </c>
      <c r="F18" t="s">
        <v>14</v>
      </c>
      <c r="H18">
        <v>5.33</v>
      </c>
      <c r="I18" s="18" t="s">
        <v>140</v>
      </c>
      <c r="J18">
        <f>0.717*H18</f>
        <v>3.8216099999999997</v>
      </c>
      <c r="K18" t="s">
        <v>14</v>
      </c>
      <c r="L18" t="s">
        <v>48</v>
      </c>
      <c r="P18" t="s">
        <v>138</v>
      </c>
    </row>
    <row r="19" spans="1:16" x14ac:dyDescent="0.35">
      <c r="B19" t="s">
        <v>25</v>
      </c>
      <c r="C19" s="36" t="s">
        <v>143</v>
      </c>
      <c r="H19" s="36" t="s">
        <v>143</v>
      </c>
    </row>
    <row r="20" spans="1:16" x14ac:dyDescent="0.35">
      <c r="B20" t="s">
        <v>24</v>
      </c>
      <c r="C20">
        <v>6.8</v>
      </c>
      <c r="D20" t="s">
        <v>40</v>
      </c>
      <c r="H20">
        <v>4.68</v>
      </c>
      <c r="I20" t="s">
        <v>14</v>
      </c>
    </row>
    <row r="21" spans="1:16" x14ac:dyDescent="0.35">
      <c r="A21" s="30"/>
      <c r="B21" s="26" t="s">
        <v>23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6" x14ac:dyDescent="0.35">
      <c r="B22" t="s">
        <v>22</v>
      </c>
      <c r="C22">
        <v>1</v>
      </c>
      <c r="D22" t="s">
        <v>39</v>
      </c>
      <c r="H22">
        <v>1</v>
      </c>
      <c r="I22" t="s">
        <v>14</v>
      </c>
    </row>
    <row r="23" spans="1:16" x14ac:dyDescent="0.35">
      <c r="B23" t="s">
        <v>19</v>
      </c>
      <c r="C23">
        <v>0.17</v>
      </c>
      <c r="D23" t="s">
        <v>38</v>
      </c>
      <c r="E23">
        <v>0.61199999999999999</v>
      </c>
      <c r="F23" t="s">
        <v>12</v>
      </c>
      <c r="H23">
        <v>0.05</v>
      </c>
      <c r="I23" t="s">
        <v>34</v>
      </c>
      <c r="J23">
        <v>0.18</v>
      </c>
      <c r="K23" t="s">
        <v>12</v>
      </c>
    </row>
    <row r="24" spans="1:16" x14ac:dyDescent="0.35">
      <c r="B24" t="s">
        <v>18</v>
      </c>
      <c r="C24">
        <v>4.12</v>
      </c>
      <c r="D24" t="s">
        <v>14</v>
      </c>
      <c r="H24">
        <v>0.99</v>
      </c>
      <c r="I24" t="s">
        <v>14</v>
      </c>
    </row>
    <row r="25" spans="1:16" x14ac:dyDescent="0.35">
      <c r="B25" s="23" t="s">
        <v>16</v>
      </c>
      <c r="C25" s="23">
        <v>17.91</v>
      </c>
      <c r="D25" s="23" t="s">
        <v>14</v>
      </c>
      <c r="E25" s="23"/>
      <c r="F25" s="23"/>
      <c r="G25" s="23"/>
      <c r="H25" s="23">
        <v>20.84</v>
      </c>
      <c r="I25" s="23" t="s">
        <v>14</v>
      </c>
      <c r="J25" s="23"/>
      <c r="K25" s="23"/>
    </row>
    <row r="26" spans="1:16" x14ac:dyDescent="0.35">
      <c r="B26" s="35" t="s">
        <v>144</v>
      </c>
    </row>
    <row r="28" spans="1:16" s="17" customFormat="1" x14ac:dyDescent="0.35"/>
    <row r="29" spans="1:16" x14ac:dyDescent="0.35">
      <c r="B29" s="37" t="s">
        <v>230</v>
      </c>
      <c r="C29" s="30"/>
      <c r="D29" s="30"/>
      <c r="E29" s="30"/>
      <c r="F29" s="30"/>
      <c r="G29" s="30"/>
      <c r="H29" s="30"/>
    </row>
    <row r="30" spans="1:16" x14ac:dyDescent="0.35">
      <c r="B30" s="51" t="s">
        <v>33</v>
      </c>
      <c r="C30" s="69" t="s">
        <v>37</v>
      </c>
      <c r="D30" s="69"/>
      <c r="E30" s="25"/>
      <c r="F30" s="25"/>
      <c r="G30" s="25" t="s">
        <v>13</v>
      </c>
      <c r="H30" s="25"/>
    </row>
    <row r="31" spans="1:16" x14ac:dyDescent="0.35">
      <c r="B31" s="25" t="s">
        <v>11</v>
      </c>
      <c r="C31" s="25" t="s">
        <v>29</v>
      </c>
      <c r="D31" s="25" t="s">
        <v>28</v>
      </c>
      <c r="E31" s="25"/>
      <c r="F31" s="25"/>
      <c r="G31" s="25"/>
      <c r="H31" s="25"/>
    </row>
    <row r="32" spans="1:16" x14ac:dyDescent="0.35">
      <c r="B32" s="26" t="s">
        <v>27</v>
      </c>
      <c r="C32" s="1"/>
      <c r="D32" s="1"/>
      <c r="E32" s="1"/>
      <c r="F32" s="1"/>
      <c r="G32" s="1"/>
      <c r="H32" s="1"/>
    </row>
    <row r="33" spans="2:13" x14ac:dyDescent="0.35">
      <c r="B33" t="s">
        <v>26</v>
      </c>
      <c r="C33">
        <v>80.56</v>
      </c>
      <c r="D33" t="s">
        <v>14</v>
      </c>
      <c r="G33">
        <f>C33/E37</f>
        <v>2.6853333333333333</v>
      </c>
      <c r="H33" t="s">
        <v>14</v>
      </c>
    </row>
    <row r="34" spans="2:13" x14ac:dyDescent="0.35">
      <c r="B34" t="s">
        <v>25</v>
      </c>
      <c r="C34">
        <v>217.13</v>
      </c>
      <c r="D34" t="s">
        <v>12</v>
      </c>
      <c r="G34">
        <v>1.01</v>
      </c>
      <c r="H34" t="s">
        <v>12</v>
      </c>
    </row>
    <row r="35" spans="2:13" x14ac:dyDescent="0.35">
      <c r="B35" t="s">
        <v>24</v>
      </c>
      <c r="C35" s="36" t="s">
        <v>143</v>
      </c>
    </row>
    <row r="36" spans="2:13" x14ac:dyDescent="0.35">
      <c r="B36" s="26" t="s">
        <v>23</v>
      </c>
      <c r="C36" s="1"/>
      <c r="D36" s="1"/>
      <c r="E36" s="1"/>
      <c r="F36" s="1"/>
      <c r="G36" s="1"/>
      <c r="H36" s="1"/>
    </row>
    <row r="37" spans="2:13" x14ac:dyDescent="0.35">
      <c r="B37" t="s">
        <v>22</v>
      </c>
      <c r="C37">
        <v>3600</v>
      </c>
      <c r="D37" t="s">
        <v>12</v>
      </c>
      <c r="E37">
        <v>30</v>
      </c>
      <c r="F37" t="s">
        <v>36</v>
      </c>
      <c r="G37" t="s">
        <v>35</v>
      </c>
      <c r="H37" t="s">
        <v>184</v>
      </c>
    </row>
    <row r="38" spans="2:13" x14ac:dyDescent="0.35">
      <c r="B38" t="s">
        <v>19</v>
      </c>
      <c r="C38" s="36" t="s">
        <v>143</v>
      </c>
    </row>
    <row r="39" spans="2:13" x14ac:dyDescent="0.35">
      <c r="B39" t="s">
        <v>18</v>
      </c>
      <c r="D39" t="s">
        <v>14</v>
      </c>
    </row>
    <row r="40" spans="2:13" x14ac:dyDescent="0.35">
      <c r="B40" s="23" t="s">
        <v>16</v>
      </c>
      <c r="C40" s="44" t="s">
        <v>143</v>
      </c>
      <c r="D40" s="23"/>
      <c r="E40" s="23"/>
      <c r="F40" s="23"/>
      <c r="G40" s="23"/>
      <c r="H40" s="23"/>
    </row>
    <row r="41" spans="2:13" x14ac:dyDescent="0.35">
      <c r="B41" s="35" t="s">
        <v>144</v>
      </c>
    </row>
    <row r="42" spans="2:13" s="20" customFormat="1" x14ac:dyDescent="0.35">
      <c r="B42" s="35"/>
    </row>
    <row r="43" spans="2:13" s="20" customFormat="1" x14ac:dyDescent="0.35">
      <c r="B43" s="35"/>
    </row>
    <row r="44" spans="2:13" x14ac:dyDescent="0.35">
      <c r="B44" s="17" t="s">
        <v>229</v>
      </c>
      <c r="C44" s="37"/>
      <c r="D44" s="37"/>
      <c r="E44" s="37"/>
      <c r="F44" s="30"/>
      <c r="G44" s="30"/>
      <c r="H44" s="30"/>
      <c r="I44" s="30"/>
      <c r="J44" s="30"/>
      <c r="K44" s="30"/>
      <c r="L44" s="30"/>
    </row>
    <row r="45" spans="2:13" x14ac:dyDescent="0.35">
      <c r="B45" s="51" t="s">
        <v>33</v>
      </c>
      <c r="C45" s="69" t="s">
        <v>32</v>
      </c>
      <c r="D45" s="69"/>
      <c r="E45" s="25" t="s">
        <v>31</v>
      </c>
      <c r="F45" s="25"/>
      <c r="G45" s="25"/>
      <c r="H45" s="70" t="s">
        <v>185</v>
      </c>
      <c r="I45" s="70"/>
      <c r="J45" s="25" t="s">
        <v>30</v>
      </c>
      <c r="K45" s="25"/>
      <c r="L45" s="25"/>
    </row>
    <row r="46" spans="2:13" x14ac:dyDescent="0.35">
      <c r="B46" s="25" t="s">
        <v>11</v>
      </c>
      <c r="C46" s="25" t="s">
        <v>29</v>
      </c>
      <c r="D46" s="25" t="s">
        <v>28</v>
      </c>
      <c r="E46" s="25"/>
      <c r="F46" s="25"/>
      <c r="G46" s="25"/>
      <c r="H46" s="25" t="s">
        <v>29</v>
      </c>
      <c r="I46" s="25" t="s">
        <v>28</v>
      </c>
      <c r="J46" s="25"/>
      <c r="K46" s="25"/>
      <c r="L46" s="25"/>
    </row>
    <row r="47" spans="2:13" x14ac:dyDescent="0.35">
      <c r="B47" s="26" t="s">
        <v>27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3" x14ac:dyDescent="0.35">
      <c r="B48" t="s">
        <v>26</v>
      </c>
      <c r="C48">
        <v>26.231000000000002</v>
      </c>
      <c r="D48" t="s">
        <v>21</v>
      </c>
      <c r="E48">
        <v>26231</v>
      </c>
      <c r="F48">
        <f>E48/E52</f>
        <v>2.9164998888147653</v>
      </c>
      <c r="G48" t="s">
        <v>14</v>
      </c>
      <c r="H48">
        <v>26.231000000000002</v>
      </c>
      <c r="I48" t="s">
        <v>21</v>
      </c>
      <c r="J48">
        <v>26231</v>
      </c>
      <c r="K48" t="s">
        <v>20</v>
      </c>
      <c r="L48">
        <f>F48</f>
        <v>2.9164998888147653</v>
      </c>
      <c r="M48" t="s">
        <v>14</v>
      </c>
    </row>
    <row r="49" spans="2:13" x14ac:dyDescent="0.35">
      <c r="B49" t="s">
        <v>25</v>
      </c>
      <c r="C49" s="36" t="s">
        <v>143</v>
      </c>
    </row>
    <row r="50" spans="2:13" x14ac:dyDescent="0.35">
      <c r="B50" t="s">
        <v>24</v>
      </c>
      <c r="C50" s="36" t="s">
        <v>143</v>
      </c>
    </row>
    <row r="51" spans="2:13" x14ac:dyDescent="0.35">
      <c r="B51" s="26" t="s">
        <v>23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2:13" x14ac:dyDescent="0.35">
      <c r="B52" t="s">
        <v>22</v>
      </c>
      <c r="C52">
        <v>8.9939999999999998</v>
      </c>
      <c r="D52" t="s">
        <v>21</v>
      </c>
      <c r="E52">
        <v>8994</v>
      </c>
      <c r="F52">
        <v>1</v>
      </c>
      <c r="G52" t="s">
        <v>14</v>
      </c>
      <c r="H52">
        <v>8.9939999999999998</v>
      </c>
      <c r="I52" t="s">
        <v>21</v>
      </c>
      <c r="J52">
        <v>8994</v>
      </c>
      <c r="K52" t="s">
        <v>20</v>
      </c>
      <c r="L52">
        <v>1</v>
      </c>
      <c r="M52" t="s">
        <v>14</v>
      </c>
    </row>
    <row r="53" spans="2:13" ht="16.5" x14ac:dyDescent="0.45">
      <c r="B53" t="s">
        <v>19</v>
      </c>
      <c r="C53">
        <v>6.9</v>
      </c>
      <c r="D53" s="18" t="s">
        <v>161</v>
      </c>
      <c r="F53">
        <f>(C53/E52)*3600</f>
        <v>2.7618412274849904</v>
      </c>
      <c r="G53" t="s">
        <v>12</v>
      </c>
      <c r="H53">
        <v>11.7</v>
      </c>
      <c r="I53" s="18" t="s">
        <v>161</v>
      </c>
      <c r="L53">
        <f>(H53/J52)*3600</f>
        <v>4.6831220813875909</v>
      </c>
      <c r="M53" t="s">
        <v>12</v>
      </c>
    </row>
    <row r="54" spans="2:13" ht="17.5" x14ac:dyDescent="0.45">
      <c r="B54" t="s">
        <v>18</v>
      </c>
      <c r="C54">
        <v>0.38700000000000001</v>
      </c>
      <c r="D54" t="s">
        <v>246</v>
      </c>
      <c r="F54">
        <f>C54/0.0908</f>
        <v>4.2621145374449334</v>
      </c>
      <c r="G54" t="s">
        <v>14</v>
      </c>
      <c r="H54">
        <v>8.8800000000000004E-2</v>
      </c>
      <c r="I54" s="20" t="s">
        <v>246</v>
      </c>
      <c r="L54">
        <f>H54/0.0908</f>
        <v>0.97797356828193827</v>
      </c>
      <c r="M54" t="s">
        <v>14</v>
      </c>
    </row>
    <row r="55" spans="2:13" x14ac:dyDescent="0.35">
      <c r="B55" s="23" t="s">
        <v>16</v>
      </c>
      <c r="C55" s="44" t="s">
        <v>143</v>
      </c>
      <c r="D55" s="23" t="s">
        <v>14</v>
      </c>
      <c r="E55" s="23"/>
      <c r="F55" s="23"/>
      <c r="G55" s="23"/>
      <c r="H55" s="23" t="s">
        <v>15</v>
      </c>
      <c r="I55" s="23" t="s">
        <v>14</v>
      </c>
      <c r="J55" s="23"/>
      <c r="K55" s="23"/>
      <c r="L55" s="23"/>
    </row>
    <row r="56" spans="2:13" x14ac:dyDescent="0.35">
      <c r="B56" s="35" t="s">
        <v>144</v>
      </c>
    </row>
    <row r="57" spans="2:13" s="17" customFormat="1" x14ac:dyDescent="0.35"/>
    <row r="59" spans="2:13" x14ac:dyDescent="0.35">
      <c r="B59" s="5"/>
      <c r="E59" s="5"/>
    </row>
    <row r="63" spans="2:13" x14ac:dyDescent="0.35">
      <c r="C63" s="6"/>
    </row>
    <row r="65" spans="2:3" x14ac:dyDescent="0.35">
      <c r="B65" s="5"/>
    </row>
    <row r="71" spans="2:3" x14ac:dyDescent="0.35">
      <c r="B71" s="5"/>
    </row>
    <row r="76" spans="2:3" x14ac:dyDescent="0.35">
      <c r="B76" s="5"/>
    </row>
    <row r="78" spans="2:3" x14ac:dyDescent="0.35">
      <c r="C78" s="2"/>
    </row>
    <row r="80" spans="2:3" x14ac:dyDescent="0.35">
      <c r="B80" s="5"/>
    </row>
    <row r="82" spans="2:5" x14ac:dyDescent="0.35">
      <c r="E82" s="2"/>
    </row>
    <row r="86" spans="2:5" x14ac:dyDescent="0.35">
      <c r="B86" s="5"/>
    </row>
  </sheetData>
  <mergeCells count="5">
    <mergeCell ref="C15:D15"/>
    <mergeCell ref="H15:I15"/>
    <mergeCell ref="C30:D30"/>
    <mergeCell ref="C45:D45"/>
    <mergeCell ref="H45:I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2DF4-2AEC-443E-9C44-C26D896EBB2B}">
  <dimension ref="B2:Q52"/>
  <sheetViews>
    <sheetView showGridLines="0" zoomScale="81" workbookViewId="0">
      <selection activeCell="H53" sqref="H53"/>
    </sheetView>
  </sheetViews>
  <sheetFormatPr defaultRowHeight="14.5" x14ac:dyDescent="0.35"/>
  <cols>
    <col min="2" max="2" width="26" customWidth="1"/>
    <col min="5" max="5" width="10.81640625" customWidth="1"/>
    <col min="15" max="15" width="28" customWidth="1"/>
    <col min="16" max="16" width="20.1796875" customWidth="1"/>
  </cols>
  <sheetData>
    <row r="2" spans="2:10" x14ac:dyDescent="0.35">
      <c r="B2" t="s">
        <v>235</v>
      </c>
    </row>
    <row r="3" spans="2:10" x14ac:dyDescent="0.35">
      <c r="B3" s="1" t="s">
        <v>0</v>
      </c>
      <c r="C3" s="1" t="s">
        <v>1</v>
      </c>
      <c r="D3" s="1" t="s">
        <v>2</v>
      </c>
      <c r="E3" s="1"/>
    </row>
    <row r="4" spans="2:10" x14ac:dyDescent="0.35">
      <c r="B4" t="s">
        <v>56</v>
      </c>
      <c r="C4">
        <f>AVERAGE(E20,G30)</f>
        <v>180.51833333333332</v>
      </c>
      <c r="D4" t="s">
        <v>12</v>
      </c>
    </row>
    <row r="5" spans="2:10" x14ac:dyDescent="0.35">
      <c r="B5" s="30" t="s">
        <v>22</v>
      </c>
      <c r="C5" s="30">
        <v>1</v>
      </c>
      <c r="D5" s="30" t="s">
        <v>14</v>
      </c>
      <c r="E5" s="30"/>
    </row>
    <row r="6" spans="2:10" s="20" customFormat="1" x14ac:dyDescent="0.35">
      <c r="B6" s="37" t="s">
        <v>210</v>
      </c>
      <c r="C6" s="30">
        <f>AVERAGE(C21,G31,C44)</f>
        <v>9.6666666666666661</v>
      </c>
      <c r="D6" s="30"/>
      <c r="E6" s="30"/>
    </row>
    <row r="7" spans="2:10" x14ac:dyDescent="0.35">
      <c r="B7" s="30" t="s">
        <v>57</v>
      </c>
      <c r="C7" s="30">
        <f>AVERAGE(C24,C49)</f>
        <v>8</v>
      </c>
      <c r="D7" s="30" t="s">
        <v>14</v>
      </c>
      <c r="E7" s="30"/>
    </row>
    <row r="8" spans="2:10" x14ac:dyDescent="0.35">
      <c r="B8" s="23" t="s">
        <v>105</v>
      </c>
      <c r="C8" s="44">
        <f>C47</f>
        <v>8</v>
      </c>
      <c r="D8" s="23" t="s">
        <v>231</v>
      </c>
      <c r="E8" s="23"/>
      <c r="H8" s="63"/>
      <c r="I8" s="63"/>
      <c r="J8" s="63"/>
    </row>
    <row r="9" spans="2:10" s="20" customFormat="1" x14ac:dyDescent="0.35">
      <c r="B9" s="37" t="s">
        <v>151</v>
      </c>
    </row>
    <row r="10" spans="2:10" s="20" customFormat="1" x14ac:dyDescent="0.35"/>
    <row r="11" spans="2:10" s="20" customFormat="1" x14ac:dyDescent="0.35"/>
    <row r="12" spans="2:10" s="20" customFormat="1" x14ac:dyDescent="0.35"/>
    <row r="13" spans="2:10" s="20" customFormat="1" x14ac:dyDescent="0.35"/>
    <row r="14" spans="2:10" s="20" customFormat="1" x14ac:dyDescent="0.35">
      <c r="B14" s="20" t="s">
        <v>240</v>
      </c>
    </row>
    <row r="16" spans="2:10" s="17" customFormat="1" x14ac:dyDescent="0.35"/>
    <row r="17" spans="2:8" x14ac:dyDescent="0.35">
      <c r="B17" s="17" t="s">
        <v>227</v>
      </c>
    </row>
    <row r="18" spans="2:8" x14ac:dyDescent="0.35">
      <c r="B18" s="26" t="s">
        <v>11</v>
      </c>
      <c r="C18" s="26" t="s">
        <v>29</v>
      </c>
      <c r="D18" s="26" t="s">
        <v>28</v>
      </c>
      <c r="E18" s="26" t="s">
        <v>31</v>
      </c>
      <c r="F18" s="18"/>
    </row>
    <row r="19" spans="2:8" x14ac:dyDescent="0.35">
      <c r="B19" s="25" t="s">
        <v>27</v>
      </c>
      <c r="C19" s="25"/>
      <c r="D19" s="25"/>
      <c r="E19" s="25"/>
      <c r="F19" s="18"/>
    </row>
    <row r="20" spans="2:8" x14ac:dyDescent="0.35">
      <c r="B20" s="31" t="s">
        <v>25</v>
      </c>
      <c r="C20" s="31">
        <v>55</v>
      </c>
      <c r="D20" s="31" t="s">
        <v>38</v>
      </c>
      <c r="E20" s="31">
        <f>C20*3.6</f>
        <v>198</v>
      </c>
      <c r="F20" s="18" t="s">
        <v>12</v>
      </c>
    </row>
    <row r="21" spans="2:8" x14ac:dyDescent="0.35">
      <c r="B21" s="31" t="s">
        <v>51</v>
      </c>
      <c r="C21" s="31">
        <v>12</v>
      </c>
      <c r="D21" s="31" t="s">
        <v>40</v>
      </c>
      <c r="E21" s="31"/>
      <c r="F21" s="18"/>
    </row>
    <row r="22" spans="2:8" x14ac:dyDescent="0.35">
      <c r="B22" s="26" t="s">
        <v>23</v>
      </c>
      <c r="C22" s="26"/>
      <c r="D22" s="26"/>
      <c r="E22" s="26"/>
      <c r="F22" s="18"/>
    </row>
    <row r="23" spans="2:8" x14ac:dyDescent="0.35">
      <c r="B23" s="31" t="s">
        <v>22</v>
      </c>
      <c r="C23" s="31">
        <v>1</v>
      </c>
      <c r="D23" s="31" t="s">
        <v>39</v>
      </c>
      <c r="E23" s="31"/>
      <c r="F23" s="18"/>
    </row>
    <row r="24" spans="2:8" x14ac:dyDescent="0.35">
      <c r="B24" s="25" t="s">
        <v>50</v>
      </c>
      <c r="C24" s="25">
        <v>8</v>
      </c>
      <c r="D24" s="25" t="s">
        <v>14</v>
      </c>
      <c r="E24" s="25"/>
      <c r="F24" s="18"/>
    </row>
    <row r="26" spans="2:8" s="37" customFormat="1" x14ac:dyDescent="0.35"/>
    <row r="27" spans="2:8" x14ac:dyDescent="0.35">
      <c r="B27" s="37" t="s">
        <v>230</v>
      </c>
    </row>
    <row r="28" spans="2:8" x14ac:dyDescent="0.35">
      <c r="B28" s="49" t="s">
        <v>11</v>
      </c>
      <c r="C28" s="49" t="s">
        <v>29</v>
      </c>
      <c r="D28" s="26" t="s">
        <v>28</v>
      </c>
      <c r="E28" s="1"/>
      <c r="F28" s="1"/>
      <c r="G28" s="1" t="s">
        <v>13</v>
      </c>
      <c r="H28" s="1"/>
    </row>
    <row r="29" spans="2:8" x14ac:dyDescent="0.35">
      <c r="B29" s="26" t="s">
        <v>27</v>
      </c>
      <c r="C29" s="26"/>
      <c r="D29" s="25"/>
      <c r="E29" s="1"/>
      <c r="F29" s="1"/>
      <c r="G29" s="1"/>
      <c r="H29" s="1"/>
    </row>
    <row r="30" spans="2:8" x14ac:dyDescent="0.35">
      <c r="B30" s="31" t="s">
        <v>25</v>
      </c>
      <c r="C30" s="31">
        <v>4974</v>
      </c>
      <c r="D30" s="31" t="s">
        <v>12</v>
      </c>
      <c r="G30">
        <f>C30/E33</f>
        <v>163.03666666666666</v>
      </c>
      <c r="H30" t="s">
        <v>12</v>
      </c>
    </row>
    <row r="31" spans="2:8" x14ac:dyDescent="0.35">
      <c r="B31" s="31" t="s">
        <v>51</v>
      </c>
      <c r="C31" s="31">
        <v>226.8</v>
      </c>
      <c r="D31" s="31" t="s">
        <v>14</v>
      </c>
      <c r="G31">
        <v>8</v>
      </c>
    </row>
    <row r="32" spans="2:8" x14ac:dyDescent="0.35">
      <c r="B32" s="26" t="s">
        <v>23</v>
      </c>
      <c r="C32" s="26"/>
      <c r="D32" s="26"/>
      <c r="E32" s="1"/>
      <c r="F32" s="1"/>
      <c r="G32" s="1"/>
      <c r="H32" s="1"/>
    </row>
    <row r="33" spans="2:17" x14ac:dyDescent="0.35">
      <c r="B33" s="31" t="s">
        <v>22</v>
      </c>
      <c r="C33" s="31">
        <v>3600</v>
      </c>
      <c r="D33" s="31" t="s">
        <v>12</v>
      </c>
      <c r="E33">
        <f>C33/118</f>
        <v>30.508474576271187</v>
      </c>
      <c r="F33" t="s">
        <v>14</v>
      </c>
      <c r="G33">
        <v>1</v>
      </c>
      <c r="H33" t="s">
        <v>14</v>
      </c>
    </row>
    <row r="34" spans="2:17" x14ac:dyDescent="0.35">
      <c r="B34" s="31" t="s">
        <v>18</v>
      </c>
      <c r="C34" s="62" t="s">
        <v>143</v>
      </c>
      <c r="D34" s="31"/>
    </row>
    <row r="35" spans="2:17" x14ac:dyDescent="0.35">
      <c r="B35" s="25" t="s">
        <v>50</v>
      </c>
      <c r="C35" s="32" t="s">
        <v>143</v>
      </c>
      <c r="D35" s="25"/>
      <c r="E35" s="23"/>
      <c r="F35" s="23"/>
      <c r="G35" s="23"/>
      <c r="H35" s="23"/>
    </row>
    <row r="36" spans="2:17" x14ac:dyDescent="0.35">
      <c r="B36" s="35" t="s">
        <v>144</v>
      </c>
    </row>
    <row r="37" spans="2:17" s="17" customFormat="1" x14ac:dyDescent="0.35">
      <c r="O37" s="65"/>
      <c r="P37" s="65"/>
      <c r="Q37"/>
    </row>
    <row r="38" spans="2:17" x14ac:dyDescent="0.35">
      <c r="O38" s="65"/>
      <c r="P38" s="66"/>
    </row>
    <row r="39" spans="2:17" x14ac:dyDescent="0.35">
      <c r="O39" s="65"/>
      <c r="P39" s="65"/>
    </row>
    <row r="40" spans="2:17" x14ac:dyDescent="0.35">
      <c r="B40" s="18" t="s">
        <v>233</v>
      </c>
      <c r="O40" s="65"/>
      <c r="P40" s="65"/>
    </row>
    <row r="41" spans="2:17" x14ac:dyDescent="0.35">
      <c r="B41" s="49" t="s">
        <v>11</v>
      </c>
      <c r="C41" s="49" t="s">
        <v>29</v>
      </c>
      <c r="D41" s="26" t="s">
        <v>28</v>
      </c>
      <c r="O41" s="65"/>
      <c r="P41" s="65"/>
    </row>
    <row r="42" spans="2:17" x14ac:dyDescent="0.35">
      <c r="B42" s="26" t="s">
        <v>27</v>
      </c>
      <c r="C42" s="26"/>
      <c r="D42" s="25"/>
      <c r="O42" s="65"/>
      <c r="P42" s="65"/>
    </row>
    <row r="43" spans="2:17" x14ac:dyDescent="0.35">
      <c r="B43" s="31" t="s">
        <v>25</v>
      </c>
      <c r="C43" s="31">
        <f>65*3.6</f>
        <v>234</v>
      </c>
      <c r="D43" s="31" t="s">
        <v>12</v>
      </c>
      <c r="O43" s="67"/>
      <c r="P43" s="67"/>
    </row>
    <row r="44" spans="2:17" x14ac:dyDescent="0.35">
      <c r="B44" s="31" t="s">
        <v>51</v>
      </c>
      <c r="C44" s="31">
        <v>9</v>
      </c>
      <c r="D44" s="31" t="s">
        <v>14</v>
      </c>
      <c r="O44" s="65"/>
      <c r="P44" s="65"/>
    </row>
    <row r="45" spans="2:17" x14ac:dyDescent="0.35">
      <c r="B45" s="26" t="s">
        <v>23</v>
      </c>
      <c r="C45" s="26"/>
      <c r="D45" s="26"/>
      <c r="O45" s="65"/>
      <c r="P45" s="65"/>
    </row>
    <row r="46" spans="2:17" x14ac:dyDescent="0.35">
      <c r="B46" s="31" t="s">
        <v>22</v>
      </c>
      <c r="C46" s="31">
        <v>1</v>
      </c>
      <c r="D46" s="31" t="s">
        <v>12</v>
      </c>
      <c r="O46" s="65"/>
      <c r="P46" s="65"/>
    </row>
    <row r="47" spans="2:17" s="20" customFormat="1" x14ac:dyDescent="0.35">
      <c r="B47" s="35" t="s">
        <v>193</v>
      </c>
      <c r="C47" s="31">
        <v>8</v>
      </c>
      <c r="D47" s="35" t="s">
        <v>34</v>
      </c>
      <c r="O47" s="65"/>
      <c r="P47" s="65"/>
    </row>
    <row r="48" spans="2:17" x14ac:dyDescent="0.35">
      <c r="B48" s="31" t="s">
        <v>18</v>
      </c>
      <c r="C48" s="62" t="s">
        <v>143</v>
      </c>
      <c r="D48" s="31"/>
    </row>
    <row r="49" spans="2:4" x14ac:dyDescent="0.35">
      <c r="B49" s="25" t="s">
        <v>50</v>
      </c>
      <c r="C49" s="32">
        <v>8</v>
      </c>
      <c r="D49" s="25" t="s">
        <v>40</v>
      </c>
    </row>
    <row r="50" spans="2:4" x14ac:dyDescent="0.35">
      <c r="B50" s="35" t="s">
        <v>144</v>
      </c>
    </row>
    <row r="52" spans="2:4" x14ac:dyDescent="0.35">
      <c r="B52" s="65"/>
      <c r="C52" s="65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8F38-67F4-41CD-8686-F526EEA78CD2}">
  <dimension ref="B2:M41"/>
  <sheetViews>
    <sheetView showGridLines="0" zoomScale="90" zoomScaleNormal="90" workbookViewId="0">
      <selection activeCell="J11" sqref="J11"/>
    </sheetView>
  </sheetViews>
  <sheetFormatPr defaultRowHeight="14.5" x14ac:dyDescent="0.35"/>
  <cols>
    <col min="2" max="2" width="18.54296875" customWidth="1"/>
  </cols>
  <sheetData>
    <row r="2" spans="2:13" s="20" customFormat="1" x14ac:dyDescent="0.35">
      <c r="B2" s="20" t="s">
        <v>236</v>
      </c>
    </row>
    <row r="3" spans="2:13" x14ac:dyDescent="0.35">
      <c r="B3" s="1" t="s">
        <v>0</v>
      </c>
      <c r="C3" s="1" t="s">
        <v>1</v>
      </c>
      <c r="D3" s="1" t="s">
        <v>2</v>
      </c>
    </row>
    <row r="4" spans="2:13" x14ac:dyDescent="0.35">
      <c r="B4" t="s">
        <v>55</v>
      </c>
      <c r="C4" s="8">
        <f>E19</f>
        <v>4.8038999999999996</v>
      </c>
      <c r="D4" t="s">
        <v>14</v>
      </c>
    </row>
    <row r="5" spans="2:13" x14ac:dyDescent="0.35">
      <c r="B5" t="s">
        <v>56</v>
      </c>
      <c r="C5">
        <f>E20</f>
        <v>4.6079999999999997</v>
      </c>
      <c r="D5" t="s">
        <v>12</v>
      </c>
    </row>
    <row r="6" spans="2:13" x14ac:dyDescent="0.35">
      <c r="B6" t="s">
        <v>22</v>
      </c>
      <c r="C6">
        <v>1</v>
      </c>
      <c r="D6" t="s">
        <v>14</v>
      </c>
    </row>
    <row r="7" spans="2:13" x14ac:dyDescent="0.35">
      <c r="B7" s="30" t="s">
        <v>49</v>
      </c>
      <c r="C7" s="30">
        <f>AVERAGE(C25,E39)</f>
        <v>1.865</v>
      </c>
      <c r="D7" s="30" t="s">
        <v>14</v>
      </c>
    </row>
    <row r="8" spans="2:13" x14ac:dyDescent="0.35">
      <c r="B8" s="23" t="s">
        <v>58</v>
      </c>
      <c r="C8" s="23">
        <f>AVERAGE(C26,E40)</f>
        <v>3.25</v>
      </c>
      <c r="D8" s="23" t="s">
        <v>14</v>
      </c>
    </row>
    <row r="10" spans="2:13" s="60" customFormat="1" x14ac:dyDescent="0.35"/>
    <row r="11" spans="2:13" s="60" customFormat="1" x14ac:dyDescent="0.35"/>
    <row r="12" spans="2:13" s="60" customFormat="1" x14ac:dyDescent="0.35">
      <c r="B12" s="20" t="s">
        <v>241</v>
      </c>
    </row>
    <row r="13" spans="2:13" s="60" customFormat="1" x14ac:dyDescent="0.35"/>
    <row r="14" spans="2:13" s="60" customFormat="1" x14ac:dyDescent="0.35"/>
    <row r="15" spans="2:13" x14ac:dyDescent="0.35">
      <c r="E15" s="61"/>
      <c r="M15" s="63"/>
    </row>
    <row r="16" spans="2:13" x14ac:dyDescent="0.35">
      <c r="B16" s="17" t="s">
        <v>227</v>
      </c>
      <c r="C16" s="22"/>
      <c r="D16" s="22"/>
      <c r="E16" s="22"/>
      <c r="F16" s="22"/>
    </row>
    <row r="17" spans="2:6" x14ac:dyDescent="0.35">
      <c r="B17" s="49" t="s">
        <v>11</v>
      </c>
      <c r="C17" s="49" t="s">
        <v>29</v>
      </c>
      <c r="D17" s="49" t="s">
        <v>28</v>
      </c>
      <c r="E17" s="49" t="s">
        <v>13</v>
      </c>
      <c r="F17" s="49"/>
    </row>
    <row r="18" spans="2:6" x14ac:dyDescent="0.35">
      <c r="B18" s="26" t="s">
        <v>27</v>
      </c>
      <c r="C18" s="26"/>
      <c r="D18" s="26"/>
      <c r="E18" s="26"/>
      <c r="F18" s="26"/>
    </row>
    <row r="19" spans="2:6" x14ac:dyDescent="0.35">
      <c r="B19" t="s">
        <v>26</v>
      </c>
      <c r="C19">
        <v>6.7</v>
      </c>
      <c r="D19" t="s">
        <v>41</v>
      </c>
      <c r="E19">
        <v>4.8038999999999996</v>
      </c>
      <c r="F19" t="s">
        <v>40</v>
      </c>
    </row>
    <row r="20" spans="2:6" x14ac:dyDescent="0.35">
      <c r="B20" t="s">
        <v>25</v>
      </c>
      <c r="C20">
        <v>1.28</v>
      </c>
      <c r="D20" t="s">
        <v>38</v>
      </c>
      <c r="E20">
        <v>4.6079999999999997</v>
      </c>
      <c r="F20" t="s">
        <v>12</v>
      </c>
    </row>
    <row r="21" spans="2:6" x14ac:dyDescent="0.35">
      <c r="B21" t="s">
        <v>24</v>
      </c>
      <c r="C21" t="s">
        <v>15</v>
      </c>
      <c r="D21" t="s">
        <v>40</v>
      </c>
    </row>
    <row r="22" spans="2:6" x14ac:dyDescent="0.35">
      <c r="B22" s="26" t="s">
        <v>23</v>
      </c>
      <c r="C22" s="26"/>
      <c r="D22" s="26"/>
      <c r="E22" s="26"/>
      <c r="F22" s="26"/>
    </row>
    <row r="23" spans="2:6" x14ac:dyDescent="0.35">
      <c r="B23" t="s">
        <v>22</v>
      </c>
      <c r="C23">
        <v>1</v>
      </c>
      <c r="D23" t="s">
        <v>39</v>
      </c>
    </row>
    <row r="24" spans="2:6" x14ac:dyDescent="0.35">
      <c r="B24" t="s">
        <v>19</v>
      </c>
      <c r="C24" s="36" t="s">
        <v>143</v>
      </c>
      <c r="D24" t="s">
        <v>38</v>
      </c>
    </row>
    <row r="25" spans="2:6" x14ac:dyDescent="0.35">
      <c r="B25" s="30" t="s">
        <v>18</v>
      </c>
      <c r="C25" s="30">
        <v>1.73</v>
      </c>
      <c r="D25" s="30" t="s">
        <v>14</v>
      </c>
      <c r="E25" s="30"/>
      <c r="F25" s="30"/>
    </row>
    <row r="26" spans="2:6" x14ac:dyDescent="0.35">
      <c r="B26" s="23" t="s">
        <v>52</v>
      </c>
      <c r="C26" s="23">
        <v>3</v>
      </c>
      <c r="D26" s="23" t="s">
        <v>14</v>
      </c>
      <c r="E26" s="23"/>
      <c r="F26" s="23"/>
    </row>
    <row r="27" spans="2:6" x14ac:dyDescent="0.35">
      <c r="B27" s="35" t="s">
        <v>144</v>
      </c>
    </row>
    <row r="28" spans="2:6" s="20" customFormat="1" x14ac:dyDescent="0.35">
      <c r="B28" s="35"/>
    </row>
    <row r="29" spans="2:6" s="17" customFormat="1" ht="14.25" customHeight="1" x14ac:dyDescent="0.35"/>
    <row r="30" spans="2:6" x14ac:dyDescent="0.35">
      <c r="B30" s="17" t="s">
        <v>54</v>
      </c>
    </row>
    <row r="31" spans="2:6" x14ac:dyDescent="0.35">
      <c r="B31" s="49" t="s">
        <v>11</v>
      </c>
      <c r="C31" s="49" t="s">
        <v>29</v>
      </c>
      <c r="D31" s="49" t="s">
        <v>28</v>
      </c>
      <c r="E31" s="49" t="s">
        <v>13</v>
      </c>
      <c r="F31" s="49"/>
    </row>
    <row r="32" spans="2:6" x14ac:dyDescent="0.35">
      <c r="B32" s="26" t="s">
        <v>27</v>
      </c>
      <c r="C32" s="26"/>
      <c r="D32" s="26"/>
      <c r="E32" s="26"/>
      <c r="F32" s="26"/>
    </row>
    <row r="33" spans="2:6" x14ac:dyDescent="0.35">
      <c r="B33" s="20" t="s">
        <v>26</v>
      </c>
      <c r="C33" s="20">
        <v>0.12</v>
      </c>
      <c r="D33" s="20" t="s">
        <v>245</v>
      </c>
      <c r="E33" s="20">
        <f>C33/C37</f>
        <v>6</v>
      </c>
      <c r="F33" s="30" t="s">
        <v>14</v>
      </c>
    </row>
    <row r="34" spans="2:6" x14ac:dyDescent="0.35">
      <c r="B34" s="20" t="s">
        <v>25</v>
      </c>
      <c r="C34" s="36" t="s">
        <v>143</v>
      </c>
      <c r="D34" s="20"/>
      <c r="E34" s="20"/>
      <c r="F34" s="30"/>
    </row>
    <row r="35" spans="2:6" x14ac:dyDescent="0.35">
      <c r="B35" s="20" t="s">
        <v>24</v>
      </c>
      <c r="C35" s="20">
        <v>0.3</v>
      </c>
      <c r="D35" s="20" t="s">
        <v>245</v>
      </c>
      <c r="E35" s="20">
        <f>C35/C37</f>
        <v>15</v>
      </c>
      <c r="F35" s="23" t="s">
        <v>14</v>
      </c>
    </row>
    <row r="36" spans="2:6" x14ac:dyDescent="0.35">
      <c r="B36" s="26" t="s">
        <v>23</v>
      </c>
      <c r="C36" s="26"/>
      <c r="D36" s="26"/>
      <c r="E36" s="26"/>
      <c r="F36" s="26"/>
    </row>
    <row r="37" spans="2:6" x14ac:dyDescent="0.35">
      <c r="B37" s="20" t="s">
        <v>22</v>
      </c>
      <c r="C37" s="20">
        <v>0.02</v>
      </c>
      <c r="D37" s="20" t="s">
        <v>245</v>
      </c>
      <c r="E37" s="20">
        <v>1</v>
      </c>
      <c r="F37" s="30" t="s">
        <v>14</v>
      </c>
    </row>
    <row r="38" spans="2:6" x14ac:dyDescent="0.35">
      <c r="B38" s="20" t="s">
        <v>19</v>
      </c>
      <c r="C38" s="36" t="s">
        <v>143</v>
      </c>
      <c r="D38" s="20"/>
      <c r="E38" s="20"/>
      <c r="F38" s="30"/>
    </row>
    <row r="39" spans="2:6" x14ac:dyDescent="0.35">
      <c r="B39" s="30" t="s">
        <v>18</v>
      </c>
      <c r="C39" s="30">
        <v>0.04</v>
      </c>
      <c r="D39" s="20" t="s">
        <v>245</v>
      </c>
      <c r="E39" s="30">
        <f>C39/C37</f>
        <v>2</v>
      </c>
      <c r="F39" s="30" t="s">
        <v>14</v>
      </c>
    </row>
    <row r="40" spans="2:6" x14ac:dyDescent="0.35">
      <c r="B40" s="23" t="s">
        <v>52</v>
      </c>
      <c r="C40" s="23">
        <v>7.0000000000000007E-2</v>
      </c>
      <c r="D40" s="23" t="s">
        <v>245</v>
      </c>
      <c r="E40" s="23">
        <f>C40/C37</f>
        <v>3.5000000000000004</v>
      </c>
      <c r="F40" s="23" t="s">
        <v>14</v>
      </c>
    </row>
    <row r="41" spans="2:6" x14ac:dyDescent="0.35">
      <c r="B41" s="35" t="s">
        <v>144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4FAF-93D2-4021-BA57-9EE4D07F2B61}">
  <dimension ref="B2:J31"/>
  <sheetViews>
    <sheetView showGridLines="0" zoomScaleNormal="100" workbookViewId="0">
      <selection activeCell="D21" sqref="D21"/>
    </sheetView>
  </sheetViews>
  <sheetFormatPr defaultRowHeight="14.5" x14ac:dyDescent="0.35"/>
  <cols>
    <col min="2" max="2" width="91.1796875" customWidth="1"/>
    <col min="3" max="3" width="18.54296875" customWidth="1"/>
    <col min="4" max="4" width="20.81640625" customWidth="1"/>
    <col min="5" max="6" width="20.81640625" style="20" customWidth="1"/>
    <col min="17" max="17" width="47.453125" customWidth="1"/>
  </cols>
  <sheetData>
    <row r="2" spans="2:10" x14ac:dyDescent="0.35">
      <c r="B2" s="17" t="s">
        <v>168</v>
      </c>
    </row>
    <row r="3" spans="2:10" s="17" customFormat="1" x14ac:dyDescent="0.35"/>
    <row r="4" spans="2:10" s="17" customFormat="1" x14ac:dyDescent="0.35">
      <c r="B4" s="20" t="s">
        <v>237</v>
      </c>
    </row>
    <row r="5" spans="2:10" x14ac:dyDescent="0.35">
      <c r="B5" s="1" t="s">
        <v>162</v>
      </c>
      <c r="C5" s="1" t="s">
        <v>163</v>
      </c>
      <c r="D5" s="1" t="s">
        <v>28</v>
      </c>
      <c r="E5" s="53" t="s">
        <v>165</v>
      </c>
      <c r="F5" s="1"/>
      <c r="G5" s="1"/>
      <c r="H5" s="1"/>
      <c r="I5" s="1"/>
      <c r="J5" s="1"/>
    </row>
    <row r="6" spans="2:10" x14ac:dyDescent="0.35">
      <c r="B6" t="s">
        <v>169</v>
      </c>
      <c r="C6" s="8">
        <v>0.05</v>
      </c>
      <c r="D6" t="s">
        <v>164</v>
      </c>
      <c r="E6" s="20" t="s">
        <v>170</v>
      </c>
    </row>
    <row r="7" spans="2:10" x14ac:dyDescent="0.35">
      <c r="B7" t="s">
        <v>171</v>
      </c>
      <c r="C7" s="8">
        <v>0.05</v>
      </c>
      <c r="D7" t="s">
        <v>164</v>
      </c>
      <c r="E7" s="20" t="s">
        <v>170</v>
      </c>
    </row>
    <row r="8" spans="2:10" x14ac:dyDescent="0.35">
      <c r="B8" t="s">
        <v>172</v>
      </c>
      <c r="C8">
        <v>50</v>
      </c>
      <c r="D8" t="s">
        <v>166</v>
      </c>
      <c r="E8" s="20" t="s">
        <v>173</v>
      </c>
    </row>
    <row r="9" spans="2:10" ht="16.5" x14ac:dyDescent="0.45">
      <c r="B9" t="s">
        <v>176</v>
      </c>
      <c r="C9" s="8">
        <v>2.75</v>
      </c>
      <c r="D9" t="s">
        <v>247</v>
      </c>
      <c r="E9" s="20" t="s">
        <v>177</v>
      </c>
    </row>
    <row r="10" spans="2:10" x14ac:dyDescent="0.35">
      <c r="B10" t="s">
        <v>175</v>
      </c>
      <c r="C10">
        <v>0.23</v>
      </c>
      <c r="D10" t="s">
        <v>167</v>
      </c>
      <c r="E10" s="20" t="s">
        <v>174</v>
      </c>
    </row>
    <row r="11" spans="2:10" ht="16.5" x14ac:dyDescent="0.45">
      <c r="B11" t="s">
        <v>59</v>
      </c>
      <c r="C11">
        <v>0.35</v>
      </c>
      <c r="D11" t="s">
        <v>248</v>
      </c>
    </row>
    <row r="12" spans="2:10" ht="16.5" x14ac:dyDescent="0.45">
      <c r="B12" t="s">
        <v>178</v>
      </c>
      <c r="C12">
        <v>0.1</v>
      </c>
      <c r="D12" s="20" t="s">
        <v>248</v>
      </c>
      <c r="E12" s="20" t="s">
        <v>179</v>
      </c>
    </row>
    <row r="13" spans="2:10" x14ac:dyDescent="0.35">
      <c r="B13" s="14" t="s">
        <v>69</v>
      </c>
      <c r="C13" s="16">
        <v>0.1</v>
      </c>
      <c r="D13" s="14" t="s">
        <v>164</v>
      </c>
      <c r="E13" t="s">
        <v>70</v>
      </c>
      <c r="F13" s="14"/>
    </row>
    <row r="14" spans="2:10" x14ac:dyDescent="0.35">
      <c r="B14" s="14" t="s">
        <v>84</v>
      </c>
      <c r="C14" s="14">
        <v>1.2</v>
      </c>
      <c r="D14" s="14" t="s">
        <v>74</v>
      </c>
      <c r="E14"/>
      <c r="F14"/>
    </row>
    <row r="15" spans="2:10" x14ac:dyDescent="0.35">
      <c r="B15" s="14" t="s">
        <v>94</v>
      </c>
      <c r="C15" s="16">
        <f>AVERAGE(E27,E28,E30)</f>
        <v>0.65770000000000006</v>
      </c>
      <c r="D15" s="14" t="s">
        <v>74</v>
      </c>
      <c r="E15" t="s">
        <v>108</v>
      </c>
      <c r="F15"/>
    </row>
    <row r="16" spans="2:10" x14ac:dyDescent="0.35">
      <c r="B16" s="54" t="s">
        <v>95</v>
      </c>
      <c r="C16" s="55">
        <v>2.4E-2</v>
      </c>
      <c r="D16" s="54" t="s">
        <v>74</v>
      </c>
      <c r="E16" s="23" t="s">
        <v>180</v>
      </c>
      <c r="F16" s="23"/>
      <c r="G16" s="23"/>
      <c r="H16" s="23"/>
      <c r="I16" s="23"/>
      <c r="J16" s="23"/>
    </row>
    <row r="17" spans="2:9" x14ac:dyDescent="0.35">
      <c r="B17" s="14"/>
      <c r="C17" s="15"/>
      <c r="D17" s="14"/>
      <c r="E17" s="14"/>
      <c r="F17" s="14"/>
    </row>
    <row r="18" spans="2:9" x14ac:dyDescent="0.35">
      <c r="B18" s="4"/>
      <c r="C18" s="9"/>
    </row>
    <row r="19" spans="2:9" x14ac:dyDescent="0.35">
      <c r="B19" s="4"/>
      <c r="C19" s="9"/>
    </row>
    <row r="20" spans="2:9" x14ac:dyDescent="0.35">
      <c r="B20" s="4"/>
      <c r="C20" s="9"/>
    </row>
    <row r="21" spans="2:9" x14ac:dyDescent="0.35">
      <c r="B21" s="4"/>
      <c r="C21" s="9"/>
    </row>
    <row r="24" spans="2:9" x14ac:dyDescent="0.35">
      <c r="B24" t="s">
        <v>238</v>
      </c>
    </row>
    <row r="26" spans="2:9" x14ac:dyDescent="0.35">
      <c r="B26" s="1" t="s">
        <v>162</v>
      </c>
      <c r="C26" s="1" t="s">
        <v>1</v>
      </c>
      <c r="D26" s="1" t="s">
        <v>181</v>
      </c>
      <c r="E26" s="1" t="s">
        <v>182</v>
      </c>
      <c r="F26" s="1" t="s">
        <v>181</v>
      </c>
      <c r="G26" s="1" t="s">
        <v>183</v>
      </c>
      <c r="H26" s="1"/>
      <c r="I26" s="1"/>
    </row>
    <row r="27" spans="2:9" x14ac:dyDescent="0.35">
      <c r="B27" t="s">
        <v>78</v>
      </c>
      <c r="C27">
        <f>(2.86+3.08+2.78+3.35)/4</f>
        <v>3.0174999999999996</v>
      </c>
      <c r="D27" t="s">
        <v>71</v>
      </c>
      <c r="E27">
        <v>0.83809999999999996</v>
      </c>
      <c r="F27" t="s">
        <v>74</v>
      </c>
      <c r="G27" t="s">
        <v>73</v>
      </c>
    </row>
    <row r="28" spans="2:9" x14ac:dyDescent="0.35">
      <c r="B28" t="s">
        <v>78</v>
      </c>
      <c r="C28">
        <v>1188</v>
      </c>
      <c r="D28" t="s">
        <v>75</v>
      </c>
      <c r="E28">
        <v>0.33</v>
      </c>
      <c r="F28" t="s">
        <v>74</v>
      </c>
      <c r="G28" t="s">
        <v>76</v>
      </c>
    </row>
    <row r="29" spans="2:9" x14ac:dyDescent="0.35">
      <c r="B29" t="s">
        <v>78</v>
      </c>
      <c r="C29">
        <v>0.23</v>
      </c>
      <c r="D29" t="s">
        <v>79</v>
      </c>
      <c r="E29">
        <v>3.19</v>
      </c>
      <c r="F29" t="s">
        <v>74</v>
      </c>
      <c r="G29" t="s">
        <v>81</v>
      </c>
    </row>
    <row r="30" spans="2:9" x14ac:dyDescent="0.35">
      <c r="B30" s="23" t="s">
        <v>78</v>
      </c>
      <c r="C30" s="23">
        <v>2900</v>
      </c>
      <c r="D30" s="23" t="s">
        <v>75</v>
      </c>
      <c r="E30" s="23">
        <v>0.80500000000000005</v>
      </c>
      <c r="F30" s="23" t="s">
        <v>74</v>
      </c>
      <c r="G30" s="23" t="s">
        <v>83</v>
      </c>
      <c r="H30" s="23"/>
      <c r="I30" s="23"/>
    </row>
    <row r="31" spans="2:9" x14ac:dyDescent="0.35">
      <c r="E31"/>
      <c r="F31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260F-8E23-4960-970A-446405460E11}">
  <dimension ref="B2:E31"/>
  <sheetViews>
    <sheetView showGridLines="0" workbookViewId="0">
      <selection activeCell="C20" sqref="C20"/>
    </sheetView>
  </sheetViews>
  <sheetFormatPr defaultRowHeight="14.5" x14ac:dyDescent="0.35"/>
  <cols>
    <col min="2" max="2" width="35.81640625" customWidth="1"/>
    <col min="3" max="3" width="24" customWidth="1"/>
    <col min="4" max="4" width="105.453125" customWidth="1"/>
  </cols>
  <sheetData>
    <row r="2" spans="2:5" x14ac:dyDescent="0.35">
      <c r="B2" t="s">
        <v>242</v>
      </c>
    </row>
    <row r="3" spans="2:5" x14ac:dyDescent="0.35">
      <c r="B3" s="26" t="s">
        <v>3</v>
      </c>
      <c r="C3" s="26" t="s">
        <v>4</v>
      </c>
      <c r="D3" s="26" t="s">
        <v>5</v>
      </c>
      <c r="E3" s="20"/>
    </row>
    <row r="4" spans="2:5" x14ac:dyDescent="0.35">
      <c r="B4" s="18" t="s">
        <v>153</v>
      </c>
      <c r="C4" s="18" t="s">
        <v>249</v>
      </c>
      <c r="D4" s="18" t="s">
        <v>201</v>
      </c>
      <c r="E4" s="20"/>
    </row>
    <row r="5" spans="2:5" s="20" customFormat="1" x14ac:dyDescent="0.35">
      <c r="B5" s="18" t="s">
        <v>6</v>
      </c>
      <c r="C5" s="18" t="s">
        <v>249</v>
      </c>
      <c r="D5" s="18" t="s">
        <v>202</v>
      </c>
    </row>
    <row r="6" spans="2:5" x14ac:dyDescent="0.35">
      <c r="B6" s="18" t="s">
        <v>6</v>
      </c>
      <c r="C6" s="18" t="s">
        <v>249</v>
      </c>
      <c r="D6" s="18" t="s">
        <v>186</v>
      </c>
      <c r="E6" s="20"/>
    </row>
    <row r="7" spans="2:5" x14ac:dyDescent="0.35">
      <c r="B7" s="18" t="s">
        <v>191</v>
      </c>
      <c r="C7" s="18" t="s">
        <v>249</v>
      </c>
      <c r="D7" s="18" t="s">
        <v>194</v>
      </c>
      <c r="E7" s="20"/>
    </row>
    <row r="8" spans="2:5" x14ac:dyDescent="0.35">
      <c r="B8" s="18" t="s">
        <v>189</v>
      </c>
      <c r="C8" s="18" t="s">
        <v>249</v>
      </c>
      <c r="D8" s="18" t="s">
        <v>187</v>
      </c>
      <c r="E8" s="20"/>
    </row>
    <row r="9" spans="2:5" x14ac:dyDescent="0.35">
      <c r="B9" s="18" t="s">
        <v>190</v>
      </c>
      <c r="C9" s="18" t="s">
        <v>249</v>
      </c>
      <c r="D9" s="18" t="s">
        <v>188</v>
      </c>
      <c r="E9" s="20"/>
    </row>
    <row r="10" spans="2:5" x14ac:dyDescent="0.35">
      <c r="B10" s="18" t="s">
        <v>193</v>
      </c>
      <c r="C10" s="18" t="s">
        <v>249</v>
      </c>
      <c r="D10" s="18" t="s">
        <v>192</v>
      </c>
      <c r="E10" s="20"/>
    </row>
    <row r="11" spans="2:5" x14ac:dyDescent="0.35">
      <c r="B11" s="18" t="s">
        <v>196</v>
      </c>
      <c r="C11" s="18" t="s">
        <v>249</v>
      </c>
      <c r="D11" s="18" t="s">
        <v>195</v>
      </c>
      <c r="E11" s="20"/>
    </row>
    <row r="12" spans="2:5" s="20" customFormat="1" x14ac:dyDescent="0.35">
      <c r="B12" s="18" t="s">
        <v>218</v>
      </c>
      <c r="C12" s="18" t="s">
        <v>249</v>
      </c>
      <c r="D12" s="18" t="s">
        <v>217</v>
      </c>
    </row>
    <row r="13" spans="2:5" x14ac:dyDescent="0.35">
      <c r="B13" s="18" t="s">
        <v>198</v>
      </c>
      <c r="C13" s="18" t="s">
        <v>249</v>
      </c>
      <c r="D13" s="18" t="s">
        <v>197</v>
      </c>
      <c r="E13" s="20"/>
    </row>
    <row r="14" spans="2:5" x14ac:dyDescent="0.35">
      <c r="B14" s="18" t="s">
        <v>200</v>
      </c>
      <c r="C14" s="18" t="s">
        <v>249</v>
      </c>
      <c r="D14" s="18" t="s">
        <v>199</v>
      </c>
      <c r="E14" s="20"/>
    </row>
    <row r="15" spans="2:5" x14ac:dyDescent="0.35">
      <c r="B15" s="18" t="s">
        <v>203</v>
      </c>
      <c r="C15" s="18" t="s">
        <v>249</v>
      </c>
      <c r="D15" s="18" t="s">
        <v>204</v>
      </c>
      <c r="E15" s="20"/>
    </row>
    <row r="16" spans="2:5" x14ac:dyDescent="0.35">
      <c r="B16" s="18" t="s">
        <v>206</v>
      </c>
      <c r="C16" s="18" t="s">
        <v>249</v>
      </c>
      <c r="D16" s="18" t="s">
        <v>205</v>
      </c>
      <c r="E16" s="20"/>
    </row>
    <row r="17" spans="2:5" x14ac:dyDescent="0.35">
      <c r="B17" s="18" t="s">
        <v>208</v>
      </c>
      <c r="C17" s="18" t="s">
        <v>249</v>
      </c>
      <c r="D17" s="18" t="s">
        <v>207</v>
      </c>
      <c r="E17" s="20"/>
    </row>
    <row r="18" spans="2:5" x14ac:dyDescent="0.35">
      <c r="B18" s="18" t="s">
        <v>215</v>
      </c>
      <c r="C18" s="18" t="s">
        <v>249</v>
      </c>
      <c r="D18" s="18" t="s">
        <v>209</v>
      </c>
      <c r="E18" s="20"/>
    </row>
    <row r="19" spans="2:5" x14ac:dyDescent="0.35">
      <c r="B19" s="18" t="s">
        <v>210</v>
      </c>
      <c r="C19" s="18" t="s">
        <v>249</v>
      </c>
      <c r="D19" s="18" t="s">
        <v>211</v>
      </c>
      <c r="E19" s="20"/>
    </row>
    <row r="20" spans="2:5" x14ac:dyDescent="0.35">
      <c r="B20" s="18" t="s">
        <v>213</v>
      </c>
      <c r="C20" s="18" t="s">
        <v>249</v>
      </c>
      <c r="D20" s="18" t="s">
        <v>212</v>
      </c>
      <c r="E20" s="20"/>
    </row>
    <row r="21" spans="2:5" x14ac:dyDescent="0.35">
      <c r="B21" s="18" t="s">
        <v>216</v>
      </c>
      <c r="C21" s="18" t="s">
        <v>249</v>
      </c>
      <c r="D21" s="18" t="s">
        <v>214</v>
      </c>
      <c r="E21" s="20"/>
    </row>
    <row r="22" spans="2:5" x14ac:dyDescent="0.35">
      <c r="B22" s="18" t="s">
        <v>222</v>
      </c>
      <c r="C22" s="18" t="s">
        <v>249</v>
      </c>
      <c r="D22" s="18" t="s">
        <v>219</v>
      </c>
      <c r="E22" s="20"/>
    </row>
    <row r="23" spans="2:5" x14ac:dyDescent="0.35">
      <c r="B23" s="18" t="s">
        <v>223</v>
      </c>
      <c r="C23" s="18" t="s">
        <v>249</v>
      </c>
      <c r="D23" s="18" t="s">
        <v>220</v>
      </c>
      <c r="E23" s="20"/>
    </row>
    <row r="24" spans="2:5" x14ac:dyDescent="0.35">
      <c r="B24" s="18" t="s">
        <v>224</v>
      </c>
      <c r="C24" s="18" t="s">
        <v>249</v>
      </c>
      <c r="D24" s="18" t="s">
        <v>221</v>
      </c>
      <c r="E24" s="20"/>
    </row>
    <row r="25" spans="2:5" x14ac:dyDescent="0.35">
      <c r="B25" s="25" t="s">
        <v>226</v>
      </c>
      <c r="C25" s="25" t="s">
        <v>249</v>
      </c>
      <c r="D25" s="54" t="s">
        <v>225</v>
      </c>
      <c r="E25" s="20"/>
    </row>
    <row r="26" spans="2:5" x14ac:dyDescent="0.35">
      <c r="B26" s="20"/>
      <c r="C26" s="20"/>
      <c r="D26" s="20"/>
      <c r="E26" s="20"/>
    </row>
    <row r="31" spans="2:5" x14ac:dyDescent="0.35">
      <c r="D31" s="63"/>
    </row>
  </sheetData>
  <phoneticPr fontId="8" type="noConversion"/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C752-5B7D-4F2D-8A3E-58200D7230B2}">
  <dimension ref="B2:D12"/>
  <sheetViews>
    <sheetView showGridLines="0" zoomScale="90" zoomScaleNormal="90" workbookViewId="0">
      <selection activeCell="C6" sqref="C6"/>
    </sheetView>
  </sheetViews>
  <sheetFormatPr defaultRowHeight="14.5" x14ac:dyDescent="0.35"/>
  <cols>
    <col min="3" max="3" width="20.81640625" customWidth="1"/>
    <col min="4" max="4" width="21.54296875" customWidth="1"/>
  </cols>
  <sheetData>
    <row r="2" spans="2:4" x14ac:dyDescent="0.35">
      <c r="B2" t="s">
        <v>243</v>
      </c>
    </row>
    <row r="3" spans="2:4" x14ac:dyDescent="0.35">
      <c r="B3" s="1" t="s">
        <v>9</v>
      </c>
      <c r="C3" s="1"/>
      <c r="D3" s="1" t="s">
        <v>5</v>
      </c>
    </row>
    <row r="4" spans="2:4" x14ac:dyDescent="0.35">
      <c r="B4" t="s">
        <v>147</v>
      </c>
    </row>
    <row r="5" spans="2:4" x14ac:dyDescent="0.35">
      <c r="B5" t="s">
        <v>7</v>
      </c>
      <c r="C5" s="2">
        <v>0.5</v>
      </c>
      <c r="D5" t="s">
        <v>149</v>
      </c>
    </row>
    <row r="6" spans="2:4" x14ac:dyDescent="0.35">
      <c r="B6" t="s">
        <v>8</v>
      </c>
      <c r="C6" s="2">
        <v>0.5</v>
      </c>
      <c r="D6" s="20" t="s">
        <v>149</v>
      </c>
    </row>
    <row r="7" spans="2:4" x14ac:dyDescent="0.35">
      <c r="B7" t="s">
        <v>148</v>
      </c>
    </row>
    <row r="8" spans="2:4" x14ac:dyDescent="0.35">
      <c r="B8" s="30" t="s">
        <v>7</v>
      </c>
      <c r="C8" s="42">
        <v>0.7</v>
      </c>
      <c r="D8" s="30" t="s">
        <v>149</v>
      </c>
    </row>
    <row r="9" spans="2:4" x14ac:dyDescent="0.35">
      <c r="B9" s="23" t="s">
        <v>8</v>
      </c>
      <c r="C9" s="43">
        <v>0.3</v>
      </c>
      <c r="D9" s="23" t="s">
        <v>149</v>
      </c>
    </row>
    <row r="11" spans="2:4" x14ac:dyDescent="0.35">
      <c r="C11" s="2"/>
    </row>
    <row r="12" spans="2:4" x14ac:dyDescent="0.35">
      <c r="C12" s="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547C-D214-439A-85F2-A05C00C7776D}">
  <dimension ref="B1:T165"/>
  <sheetViews>
    <sheetView showGridLines="0" tabSelected="1" topLeftCell="A49" zoomScaleNormal="100" workbookViewId="0">
      <selection activeCell="M45" sqref="M45"/>
    </sheetView>
  </sheetViews>
  <sheetFormatPr defaultRowHeight="14.5" x14ac:dyDescent="0.35"/>
  <cols>
    <col min="2" max="2" width="14.1796875" customWidth="1"/>
    <col min="4" max="4" width="14.81640625" customWidth="1"/>
    <col min="17" max="17" width="10.7265625" bestFit="1" customWidth="1"/>
  </cols>
  <sheetData>
    <row r="1" spans="2:10" s="20" customFormat="1" x14ac:dyDescent="0.35"/>
    <row r="2" spans="2:10" s="20" customFormat="1" x14ac:dyDescent="0.35">
      <c r="B2" s="20" t="s">
        <v>125</v>
      </c>
    </row>
    <row r="3" spans="2:10" s="20" customFormat="1" ht="14.25" customHeight="1" x14ac:dyDescent="0.35"/>
    <row r="4" spans="2:10" s="20" customFormat="1" x14ac:dyDescent="0.35">
      <c r="B4" s="20" t="s">
        <v>244</v>
      </c>
    </row>
    <row r="5" spans="2:10" s="20" customFormat="1" x14ac:dyDescent="0.35">
      <c r="B5" s="38"/>
      <c r="C5" s="39" t="s">
        <v>64</v>
      </c>
      <c r="D5" s="39"/>
      <c r="E5" s="39" t="s">
        <v>65</v>
      </c>
      <c r="F5" s="39"/>
      <c r="G5" s="39" t="s">
        <v>85</v>
      </c>
      <c r="H5" s="39"/>
      <c r="I5" s="39" t="s">
        <v>103</v>
      </c>
      <c r="J5" s="39"/>
    </row>
    <row r="6" spans="2:10" s="20" customFormat="1" x14ac:dyDescent="0.35">
      <c r="B6" s="40"/>
      <c r="C6" s="40" t="s">
        <v>66</v>
      </c>
      <c r="D6" s="23" t="s">
        <v>62</v>
      </c>
      <c r="E6" s="40" t="s">
        <v>66</v>
      </c>
      <c r="F6" s="23" t="s">
        <v>62</v>
      </c>
      <c r="G6" s="40" t="s">
        <v>66</v>
      </c>
      <c r="H6" s="23" t="s">
        <v>62</v>
      </c>
      <c r="I6" s="23" t="s">
        <v>102</v>
      </c>
      <c r="J6" s="23" t="s">
        <v>8</v>
      </c>
    </row>
    <row r="7" spans="2:10" s="20" customFormat="1" x14ac:dyDescent="0.35">
      <c r="B7" s="20" t="s">
        <v>112</v>
      </c>
      <c r="C7" s="13">
        <v>2.4</v>
      </c>
      <c r="D7" s="13">
        <v>2.2999999999999998</v>
      </c>
      <c r="E7" s="13">
        <v>2.4</v>
      </c>
      <c r="F7" s="13">
        <v>2.2999999999999998</v>
      </c>
      <c r="G7" s="13">
        <v>3.3</v>
      </c>
      <c r="H7" s="13">
        <v>3</v>
      </c>
      <c r="I7" s="13">
        <v>0</v>
      </c>
      <c r="J7" s="13">
        <v>0</v>
      </c>
    </row>
    <row r="8" spans="2:10" s="20" customFormat="1" x14ac:dyDescent="0.35">
      <c r="B8" s="20" t="s">
        <v>67</v>
      </c>
      <c r="C8" s="13">
        <v>1.1000000000000001</v>
      </c>
      <c r="D8" s="13">
        <v>2.4</v>
      </c>
      <c r="E8" s="13">
        <v>1.1000000000000001</v>
      </c>
      <c r="F8" s="13">
        <v>2.4</v>
      </c>
      <c r="G8" s="13">
        <v>1.2</v>
      </c>
      <c r="H8" s="13">
        <v>3.7</v>
      </c>
      <c r="I8" s="13">
        <v>0</v>
      </c>
      <c r="J8" s="13">
        <v>0</v>
      </c>
    </row>
    <row r="9" spans="2:10" s="20" customFormat="1" x14ac:dyDescent="0.35">
      <c r="B9" s="20" t="s">
        <v>68</v>
      </c>
      <c r="C9" s="13">
        <v>9</v>
      </c>
      <c r="D9" s="13">
        <v>9</v>
      </c>
      <c r="E9" s="13">
        <v>9</v>
      </c>
      <c r="F9" s="13">
        <v>9</v>
      </c>
      <c r="G9" s="13">
        <v>1.7</v>
      </c>
      <c r="H9" s="13">
        <v>1.7</v>
      </c>
      <c r="I9" s="13">
        <v>0</v>
      </c>
      <c r="J9" s="13">
        <v>0</v>
      </c>
    </row>
    <row r="10" spans="2:10" s="20" customFormat="1" x14ac:dyDescent="0.35">
      <c r="B10" s="20" t="s">
        <v>101</v>
      </c>
      <c r="C10" s="13">
        <v>0</v>
      </c>
      <c r="D10" s="13">
        <v>0</v>
      </c>
      <c r="E10" s="13">
        <v>0.8</v>
      </c>
      <c r="F10" s="13">
        <v>0.8</v>
      </c>
      <c r="G10" s="13">
        <v>0</v>
      </c>
      <c r="H10" s="13">
        <v>0</v>
      </c>
      <c r="I10" s="13">
        <v>0</v>
      </c>
      <c r="J10" s="13">
        <v>0</v>
      </c>
    </row>
    <row r="11" spans="2:10" s="20" customFormat="1" x14ac:dyDescent="0.35">
      <c r="B11" s="20" t="s">
        <v>100</v>
      </c>
      <c r="C11" s="13">
        <v>-0.3</v>
      </c>
      <c r="D11" s="13">
        <v>-0.3</v>
      </c>
      <c r="E11" s="13">
        <v>-0.3</v>
      </c>
      <c r="F11" s="13">
        <v>-0.3</v>
      </c>
      <c r="G11" s="13">
        <v>-0.3</v>
      </c>
      <c r="H11" s="13">
        <v>-0.3</v>
      </c>
      <c r="I11" s="13">
        <v>0</v>
      </c>
      <c r="J11" s="13">
        <v>0</v>
      </c>
    </row>
    <row r="12" spans="2:10" s="20" customFormat="1" x14ac:dyDescent="0.35">
      <c r="B12" s="20" t="s">
        <v>99</v>
      </c>
      <c r="C12" s="13">
        <v>0</v>
      </c>
      <c r="D12" s="13">
        <v>0</v>
      </c>
      <c r="E12" s="13">
        <v>-5.4</v>
      </c>
      <c r="F12" s="13">
        <v>-5.4</v>
      </c>
      <c r="G12" s="13">
        <v>0</v>
      </c>
      <c r="H12" s="13">
        <v>0</v>
      </c>
      <c r="I12" s="13">
        <v>0</v>
      </c>
      <c r="J12" s="13">
        <v>0</v>
      </c>
    </row>
    <row r="13" spans="2:10" s="20" customFormat="1" x14ac:dyDescent="0.35">
      <c r="B13" s="20" t="s">
        <v>98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2.4</v>
      </c>
    </row>
    <row r="14" spans="2:10" s="20" customFormat="1" x14ac:dyDescent="0.35">
      <c r="B14" s="20" t="s">
        <v>97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0.5</v>
      </c>
      <c r="J14" s="13">
        <v>0</v>
      </c>
    </row>
    <row r="15" spans="2:10" s="20" customFormat="1" x14ac:dyDescent="0.35">
      <c r="B15" s="23" t="s">
        <v>96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0.1</v>
      </c>
      <c r="J15" s="40">
        <v>0.1</v>
      </c>
    </row>
    <row r="16" spans="2:10" s="20" customFormat="1" x14ac:dyDescent="0.35">
      <c r="B16" s="1" t="s">
        <v>115</v>
      </c>
      <c r="C16" s="41">
        <f t="shared" ref="C16:J16" si="0">SUM(C7:C15)</f>
        <v>12.2</v>
      </c>
      <c r="D16" s="41">
        <f t="shared" si="0"/>
        <v>13.399999999999999</v>
      </c>
      <c r="E16" s="41">
        <f t="shared" si="0"/>
        <v>7.6</v>
      </c>
      <c r="F16" s="41">
        <f t="shared" si="0"/>
        <v>8.7999999999999989</v>
      </c>
      <c r="G16" s="41">
        <f t="shared" si="0"/>
        <v>5.9</v>
      </c>
      <c r="H16" s="41">
        <f t="shared" si="0"/>
        <v>8.1</v>
      </c>
      <c r="I16" s="41">
        <f>SUM(I7:I15)</f>
        <v>0.6</v>
      </c>
      <c r="J16" s="41">
        <f t="shared" si="0"/>
        <v>2.5</v>
      </c>
    </row>
    <row r="17" spans="2:10" s="20" customFormat="1" x14ac:dyDescent="0.35"/>
    <row r="18" spans="2:10" s="20" customFormat="1" x14ac:dyDescent="0.35"/>
    <row r="19" spans="2:10" s="20" customFormat="1" x14ac:dyDescent="0.35"/>
    <row r="20" spans="2:10" s="20" customFormat="1" x14ac:dyDescent="0.35"/>
    <row r="21" spans="2:10" s="20" customFormat="1" x14ac:dyDescent="0.35"/>
    <row r="22" spans="2:10" s="20" customFormat="1" x14ac:dyDescent="0.35">
      <c r="B22" s="20" t="s">
        <v>290</v>
      </c>
    </row>
    <row r="23" spans="2:10" s="20" customFormat="1" x14ac:dyDescent="0.35">
      <c r="B23" s="38"/>
      <c r="C23" s="72" t="s">
        <v>86</v>
      </c>
      <c r="D23" s="72"/>
      <c r="E23" s="72" t="s">
        <v>87</v>
      </c>
      <c r="F23" s="72"/>
      <c r="G23" s="72" t="s">
        <v>88</v>
      </c>
      <c r="H23" s="72"/>
      <c r="I23" s="72" t="s">
        <v>89</v>
      </c>
      <c r="J23" s="72"/>
    </row>
    <row r="24" spans="2:10" s="20" customFormat="1" x14ac:dyDescent="0.35">
      <c r="B24" s="1"/>
      <c r="C24" s="1" t="s">
        <v>60</v>
      </c>
      <c r="D24" s="1" t="s">
        <v>61</v>
      </c>
      <c r="E24" s="1" t="s">
        <v>60</v>
      </c>
      <c r="F24" s="1" t="s">
        <v>61</v>
      </c>
      <c r="G24" s="1" t="s">
        <v>60</v>
      </c>
      <c r="H24" s="1" t="s">
        <v>61</v>
      </c>
      <c r="I24" s="1" t="s">
        <v>60</v>
      </c>
      <c r="J24" s="1" t="s">
        <v>61</v>
      </c>
    </row>
    <row r="25" spans="2:10" s="20" customFormat="1" x14ac:dyDescent="0.35">
      <c r="B25" s="20" t="s">
        <v>66</v>
      </c>
      <c r="C25" s="13">
        <v>12.25</v>
      </c>
      <c r="D25" s="20">
        <v>13.9</v>
      </c>
      <c r="E25" s="20">
        <v>7.6</v>
      </c>
      <c r="F25" s="20">
        <v>9.4</v>
      </c>
      <c r="G25" s="13">
        <v>6.05</v>
      </c>
      <c r="H25" s="13">
        <v>8.2899999999999991</v>
      </c>
      <c r="I25" s="13">
        <v>1.59</v>
      </c>
      <c r="J25" s="13">
        <v>1.72</v>
      </c>
    </row>
    <row r="26" spans="2:10" s="20" customFormat="1" x14ac:dyDescent="0.35">
      <c r="B26" s="46" t="s">
        <v>62</v>
      </c>
      <c r="C26" s="57">
        <v>14.01</v>
      </c>
      <c r="D26" s="46">
        <v>16.5</v>
      </c>
      <c r="E26" s="57">
        <v>9.25</v>
      </c>
      <c r="F26" s="46">
        <v>11.7</v>
      </c>
      <c r="G26" s="46">
        <v>8.3000000000000007</v>
      </c>
      <c r="H26" s="57">
        <v>11.49</v>
      </c>
      <c r="I26" s="46">
        <v>0</v>
      </c>
      <c r="J26" s="46">
        <v>0</v>
      </c>
    </row>
    <row r="27" spans="2:10" s="20" customFormat="1" x14ac:dyDescent="0.35">
      <c r="B27" s="37"/>
      <c r="C27" s="56"/>
      <c r="D27" s="37"/>
      <c r="E27" s="56"/>
      <c r="F27" s="37"/>
      <c r="G27" s="37"/>
      <c r="H27" s="56"/>
      <c r="I27" s="37"/>
      <c r="J27" s="37"/>
    </row>
    <row r="28" spans="2:10" s="20" customFormat="1" x14ac:dyDescent="0.35"/>
    <row r="29" spans="2:10" s="20" customFormat="1" x14ac:dyDescent="0.35">
      <c r="B29" s="20" t="s">
        <v>291</v>
      </c>
    </row>
    <row r="30" spans="2:10" s="20" customFormat="1" x14ac:dyDescent="0.35">
      <c r="B30" s="38"/>
      <c r="C30" s="72" t="s">
        <v>86</v>
      </c>
      <c r="D30" s="72"/>
      <c r="E30" s="72" t="s">
        <v>87</v>
      </c>
      <c r="F30" s="72"/>
      <c r="G30" s="72" t="s">
        <v>88</v>
      </c>
      <c r="H30" s="72"/>
    </row>
    <row r="31" spans="2:10" s="20" customFormat="1" x14ac:dyDescent="0.35">
      <c r="B31" s="38"/>
      <c r="C31" s="38" t="s">
        <v>90</v>
      </c>
      <c r="D31" s="38" t="s">
        <v>7</v>
      </c>
      <c r="E31" s="38" t="s">
        <v>90</v>
      </c>
      <c r="F31" s="38" t="s">
        <v>7</v>
      </c>
      <c r="G31" s="38" t="s">
        <v>90</v>
      </c>
      <c r="H31" s="38" t="s">
        <v>7</v>
      </c>
    </row>
    <row r="32" spans="2:10" s="20" customFormat="1" x14ac:dyDescent="0.35">
      <c r="B32" s="20" t="s">
        <v>66</v>
      </c>
      <c r="C32" s="13">
        <v>12.25</v>
      </c>
      <c r="D32" s="13">
        <v>11.73</v>
      </c>
      <c r="E32" s="13">
        <v>7.6</v>
      </c>
      <c r="F32" s="13">
        <v>6.54</v>
      </c>
      <c r="G32" s="13">
        <v>6.05</v>
      </c>
      <c r="H32" s="13">
        <v>5.3</v>
      </c>
    </row>
    <row r="33" spans="2:20" s="20" customFormat="1" x14ac:dyDescent="0.35">
      <c r="B33" s="23" t="s">
        <v>62</v>
      </c>
      <c r="C33" s="40">
        <v>14.01</v>
      </c>
      <c r="D33" s="40">
        <v>11.94</v>
      </c>
      <c r="E33" s="40">
        <v>9.25</v>
      </c>
      <c r="F33" s="23">
        <v>6.6</v>
      </c>
      <c r="G33" s="23">
        <v>8.3000000000000007</v>
      </c>
      <c r="H33" s="40">
        <v>5.62</v>
      </c>
      <c r="L33" s="79"/>
      <c r="M33" s="79"/>
      <c r="N33" s="79"/>
      <c r="O33" s="79"/>
      <c r="P33" s="79"/>
      <c r="Q33" s="79"/>
      <c r="R33" s="79"/>
      <c r="S33" s="79"/>
      <c r="T33" s="79"/>
    </row>
    <row r="34" spans="2:20" s="20" customFormat="1" x14ac:dyDescent="0.35"/>
    <row r="35" spans="2:20" s="20" customFormat="1" x14ac:dyDescent="0.35"/>
    <row r="36" spans="2:20" s="20" customFormat="1" x14ac:dyDescent="0.35">
      <c r="B36" s="20" t="s">
        <v>292</v>
      </c>
    </row>
    <row r="37" spans="2:20" s="20" customFormat="1" x14ac:dyDescent="0.35">
      <c r="B37" s="38"/>
      <c r="C37" s="38" t="s">
        <v>91</v>
      </c>
      <c r="D37" s="38" t="s">
        <v>92</v>
      </c>
    </row>
    <row r="38" spans="2:20" s="20" customFormat="1" x14ac:dyDescent="0.35">
      <c r="B38" s="38" t="s">
        <v>66</v>
      </c>
      <c r="C38" s="38">
        <v>7.6</v>
      </c>
      <c r="D38" s="39">
        <v>5.0599999999999996</v>
      </c>
    </row>
    <row r="39" spans="2:20" s="20" customFormat="1" x14ac:dyDescent="0.35">
      <c r="B39" s="23" t="s">
        <v>62</v>
      </c>
      <c r="C39" s="40">
        <v>9.25</v>
      </c>
      <c r="D39" s="40">
        <v>6.68</v>
      </c>
    </row>
    <row r="40" spans="2:20" s="20" customFormat="1" x14ac:dyDescent="0.35"/>
    <row r="41" spans="2:20" s="20" customFormat="1" x14ac:dyDescent="0.35"/>
    <row r="42" spans="2:20" s="20" customFormat="1" x14ac:dyDescent="0.35"/>
    <row r="43" spans="2:20" s="20" customFormat="1" x14ac:dyDescent="0.35">
      <c r="B43" s="20" t="s">
        <v>293</v>
      </c>
    </row>
    <row r="44" spans="2:20" s="20" customFormat="1" x14ac:dyDescent="0.35">
      <c r="B44" s="38"/>
      <c r="C44" s="72" t="s">
        <v>113</v>
      </c>
      <c r="D44" s="72"/>
      <c r="E44" s="72" t="s">
        <v>87</v>
      </c>
      <c r="F44" s="72"/>
      <c r="G44" s="72" t="s">
        <v>104</v>
      </c>
      <c r="H44" s="72"/>
    </row>
    <row r="45" spans="2:20" s="20" customFormat="1" x14ac:dyDescent="0.35">
      <c r="B45" s="38"/>
      <c r="C45" s="38" t="s">
        <v>301</v>
      </c>
      <c r="D45" s="38" t="s">
        <v>129</v>
      </c>
      <c r="E45" s="38" t="s">
        <v>114</v>
      </c>
      <c r="F45" s="38" t="s">
        <v>129</v>
      </c>
      <c r="G45" s="38" t="s">
        <v>114</v>
      </c>
      <c r="H45" s="38" t="s">
        <v>129</v>
      </c>
    </row>
    <row r="46" spans="2:20" s="20" customFormat="1" x14ac:dyDescent="0.35">
      <c r="B46" s="20" t="s">
        <v>66</v>
      </c>
      <c r="C46" s="20">
        <v>12.3</v>
      </c>
      <c r="D46" s="20">
        <v>13.3</v>
      </c>
      <c r="E46" s="20">
        <v>7.6</v>
      </c>
      <c r="F46" s="20">
        <v>8.6199999999999992</v>
      </c>
      <c r="G46" s="20">
        <v>6</v>
      </c>
      <c r="H46" s="20">
        <v>7.45</v>
      </c>
    </row>
    <row r="47" spans="2:20" s="20" customFormat="1" x14ac:dyDescent="0.35">
      <c r="B47" s="23" t="s">
        <v>62</v>
      </c>
      <c r="C47" s="23">
        <v>14</v>
      </c>
      <c r="D47" s="23">
        <v>15.01</v>
      </c>
      <c r="E47" s="23">
        <v>9.3000000000000007</v>
      </c>
      <c r="F47" s="23">
        <v>10.3</v>
      </c>
      <c r="G47" s="23">
        <v>8.3000000000000007</v>
      </c>
      <c r="H47" s="23">
        <v>9.6999999999999993</v>
      </c>
    </row>
    <row r="48" spans="2:20" s="20" customFormat="1" x14ac:dyDescent="0.35"/>
    <row r="49" spans="2:6" s="20" customFormat="1" x14ac:dyDescent="0.35"/>
    <row r="50" spans="2:6" s="20" customFormat="1" x14ac:dyDescent="0.35"/>
    <row r="51" spans="2:6" s="20" customFormat="1" x14ac:dyDescent="0.35">
      <c r="B51" s="20" t="s">
        <v>294</v>
      </c>
    </row>
    <row r="52" spans="2:6" s="20" customFormat="1" x14ac:dyDescent="0.35">
      <c r="B52" s="38"/>
      <c r="C52" s="71" t="s">
        <v>93</v>
      </c>
      <c r="D52" s="71"/>
      <c r="E52" s="38"/>
      <c r="F52" s="38"/>
    </row>
    <row r="53" spans="2:6" s="20" customFormat="1" x14ac:dyDescent="0.35">
      <c r="B53" s="38"/>
      <c r="C53" s="38" t="s">
        <v>102</v>
      </c>
      <c r="D53" s="38" t="s">
        <v>8</v>
      </c>
      <c r="E53" s="38" t="s">
        <v>110</v>
      </c>
      <c r="F53" s="38"/>
    </row>
    <row r="54" spans="2:6" s="20" customFormat="1" x14ac:dyDescent="0.35">
      <c r="B54" s="20" t="s">
        <v>98</v>
      </c>
      <c r="C54" s="20">
        <v>0</v>
      </c>
      <c r="D54" s="20">
        <v>2.4</v>
      </c>
      <c r="E54" s="20">
        <v>1.2</v>
      </c>
    </row>
    <row r="55" spans="2:6" s="20" customFormat="1" x14ac:dyDescent="0.35">
      <c r="B55" s="20" t="s">
        <v>97</v>
      </c>
      <c r="C55" s="20">
        <v>0.5</v>
      </c>
      <c r="D55" s="20">
        <v>0</v>
      </c>
      <c r="E55" s="20">
        <v>0.3</v>
      </c>
    </row>
    <row r="56" spans="2:6" s="20" customFormat="1" x14ac:dyDescent="0.35">
      <c r="B56" s="20" t="s">
        <v>111</v>
      </c>
      <c r="C56" s="20">
        <v>0.1</v>
      </c>
      <c r="D56" s="20">
        <v>0.1</v>
      </c>
      <c r="E56" s="20">
        <v>0.1</v>
      </c>
    </row>
    <row r="57" spans="2:6" s="20" customFormat="1" x14ac:dyDescent="0.35">
      <c r="B57" s="23" t="s">
        <v>115</v>
      </c>
      <c r="C57" s="23">
        <f>SUM(C54:C56)</f>
        <v>0.6</v>
      </c>
      <c r="D57" s="23">
        <f>SUM(D54:D56)</f>
        <v>2.5</v>
      </c>
      <c r="E57" s="23">
        <f>SUM(E54:E56)</f>
        <v>1.6</v>
      </c>
      <c r="F57" s="23"/>
    </row>
    <row r="58" spans="2:6" s="20" customFormat="1" x14ac:dyDescent="0.35"/>
    <row r="59" spans="2:6" s="20" customFormat="1" x14ac:dyDescent="0.35"/>
    <row r="60" spans="2:6" s="20" customFormat="1" x14ac:dyDescent="0.35"/>
    <row r="61" spans="2:6" s="20" customFormat="1" x14ac:dyDescent="0.35"/>
    <row r="62" spans="2:6" s="20" customFormat="1" x14ac:dyDescent="0.35"/>
    <row r="63" spans="2:6" s="20" customFormat="1" x14ac:dyDescent="0.35">
      <c r="B63" s="20" t="s">
        <v>295</v>
      </c>
    </row>
    <row r="64" spans="2:6" s="20" customFormat="1" x14ac:dyDescent="0.35">
      <c r="B64" s="1"/>
      <c r="C64" s="1" t="s">
        <v>98</v>
      </c>
      <c r="D64" s="1" t="s">
        <v>121</v>
      </c>
    </row>
    <row r="65" spans="2:10" s="20" customFormat="1" x14ac:dyDescent="0.35">
      <c r="B65" s="20" t="s">
        <v>120</v>
      </c>
      <c r="C65" s="20">
        <v>2.5</v>
      </c>
      <c r="D65" s="20">
        <v>0.6</v>
      </c>
    </row>
    <row r="66" spans="2:10" s="20" customFormat="1" x14ac:dyDescent="0.35">
      <c r="B66" s="20" t="s">
        <v>126</v>
      </c>
      <c r="C66" s="20">
        <v>2.2999999999999998</v>
      </c>
      <c r="D66" s="20">
        <v>2.4</v>
      </c>
    </row>
    <row r="67" spans="2:10" s="20" customFormat="1" x14ac:dyDescent="0.35">
      <c r="B67" s="23" t="s">
        <v>122</v>
      </c>
      <c r="C67" s="23">
        <v>4.5</v>
      </c>
      <c r="D67" s="23">
        <v>2.8</v>
      </c>
    </row>
    <row r="68" spans="2:10" s="20" customFormat="1" x14ac:dyDescent="0.35"/>
    <row r="69" spans="2:10" s="20" customFormat="1" x14ac:dyDescent="0.35"/>
    <row r="70" spans="2:10" s="20" customFormat="1" x14ac:dyDescent="0.35"/>
    <row r="71" spans="2:10" s="20" customFormat="1" x14ac:dyDescent="0.35"/>
    <row r="72" spans="2:10" s="20" customFormat="1" x14ac:dyDescent="0.35">
      <c r="B72" s="20" t="s">
        <v>296</v>
      </c>
    </row>
    <row r="73" spans="2:10" s="20" customFormat="1" x14ac:dyDescent="0.35">
      <c r="B73" s="1"/>
      <c r="C73" s="1" t="s">
        <v>125</v>
      </c>
      <c r="D73" s="1" t="s">
        <v>131</v>
      </c>
      <c r="E73" s="1" t="s">
        <v>132</v>
      </c>
      <c r="F73" s="1" t="s">
        <v>133</v>
      </c>
      <c r="G73" s="1" t="s">
        <v>134</v>
      </c>
      <c r="H73" s="1" t="s">
        <v>135</v>
      </c>
      <c r="I73" s="1"/>
      <c r="J73" s="1"/>
    </row>
    <row r="74" spans="2:10" s="20" customFormat="1" x14ac:dyDescent="0.35">
      <c r="B74" s="20" t="s">
        <v>124</v>
      </c>
      <c r="C74" s="20">
        <v>0.6</v>
      </c>
      <c r="D74" s="20">
        <v>-1.4</v>
      </c>
      <c r="E74" s="20">
        <v>-1.3</v>
      </c>
      <c r="F74" s="20">
        <v>0.5</v>
      </c>
      <c r="G74" s="20">
        <v>-2.9</v>
      </c>
      <c r="H74" s="20">
        <v>-3.5</v>
      </c>
    </row>
    <row r="75" spans="2:10" s="20" customFormat="1" x14ac:dyDescent="0.35">
      <c r="B75" s="20" t="s">
        <v>123</v>
      </c>
      <c r="C75" s="20">
        <v>2.5</v>
      </c>
      <c r="D75" s="20">
        <v>0.6</v>
      </c>
      <c r="E75" s="20">
        <v>0.7</v>
      </c>
      <c r="F75" s="20">
        <v>2.5</v>
      </c>
      <c r="G75" s="20">
        <v>-0.9</v>
      </c>
      <c r="H75" s="20">
        <v>-1.5</v>
      </c>
    </row>
    <row r="76" spans="2:10" s="20" customFormat="1" x14ac:dyDescent="0.35">
      <c r="B76" s="23" t="s">
        <v>127</v>
      </c>
      <c r="C76" s="23">
        <v>1.6</v>
      </c>
      <c r="D76" s="23">
        <v>-0.4</v>
      </c>
      <c r="E76" s="23">
        <v>-0.3</v>
      </c>
      <c r="F76" s="23">
        <v>1.5</v>
      </c>
      <c r="G76" s="23">
        <v>-1.9</v>
      </c>
      <c r="H76" s="23">
        <v>-2.5</v>
      </c>
      <c r="I76" s="23"/>
      <c r="J76" s="23"/>
    </row>
    <row r="77" spans="2:10" s="20" customFormat="1" x14ac:dyDescent="0.35"/>
    <row r="78" spans="2:10" s="20" customFormat="1" x14ac:dyDescent="0.35"/>
    <row r="79" spans="2:10" s="20" customFormat="1" x14ac:dyDescent="0.35"/>
    <row r="80" spans="2:10" s="20" customFormat="1" x14ac:dyDescent="0.35">
      <c r="B80" s="20" t="s">
        <v>297</v>
      </c>
    </row>
    <row r="81" spans="2:7" s="20" customFormat="1" x14ac:dyDescent="0.35">
      <c r="B81" s="1"/>
      <c r="C81" s="1" t="s">
        <v>98</v>
      </c>
      <c r="D81" s="1" t="s">
        <v>121</v>
      </c>
      <c r="E81" s="1" t="s">
        <v>128</v>
      </c>
      <c r="F81" s="1"/>
      <c r="G81" s="1"/>
    </row>
    <row r="82" spans="2:7" s="20" customFormat="1" x14ac:dyDescent="0.35">
      <c r="B82" s="20" t="s">
        <v>120</v>
      </c>
      <c r="C82" s="20">
        <v>2.5</v>
      </c>
      <c r="D82" s="20">
        <v>0.6</v>
      </c>
      <c r="E82" s="20">
        <v>1.6</v>
      </c>
    </row>
    <row r="83" spans="2:7" s="20" customFormat="1" x14ac:dyDescent="0.35">
      <c r="B83" s="23" t="s">
        <v>130</v>
      </c>
      <c r="C83" s="23">
        <v>1.75</v>
      </c>
      <c r="D83" s="23">
        <v>-0.25</v>
      </c>
      <c r="E83" s="23">
        <v>0.75</v>
      </c>
      <c r="F83" s="23"/>
      <c r="G83" s="23"/>
    </row>
    <row r="84" spans="2:7" s="20" customFormat="1" x14ac:dyDescent="0.35"/>
    <row r="85" spans="2:7" s="20" customFormat="1" x14ac:dyDescent="0.35"/>
    <row r="86" spans="2:7" s="20" customFormat="1" x14ac:dyDescent="0.35"/>
    <row r="87" spans="2:7" s="20" customFormat="1" x14ac:dyDescent="0.35"/>
    <row r="88" spans="2:7" s="20" customFormat="1" x14ac:dyDescent="0.35"/>
    <row r="89" spans="2:7" s="20" customFormat="1" x14ac:dyDescent="0.35"/>
    <row r="90" spans="2:7" s="20" customFormat="1" x14ac:dyDescent="0.35"/>
    <row r="91" spans="2:7" s="20" customFormat="1" x14ac:dyDescent="0.35"/>
    <row r="92" spans="2:7" s="20" customFormat="1" x14ac:dyDescent="0.35"/>
    <row r="93" spans="2:7" s="20" customFormat="1" x14ac:dyDescent="0.35"/>
    <row r="94" spans="2:7" s="20" customFormat="1" x14ac:dyDescent="0.35"/>
    <row r="95" spans="2:7" s="20" customFormat="1" x14ac:dyDescent="0.35"/>
    <row r="96" spans="2:7" s="20" customFormat="1" x14ac:dyDescent="0.35"/>
    <row r="97" s="20" customFormat="1" x14ac:dyDescent="0.35"/>
    <row r="98" s="20" customFormat="1" x14ac:dyDescent="0.35"/>
    <row r="99" s="20" customFormat="1" x14ac:dyDescent="0.35"/>
    <row r="100" s="20" customFormat="1" x14ac:dyDescent="0.35"/>
    <row r="101" s="20" customFormat="1" x14ac:dyDescent="0.35"/>
    <row r="102" s="20" customFormat="1" x14ac:dyDescent="0.35"/>
    <row r="103" s="20" customFormat="1" x14ac:dyDescent="0.35"/>
    <row r="104" s="20" customFormat="1" x14ac:dyDescent="0.35"/>
    <row r="105" s="20" customFormat="1" x14ac:dyDescent="0.35"/>
    <row r="106" s="20" customFormat="1" x14ac:dyDescent="0.35"/>
    <row r="107" s="20" customFormat="1" x14ac:dyDescent="0.35"/>
    <row r="108" s="20" customFormat="1" x14ac:dyDescent="0.35"/>
    <row r="109" s="20" customFormat="1" x14ac:dyDescent="0.35"/>
    <row r="110" s="20" customFormat="1" x14ac:dyDescent="0.35"/>
    <row r="111" s="20" customFormat="1" x14ac:dyDescent="0.35"/>
    <row r="112" s="20" customFormat="1" x14ac:dyDescent="0.35"/>
    <row r="113" s="20" customFormat="1" x14ac:dyDescent="0.35"/>
    <row r="114" s="20" customFormat="1" x14ac:dyDescent="0.35"/>
    <row r="115" s="20" customFormat="1" x14ac:dyDescent="0.35"/>
    <row r="116" s="20" customFormat="1" x14ac:dyDescent="0.35"/>
    <row r="117" s="20" customFormat="1" x14ac:dyDescent="0.35"/>
    <row r="118" s="20" customFormat="1" x14ac:dyDescent="0.35"/>
    <row r="119" s="20" customFormat="1" x14ac:dyDescent="0.35"/>
    <row r="120" s="20" customFormat="1" x14ac:dyDescent="0.35"/>
    <row r="121" s="20" customFormat="1" x14ac:dyDescent="0.35"/>
    <row r="122" s="20" customFormat="1" x14ac:dyDescent="0.35"/>
    <row r="123" s="20" customFormat="1" x14ac:dyDescent="0.35"/>
    <row r="124" s="20" customFormat="1" x14ac:dyDescent="0.35"/>
    <row r="125" s="20" customFormat="1" ht="14.25" customHeight="1" x14ac:dyDescent="0.35"/>
    <row r="131" spans="4:4" x14ac:dyDescent="0.35">
      <c r="D131" s="5"/>
    </row>
    <row r="159" spans="17:18" x14ac:dyDescent="0.35">
      <c r="Q159" s="12"/>
      <c r="R159" s="12"/>
    </row>
    <row r="160" spans="17:18" x14ac:dyDescent="0.35">
      <c r="Q160" s="12"/>
      <c r="R160" s="12"/>
    </row>
    <row r="161" spans="17:18" x14ac:dyDescent="0.35">
      <c r="Q161" s="12"/>
      <c r="R161" s="12"/>
    </row>
    <row r="162" spans="17:18" x14ac:dyDescent="0.35">
      <c r="Q162" s="12"/>
      <c r="R162" s="12"/>
    </row>
    <row r="163" spans="17:18" x14ac:dyDescent="0.35">
      <c r="Q163" s="12"/>
      <c r="R163" s="12"/>
    </row>
    <row r="164" spans="17:18" x14ac:dyDescent="0.35">
      <c r="Q164" s="12"/>
      <c r="R164" s="12"/>
    </row>
    <row r="165" spans="17:18" x14ac:dyDescent="0.35">
      <c r="Q165" s="12"/>
      <c r="R165" s="12"/>
    </row>
  </sheetData>
  <mergeCells count="14">
    <mergeCell ref="L33:N33"/>
    <mergeCell ref="O33:Q33"/>
    <mergeCell ref="R33:T33"/>
    <mergeCell ref="C52:D52"/>
    <mergeCell ref="C23:D23"/>
    <mergeCell ref="E23:F23"/>
    <mergeCell ref="G23:H23"/>
    <mergeCell ref="I23:J23"/>
    <mergeCell ref="C30:D30"/>
    <mergeCell ref="E30:F30"/>
    <mergeCell ref="G30:H30"/>
    <mergeCell ref="C44:D44"/>
    <mergeCell ref="E44:F44"/>
    <mergeCell ref="G44:H44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References</vt:lpstr>
      <vt:lpstr>SMR</vt:lpstr>
      <vt:lpstr>SMR-CCS</vt:lpstr>
      <vt:lpstr>PEM electrolyser</vt:lpstr>
      <vt:lpstr>TDM</vt:lpstr>
      <vt:lpstr>Other inventory</vt:lpstr>
      <vt:lpstr>Background data</vt:lpstr>
      <vt:lpstr>Electricity mix</vt:lpstr>
      <vt:lpstr>Results </vt:lpstr>
      <vt:lpstr>Carbon Black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Jouni Havukainen</dc:creator>
  <cp:lastModifiedBy>Husain Patel</cp:lastModifiedBy>
  <cp:lastPrinted>2023-02-01T17:54:22Z</cp:lastPrinted>
  <dcterms:created xsi:type="dcterms:W3CDTF">2022-12-05T08:48:58Z</dcterms:created>
  <dcterms:modified xsi:type="dcterms:W3CDTF">2023-12-03T17:36:55Z</dcterms:modified>
</cp:coreProperties>
</file>