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756114\Downloads\"/>
    </mc:Choice>
  </mc:AlternateContent>
  <xr:revisionPtr revIDLastSave="0" documentId="13_ncr:1_{D668817B-31B1-4EF2-87FE-C5C7462D33DA}" xr6:coauthVersionLast="36" xr6:coauthVersionMax="47" xr10:uidLastSave="{00000000-0000-0000-0000-000000000000}"/>
  <bookViews>
    <workbookView xWindow="0" yWindow="0" windowWidth="20490" windowHeight="7545" xr2:uid="{2A9BF764-C145-4F2F-91C0-42C42B5510C3}"/>
  </bookViews>
  <sheets>
    <sheet name="Green metrics" sheetId="1" r:id="rId1"/>
    <sheet name="Green metrics comparison" sheetId="3" r:id="rId2"/>
    <sheet name="Atom economy " sheetId="2" r:id="rId3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3" i="1" l="1"/>
  <c r="T139" i="3"/>
  <c r="T138" i="3"/>
  <c r="N138" i="3"/>
  <c r="T135" i="3"/>
  <c r="T88" i="3"/>
  <c r="T65" i="3"/>
  <c r="T64" i="3"/>
  <c r="N64" i="3"/>
  <c r="S59" i="1"/>
  <c r="S65" i="1"/>
  <c r="S64" i="1"/>
  <c r="S18" i="1"/>
  <c r="N18" i="1"/>
  <c r="S19" i="1" s="1"/>
  <c r="N36" i="1"/>
  <c r="S37" i="1" s="1"/>
  <c r="N34" i="1"/>
  <c r="N14" i="1"/>
  <c r="N59" i="1"/>
  <c r="N9" i="1"/>
  <c r="N130" i="3"/>
  <c r="N123" i="3"/>
  <c r="N122" i="3" s="1"/>
  <c r="N119" i="3"/>
  <c r="N106" i="3"/>
  <c r="N99" i="3"/>
  <c r="N96" i="3"/>
  <c r="N95" i="3"/>
  <c r="N83" i="3"/>
  <c r="N75" i="3"/>
  <c r="N74" i="3" s="1"/>
  <c r="N70" i="3"/>
  <c r="B96" i="3"/>
  <c r="B112" i="3"/>
  <c r="B114" i="3"/>
  <c r="B78" i="3"/>
  <c r="B79" i="3" s="1"/>
  <c r="B98" i="3"/>
  <c r="B81" i="3"/>
  <c r="N53" i="3"/>
  <c r="N49" i="3"/>
  <c r="N50" i="3" s="1"/>
  <c r="N45" i="3"/>
  <c r="S46" i="3" s="1"/>
  <c r="N47" i="3" s="1"/>
  <c r="N112" i="3" l="1"/>
  <c r="T112" i="3" s="1"/>
  <c r="B80" i="3"/>
  <c r="B113" i="3"/>
  <c r="B97" i="3"/>
  <c r="N46" i="3"/>
  <c r="N136" i="3"/>
  <c r="T136" i="3" s="1"/>
  <c r="N89" i="3"/>
  <c r="T89" i="3" s="1"/>
  <c r="N48" i="3"/>
  <c r="N13" i="3"/>
  <c r="N54" i="3" s="1"/>
  <c r="N12" i="3"/>
  <c r="N51" i="3" s="1"/>
  <c r="N11" i="3"/>
  <c r="N10" i="3"/>
  <c r="B38" i="3"/>
  <c r="B41" i="3" s="1"/>
  <c r="B42" i="3" s="1"/>
  <c r="B8" i="3"/>
  <c r="N8" i="3" s="1"/>
  <c r="B12" i="3"/>
  <c r="B13" i="3" s="1"/>
  <c r="B7" i="3"/>
  <c r="B47" i="3"/>
  <c r="B18" i="3"/>
  <c r="N44" i="1"/>
  <c r="N45" i="1" s="1"/>
  <c r="N13" i="1"/>
  <c r="N12" i="1"/>
  <c r="N25" i="1"/>
  <c r="N26" i="1" s="1"/>
  <c r="N57" i="1"/>
  <c r="N47" i="1"/>
  <c r="N48" i="1" s="1"/>
  <c r="N41" i="1"/>
  <c r="N42" i="1" s="1"/>
  <c r="N28" i="1"/>
  <c r="N32" i="1" s="1"/>
  <c r="N24" i="1"/>
  <c r="N33" i="1" s="1"/>
  <c r="N56" i="3" l="1"/>
  <c r="T61" i="3" s="1"/>
  <c r="B45" i="3"/>
  <c r="N17" i="3"/>
  <c r="B16" i="3"/>
  <c r="B17" i="3" s="1"/>
  <c r="T20" i="3"/>
  <c r="N14" i="3"/>
  <c r="N52" i="3" s="1"/>
  <c r="B46" i="3"/>
  <c r="N54" i="1"/>
  <c r="N55" i="1" s="1"/>
  <c r="N50" i="1"/>
  <c r="N51" i="1" s="1"/>
  <c r="N29" i="1"/>
  <c r="N62" i="3" l="1"/>
  <c r="T62" i="3" s="1"/>
  <c r="N21" i="3"/>
  <c r="T21" i="3" s="1"/>
  <c r="N30" i="1"/>
  <c r="N53" i="1" s="1"/>
  <c r="N52" i="1"/>
  <c r="B22" i="1" l="1"/>
  <c r="B25" i="1" s="1"/>
  <c r="N31" i="1" s="1"/>
  <c r="B36" i="1"/>
  <c r="B39" i="1" s="1"/>
  <c r="B40" i="1" s="1"/>
  <c r="N49" i="1" s="1"/>
  <c r="S60" i="1" s="1"/>
  <c r="B7" i="1"/>
  <c r="B10" i="1" s="1"/>
  <c r="B11" i="1" s="1"/>
  <c r="H12" i="2"/>
  <c r="H10" i="2"/>
  <c r="E18" i="2"/>
  <c r="E12" i="2"/>
  <c r="E5" i="2"/>
  <c r="B20" i="2"/>
  <c r="B14" i="2"/>
  <c r="B8" i="2"/>
  <c r="B45" i="1"/>
  <c r="B30" i="1"/>
  <c r="B16" i="1"/>
  <c r="B28" i="1" l="1"/>
  <c r="B29" i="1" s="1"/>
  <c r="B43" i="1"/>
  <c r="B44" i="1" s="1"/>
  <c r="B14" i="1"/>
  <c r="B15" i="1" s="1"/>
</calcChain>
</file>

<file path=xl/sharedStrings.xml><?xml version="1.0" encoding="utf-8"?>
<sst xmlns="http://schemas.openxmlformats.org/spreadsheetml/2006/main" count="524" uniqueCount="228">
  <si>
    <t>Space time yield (STY)</t>
  </si>
  <si>
    <t xml:space="preserve">Reductive amination </t>
  </si>
  <si>
    <t xml:space="preserve">Reactor volume </t>
  </si>
  <si>
    <t>g</t>
  </si>
  <si>
    <t>min</t>
  </si>
  <si>
    <t>mL</t>
  </si>
  <si>
    <t>STY</t>
  </si>
  <si>
    <t>g·min-1·mL-1</t>
  </si>
  <si>
    <t>1 min=</t>
  </si>
  <si>
    <t>h</t>
  </si>
  <si>
    <t>Kg·(L·h)^-1</t>
  </si>
  <si>
    <t xml:space="preserve">Lithiation </t>
  </si>
  <si>
    <t xml:space="preserve">Amide coupling </t>
  </si>
  <si>
    <t>Kg waste/Kg product</t>
  </si>
  <si>
    <t>Lithiation</t>
  </si>
  <si>
    <t>Amide coupling</t>
  </si>
  <si>
    <t xml:space="preserve">Process mass intensity </t>
  </si>
  <si>
    <t>Atom economy =( MW of product /Total MW of SM's)·100</t>
  </si>
  <si>
    <t>Reductive amination step</t>
  </si>
  <si>
    <t>formaldehyde</t>
  </si>
  <si>
    <t xml:space="preserve">Formic acid </t>
  </si>
  <si>
    <t>Product</t>
  </si>
  <si>
    <t>g/mol</t>
  </si>
  <si>
    <t>AE (%)</t>
  </si>
  <si>
    <t>Lithiation step</t>
  </si>
  <si>
    <t>2,6-dimethylaniline</t>
  </si>
  <si>
    <t>n-BuLi</t>
  </si>
  <si>
    <t>Amide coupling step</t>
  </si>
  <si>
    <t>Li-amide</t>
  </si>
  <si>
    <t xml:space="preserve">Product </t>
  </si>
  <si>
    <t>pipecolinate (Hydrochloride)</t>
  </si>
  <si>
    <t>Product (acetate salt)</t>
  </si>
  <si>
    <t>%</t>
  </si>
  <si>
    <t>N-methylpipecolinate (neutral form after extraction)</t>
  </si>
  <si>
    <t>Global atom economy =</t>
  </si>
  <si>
    <t xml:space="preserve">PMI = total mass in a process or process step/ mass of product </t>
  </si>
  <si>
    <t>PMI</t>
  </si>
  <si>
    <t xml:space="preserve">SM in </t>
  </si>
  <si>
    <t>Formic acid in</t>
  </si>
  <si>
    <t xml:space="preserve">formaldehyde in </t>
  </si>
  <si>
    <t xml:space="preserve">Water in </t>
  </si>
  <si>
    <t xml:space="preserve">Kg total mass/Kg product </t>
  </si>
  <si>
    <t>Kg total mass/Kg product</t>
  </si>
  <si>
    <t xml:space="preserve">n-BuLi in </t>
  </si>
  <si>
    <t xml:space="preserve">2.6-dimethylaniline in </t>
  </si>
  <si>
    <t xml:space="preserve">Li-amide in </t>
  </si>
  <si>
    <t>n-BuLi in</t>
  </si>
  <si>
    <t xml:space="preserve">molar flow rate </t>
  </si>
  <si>
    <t>mol/min</t>
  </si>
  <si>
    <t>Concentration of SM</t>
  </si>
  <si>
    <t>mol/L</t>
  </si>
  <si>
    <t>Volumetric flow rate</t>
  </si>
  <si>
    <t>mL/min</t>
  </si>
  <si>
    <t>MW (Product)</t>
  </si>
  <si>
    <t>Production time</t>
  </si>
  <si>
    <t xml:space="preserve">mass of product formed (in 25 mins of production) </t>
  </si>
  <si>
    <t>Molar Flow rate</t>
  </si>
  <si>
    <t>Volumetric Flow Rate</t>
  </si>
  <si>
    <t>mass of product formed (in 25 mins of production) (considering 93% yield)</t>
  </si>
  <si>
    <t>sec</t>
  </si>
  <si>
    <t>mass of product formed (in 16 mins of production)</t>
  </si>
  <si>
    <t>MW product</t>
  </si>
  <si>
    <t>Molar Flow Rate</t>
  </si>
  <si>
    <t>mass of product formed (in 16 mins of production) considering 47% yield</t>
  </si>
  <si>
    <t xml:space="preserve">Production time </t>
  </si>
  <si>
    <t>Product obtained (in 25 mins production (considering 93% yield)</t>
  </si>
  <si>
    <t xml:space="preserve">NaOH in (SM solution + Extraction) in </t>
  </si>
  <si>
    <t>2-MeTHF (Extraction) in</t>
  </si>
  <si>
    <t>Water Formic acid solution</t>
  </si>
  <si>
    <t>Water SM solution</t>
  </si>
  <si>
    <t xml:space="preserve">6.13506 (from formaldehyde)+ 1.8 (from 2M NaOH)+ rest from top up water </t>
  </si>
  <si>
    <r>
      <t>Water (NaOH</t>
    </r>
    <r>
      <rPr>
        <sz val="11"/>
        <rFont val="Calibri"/>
        <family val="2"/>
        <scheme val="minor"/>
      </rPr>
      <t xml:space="preserve"> (2 M)</t>
    </r>
    <r>
      <rPr>
        <sz val="11"/>
        <color theme="1"/>
        <rFont val="Calibri"/>
        <family val="2"/>
        <scheme val="minor"/>
      </rPr>
      <t xml:space="preserve"> solution for extraction)</t>
    </r>
  </si>
  <si>
    <t>2-MeTHF in (From 2,6-dimethylaniline)</t>
  </si>
  <si>
    <t>2-MeTHF in (Corrected after recycling) (10% not recycled)</t>
  </si>
  <si>
    <t xml:space="preserve">Hexane in (From n-BuLi) </t>
  </si>
  <si>
    <t>Hexane in (Corrected after recycling) (10% not recycled)</t>
  </si>
  <si>
    <t>Volumetric flow rate (2,6-dimethylaniline)</t>
  </si>
  <si>
    <t xml:space="preserve">mL/min </t>
  </si>
  <si>
    <t>d (g/ml) 2-MeTHF =0.86</t>
  </si>
  <si>
    <t>Volumetric flow rate (n-BuLi)</t>
  </si>
  <si>
    <t>Volume of (n-BuLi (1.6M)) processed</t>
  </si>
  <si>
    <t xml:space="preserve">Volume of (2,6-dimethylaniline(1.6 M) processed </t>
  </si>
  <si>
    <t>d (g/ml) Hexane =0.659</t>
  </si>
  <si>
    <t>n-BuLi (MW)</t>
  </si>
  <si>
    <t>2,6-dimethylaniline (MW)</t>
  </si>
  <si>
    <t>product obtained in 16 min (Li-amide)</t>
  </si>
  <si>
    <t>Product obtained (considering 47% yield)</t>
  </si>
  <si>
    <t>Volumetric flow rate (Li-amide(0.53 M)</t>
  </si>
  <si>
    <t>Volume of Li-amide (0.53 M) processed</t>
  </si>
  <si>
    <t>(diluted with n-BuLi stream)</t>
  </si>
  <si>
    <t>Volume of n-Buli (1.06 M) processed</t>
  </si>
  <si>
    <t>Volumetric flow rate (N-methylpipecolinate 0.8 M)</t>
  </si>
  <si>
    <t>Volume of N-methylpipecolinate (0.8 M) processed</t>
  </si>
  <si>
    <t xml:space="preserve">N-methylpipecolinate in </t>
  </si>
  <si>
    <t>MW N-methylpipecolinate</t>
  </si>
  <si>
    <t xml:space="preserve">2-MeTHF in </t>
  </si>
  <si>
    <t xml:space="preserve">Hexane in </t>
  </si>
  <si>
    <t>Hexane (corrected after recyling) (10% not recyled)</t>
  </si>
  <si>
    <t>d (g/mL) Water = 1</t>
  </si>
  <si>
    <t>Volumetric flow rate (Water) (used for quenching)</t>
  </si>
  <si>
    <t>Water in (used for crystalls wash)</t>
  </si>
  <si>
    <t>d (g/mL) 2-MeTHF</t>
  </si>
  <si>
    <t>2-MeTHF in  (corrected after recycling) (10% not recycled)+ previous step</t>
  </si>
  <si>
    <t>2.40 (Extraction)+ 0.14 pH adjustment</t>
  </si>
  <si>
    <t>d (g/mL) 2-MeTHF= 0.86</t>
  </si>
  <si>
    <t>considering H2O density = 1 g/mL</t>
  </si>
  <si>
    <t>Volumetric flow rate (n-BuLi (0.706 M)</t>
  </si>
  <si>
    <t>(Diluted with Li-amide stream) =0.706 M (n-BuLi)= (1.6* (2/3)) eq consumed previous)* 2/3 (dilution factor after lithiation step)</t>
  </si>
  <si>
    <t>MW Li-amide= 127.12 g/mol</t>
  </si>
  <si>
    <t>Li-amide in (Corrected after recycling) (10% not recycled)</t>
  </si>
  <si>
    <t>Suveges et al., 2017</t>
  </si>
  <si>
    <t xml:space="preserve">mass of SM </t>
  </si>
  <si>
    <t>Concentration of SM (2,6-dimehtylaniline)(limiting reagent)</t>
  </si>
  <si>
    <t>20 mL (Acetonitrile)</t>
  </si>
  <si>
    <t xml:space="preserve">d (g/mL) 2,6-dimethylaniline =0.984 </t>
  </si>
  <si>
    <t>mass of product formed (in 5 mins of reaction) (considering 95% yield)</t>
  </si>
  <si>
    <t xml:space="preserve">mass of product formed (in 5 mins of reaction) </t>
  </si>
  <si>
    <t>mass of product formed (in 160 mins of production)</t>
  </si>
  <si>
    <t>mass of product formed (in 160 mins of production) considering 83% yield</t>
  </si>
  <si>
    <t>Reaction volume</t>
  </si>
  <si>
    <t xml:space="preserve">2,6-dimethylaniline in </t>
  </si>
  <si>
    <t xml:space="preserve">picolinic acid in </t>
  </si>
  <si>
    <t xml:space="preserve">PCl3 in </t>
  </si>
  <si>
    <t>d (g/mL) PCl3= 1.574</t>
  </si>
  <si>
    <t>Acetonitrile in</t>
  </si>
  <si>
    <t>d (g/mL)= 0.786</t>
  </si>
  <si>
    <t xml:space="preserve">NaOH 1 M in </t>
  </si>
  <si>
    <t xml:space="preserve">Ethyl acetate in </t>
  </si>
  <si>
    <t>MW EtOAc (g/mol) = 88.11</t>
  </si>
  <si>
    <t xml:space="preserve">Water (From 1M NaOH) in </t>
  </si>
  <si>
    <t>d H2O (g/mL)=1; d NaOH (g/mL)=2.13</t>
  </si>
  <si>
    <t>Product obtained (in 5 mins production (considering 95% yield)</t>
  </si>
  <si>
    <t xml:space="preserve">Hydrogenation-Reductive amination </t>
  </si>
  <si>
    <t>Hydrogenation-reductive amination</t>
  </si>
  <si>
    <t>Volumetric flow rate (2',6'-picolinoxylidide 0.01 M)</t>
  </si>
  <si>
    <t>Volume of 2',6'-picolinoxylidide (0.01 M) processed</t>
  </si>
  <si>
    <t>2',6'-picolinoxylidide (0.01 M) in</t>
  </si>
  <si>
    <t>MW (g/mol)= 226.28</t>
  </si>
  <si>
    <t>Formaldehyde in (4 eq.)</t>
  </si>
  <si>
    <t>AcOH in (100 eq.)</t>
  </si>
  <si>
    <t>1 eq. =</t>
  </si>
  <si>
    <t>MW formaldehyde (g/mol)= 30.026</t>
  </si>
  <si>
    <t>MW AcOH (g/mol)= 60.052</t>
  </si>
  <si>
    <t xml:space="preserve">MeOH in </t>
  </si>
  <si>
    <t>80-(0.238 mL Formaldehyde)-(4.57 mL AcOH)</t>
  </si>
  <si>
    <t>d (g/mL) MeOH = 0.791</t>
  </si>
  <si>
    <t>NaOH 1 M  in (workup)</t>
  </si>
  <si>
    <t xml:space="preserve">Water in (workup) from 1 M NaOH </t>
  </si>
  <si>
    <t xml:space="preserve">Water in from formaldehyde solution </t>
  </si>
  <si>
    <t>EtOAC in (workup)</t>
  </si>
  <si>
    <t>37% (w,v) solution; d (g/mL) H2O = 1</t>
  </si>
  <si>
    <t>Product obtained in 160 min (considering 83% yield)</t>
  </si>
  <si>
    <t>Ekenstam et al., 1957</t>
  </si>
  <si>
    <t>Hydrogenation</t>
  </si>
  <si>
    <t xml:space="preserve">picolinic acid </t>
  </si>
  <si>
    <t>Reaction volume (EtOH + Acetic acid)</t>
  </si>
  <si>
    <t>d (g/mL) EtOH= 0.79 ; d (g/mL) acetic acid= 1.049</t>
  </si>
  <si>
    <t>mass of product formed (in 90 mins of reaction) (considering 95% yield after evaporation)</t>
  </si>
  <si>
    <t>Mass of SM (dl-pipecolic acid hydrochloride)</t>
  </si>
  <si>
    <t>Production time (8 h + 6 h + 0.5 h)</t>
  </si>
  <si>
    <t>mass of product formed (in 870 mins of reaction) (considering 80% yield)</t>
  </si>
  <si>
    <t>Reaction volume (Acetylchloride )</t>
  </si>
  <si>
    <t>Alkylation</t>
  </si>
  <si>
    <t>Mass of SM (dl-pipecolic acid 2,6-xylidide)</t>
  </si>
  <si>
    <t>Production time (6 h)</t>
  </si>
  <si>
    <t>mass of product formed (in 360 mins of reaction) (considering 76% yield)</t>
  </si>
  <si>
    <t>Reaction volume (methyl alcohol )</t>
  </si>
  <si>
    <t>Water in (60 g of HCl 37%)</t>
  </si>
  <si>
    <t>HCl in</t>
  </si>
  <si>
    <t>Acetic acid in</t>
  </si>
  <si>
    <t>EtOH in</t>
  </si>
  <si>
    <t>picolinic acid in</t>
  </si>
  <si>
    <t>Product obtained in 90 min (considering 95% yield)</t>
  </si>
  <si>
    <t>d (g/mL) acetyl chloride= 1.1</t>
  </si>
  <si>
    <t>Toluene in (wash)</t>
  </si>
  <si>
    <t xml:space="preserve">Acetone in (wash) </t>
  </si>
  <si>
    <t>Acetone in (600 mL)</t>
  </si>
  <si>
    <t xml:space="preserve">d (g/mL) acetone= 0.791 </t>
  </si>
  <si>
    <t>2,6-xylidine in</t>
  </si>
  <si>
    <t xml:space="preserve">phosphorous pentachloride (1st + 2nd addition) in </t>
  </si>
  <si>
    <t>Acetylchloride (1000 mL) in</t>
  </si>
  <si>
    <r>
      <rPr>
        <i/>
        <sz val="11"/>
        <color theme="1"/>
        <rFont val="Calibri"/>
        <family val="2"/>
        <scheme val="minor"/>
      </rPr>
      <t>dl</t>
    </r>
    <r>
      <rPr>
        <sz val="11"/>
        <color theme="1"/>
        <rFont val="Calibri"/>
        <family val="2"/>
        <scheme val="minor"/>
      </rPr>
      <t xml:space="preserve">-pipecolic acid hydrochloride in </t>
    </r>
  </si>
  <si>
    <t xml:space="preserve">unknown </t>
  </si>
  <si>
    <t xml:space="preserve">NaOH (precipitation) </t>
  </si>
  <si>
    <t xml:space="preserve">Activated carbon </t>
  </si>
  <si>
    <t>EtOH (recrystallization)</t>
  </si>
  <si>
    <t>Product obtained in 870 min (considering 80% yield)</t>
  </si>
  <si>
    <t xml:space="preserve">min </t>
  </si>
  <si>
    <r>
      <t>dl</t>
    </r>
    <r>
      <rPr>
        <sz val="11"/>
        <color theme="1"/>
        <rFont val="Calibri"/>
        <family val="2"/>
        <scheme val="minor"/>
      </rPr>
      <t>-pipecolic acid 2,6-xylidide</t>
    </r>
  </si>
  <si>
    <t>Methyl alcohol (200 mL)</t>
  </si>
  <si>
    <t>d (g/mL) MeOH= 0.791</t>
  </si>
  <si>
    <t>potassium carbonate</t>
  </si>
  <si>
    <t>dimethylsulfate</t>
  </si>
  <si>
    <t xml:space="preserve">HCl (37% ) in  (37 mL) </t>
  </si>
  <si>
    <t>H2O from 37% HCl</t>
  </si>
  <si>
    <t>d (g/mL) H2O= 1</t>
  </si>
  <si>
    <t>NaOH (precipitation)</t>
  </si>
  <si>
    <t>Recystallization solvents</t>
  </si>
  <si>
    <t>d (g/mL) HCl 37% =1.19</t>
  </si>
  <si>
    <t xml:space="preserve">Carbon treatment </t>
  </si>
  <si>
    <t xml:space="preserve">g </t>
  </si>
  <si>
    <t>Product obtained in 360 min (considering 76% yield)</t>
  </si>
  <si>
    <t>E factor = PMI - 1</t>
  </si>
  <si>
    <t>E Factor =</t>
  </si>
  <si>
    <t xml:space="preserve">E factor= </t>
  </si>
  <si>
    <t>Efactor = PMI -1</t>
  </si>
  <si>
    <t>assumed to be the same as in previous step</t>
  </si>
  <si>
    <t xml:space="preserve">E factor (PMI-1) = </t>
  </si>
  <si>
    <t>no water in this step</t>
  </si>
  <si>
    <t>E Factor (Excluding water)=</t>
  </si>
  <si>
    <t>E factor (excluding water)=</t>
  </si>
  <si>
    <t xml:space="preserve">E factor (Excluding water) = </t>
  </si>
  <si>
    <t>2.6-dimethylaniline in (recycled)</t>
  </si>
  <si>
    <t>Na2SO4 in</t>
  </si>
  <si>
    <t xml:space="preserve">Total PMI </t>
  </si>
  <si>
    <t xml:space="preserve">Total E factor </t>
  </si>
  <si>
    <t>Total E factor (Excluding water)</t>
  </si>
  <si>
    <t>E factor (Excluding water)=</t>
  </si>
  <si>
    <t>E factor (Excluding Water) =</t>
  </si>
  <si>
    <t>Total E factor (Excluding water)=</t>
  </si>
  <si>
    <t>Total Efactor =</t>
  </si>
  <si>
    <t>Total PMI</t>
  </si>
  <si>
    <t xml:space="preserve">mass of product formed (in 90 mins of reaction) </t>
  </si>
  <si>
    <t>unknown</t>
  </si>
  <si>
    <t xml:space="preserve">mass of product formed (in 360 mins of reaction) </t>
  </si>
  <si>
    <t>Total PMI=</t>
  </si>
  <si>
    <t>Total E factor (excluding water)=</t>
  </si>
  <si>
    <t xml:space="preserve">Total E factor=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</si>
</sst>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0" xfId="1"/>
    <xf numFmtId="164" fontId="1" fillId="2" borderId="0" xfId="1" applyNumberFormat="1" applyAlignment="1">
      <alignment horizontal="center"/>
    </xf>
    <xf numFmtId="164" fontId="1" fillId="2" borderId="0" xfId="1" applyNumberFormat="1"/>
    <xf numFmtId="2" fontId="0" fillId="0" borderId="0" xfId="0" applyNumberFormat="1"/>
    <xf numFmtId="1" fontId="0" fillId="0" borderId="0" xfId="0" applyNumberFormat="1"/>
    <xf numFmtId="1" fontId="1" fillId="2" borderId="0" xfId="1" applyNumberFormat="1"/>
    <xf numFmtId="165" fontId="0" fillId="0" borderId="0" xfId="0" applyNumberFormat="1"/>
    <xf numFmtId="0" fontId="4" fillId="0" borderId="0" xfId="0" applyFont="1"/>
    <xf numFmtId="0" fontId="5" fillId="0" borderId="0" xfId="0" applyFont="1"/>
    <xf numFmtId="165" fontId="1" fillId="2" borderId="0" xfId="1" applyNumberFormat="1" applyAlignment="1">
      <alignment horizontal="center"/>
    </xf>
    <xf numFmtId="9" fontId="0" fillId="0" borderId="0" xfId="0" applyNumberFormat="1"/>
    <xf numFmtId="0" fontId="1" fillId="0" borderId="0" xfId="1" applyFill="1"/>
    <xf numFmtId="164" fontId="1" fillId="0" borderId="0" xfId="1" applyNumberFormat="1" applyFill="1"/>
    <xf numFmtId="0" fontId="6" fillId="0" borderId="0" xfId="0" applyFont="1"/>
    <xf numFmtId="0" fontId="0" fillId="0" borderId="1" xfId="0" applyBorder="1"/>
    <xf numFmtId="164" fontId="0" fillId="0" borderId="0" xfId="0" applyNumberFormat="1"/>
    <xf numFmtId="0" fontId="0" fillId="0" borderId="2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164" fontId="0" fillId="0" borderId="1" xfId="0" applyNumberFormat="1" applyBorder="1"/>
    <xf numFmtId="0" fontId="7" fillId="0" borderId="0" xfId="0" applyFont="1"/>
    <xf numFmtId="0" fontId="7" fillId="3" borderId="0" xfId="1" applyFont="1" applyFill="1"/>
    <xf numFmtId="164" fontId="7" fillId="3" borderId="0" xfId="1" applyNumberFormat="1" applyFont="1" applyFill="1"/>
    <xf numFmtId="0" fontId="7" fillId="3" borderId="0" xfId="0" applyFont="1" applyFill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35A99-045B-4416-8982-20A61B2521B4}">
  <dimension ref="A1:U65"/>
  <sheetViews>
    <sheetView tabSelected="1" topLeftCell="M1" zoomScale="81" zoomScaleNormal="40" workbookViewId="0">
      <selection activeCell="U64" sqref="U64"/>
    </sheetView>
  </sheetViews>
  <sheetFormatPr defaultRowHeight="15" x14ac:dyDescent="0.25"/>
  <cols>
    <col min="1" max="1" width="64.140625" bestFit="1" customWidth="1"/>
    <col min="2" max="2" width="9.28515625" bestFit="1" customWidth="1"/>
    <col min="7" max="7" width="59.28515625" bestFit="1" customWidth="1"/>
    <col min="8" max="8" width="17.85546875" bestFit="1" customWidth="1"/>
    <col min="13" max="13" width="64.42578125" bestFit="1" customWidth="1"/>
    <col min="14" max="14" width="13.28515625" customWidth="1"/>
    <col min="16" max="16" width="23.7109375" customWidth="1"/>
    <col min="18" max="18" width="25.7109375" customWidth="1"/>
    <col min="19" max="19" width="9.5703125" bestFit="1" customWidth="1"/>
  </cols>
  <sheetData>
    <row r="1" spans="1:19" x14ac:dyDescent="0.25">
      <c r="A1" s="1" t="s">
        <v>0</v>
      </c>
      <c r="M1" s="1" t="s">
        <v>16</v>
      </c>
      <c r="R1" s="1" t="s">
        <v>205</v>
      </c>
      <c r="S1" t="s">
        <v>13</v>
      </c>
    </row>
    <row r="2" spans="1:19" x14ac:dyDescent="0.25">
      <c r="M2" s="1" t="s">
        <v>35</v>
      </c>
    </row>
    <row r="3" spans="1:19" x14ac:dyDescent="0.25">
      <c r="A3" s="2" t="s">
        <v>1</v>
      </c>
      <c r="M3" s="2" t="s">
        <v>1</v>
      </c>
    </row>
    <row r="4" spans="1:19" x14ac:dyDescent="0.25">
      <c r="A4" s="2"/>
      <c r="M4" s="2"/>
    </row>
    <row r="5" spans="1:19" x14ac:dyDescent="0.25">
      <c r="A5" t="s">
        <v>49</v>
      </c>
      <c r="B5">
        <v>1.6</v>
      </c>
      <c r="C5" t="s">
        <v>50</v>
      </c>
      <c r="M5" t="s">
        <v>64</v>
      </c>
      <c r="N5">
        <v>25</v>
      </c>
      <c r="O5" t="s">
        <v>4</v>
      </c>
    </row>
    <row r="6" spans="1:19" x14ac:dyDescent="0.25">
      <c r="A6" t="s">
        <v>51</v>
      </c>
      <c r="B6">
        <v>1</v>
      </c>
      <c r="C6" t="s">
        <v>52</v>
      </c>
      <c r="M6" t="s">
        <v>37</v>
      </c>
      <c r="N6">
        <v>7.2</v>
      </c>
      <c r="O6" t="s">
        <v>3</v>
      </c>
    </row>
    <row r="7" spans="1:19" x14ac:dyDescent="0.25">
      <c r="A7" t="s">
        <v>47</v>
      </c>
      <c r="B7">
        <f>(B6*B5)/1000</f>
        <v>1.6000000000000001E-3</v>
      </c>
      <c r="C7" t="s">
        <v>48</v>
      </c>
      <c r="M7" t="s">
        <v>38</v>
      </c>
      <c r="N7">
        <v>6.1</v>
      </c>
      <c r="O7" t="s">
        <v>3</v>
      </c>
    </row>
    <row r="8" spans="1:19" x14ac:dyDescent="0.25">
      <c r="A8" t="s">
        <v>54</v>
      </c>
      <c r="B8">
        <v>25</v>
      </c>
      <c r="C8" t="s">
        <v>4</v>
      </c>
      <c r="M8" t="s">
        <v>39</v>
      </c>
      <c r="N8">
        <v>3.6030000000000002</v>
      </c>
      <c r="O8" t="s">
        <v>3</v>
      </c>
    </row>
    <row r="9" spans="1:19" x14ac:dyDescent="0.25">
      <c r="A9" t="s">
        <v>53</v>
      </c>
      <c r="B9">
        <v>158.22</v>
      </c>
      <c r="C9" t="s">
        <v>22</v>
      </c>
      <c r="M9" t="s">
        <v>69</v>
      </c>
      <c r="N9">
        <f>6.13506+1.8+16</f>
        <v>23.93506</v>
      </c>
      <c r="O9" t="s">
        <v>3</v>
      </c>
      <c r="P9" s="11" t="s">
        <v>70</v>
      </c>
    </row>
    <row r="10" spans="1:19" x14ac:dyDescent="0.25">
      <c r="A10" t="s">
        <v>55</v>
      </c>
      <c r="B10" s="9">
        <f>B9*(B7*B8)</f>
        <v>6.3288000000000002</v>
      </c>
      <c r="C10" t="s">
        <v>3</v>
      </c>
      <c r="M10" t="s">
        <v>68</v>
      </c>
      <c r="N10">
        <v>20</v>
      </c>
      <c r="O10" t="s">
        <v>3</v>
      </c>
    </row>
    <row r="11" spans="1:19" x14ac:dyDescent="0.25">
      <c r="A11" t="s">
        <v>58</v>
      </c>
      <c r="B11" s="9">
        <f>0.93*B10</f>
        <v>5.8857840000000001</v>
      </c>
      <c r="C11" t="s">
        <v>3</v>
      </c>
      <c r="M11" t="s">
        <v>71</v>
      </c>
      <c r="N11">
        <v>28</v>
      </c>
      <c r="O11" t="s">
        <v>3</v>
      </c>
    </row>
    <row r="12" spans="1:19" x14ac:dyDescent="0.25">
      <c r="A12" t="s">
        <v>64</v>
      </c>
      <c r="B12">
        <v>25</v>
      </c>
      <c r="C12" t="s">
        <v>4</v>
      </c>
      <c r="M12" t="s">
        <v>66</v>
      </c>
      <c r="N12">
        <f>0.14+2.4</f>
        <v>2.54</v>
      </c>
      <c r="O12" t="s">
        <v>3</v>
      </c>
      <c r="P12" s="11" t="s">
        <v>103</v>
      </c>
    </row>
    <row r="13" spans="1:19" x14ac:dyDescent="0.25">
      <c r="A13" t="s">
        <v>2</v>
      </c>
      <c r="B13">
        <v>10</v>
      </c>
      <c r="C13" t="s">
        <v>5</v>
      </c>
      <c r="M13" t="s">
        <v>67</v>
      </c>
      <c r="N13" s="11">
        <f>75*0.86</f>
        <v>64.5</v>
      </c>
      <c r="O13" t="s">
        <v>3</v>
      </c>
      <c r="P13" t="s">
        <v>104</v>
      </c>
    </row>
    <row r="14" spans="1:19" x14ac:dyDescent="0.25">
      <c r="A14" t="s">
        <v>6</v>
      </c>
      <c r="B14">
        <f>B11/(B12*B13)</f>
        <v>2.3543135999999999E-2</v>
      </c>
      <c r="C14" t="s">
        <v>7</v>
      </c>
      <c r="M14" t="s">
        <v>65</v>
      </c>
      <c r="N14" s="9">
        <f>B11</f>
        <v>5.8857840000000001</v>
      </c>
      <c r="O14" t="s">
        <v>3</v>
      </c>
    </row>
    <row r="15" spans="1:19" x14ac:dyDescent="0.25">
      <c r="A15" s="3" t="s">
        <v>6</v>
      </c>
      <c r="B15" s="4">
        <f>B14/B16</f>
        <v>1.4125881599999999</v>
      </c>
      <c r="C15" s="3" t="s">
        <v>10</v>
      </c>
      <c r="M15" t="s">
        <v>213</v>
      </c>
      <c r="N15">
        <v>2</v>
      </c>
      <c r="O15" t="s">
        <v>3</v>
      </c>
    </row>
    <row r="16" spans="1:19" x14ac:dyDescent="0.25">
      <c r="A16" t="s">
        <v>8</v>
      </c>
      <c r="B16">
        <f>1/60</f>
        <v>1.6666666666666666E-2</v>
      </c>
      <c r="C16" t="s">
        <v>9</v>
      </c>
      <c r="M16" t="s">
        <v>105</v>
      </c>
    </row>
    <row r="18" spans="1:21" x14ac:dyDescent="0.25">
      <c r="A18" s="2" t="s">
        <v>11</v>
      </c>
      <c r="M18" s="27" t="s">
        <v>36</v>
      </c>
      <c r="N18" s="28">
        <f>((SUM(N6:N13)+N15)/N14)</f>
        <v>26.823624516292139</v>
      </c>
      <c r="O18" s="27" t="s">
        <v>41</v>
      </c>
      <c r="P18" s="29"/>
      <c r="R18" t="s">
        <v>209</v>
      </c>
      <c r="S18" s="18">
        <f>((N6+N7+N8+N12+N13+N15)-B10)/N14</f>
        <v>13.526524248936079</v>
      </c>
      <c r="T18" s="27" t="s">
        <v>13</v>
      </c>
      <c r="U18" s="26"/>
    </row>
    <row r="19" spans="1:21" x14ac:dyDescent="0.25">
      <c r="A19" s="2"/>
      <c r="R19" s="27" t="s">
        <v>207</v>
      </c>
      <c r="S19" s="28">
        <f>N18-1</f>
        <v>25.823624516292139</v>
      </c>
      <c r="T19" s="27" t="s">
        <v>13</v>
      </c>
      <c r="U19" s="27"/>
    </row>
    <row r="20" spans="1:21" x14ac:dyDescent="0.25">
      <c r="A20" t="s">
        <v>49</v>
      </c>
      <c r="B20">
        <v>1.6</v>
      </c>
      <c r="C20" t="s">
        <v>50</v>
      </c>
      <c r="M20" s="2" t="s">
        <v>14</v>
      </c>
    </row>
    <row r="21" spans="1:21" x14ac:dyDescent="0.25">
      <c r="A21" t="s">
        <v>57</v>
      </c>
      <c r="B21">
        <v>1</v>
      </c>
      <c r="C21" t="s">
        <v>52</v>
      </c>
      <c r="M21" s="2"/>
    </row>
    <row r="22" spans="1:21" x14ac:dyDescent="0.25">
      <c r="A22" t="s">
        <v>56</v>
      </c>
      <c r="B22">
        <f>(B21*B20)/1000</f>
        <v>1.6000000000000001E-3</v>
      </c>
      <c r="C22" t="s">
        <v>48</v>
      </c>
      <c r="M22" t="s">
        <v>54</v>
      </c>
      <c r="N22">
        <v>16</v>
      </c>
      <c r="O22" t="s">
        <v>4</v>
      </c>
    </row>
    <row r="23" spans="1:21" x14ac:dyDescent="0.25">
      <c r="A23" t="s">
        <v>54</v>
      </c>
      <c r="B23">
        <v>16</v>
      </c>
      <c r="C23" t="s">
        <v>4</v>
      </c>
      <c r="M23" t="s">
        <v>76</v>
      </c>
      <c r="N23">
        <v>1</v>
      </c>
      <c r="O23" t="s">
        <v>77</v>
      </c>
    </row>
    <row r="24" spans="1:21" x14ac:dyDescent="0.25">
      <c r="A24" t="s">
        <v>53</v>
      </c>
      <c r="B24">
        <v>127.12</v>
      </c>
      <c r="C24" t="s">
        <v>22</v>
      </c>
      <c r="M24" t="s">
        <v>81</v>
      </c>
      <c r="N24">
        <f>N22*N23</f>
        <v>16</v>
      </c>
      <c r="O24" t="s">
        <v>5</v>
      </c>
    </row>
    <row r="25" spans="1:21" x14ac:dyDescent="0.25">
      <c r="A25" t="s">
        <v>60</v>
      </c>
      <c r="B25" s="9">
        <f>B24*B23*B22</f>
        <v>3.2542720000000003</v>
      </c>
      <c r="C25" t="s">
        <v>3</v>
      </c>
      <c r="M25" t="s">
        <v>72</v>
      </c>
      <c r="N25">
        <f>12.85*0.86</f>
        <v>11.051</v>
      </c>
      <c r="O25" t="s">
        <v>3</v>
      </c>
      <c r="P25" t="s">
        <v>78</v>
      </c>
    </row>
    <row r="26" spans="1:21" x14ac:dyDescent="0.25">
      <c r="A26" t="s">
        <v>64</v>
      </c>
      <c r="B26">
        <v>16</v>
      </c>
      <c r="C26" t="s">
        <v>4</v>
      </c>
      <c r="M26" t="s">
        <v>73</v>
      </c>
      <c r="N26">
        <f>0.1*N25</f>
        <v>1.1051</v>
      </c>
      <c r="O26" t="s">
        <v>3</v>
      </c>
    </row>
    <row r="27" spans="1:21" x14ac:dyDescent="0.25">
      <c r="A27" t="s">
        <v>2</v>
      </c>
      <c r="B27">
        <v>0.5</v>
      </c>
      <c r="C27" t="s">
        <v>5</v>
      </c>
      <c r="M27" t="s">
        <v>79</v>
      </c>
      <c r="N27">
        <v>2</v>
      </c>
      <c r="O27" t="s">
        <v>77</v>
      </c>
    </row>
    <row r="28" spans="1:21" x14ac:dyDescent="0.25">
      <c r="A28" t="s">
        <v>6</v>
      </c>
      <c r="B28">
        <f>B25/(B26*B27)</f>
        <v>0.40678400000000003</v>
      </c>
      <c r="C28" t="s">
        <v>7</v>
      </c>
      <c r="M28" t="s">
        <v>80</v>
      </c>
      <c r="N28">
        <f>N27*N22</f>
        <v>32</v>
      </c>
      <c r="O28" t="s">
        <v>5</v>
      </c>
    </row>
    <row r="29" spans="1:21" x14ac:dyDescent="0.25">
      <c r="A29" s="3" t="s">
        <v>6</v>
      </c>
      <c r="B29" s="4">
        <f>B28/B30</f>
        <v>24.407040000000002</v>
      </c>
      <c r="C29" s="3" t="s">
        <v>10</v>
      </c>
      <c r="M29" t="s">
        <v>74</v>
      </c>
      <c r="N29">
        <f>N28*0.659</f>
        <v>21.088000000000001</v>
      </c>
      <c r="O29" t="s">
        <v>3</v>
      </c>
      <c r="P29" t="s">
        <v>82</v>
      </c>
    </row>
    <row r="30" spans="1:21" x14ac:dyDescent="0.25">
      <c r="A30" t="s">
        <v>8</v>
      </c>
      <c r="B30">
        <f>1/60</f>
        <v>1.6666666666666666E-2</v>
      </c>
      <c r="C30" t="s">
        <v>9</v>
      </c>
      <c r="M30" t="s">
        <v>75</v>
      </c>
      <c r="N30">
        <f>0.1*N29</f>
        <v>2.1088</v>
      </c>
      <c r="O30" t="s">
        <v>3</v>
      </c>
    </row>
    <row r="31" spans="1:21" x14ac:dyDescent="0.25">
      <c r="A31" t="s">
        <v>8</v>
      </c>
      <c r="B31">
        <v>60</v>
      </c>
      <c r="C31" t="s">
        <v>59</v>
      </c>
      <c r="M31" t="s">
        <v>85</v>
      </c>
      <c r="N31" s="9">
        <f>B25</f>
        <v>3.2542720000000003</v>
      </c>
      <c r="O31" t="s">
        <v>3</v>
      </c>
    </row>
    <row r="32" spans="1:21" x14ac:dyDescent="0.25">
      <c r="A32" s="2" t="s">
        <v>12</v>
      </c>
      <c r="M32" t="s">
        <v>43</v>
      </c>
      <c r="N32">
        <f>(1.6*(N28/1000))*Q33</f>
        <v>3.2798720000000001</v>
      </c>
      <c r="O32" t="s">
        <v>3</v>
      </c>
      <c r="P32" t="s">
        <v>83</v>
      </c>
    </row>
    <row r="33" spans="1:21" x14ac:dyDescent="0.25">
      <c r="A33" s="2"/>
      <c r="M33" t="s">
        <v>44</v>
      </c>
      <c r="N33">
        <f>(1.6*(N24/1000))*Q34</f>
        <v>3.1022080000000005</v>
      </c>
      <c r="O33" t="s">
        <v>3</v>
      </c>
      <c r="P33" t="s">
        <v>84</v>
      </c>
      <c r="Q33">
        <v>64.06</v>
      </c>
      <c r="R33" t="s">
        <v>22</v>
      </c>
    </row>
    <row r="34" spans="1:21" x14ac:dyDescent="0.25">
      <c r="A34" t="s">
        <v>49</v>
      </c>
      <c r="B34">
        <v>0.8</v>
      </c>
      <c r="C34" t="s">
        <v>50</v>
      </c>
      <c r="M34" t="s">
        <v>212</v>
      </c>
      <c r="N34">
        <f>N33*0.1</f>
        <v>0.31022080000000007</v>
      </c>
      <c r="O34" t="s">
        <v>3</v>
      </c>
      <c r="Q34">
        <v>121.18</v>
      </c>
      <c r="R34" t="s">
        <v>22</v>
      </c>
    </row>
    <row r="35" spans="1:21" x14ac:dyDescent="0.25">
      <c r="A35" t="s">
        <v>57</v>
      </c>
      <c r="B35">
        <v>1</v>
      </c>
      <c r="C35" t="s">
        <v>52</v>
      </c>
    </row>
    <row r="36" spans="1:21" x14ac:dyDescent="0.25">
      <c r="A36" t="s">
        <v>62</v>
      </c>
      <c r="B36">
        <f>(B34*B35)/1000</f>
        <v>8.0000000000000004E-4</v>
      </c>
      <c r="C36" t="s">
        <v>48</v>
      </c>
      <c r="M36" s="27" t="s">
        <v>36</v>
      </c>
      <c r="N36" s="28">
        <f>(SUM(N34,N32,N30,N26)/N31)</f>
        <v>2.0907879857614851</v>
      </c>
      <c r="O36" s="27" t="s">
        <v>42</v>
      </c>
      <c r="P36" s="29"/>
      <c r="R36" t="s">
        <v>211</v>
      </c>
      <c r="S36" t="s">
        <v>208</v>
      </c>
    </row>
    <row r="37" spans="1:21" x14ac:dyDescent="0.25">
      <c r="A37" t="s">
        <v>54</v>
      </c>
      <c r="B37">
        <v>16</v>
      </c>
      <c r="C37" t="s">
        <v>4</v>
      </c>
      <c r="R37" s="27" t="s">
        <v>207</v>
      </c>
      <c r="S37" s="28">
        <f>N36-1</f>
        <v>1.0907879857614851</v>
      </c>
      <c r="T37" s="27" t="s">
        <v>13</v>
      </c>
      <c r="U37" s="29"/>
    </row>
    <row r="38" spans="1:21" x14ac:dyDescent="0.25">
      <c r="A38" t="s">
        <v>61</v>
      </c>
      <c r="B38">
        <v>246.35</v>
      </c>
      <c r="C38" t="s">
        <v>22</v>
      </c>
      <c r="M38" s="2" t="s">
        <v>15</v>
      </c>
    </row>
    <row r="39" spans="1:21" x14ac:dyDescent="0.25">
      <c r="A39" t="s">
        <v>60</v>
      </c>
      <c r="B39" s="9">
        <f>B38*B37*B36</f>
        <v>3.1532800000000001</v>
      </c>
      <c r="C39" t="s">
        <v>3</v>
      </c>
      <c r="M39" s="2"/>
    </row>
    <row r="40" spans="1:21" x14ac:dyDescent="0.25">
      <c r="A40" t="s">
        <v>63</v>
      </c>
      <c r="B40" s="9">
        <f>B39*0.47</f>
        <v>1.4820415999999998</v>
      </c>
      <c r="C40" t="s">
        <v>3</v>
      </c>
      <c r="M40" t="s">
        <v>64</v>
      </c>
      <c r="N40">
        <v>16</v>
      </c>
      <c r="O40" t="s">
        <v>4</v>
      </c>
    </row>
    <row r="41" spans="1:21" x14ac:dyDescent="0.25">
      <c r="A41" t="s">
        <v>64</v>
      </c>
      <c r="B41">
        <v>16</v>
      </c>
      <c r="C41" t="s">
        <v>4</v>
      </c>
      <c r="M41" t="s">
        <v>87</v>
      </c>
      <c r="N41">
        <f>N23+N27</f>
        <v>3</v>
      </c>
      <c r="O41" t="s">
        <v>52</v>
      </c>
      <c r="P41" t="s">
        <v>89</v>
      </c>
    </row>
    <row r="42" spans="1:21" x14ac:dyDescent="0.25">
      <c r="A42" t="s">
        <v>2</v>
      </c>
      <c r="B42">
        <v>15</v>
      </c>
      <c r="C42" t="s">
        <v>5</v>
      </c>
      <c r="M42" t="s">
        <v>88</v>
      </c>
      <c r="N42">
        <f>N40*N41</f>
        <v>48</v>
      </c>
      <c r="O42" t="s">
        <v>5</v>
      </c>
    </row>
    <row r="43" spans="1:21" x14ac:dyDescent="0.25">
      <c r="A43" t="s">
        <v>6</v>
      </c>
      <c r="B43">
        <f>B40/(B41*B42)</f>
        <v>6.1751733333333331E-3</v>
      </c>
      <c r="C43" t="s">
        <v>7</v>
      </c>
      <c r="M43" t="s">
        <v>106</v>
      </c>
      <c r="N43">
        <v>3</v>
      </c>
      <c r="O43" t="s">
        <v>52</v>
      </c>
      <c r="P43" t="s">
        <v>107</v>
      </c>
    </row>
    <row r="44" spans="1:21" x14ac:dyDescent="0.25">
      <c r="A44" s="3" t="s">
        <v>6</v>
      </c>
      <c r="B44" s="4">
        <f>B43/B45</f>
        <v>0.37051040000000002</v>
      </c>
      <c r="C44" s="3" t="s">
        <v>10</v>
      </c>
      <c r="M44" t="s">
        <v>90</v>
      </c>
      <c r="N44">
        <f>N43*N40</f>
        <v>48</v>
      </c>
      <c r="O44" t="s">
        <v>5</v>
      </c>
    </row>
    <row r="45" spans="1:21" x14ac:dyDescent="0.25">
      <c r="A45" t="s">
        <v>8</v>
      </c>
      <c r="B45">
        <f>1/60</f>
        <v>1.6666666666666666E-2</v>
      </c>
      <c r="C45" t="s">
        <v>9</v>
      </c>
      <c r="M45" t="s">
        <v>46</v>
      </c>
      <c r="N45">
        <f>(0.706*(N44/1000))*Q33</f>
        <v>2.1708652800000001</v>
      </c>
      <c r="O45" t="s">
        <v>3</v>
      </c>
      <c r="P45" s="10"/>
    </row>
    <row r="46" spans="1:21" x14ac:dyDescent="0.25">
      <c r="M46" t="s">
        <v>91</v>
      </c>
      <c r="N46">
        <v>1</v>
      </c>
      <c r="O46" t="s">
        <v>52</v>
      </c>
    </row>
    <row r="47" spans="1:21" x14ac:dyDescent="0.25">
      <c r="M47" t="s">
        <v>92</v>
      </c>
      <c r="N47">
        <f>N40*N46</f>
        <v>16</v>
      </c>
      <c r="O47" t="s">
        <v>5</v>
      </c>
    </row>
    <row r="48" spans="1:21" x14ac:dyDescent="0.25">
      <c r="M48" t="s">
        <v>93</v>
      </c>
      <c r="N48">
        <f>(N47/1000*0.8)*Q49</f>
        <v>2.0122880000000003</v>
      </c>
      <c r="O48" t="s">
        <v>3</v>
      </c>
      <c r="P48" t="s">
        <v>94</v>
      </c>
    </row>
    <row r="49" spans="13:21" x14ac:dyDescent="0.25">
      <c r="M49" t="s">
        <v>86</v>
      </c>
      <c r="N49" s="9">
        <f>B40</f>
        <v>1.4820415999999998</v>
      </c>
      <c r="O49" t="s">
        <v>3</v>
      </c>
      <c r="Q49">
        <v>157.21</v>
      </c>
      <c r="R49" t="s">
        <v>22</v>
      </c>
    </row>
    <row r="50" spans="13:21" x14ac:dyDescent="0.25">
      <c r="M50" t="s">
        <v>95</v>
      </c>
      <c r="N50">
        <f>N47*Q51</f>
        <v>13.76</v>
      </c>
      <c r="O50" t="s">
        <v>3</v>
      </c>
      <c r="P50" t="s">
        <v>101</v>
      </c>
    </row>
    <row r="51" spans="13:21" x14ac:dyDescent="0.25">
      <c r="M51" t="s">
        <v>102</v>
      </c>
      <c r="N51">
        <f>(0.1*N50)+N26</f>
        <v>2.4811000000000001</v>
      </c>
      <c r="O51" t="s">
        <v>3</v>
      </c>
      <c r="Q51">
        <v>0.86</v>
      </c>
    </row>
    <row r="52" spans="13:21" x14ac:dyDescent="0.25">
      <c r="M52" t="s">
        <v>96</v>
      </c>
      <c r="N52">
        <f>N29</f>
        <v>21.088000000000001</v>
      </c>
    </row>
    <row r="53" spans="13:21" x14ac:dyDescent="0.25">
      <c r="M53" t="s">
        <v>97</v>
      </c>
      <c r="N53">
        <f>N30</f>
        <v>2.1088</v>
      </c>
      <c r="O53" t="s">
        <v>3</v>
      </c>
    </row>
    <row r="54" spans="13:21" x14ac:dyDescent="0.25">
      <c r="M54" t="s">
        <v>45</v>
      </c>
      <c r="N54" s="9">
        <f>(0.53*(N44/1000))*127.12</f>
        <v>3.2339328000000003</v>
      </c>
      <c r="O54" t="s">
        <v>3</v>
      </c>
      <c r="P54" t="s">
        <v>108</v>
      </c>
    </row>
    <row r="55" spans="13:21" x14ac:dyDescent="0.25">
      <c r="M55" t="s">
        <v>109</v>
      </c>
      <c r="N55" s="9">
        <f>0.1*N54</f>
        <v>0.32339328000000006</v>
      </c>
      <c r="O55" t="s">
        <v>3</v>
      </c>
      <c r="P55" s="10"/>
    </row>
    <row r="56" spans="13:21" x14ac:dyDescent="0.25">
      <c r="M56" t="s">
        <v>99</v>
      </c>
      <c r="N56" s="7">
        <v>1</v>
      </c>
      <c r="O56" t="s">
        <v>77</v>
      </c>
    </row>
    <row r="57" spans="13:21" x14ac:dyDescent="0.25">
      <c r="M57" t="s">
        <v>40</v>
      </c>
      <c r="N57">
        <f>N40*N56</f>
        <v>16</v>
      </c>
      <c r="O57" t="s">
        <v>3</v>
      </c>
      <c r="P57" t="s">
        <v>98</v>
      </c>
    </row>
    <row r="58" spans="13:21" x14ac:dyDescent="0.25">
      <c r="M58" t="s">
        <v>100</v>
      </c>
      <c r="N58">
        <v>15</v>
      </c>
      <c r="O58" t="s">
        <v>3</v>
      </c>
    </row>
    <row r="59" spans="13:21" x14ac:dyDescent="0.25">
      <c r="M59" s="27" t="s">
        <v>36</v>
      </c>
      <c r="N59" s="28">
        <f>(N58+N57+N55+N53+N51+N48+N45)/N49</f>
        <v>27.054872521796959</v>
      </c>
      <c r="O59" s="27" t="s">
        <v>41</v>
      </c>
      <c r="P59" s="29"/>
      <c r="R59" t="s">
        <v>210</v>
      </c>
      <c r="S59" s="18">
        <f xml:space="preserve"> ((N45+N48+N51+N53+N55)-B39)/N49</f>
        <v>4.010121281345949</v>
      </c>
      <c r="T59" s="27" t="s">
        <v>13</v>
      </c>
      <c r="U59" s="29"/>
    </row>
    <row r="60" spans="13:21" x14ac:dyDescent="0.25">
      <c r="R60" s="27" t="s">
        <v>207</v>
      </c>
      <c r="S60" s="28">
        <f>N59-1</f>
        <v>26.054872521796959</v>
      </c>
      <c r="T60" s="27" t="s">
        <v>13</v>
      </c>
      <c r="U60" s="29"/>
    </row>
    <row r="63" spans="13:21" x14ac:dyDescent="0.25">
      <c r="R63" s="19" t="s">
        <v>214</v>
      </c>
      <c r="S63" s="20">
        <f>N18+N36+N59</f>
        <v>55.969285023850581</v>
      </c>
    </row>
    <row r="64" spans="13:21" x14ac:dyDescent="0.25">
      <c r="R64" s="21" t="s">
        <v>215</v>
      </c>
      <c r="S64" s="22">
        <f>S19+S37+S60</f>
        <v>52.969285023850581</v>
      </c>
    </row>
    <row r="65" spans="18:19" x14ac:dyDescent="0.25">
      <c r="R65" s="23" t="s">
        <v>216</v>
      </c>
      <c r="S65" s="24">
        <f>S18+S59+S37</f>
        <v>18.627433516043514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9E15C-3A1B-4FC0-BA2B-55A2D3C9E26D}">
  <dimension ref="A1:U139"/>
  <sheetViews>
    <sheetView topLeftCell="N90" zoomScale="80" zoomScaleNormal="40" workbookViewId="0">
      <selection activeCell="U148" sqref="U148"/>
    </sheetView>
  </sheetViews>
  <sheetFormatPr defaultRowHeight="15" x14ac:dyDescent="0.25"/>
  <cols>
    <col min="1" max="1" width="66.28515625" bestFit="1" customWidth="1"/>
    <col min="13" max="13" width="64.85546875" bestFit="1" customWidth="1"/>
    <col min="16" max="16" width="18.42578125" customWidth="1"/>
    <col min="19" max="19" width="28.140625" customWidth="1"/>
    <col min="20" max="20" width="9.5703125" bestFit="1" customWidth="1"/>
  </cols>
  <sheetData>
    <row r="1" spans="1:21" x14ac:dyDescent="0.25">
      <c r="A1" s="1" t="s">
        <v>110</v>
      </c>
    </row>
    <row r="3" spans="1:21" x14ac:dyDescent="0.25">
      <c r="A3" s="1" t="s">
        <v>0</v>
      </c>
      <c r="M3" s="1" t="s">
        <v>16</v>
      </c>
      <c r="S3" s="1" t="s">
        <v>202</v>
      </c>
      <c r="U3" t="s">
        <v>13</v>
      </c>
    </row>
    <row r="4" spans="1:21" x14ac:dyDescent="0.25">
      <c r="M4" s="1" t="s">
        <v>35</v>
      </c>
    </row>
    <row r="5" spans="1:21" x14ac:dyDescent="0.25">
      <c r="A5" s="2" t="s">
        <v>12</v>
      </c>
      <c r="M5" s="2" t="s">
        <v>12</v>
      </c>
    </row>
    <row r="6" spans="1:21" x14ac:dyDescent="0.25">
      <c r="A6" s="2"/>
      <c r="M6" s="2"/>
    </row>
    <row r="7" spans="1:21" x14ac:dyDescent="0.25">
      <c r="A7" t="s">
        <v>112</v>
      </c>
      <c r="B7">
        <f>1.6/20</f>
        <v>0.08</v>
      </c>
      <c r="C7" t="s">
        <v>50</v>
      </c>
      <c r="D7" t="s">
        <v>113</v>
      </c>
      <c r="M7" t="s">
        <v>64</v>
      </c>
      <c r="N7">
        <v>5</v>
      </c>
      <c r="O7" t="s">
        <v>4</v>
      </c>
    </row>
    <row r="8" spans="1:21" x14ac:dyDescent="0.25">
      <c r="A8" t="s">
        <v>111</v>
      </c>
      <c r="B8">
        <f>0.198*0.984</f>
        <v>0.19483200000000001</v>
      </c>
      <c r="C8" t="s">
        <v>3</v>
      </c>
      <c r="D8" t="s">
        <v>114</v>
      </c>
      <c r="M8" t="s">
        <v>120</v>
      </c>
      <c r="N8">
        <f>B8</f>
        <v>0.19483200000000001</v>
      </c>
      <c r="O8" t="s">
        <v>3</v>
      </c>
    </row>
    <row r="9" spans="1:21" x14ac:dyDescent="0.25">
      <c r="M9" t="s">
        <v>121</v>
      </c>
      <c r="N9">
        <v>0.22159999999999999</v>
      </c>
      <c r="O9" t="s">
        <v>3</v>
      </c>
    </row>
    <row r="10" spans="1:21" x14ac:dyDescent="0.25">
      <c r="A10" t="s">
        <v>54</v>
      </c>
      <c r="B10">
        <v>5</v>
      </c>
      <c r="C10" t="s">
        <v>4</v>
      </c>
      <c r="M10" t="s">
        <v>122</v>
      </c>
      <c r="N10">
        <f>0.157*1.574</f>
        <v>0.247118</v>
      </c>
      <c r="O10" t="s">
        <v>3</v>
      </c>
      <c r="P10" t="s">
        <v>123</v>
      </c>
    </row>
    <row r="11" spans="1:21" x14ac:dyDescent="0.25">
      <c r="A11" t="s">
        <v>53</v>
      </c>
      <c r="B11">
        <v>226.28</v>
      </c>
      <c r="C11" t="s">
        <v>22</v>
      </c>
      <c r="M11" t="s">
        <v>124</v>
      </c>
      <c r="N11">
        <f>20*0.786</f>
        <v>15.72</v>
      </c>
      <c r="O11" t="s">
        <v>3</v>
      </c>
      <c r="P11" s="11" t="s">
        <v>125</v>
      </c>
    </row>
    <row r="12" spans="1:21" x14ac:dyDescent="0.25">
      <c r="A12" t="s">
        <v>116</v>
      </c>
      <c r="B12" s="9">
        <f>(1.6/1000)*B11</f>
        <v>0.36204800000000004</v>
      </c>
      <c r="C12" t="s">
        <v>3</v>
      </c>
      <c r="M12" t="s">
        <v>126</v>
      </c>
      <c r="N12">
        <f>0.025*39.997</f>
        <v>0.99992500000000006</v>
      </c>
      <c r="O12" t="s">
        <v>3</v>
      </c>
    </row>
    <row r="13" spans="1:21" x14ac:dyDescent="0.25">
      <c r="A13" t="s">
        <v>115</v>
      </c>
      <c r="B13" s="9">
        <f>0.95*B12</f>
        <v>0.34394560000000002</v>
      </c>
      <c r="C13" t="s">
        <v>3</v>
      </c>
      <c r="M13" t="s">
        <v>127</v>
      </c>
      <c r="N13">
        <f>0.06*88.11</f>
        <v>5.2866</v>
      </c>
      <c r="O13" t="s">
        <v>3</v>
      </c>
      <c r="P13" t="s">
        <v>128</v>
      </c>
    </row>
    <row r="14" spans="1:21" x14ac:dyDescent="0.25">
      <c r="A14" t="s">
        <v>64</v>
      </c>
      <c r="B14">
        <v>5</v>
      </c>
      <c r="C14" t="s">
        <v>4</v>
      </c>
      <c r="M14" t="s">
        <v>129</v>
      </c>
      <c r="N14">
        <f>(25-(N12/2.13))*1</f>
        <v>24.530551643192489</v>
      </c>
      <c r="O14" t="s">
        <v>3</v>
      </c>
      <c r="P14" t="s">
        <v>130</v>
      </c>
    </row>
    <row r="15" spans="1:21" x14ac:dyDescent="0.25">
      <c r="A15" t="s">
        <v>119</v>
      </c>
      <c r="B15">
        <v>20</v>
      </c>
      <c r="C15" t="s">
        <v>5</v>
      </c>
      <c r="P15" s="10"/>
    </row>
    <row r="16" spans="1:21" x14ac:dyDescent="0.25">
      <c r="A16" t="s">
        <v>6</v>
      </c>
      <c r="B16">
        <f>B13/(B14*B15)</f>
        <v>3.439456E-3</v>
      </c>
      <c r="C16" t="s">
        <v>7</v>
      </c>
      <c r="N16" s="11"/>
    </row>
    <row r="17" spans="1:21" x14ac:dyDescent="0.25">
      <c r="A17" s="3" t="s">
        <v>6</v>
      </c>
      <c r="B17" s="12">
        <f>B16/B18</f>
        <v>0.20636736</v>
      </c>
      <c r="C17" s="3" t="s">
        <v>10</v>
      </c>
      <c r="M17" t="s">
        <v>131</v>
      </c>
      <c r="N17" s="9">
        <f>B13</f>
        <v>0.34394560000000002</v>
      </c>
      <c r="O17" t="s">
        <v>3</v>
      </c>
    </row>
    <row r="18" spans="1:21" x14ac:dyDescent="0.25">
      <c r="A18" t="s">
        <v>8</v>
      </c>
      <c r="B18">
        <f>1/60</f>
        <v>1.6666666666666666E-2</v>
      </c>
      <c r="C18" t="s">
        <v>9</v>
      </c>
    </row>
    <row r="19" spans="1:21" x14ac:dyDescent="0.25">
      <c r="M19" t="s">
        <v>105</v>
      </c>
    </row>
    <row r="20" spans="1:21" x14ac:dyDescent="0.25">
      <c r="S20" t="s">
        <v>217</v>
      </c>
      <c r="T20" s="18">
        <f>(SUM(N8:N13)-B12)/N17</f>
        <v>64.859172497046032</v>
      </c>
    </row>
    <row r="21" spans="1:21" x14ac:dyDescent="0.25">
      <c r="M21" s="3" t="s">
        <v>36</v>
      </c>
      <c r="N21" s="5">
        <f>(SUM(N8:N14)/N17)</f>
        <v>137.23282589802716</v>
      </c>
      <c r="O21" s="3" t="s">
        <v>41</v>
      </c>
      <c r="S21" s="3" t="s">
        <v>203</v>
      </c>
      <c r="T21" s="5">
        <f>N21-1</f>
        <v>136.23282589802716</v>
      </c>
      <c r="U21" s="3" t="s">
        <v>13</v>
      </c>
    </row>
    <row r="23" spans="1:21" x14ac:dyDescent="0.25">
      <c r="M23" s="2"/>
    </row>
    <row r="24" spans="1:21" x14ac:dyDescent="0.25">
      <c r="M24" s="2"/>
    </row>
    <row r="34" spans="1:19" x14ac:dyDescent="0.25">
      <c r="A34" s="2" t="s">
        <v>132</v>
      </c>
      <c r="N34" s="9"/>
    </row>
    <row r="35" spans="1:19" x14ac:dyDescent="0.25">
      <c r="A35" s="2"/>
    </row>
    <row r="36" spans="1:19" x14ac:dyDescent="0.25">
      <c r="A36" t="s">
        <v>49</v>
      </c>
      <c r="B36">
        <v>0.01</v>
      </c>
      <c r="C36" t="s">
        <v>50</v>
      </c>
    </row>
    <row r="37" spans="1:19" x14ac:dyDescent="0.25">
      <c r="A37" t="s">
        <v>57</v>
      </c>
      <c r="B37">
        <v>0.5</v>
      </c>
      <c r="C37" t="s">
        <v>52</v>
      </c>
    </row>
    <row r="38" spans="1:19" x14ac:dyDescent="0.25">
      <c r="A38" t="s">
        <v>62</v>
      </c>
      <c r="B38">
        <f>(B36*B37)/1000</f>
        <v>5.0000000000000004E-6</v>
      </c>
      <c r="C38" t="s">
        <v>48</v>
      </c>
    </row>
    <row r="39" spans="1:19" x14ac:dyDescent="0.25">
      <c r="A39" t="s">
        <v>54</v>
      </c>
      <c r="B39">
        <v>160</v>
      </c>
      <c r="C39" t="s">
        <v>4</v>
      </c>
      <c r="M39" s="14"/>
      <c r="N39" s="15"/>
      <c r="O39" s="14"/>
    </row>
    <row r="40" spans="1:19" x14ac:dyDescent="0.25">
      <c r="A40" t="s">
        <v>61</v>
      </c>
      <c r="B40">
        <v>246.35</v>
      </c>
      <c r="C40" t="s">
        <v>22</v>
      </c>
    </row>
    <row r="41" spans="1:19" x14ac:dyDescent="0.25">
      <c r="A41" t="s">
        <v>117</v>
      </c>
      <c r="B41" s="9">
        <f>B40*B39*B38</f>
        <v>0.19708000000000001</v>
      </c>
      <c r="C41" t="s">
        <v>3</v>
      </c>
      <c r="M41" s="2" t="s">
        <v>133</v>
      </c>
    </row>
    <row r="42" spans="1:19" x14ac:dyDescent="0.25">
      <c r="A42" t="s">
        <v>118</v>
      </c>
      <c r="B42" s="9">
        <f>B41*0.83</f>
        <v>0.16357639999999998</v>
      </c>
      <c r="C42" t="s">
        <v>3</v>
      </c>
      <c r="M42" s="2"/>
    </row>
    <row r="43" spans="1:19" x14ac:dyDescent="0.25">
      <c r="A43" t="s">
        <v>64</v>
      </c>
      <c r="B43">
        <v>160</v>
      </c>
      <c r="C43" t="s">
        <v>4</v>
      </c>
      <c r="M43" t="s">
        <v>64</v>
      </c>
      <c r="N43">
        <v>160</v>
      </c>
      <c r="O43" t="s">
        <v>4</v>
      </c>
    </row>
    <row r="44" spans="1:19" x14ac:dyDescent="0.25">
      <c r="A44" t="s">
        <v>2</v>
      </c>
      <c r="B44">
        <v>0.8</v>
      </c>
      <c r="C44" t="s">
        <v>5</v>
      </c>
      <c r="M44" t="s">
        <v>134</v>
      </c>
      <c r="N44">
        <v>0.5</v>
      </c>
      <c r="O44" t="s">
        <v>52</v>
      </c>
    </row>
    <row r="45" spans="1:19" x14ac:dyDescent="0.25">
      <c r="A45" t="s">
        <v>6</v>
      </c>
      <c r="B45">
        <f>B42/(B43*B44)</f>
        <v>1.2779406249999999E-3</v>
      </c>
      <c r="C45" t="s">
        <v>7</v>
      </c>
      <c r="M45" t="s">
        <v>135</v>
      </c>
      <c r="N45">
        <f>N43*N44</f>
        <v>80</v>
      </c>
      <c r="O45" t="s">
        <v>5</v>
      </c>
    </row>
    <row r="46" spans="1:19" x14ac:dyDescent="0.25">
      <c r="A46" s="3" t="s">
        <v>6</v>
      </c>
      <c r="B46" s="12">
        <f>B45/B47</f>
        <v>7.66764375E-2</v>
      </c>
      <c r="C46" s="3" t="s">
        <v>10</v>
      </c>
      <c r="M46" t="s">
        <v>136</v>
      </c>
      <c r="N46">
        <f>(0.01*(N45/1000))*B11</f>
        <v>0.18102400000000002</v>
      </c>
      <c r="O46" t="s">
        <v>3</v>
      </c>
      <c r="P46" s="11" t="s">
        <v>137</v>
      </c>
      <c r="R46" t="s">
        <v>140</v>
      </c>
      <c r="S46">
        <f>0.01*(N45/1000)</f>
        <v>8.0000000000000004E-4</v>
      </c>
    </row>
    <row r="47" spans="1:19" x14ac:dyDescent="0.25">
      <c r="A47" t="s">
        <v>8</v>
      </c>
      <c r="B47">
        <f>1/60</f>
        <v>1.6666666666666666E-2</v>
      </c>
      <c r="C47" t="s">
        <v>9</v>
      </c>
      <c r="M47" t="s">
        <v>138</v>
      </c>
      <c r="N47">
        <f>(S46*4)*30.026</f>
        <v>9.6083200000000007E-2</v>
      </c>
      <c r="O47" t="s">
        <v>3</v>
      </c>
      <c r="P47" t="s">
        <v>141</v>
      </c>
    </row>
    <row r="48" spans="1:19" x14ac:dyDescent="0.25">
      <c r="M48" t="s">
        <v>139</v>
      </c>
      <c r="N48">
        <f>(S46*100)*60.052</f>
        <v>4.8041600000000004</v>
      </c>
      <c r="O48" t="s">
        <v>3</v>
      </c>
      <c r="P48" t="s">
        <v>142</v>
      </c>
    </row>
    <row r="49" spans="13:21" x14ac:dyDescent="0.25">
      <c r="M49" t="s">
        <v>143</v>
      </c>
      <c r="N49">
        <f>80-0.238-4.5797</f>
        <v>75.182299999999998</v>
      </c>
      <c r="O49" t="s">
        <v>5</v>
      </c>
      <c r="P49" t="s">
        <v>144</v>
      </c>
    </row>
    <row r="50" spans="13:21" x14ac:dyDescent="0.25">
      <c r="M50" t="s">
        <v>143</v>
      </c>
      <c r="N50">
        <f>N49*0.791</f>
        <v>59.4691993</v>
      </c>
      <c r="O50" t="s">
        <v>3</v>
      </c>
      <c r="P50" t="s">
        <v>145</v>
      </c>
    </row>
    <row r="51" spans="13:21" x14ac:dyDescent="0.25">
      <c r="M51" s="11" t="s">
        <v>146</v>
      </c>
      <c r="N51">
        <f>N12</f>
        <v>0.99992500000000006</v>
      </c>
      <c r="O51" t="s">
        <v>3</v>
      </c>
      <c r="P51" t="s">
        <v>94</v>
      </c>
      <c r="Q51">
        <v>157.21</v>
      </c>
      <c r="R51" t="s">
        <v>22</v>
      </c>
    </row>
    <row r="52" spans="13:21" x14ac:dyDescent="0.25">
      <c r="M52" t="s">
        <v>147</v>
      </c>
      <c r="N52" s="9">
        <f>N14</f>
        <v>24.530551643192489</v>
      </c>
      <c r="O52" t="s">
        <v>3</v>
      </c>
      <c r="P52" t="s">
        <v>206</v>
      </c>
    </row>
    <row r="53" spans="13:21" x14ac:dyDescent="0.25">
      <c r="M53" t="s">
        <v>148</v>
      </c>
      <c r="N53">
        <f>(0.2382*63)/100</f>
        <v>0.15006599999999998</v>
      </c>
      <c r="O53" t="s">
        <v>3</v>
      </c>
      <c r="P53" s="13" t="s">
        <v>150</v>
      </c>
    </row>
    <row r="54" spans="13:21" x14ac:dyDescent="0.25">
      <c r="M54" t="s">
        <v>149</v>
      </c>
      <c r="N54">
        <f>N13</f>
        <v>5.2866</v>
      </c>
      <c r="O54" t="s">
        <v>3</v>
      </c>
      <c r="P54" t="s">
        <v>206</v>
      </c>
    </row>
    <row r="56" spans="13:21" x14ac:dyDescent="0.25">
      <c r="M56" t="s">
        <v>151</v>
      </c>
      <c r="N56" s="9">
        <f>B42</f>
        <v>0.16357639999999998</v>
      </c>
      <c r="O56" t="s">
        <v>3</v>
      </c>
    </row>
    <row r="57" spans="13:21" x14ac:dyDescent="0.25">
      <c r="N57" s="9"/>
    </row>
    <row r="58" spans="13:21" x14ac:dyDescent="0.25">
      <c r="N58" s="9"/>
      <c r="P58" s="10"/>
    </row>
    <row r="59" spans="13:21" x14ac:dyDescent="0.25">
      <c r="N59" s="7"/>
    </row>
    <row r="61" spans="13:21" x14ac:dyDescent="0.25">
      <c r="S61" t="s">
        <v>218</v>
      </c>
      <c r="T61" s="18">
        <f>((N46+N47+N48+N50+N51+N54)-B41)/N56</f>
        <v>431.84659584145402</v>
      </c>
    </row>
    <row r="62" spans="13:21" x14ac:dyDescent="0.25">
      <c r="M62" s="3" t="s">
        <v>36</v>
      </c>
      <c r="N62" s="5">
        <f>(N54+N53+N52+N51+N50+N48+N47+N46)/N56</f>
        <v>583.93270143610255</v>
      </c>
      <c r="O62" s="3" t="s">
        <v>41</v>
      </c>
      <c r="S62" s="3" t="s">
        <v>204</v>
      </c>
      <c r="T62" s="5">
        <f>N62-1</f>
        <v>582.93270143610255</v>
      </c>
      <c r="U62" s="3" t="s">
        <v>13</v>
      </c>
    </row>
    <row r="64" spans="13:21" x14ac:dyDescent="0.25">
      <c r="M64" t="s">
        <v>221</v>
      </c>
      <c r="N64" s="18">
        <f>N62+N21</f>
        <v>721.16552733412971</v>
      </c>
      <c r="S64" t="s">
        <v>219</v>
      </c>
      <c r="T64" s="18">
        <f>T61+T20</f>
        <v>496.70576833850004</v>
      </c>
    </row>
    <row r="65" spans="1:20" s="17" customFormat="1" ht="15.75" thickBot="1" x14ac:dyDescent="0.3">
      <c r="S65" s="17" t="s">
        <v>220</v>
      </c>
      <c r="T65" s="25">
        <f>T62+T21</f>
        <v>719.16552733412971</v>
      </c>
    </row>
    <row r="66" spans="1:20" x14ac:dyDescent="0.25">
      <c r="A66" s="1" t="s">
        <v>152</v>
      </c>
    </row>
    <row r="68" spans="1:20" x14ac:dyDescent="0.25">
      <c r="A68" s="2" t="s">
        <v>153</v>
      </c>
      <c r="M68" s="2" t="s">
        <v>153</v>
      </c>
    </row>
    <row r="69" spans="1:20" x14ac:dyDescent="0.25">
      <c r="M69" s="2"/>
    </row>
    <row r="70" spans="1:20" x14ac:dyDescent="0.25">
      <c r="A70" t="s">
        <v>154</v>
      </c>
      <c r="B70">
        <v>70</v>
      </c>
      <c r="C70" t="s">
        <v>3</v>
      </c>
      <c r="M70" t="s">
        <v>64</v>
      </c>
      <c r="N70">
        <f>B77</f>
        <v>90</v>
      </c>
      <c r="O70" t="s">
        <v>4</v>
      </c>
    </row>
    <row r="71" spans="1:20" x14ac:dyDescent="0.25">
      <c r="M71" t="s">
        <v>171</v>
      </c>
      <c r="N71">
        <v>70</v>
      </c>
      <c r="O71" t="s">
        <v>3</v>
      </c>
    </row>
    <row r="72" spans="1:20" x14ac:dyDescent="0.25">
      <c r="M72" t="s">
        <v>170</v>
      </c>
      <c r="N72">
        <v>300</v>
      </c>
      <c r="O72" t="s">
        <v>3</v>
      </c>
    </row>
    <row r="73" spans="1:20" x14ac:dyDescent="0.25">
      <c r="A73" t="s">
        <v>54</v>
      </c>
      <c r="B73">
        <v>90</v>
      </c>
      <c r="C73" t="s">
        <v>4</v>
      </c>
      <c r="M73" t="s">
        <v>169</v>
      </c>
      <c r="N73">
        <v>70</v>
      </c>
      <c r="O73" t="s">
        <v>3</v>
      </c>
      <c r="P73" s="11"/>
    </row>
    <row r="74" spans="1:20" x14ac:dyDescent="0.25">
      <c r="M74" t="s">
        <v>168</v>
      </c>
      <c r="N74">
        <f>60-N75</f>
        <v>22.200000000000003</v>
      </c>
      <c r="O74" t="s">
        <v>3</v>
      </c>
    </row>
    <row r="75" spans="1:20" x14ac:dyDescent="0.25">
      <c r="A75" t="s">
        <v>222</v>
      </c>
      <c r="B75" s="9">
        <v>93.75</v>
      </c>
      <c r="C75" t="s">
        <v>3</v>
      </c>
      <c r="M75" t="s">
        <v>167</v>
      </c>
      <c r="N75">
        <f>(63*60)/100</f>
        <v>37.799999999999997</v>
      </c>
      <c r="O75" t="s">
        <v>3</v>
      </c>
    </row>
    <row r="76" spans="1:20" x14ac:dyDescent="0.25">
      <c r="A76" t="s">
        <v>157</v>
      </c>
      <c r="B76" s="9">
        <v>89.0625</v>
      </c>
      <c r="C76" t="s">
        <v>3</v>
      </c>
    </row>
    <row r="77" spans="1:20" x14ac:dyDescent="0.25">
      <c r="A77" t="s">
        <v>64</v>
      </c>
      <c r="B77">
        <v>90</v>
      </c>
      <c r="C77" t="s">
        <v>4</v>
      </c>
    </row>
    <row r="78" spans="1:20" x14ac:dyDescent="0.25">
      <c r="A78" t="s">
        <v>155</v>
      </c>
      <c r="B78">
        <f>(300/0.79)+(70/1.049)</f>
        <v>446.47705469947266</v>
      </c>
      <c r="C78" t="s">
        <v>5</v>
      </c>
      <c r="D78" t="s">
        <v>156</v>
      </c>
    </row>
    <row r="79" spans="1:20" x14ac:dyDescent="0.25">
      <c r="A79" t="s">
        <v>6</v>
      </c>
      <c r="B79">
        <f>B76/(B77*B78)</f>
        <v>2.2164259572072073E-3</v>
      </c>
      <c r="C79" t="s">
        <v>7</v>
      </c>
      <c r="N79" s="9"/>
    </row>
    <row r="80" spans="1:20" x14ac:dyDescent="0.25">
      <c r="A80" s="3" t="s">
        <v>6</v>
      </c>
      <c r="B80" s="12">
        <f>B79/B81</f>
        <v>0.13298555743243246</v>
      </c>
      <c r="C80" s="3" t="s">
        <v>10</v>
      </c>
      <c r="P80" s="13"/>
    </row>
    <row r="81" spans="1:21" x14ac:dyDescent="0.25">
      <c r="A81" t="s">
        <v>8</v>
      </c>
      <c r="B81">
        <f>1/60</f>
        <v>1.6666666666666666E-2</v>
      </c>
      <c r="C81" t="s">
        <v>9</v>
      </c>
    </row>
    <row r="83" spans="1:21" x14ac:dyDescent="0.25">
      <c r="M83" t="s">
        <v>172</v>
      </c>
      <c r="N83" s="9">
        <f>B76</f>
        <v>89.0625</v>
      </c>
      <c r="O83" t="s">
        <v>3</v>
      </c>
    </row>
    <row r="84" spans="1:21" x14ac:dyDescent="0.25">
      <c r="N84" s="9"/>
    </row>
    <row r="85" spans="1:21" x14ac:dyDescent="0.25">
      <c r="A85" s="2" t="s">
        <v>12</v>
      </c>
      <c r="N85" s="9"/>
      <c r="P85" s="10"/>
    </row>
    <row r="86" spans="1:21" x14ac:dyDescent="0.25">
      <c r="A86" s="2"/>
      <c r="N86" s="7"/>
    </row>
    <row r="87" spans="1:21" x14ac:dyDescent="0.25">
      <c r="A87" t="s">
        <v>158</v>
      </c>
      <c r="B87">
        <v>100</v>
      </c>
      <c r="C87" t="s">
        <v>3</v>
      </c>
    </row>
    <row r="88" spans="1:21" x14ac:dyDescent="0.25">
      <c r="S88" t="s">
        <v>210</v>
      </c>
      <c r="T88" s="18">
        <f>(SUM(N71:N74)-B75)/B76</f>
        <v>4.136982456140351</v>
      </c>
    </row>
    <row r="89" spans="1:21" x14ac:dyDescent="0.25">
      <c r="M89" s="3" t="s">
        <v>36</v>
      </c>
      <c r="N89" s="5">
        <f>SUM(N71:N75)/N83</f>
        <v>5.6140350877192979</v>
      </c>
      <c r="O89" s="3" t="s">
        <v>41</v>
      </c>
      <c r="S89" s="3" t="s">
        <v>204</v>
      </c>
      <c r="T89" s="5">
        <f>N89-1</f>
        <v>4.6140350877192979</v>
      </c>
      <c r="U89" s="3" t="s">
        <v>13</v>
      </c>
    </row>
    <row r="90" spans="1:21" x14ac:dyDescent="0.25">
      <c r="A90" t="s">
        <v>159</v>
      </c>
      <c r="B90">
        <v>870</v>
      </c>
      <c r="C90" t="s">
        <v>4</v>
      </c>
    </row>
    <row r="91" spans="1:21" x14ac:dyDescent="0.25">
      <c r="M91" s="2" t="s">
        <v>12</v>
      </c>
    </row>
    <row r="92" spans="1:21" x14ac:dyDescent="0.25">
      <c r="B92" s="9"/>
      <c r="M92" s="2"/>
    </row>
    <row r="93" spans="1:21" x14ac:dyDescent="0.25">
      <c r="A93" t="s">
        <v>160</v>
      </c>
      <c r="B93" s="9">
        <v>112</v>
      </c>
      <c r="C93" t="s">
        <v>3</v>
      </c>
      <c r="M93" t="s">
        <v>64</v>
      </c>
      <c r="N93">
        <v>870</v>
      </c>
      <c r="O93" t="s">
        <v>4</v>
      </c>
    </row>
    <row r="94" spans="1:21" x14ac:dyDescent="0.25">
      <c r="A94" t="s">
        <v>64</v>
      </c>
      <c r="B94">
        <v>180</v>
      </c>
      <c r="C94" t="s">
        <v>4</v>
      </c>
      <c r="M94" t="s">
        <v>181</v>
      </c>
      <c r="N94">
        <v>100</v>
      </c>
      <c r="O94" t="s">
        <v>3</v>
      </c>
    </row>
    <row r="95" spans="1:21" x14ac:dyDescent="0.25">
      <c r="A95" t="s">
        <v>161</v>
      </c>
      <c r="B95">
        <v>1000</v>
      </c>
      <c r="C95" t="s">
        <v>5</v>
      </c>
      <c r="M95" t="s">
        <v>180</v>
      </c>
      <c r="N95">
        <f>1.1*1000</f>
        <v>1100</v>
      </c>
      <c r="O95" t="s">
        <v>3</v>
      </c>
      <c r="P95" t="s">
        <v>173</v>
      </c>
    </row>
    <row r="96" spans="1:21" x14ac:dyDescent="0.25">
      <c r="A96" t="s">
        <v>6</v>
      </c>
      <c r="B96">
        <f>B93/(B94*B95)</f>
        <v>6.2222222222222225E-4</v>
      </c>
      <c r="C96" t="s">
        <v>7</v>
      </c>
      <c r="M96" t="s">
        <v>179</v>
      </c>
      <c r="N96">
        <f>100+50</f>
        <v>150</v>
      </c>
      <c r="O96" t="s">
        <v>3</v>
      </c>
      <c r="P96" s="11"/>
    </row>
    <row r="97" spans="1:21" x14ac:dyDescent="0.25">
      <c r="A97" s="3" t="s">
        <v>6</v>
      </c>
      <c r="B97" s="12">
        <f>B96/B98</f>
        <v>3.7333333333333336E-2</v>
      </c>
      <c r="C97" s="3" t="s">
        <v>10</v>
      </c>
      <c r="M97" t="s">
        <v>174</v>
      </c>
      <c r="O97" t="s">
        <v>3</v>
      </c>
      <c r="P97" t="s">
        <v>182</v>
      </c>
    </row>
    <row r="98" spans="1:21" x14ac:dyDescent="0.25">
      <c r="A98" t="s">
        <v>8</v>
      </c>
      <c r="B98">
        <f>1/60</f>
        <v>1.6666666666666666E-2</v>
      </c>
      <c r="C98" t="s">
        <v>9</v>
      </c>
      <c r="M98" t="s">
        <v>175</v>
      </c>
      <c r="O98" t="s">
        <v>3</v>
      </c>
      <c r="P98" t="s">
        <v>182</v>
      </c>
    </row>
    <row r="99" spans="1:21" x14ac:dyDescent="0.25">
      <c r="M99" t="s">
        <v>176</v>
      </c>
      <c r="N99">
        <f>0.791*600</f>
        <v>474.6</v>
      </c>
      <c r="O99" t="s">
        <v>3</v>
      </c>
      <c r="P99" t="s">
        <v>177</v>
      </c>
    </row>
    <row r="100" spans="1:21" x14ac:dyDescent="0.25">
      <c r="M100" t="s">
        <v>178</v>
      </c>
      <c r="N100">
        <v>180</v>
      </c>
      <c r="O100" t="s">
        <v>3</v>
      </c>
    </row>
    <row r="101" spans="1:21" x14ac:dyDescent="0.25">
      <c r="A101" s="2" t="s">
        <v>162</v>
      </c>
      <c r="M101" t="s">
        <v>183</v>
      </c>
      <c r="O101" t="s">
        <v>3</v>
      </c>
      <c r="P101" t="s">
        <v>182</v>
      </c>
    </row>
    <row r="102" spans="1:21" x14ac:dyDescent="0.25">
      <c r="A102" s="2"/>
      <c r="M102" t="s">
        <v>184</v>
      </c>
      <c r="N102" s="9"/>
      <c r="O102" t="s">
        <v>3</v>
      </c>
      <c r="P102" t="s">
        <v>182</v>
      </c>
    </row>
    <row r="103" spans="1:21" x14ac:dyDescent="0.25">
      <c r="A103" t="s">
        <v>163</v>
      </c>
      <c r="B103">
        <v>100</v>
      </c>
      <c r="C103" t="s">
        <v>3</v>
      </c>
      <c r="M103" t="s">
        <v>185</v>
      </c>
      <c r="O103" t="s">
        <v>3</v>
      </c>
      <c r="P103" t="s">
        <v>182</v>
      </c>
    </row>
    <row r="106" spans="1:21" x14ac:dyDescent="0.25">
      <c r="A106" t="s">
        <v>164</v>
      </c>
      <c r="B106">
        <v>360</v>
      </c>
      <c r="C106" t="s">
        <v>4</v>
      </c>
      <c r="M106" t="s">
        <v>186</v>
      </c>
      <c r="N106" s="9">
        <f>B93</f>
        <v>112</v>
      </c>
      <c r="O106" t="s">
        <v>3</v>
      </c>
    </row>
    <row r="107" spans="1:21" x14ac:dyDescent="0.25">
      <c r="N107" s="9"/>
    </row>
    <row r="108" spans="1:21" x14ac:dyDescent="0.25">
      <c r="A108" t="s">
        <v>224</v>
      </c>
      <c r="B108" s="9">
        <v>105.92</v>
      </c>
      <c r="C108" t="s">
        <v>3</v>
      </c>
      <c r="N108" s="9"/>
      <c r="P108" s="10"/>
    </row>
    <row r="109" spans="1:21" x14ac:dyDescent="0.25">
      <c r="A109" t="s">
        <v>165</v>
      </c>
      <c r="B109" s="9">
        <v>80.5</v>
      </c>
      <c r="C109" t="s">
        <v>3</v>
      </c>
      <c r="N109" s="7"/>
    </row>
    <row r="110" spans="1:21" x14ac:dyDescent="0.25">
      <c r="A110" t="s">
        <v>64</v>
      </c>
      <c r="B110">
        <v>360</v>
      </c>
      <c r="C110" t="s">
        <v>4</v>
      </c>
    </row>
    <row r="111" spans="1:21" x14ac:dyDescent="0.25">
      <c r="A111" t="s">
        <v>166</v>
      </c>
      <c r="B111">
        <v>200</v>
      </c>
      <c r="C111" t="s">
        <v>5</v>
      </c>
      <c r="S111" t="s">
        <v>210</v>
      </c>
      <c r="T111" t="s">
        <v>223</v>
      </c>
    </row>
    <row r="112" spans="1:21" x14ac:dyDescent="0.25">
      <c r="A112" t="s">
        <v>6</v>
      </c>
      <c r="B112">
        <f>B109/(B110*B111)</f>
        <v>1.1180555555555555E-3</v>
      </c>
      <c r="C112" t="s">
        <v>7</v>
      </c>
      <c r="M112" s="3" t="s">
        <v>36</v>
      </c>
      <c r="N112" s="5">
        <f>(N100+N99+N96+N95+N94)/104</f>
        <v>19.274999999999999</v>
      </c>
      <c r="O112" s="3" t="s">
        <v>41</v>
      </c>
      <c r="S112" s="3" t="s">
        <v>204</v>
      </c>
      <c r="T112" s="5">
        <f>N112-1</f>
        <v>18.274999999999999</v>
      </c>
      <c r="U112" s="3" t="s">
        <v>13</v>
      </c>
    </row>
    <row r="113" spans="1:16" x14ac:dyDescent="0.25">
      <c r="A113" s="3" t="s">
        <v>6</v>
      </c>
      <c r="B113" s="12">
        <f>B112/B114</f>
        <v>6.7083333333333328E-2</v>
      </c>
      <c r="C113" s="3" t="s">
        <v>10</v>
      </c>
    </row>
    <row r="114" spans="1:16" x14ac:dyDescent="0.25">
      <c r="A114" t="s">
        <v>8</v>
      </c>
      <c r="B114">
        <f>1/60</f>
        <v>1.6666666666666666E-2</v>
      </c>
      <c r="C114" t="s">
        <v>9</v>
      </c>
    </row>
    <row r="115" spans="1:16" x14ac:dyDescent="0.25">
      <c r="M115" s="2" t="s">
        <v>162</v>
      </c>
    </row>
    <row r="116" spans="1:16" x14ac:dyDescent="0.25">
      <c r="M116" s="2"/>
    </row>
    <row r="117" spans="1:16" x14ac:dyDescent="0.25">
      <c r="M117" t="s">
        <v>64</v>
      </c>
      <c r="N117">
        <v>360</v>
      </c>
      <c r="O117" t="s">
        <v>187</v>
      </c>
    </row>
    <row r="118" spans="1:16" x14ac:dyDescent="0.25">
      <c r="M118" s="16" t="s">
        <v>188</v>
      </c>
      <c r="N118">
        <v>100</v>
      </c>
      <c r="O118" t="s">
        <v>3</v>
      </c>
    </row>
    <row r="119" spans="1:16" x14ac:dyDescent="0.25">
      <c r="M119" t="s">
        <v>189</v>
      </c>
      <c r="N119">
        <f>200*0.791</f>
        <v>158.20000000000002</v>
      </c>
      <c r="O119" t="s">
        <v>3</v>
      </c>
      <c r="P119" t="s">
        <v>190</v>
      </c>
    </row>
    <row r="120" spans="1:16" x14ac:dyDescent="0.25">
      <c r="M120" t="s">
        <v>191</v>
      </c>
      <c r="N120">
        <v>45</v>
      </c>
      <c r="O120" t="s">
        <v>3</v>
      </c>
      <c r="P120" s="11"/>
    </row>
    <row r="121" spans="1:16" x14ac:dyDescent="0.25">
      <c r="M121" t="s">
        <v>192</v>
      </c>
      <c r="N121">
        <v>55</v>
      </c>
      <c r="O121" t="s">
        <v>3</v>
      </c>
    </row>
    <row r="122" spans="1:16" x14ac:dyDescent="0.25">
      <c r="M122" t="s">
        <v>193</v>
      </c>
      <c r="N122">
        <f>(1.19*37)-N123</f>
        <v>16.291100000000004</v>
      </c>
      <c r="O122" t="s">
        <v>3</v>
      </c>
      <c r="P122" t="s">
        <v>198</v>
      </c>
    </row>
    <row r="123" spans="1:16" x14ac:dyDescent="0.25">
      <c r="M123" t="s">
        <v>194</v>
      </c>
      <c r="N123">
        <f>((1.19*37)*63)/100</f>
        <v>27.738899999999997</v>
      </c>
      <c r="O123" t="s">
        <v>3</v>
      </c>
    </row>
    <row r="124" spans="1:16" x14ac:dyDescent="0.25">
      <c r="M124" t="s">
        <v>40</v>
      </c>
      <c r="N124">
        <v>750</v>
      </c>
      <c r="O124" t="s">
        <v>3</v>
      </c>
      <c r="P124" t="s">
        <v>195</v>
      </c>
    </row>
    <row r="125" spans="1:16" x14ac:dyDescent="0.25">
      <c r="M125" t="s">
        <v>196</v>
      </c>
      <c r="O125" t="s">
        <v>3</v>
      </c>
      <c r="P125" t="s">
        <v>182</v>
      </c>
    </row>
    <row r="126" spans="1:16" x14ac:dyDescent="0.25">
      <c r="M126" t="s">
        <v>197</v>
      </c>
      <c r="N126" s="9"/>
      <c r="O126" t="s">
        <v>3</v>
      </c>
      <c r="P126" t="s">
        <v>182</v>
      </c>
    </row>
    <row r="127" spans="1:16" x14ac:dyDescent="0.25">
      <c r="M127" t="s">
        <v>199</v>
      </c>
      <c r="O127" t="s">
        <v>200</v>
      </c>
      <c r="P127" s="13" t="s">
        <v>182</v>
      </c>
    </row>
    <row r="130" spans="13:21" x14ac:dyDescent="0.25">
      <c r="M130" t="s">
        <v>201</v>
      </c>
      <c r="N130" s="9">
        <f>B109</f>
        <v>80.5</v>
      </c>
      <c r="O130" t="s">
        <v>3</v>
      </c>
    </row>
    <row r="131" spans="13:21" x14ac:dyDescent="0.25">
      <c r="N131" s="9"/>
    </row>
    <row r="132" spans="13:21" x14ac:dyDescent="0.25">
      <c r="N132" s="9"/>
      <c r="P132" s="10"/>
    </row>
    <row r="133" spans="13:21" x14ac:dyDescent="0.25">
      <c r="N133" s="7"/>
    </row>
    <row r="135" spans="13:21" x14ac:dyDescent="0.25">
      <c r="S135" t="s">
        <v>210</v>
      </c>
      <c r="T135" s="18">
        <f>((N118+N119+N120+N121+N122)-B108)/B109</f>
        <v>3.3362869565217399</v>
      </c>
    </row>
    <row r="136" spans="13:21" x14ac:dyDescent="0.25">
      <c r="M136" s="3" t="s">
        <v>36</v>
      </c>
      <c r="N136" s="5">
        <f>SUM(N118:N124)/N130</f>
        <v>14.313416149068324</v>
      </c>
      <c r="O136" s="3" t="s">
        <v>41</v>
      </c>
      <c r="S136" s="3" t="s">
        <v>204</v>
      </c>
      <c r="T136" s="5">
        <f>N136-1</f>
        <v>13.313416149068324</v>
      </c>
      <c r="U136" s="3" t="s">
        <v>13</v>
      </c>
    </row>
    <row r="138" spans="13:21" x14ac:dyDescent="0.25">
      <c r="M138" t="s">
        <v>225</v>
      </c>
      <c r="N138" s="18">
        <f>N136+N112+N89</f>
        <v>39.202451236787624</v>
      </c>
      <c r="S138" t="s">
        <v>226</v>
      </c>
      <c r="T138" s="18">
        <f>T135+T88</f>
        <v>7.4732694126620913</v>
      </c>
    </row>
    <row r="139" spans="13:21" x14ac:dyDescent="0.25">
      <c r="S139" t="s">
        <v>227</v>
      </c>
      <c r="T139" s="18">
        <f>T136+T89+T112</f>
        <v>36.202451236787624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29E96-F145-4EA5-883C-0B6CB89FB3AF}">
  <dimension ref="A1:I20"/>
  <sheetViews>
    <sheetView workbookViewId="0">
      <selection activeCell="H20" sqref="H20"/>
    </sheetView>
  </sheetViews>
  <sheetFormatPr defaultRowHeight="15" x14ac:dyDescent="0.25"/>
  <cols>
    <col min="1" max="1" width="51" bestFit="1" customWidth="1"/>
    <col min="7" max="7" width="20.7109375" bestFit="1" customWidth="1"/>
  </cols>
  <sheetData>
    <row r="1" spans="1:9" x14ac:dyDescent="0.25">
      <c r="A1" s="1" t="s">
        <v>17</v>
      </c>
    </row>
    <row r="3" spans="1:9" x14ac:dyDescent="0.25">
      <c r="A3" s="1" t="s">
        <v>18</v>
      </c>
    </row>
    <row r="4" spans="1:9" x14ac:dyDescent="0.25">
      <c r="A4" t="s">
        <v>30</v>
      </c>
      <c r="B4">
        <v>179.64</v>
      </c>
      <c r="C4" t="s">
        <v>22</v>
      </c>
    </row>
    <row r="5" spans="1:9" x14ac:dyDescent="0.25">
      <c r="A5" t="s">
        <v>19</v>
      </c>
      <c r="B5">
        <v>30.03</v>
      </c>
      <c r="C5" t="s">
        <v>22</v>
      </c>
      <c r="E5">
        <f>SUM(B4:B6)</f>
        <v>255.7</v>
      </c>
    </row>
    <row r="6" spans="1:9" x14ac:dyDescent="0.25">
      <c r="A6" t="s">
        <v>20</v>
      </c>
      <c r="B6">
        <v>46.03</v>
      </c>
      <c r="C6" t="s">
        <v>22</v>
      </c>
    </row>
    <row r="7" spans="1:9" x14ac:dyDescent="0.25">
      <c r="A7" t="s">
        <v>31</v>
      </c>
      <c r="B7">
        <v>217.13</v>
      </c>
      <c r="C7" t="s">
        <v>22</v>
      </c>
    </row>
    <row r="8" spans="1:9" x14ac:dyDescent="0.25">
      <c r="A8" s="3" t="s">
        <v>23</v>
      </c>
      <c r="B8" s="8">
        <f>(B7/(SUM(B4:B6)))*100</f>
        <v>84.915917090340244</v>
      </c>
      <c r="C8" s="3" t="s">
        <v>32</v>
      </c>
    </row>
    <row r="10" spans="1:9" x14ac:dyDescent="0.25">
      <c r="A10" s="1" t="s">
        <v>24</v>
      </c>
      <c r="G10" t="s">
        <v>34</v>
      </c>
      <c r="H10" s="7">
        <f>(B19/(E5+E12+E18))*100</f>
        <v>33.966660691880264</v>
      </c>
      <c r="I10" t="s">
        <v>32</v>
      </c>
    </row>
    <row r="11" spans="1:9" x14ac:dyDescent="0.25">
      <c r="A11" t="s">
        <v>25</v>
      </c>
      <c r="B11">
        <v>121.18</v>
      </c>
      <c r="C11" t="s">
        <v>22</v>
      </c>
    </row>
    <row r="12" spans="1:9" x14ac:dyDescent="0.25">
      <c r="A12" t="s">
        <v>26</v>
      </c>
      <c r="B12">
        <v>64.06</v>
      </c>
      <c r="C12" t="s">
        <v>22</v>
      </c>
      <c r="E12">
        <f>SUM(B11:B12)</f>
        <v>185.24</v>
      </c>
      <c r="G12" t="s">
        <v>34</v>
      </c>
      <c r="H12" s="6">
        <f>0.85*0.69*0.87</f>
        <v>0.5102549999999999</v>
      </c>
    </row>
    <row r="13" spans="1:9" x14ac:dyDescent="0.25">
      <c r="A13" t="s">
        <v>21</v>
      </c>
      <c r="B13">
        <v>127.12</v>
      </c>
      <c r="C13" t="s">
        <v>22</v>
      </c>
    </row>
    <row r="14" spans="1:9" x14ac:dyDescent="0.25">
      <c r="A14" s="3" t="s">
        <v>23</v>
      </c>
      <c r="B14" s="8">
        <f>(B13/(SUM(B11:B12)))*100</f>
        <v>68.624487151803066</v>
      </c>
      <c r="C14" s="3" t="s">
        <v>32</v>
      </c>
    </row>
    <row r="16" spans="1:9" x14ac:dyDescent="0.25">
      <c r="A16" s="1" t="s">
        <v>27</v>
      </c>
    </row>
    <row r="17" spans="1:5" x14ac:dyDescent="0.25">
      <c r="A17" t="s">
        <v>33</v>
      </c>
      <c r="B17">
        <v>157.21</v>
      </c>
      <c r="C17" t="s">
        <v>22</v>
      </c>
    </row>
    <row r="18" spans="1:5" x14ac:dyDescent="0.25">
      <c r="A18" t="s">
        <v>28</v>
      </c>
      <c r="B18">
        <v>127.12</v>
      </c>
      <c r="C18" t="s">
        <v>22</v>
      </c>
      <c r="E18">
        <f>SUM(B17:B18)</f>
        <v>284.33000000000004</v>
      </c>
    </row>
    <row r="19" spans="1:5" x14ac:dyDescent="0.25">
      <c r="A19" t="s">
        <v>29</v>
      </c>
      <c r="B19">
        <v>246.35</v>
      </c>
      <c r="C19" t="s">
        <v>22</v>
      </c>
    </row>
    <row r="20" spans="1:5" x14ac:dyDescent="0.25">
      <c r="A20" s="3" t="s">
        <v>23</v>
      </c>
      <c r="B20" s="8">
        <f>(B19/(SUM(B17:B18)))*100</f>
        <v>86.642281855590326</v>
      </c>
      <c r="C20" s="3" t="s">
        <v>32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b18bf4-a9d1-4e0b-a7ec-4a0685de83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242CA530908B40B3C75DA2EC307B2D" ma:contentTypeVersion="14" ma:contentTypeDescription="Ein neues Dokument erstellen." ma:contentTypeScope="" ma:versionID="59400d2891be15483028c52a193da57a">
  <xsd:schema xmlns:xsd="http://www.w3.org/2001/XMLSchema" xmlns:xs="http://www.w3.org/2001/XMLSchema" xmlns:p="http://schemas.microsoft.com/office/2006/metadata/properties" xmlns:ns3="6bb18bf4-a9d1-4e0b-a7ec-4a0685de837a" xmlns:ns4="fefd3e01-a15c-475e-b7ce-64abb01a85b0" targetNamespace="http://schemas.microsoft.com/office/2006/metadata/properties" ma:root="true" ma:fieldsID="bc81ae92bd3fe171172140b8cd1b0896" ns3:_="" ns4:_="">
    <xsd:import namespace="6bb18bf4-a9d1-4e0b-a7ec-4a0685de837a"/>
    <xsd:import namespace="fefd3e01-a15c-475e-b7ce-64abb01a85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18bf4-a9d1-4e0b-a7ec-4a0685de8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d3e01-a15c-475e-b7ce-64abb01a8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076EAF-5B01-4CE7-BDC5-47C07158CF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5FA1E0-1077-4ABE-804E-2609F62D9C35}">
  <ds:schemaRefs>
    <ds:schemaRef ds:uri="http://purl.org/dc/elements/1.1/"/>
    <ds:schemaRef ds:uri="http://purl.org/dc/terms/"/>
    <ds:schemaRef ds:uri="http://www.w3.org/XML/1998/namespace"/>
    <ds:schemaRef ds:uri="fefd3e01-a15c-475e-b7ce-64abb01a85b0"/>
    <ds:schemaRef ds:uri="6bb18bf4-a9d1-4e0b-a7ec-4a0685de8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922242-9184-45CE-895B-CBA67EF38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b18bf4-a9d1-4e0b-a7ec-4a0685de837a"/>
    <ds:schemaRef ds:uri="fefd3e01-a15c-475e-b7ce-64abb01a8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400387a-212f-43ea-ac7f-77aa12d7977e}" enabled="0" method="" siteId="{d400387a-212f-43ea-ac7f-77aa12d797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Green metrics</vt:lpstr>
      <vt:lpstr>Green metrics comparison</vt:lpstr>
      <vt:lpstr>Atom economy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Díaz Kruik, Pablo (DCBP)</dc:creator>
  <cp:lastModifiedBy>e756114</cp:lastModifiedBy>
  <dcterms:created xsi:type="dcterms:W3CDTF">2023-10-30T08:14:13Z</dcterms:created>
  <dcterms:modified xsi:type="dcterms:W3CDTF">2024-01-23T09:46:09Z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0x010100ED242CA530908B40B3C75DA2EC307B2D</vt:lpwstr>
  </property>
</Properties>
</file>