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/Documents/Mes articles/Développement analytique Europium/Submitted/"/>
    </mc:Choice>
  </mc:AlternateContent>
  <xr:revisionPtr revIDLastSave="0" documentId="13_ncr:1_{2EFE78E6-C1D1-3144-9227-523A27F2E97A}" xr6:coauthVersionLast="47" xr6:coauthVersionMax="47" xr10:uidLastSave="{00000000-0000-0000-0000-000000000000}"/>
  <bookViews>
    <workbookView xWindow="0" yWindow="-21100" windowWidth="38400" windowHeight="21100" activeTab="4" xr2:uid="{E05BF60E-15BD-F040-B730-8EC3B2EE1991}"/>
  </bookViews>
  <sheets>
    <sheet name="Appendix-Table 1." sheetId="8" r:id="rId1"/>
    <sheet name="Appendix-Table 2." sheetId="9" r:id="rId2"/>
    <sheet name="Appendix-Table 3." sheetId="11" r:id="rId3"/>
    <sheet name="Appendix-Table 4." sheetId="12" r:id="rId4"/>
    <sheet name="Appendix-Table 5.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0" l="1"/>
  <c r="I3" i="10"/>
  <c r="I2" i="10"/>
  <c r="I11" i="10"/>
  <c r="I15" i="10"/>
  <c r="I16" i="10"/>
  <c r="I10" i="10"/>
  <c r="G11" i="10"/>
  <c r="G10" i="10"/>
  <c r="G3" i="10"/>
  <c r="I8" i="10"/>
  <c r="M4" i="8" l="1"/>
  <c r="G2" i="10"/>
  <c r="D30" i="12"/>
  <c r="F30" i="12"/>
  <c r="D79" i="12" l="1"/>
  <c r="D80" i="12"/>
  <c r="D81" i="12"/>
  <c r="D82" i="12"/>
  <c r="D83" i="12"/>
  <c r="D84" i="12"/>
  <c r="D85" i="12"/>
  <c r="D78" i="12"/>
  <c r="D73" i="12"/>
  <c r="E73" i="12" s="1"/>
  <c r="G73" i="12" s="1"/>
  <c r="F73" i="12"/>
  <c r="H73" i="12" s="1"/>
  <c r="I73" i="12" s="1"/>
  <c r="J73" i="12" s="1"/>
  <c r="K73" i="12" s="1"/>
  <c r="D72" i="12"/>
  <c r="E72" i="12" s="1"/>
  <c r="G72" i="12" s="1"/>
  <c r="F72" i="12"/>
  <c r="H72" i="12" s="1"/>
  <c r="I72" i="12" s="1"/>
  <c r="J72" i="12" s="1"/>
  <c r="K72" i="12" s="1"/>
  <c r="D71" i="12"/>
  <c r="E71" i="12" s="1"/>
  <c r="G71" i="12" s="1"/>
  <c r="F71" i="12"/>
  <c r="H71" i="12" s="1"/>
  <c r="I71" i="12" s="1"/>
  <c r="J71" i="12" s="1"/>
  <c r="K71" i="12" s="1"/>
  <c r="D70" i="12"/>
  <c r="E70" i="12" s="1"/>
  <c r="G70" i="12" s="1"/>
  <c r="F70" i="12"/>
  <c r="H70" i="12" s="1"/>
  <c r="I70" i="12" s="1"/>
  <c r="J70" i="12" s="1"/>
  <c r="K70" i="12" s="1"/>
  <c r="D69" i="12"/>
  <c r="E69" i="12" s="1"/>
  <c r="G69" i="12" s="1"/>
  <c r="F69" i="12"/>
  <c r="H69" i="12" s="1"/>
  <c r="I69" i="12" s="1"/>
  <c r="J69" i="12" s="1"/>
  <c r="K69" i="12" s="1"/>
  <c r="D68" i="12"/>
  <c r="E68" i="12" s="1"/>
  <c r="G68" i="12" s="1"/>
  <c r="F68" i="12"/>
  <c r="H68" i="12" s="1"/>
  <c r="I68" i="12" s="1"/>
  <c r="J68" i="12" s="1"/>
  <c r="K68" i="12" s="1"/>
  <c r="D67" i="12"/>
  <c r="E67" i="12" s="1"/>
  <c r="G67" i="12" s="1"/>
  <c r="F67" i="12"/>
  <c r="H67" i="12" s="1"/>
  <c r="I67" i="12" s="1"/>
  <c r="J67" i="12" s="1"/>
  <c r="K67" i="12" s="1"/>
  <c r="D66" i="12"/>
  <c r="E66" i="12" s="1"/>
  <c r="G66" i="12" s="1"/>
  <c r="F66" i="12"/>
  <c r="H66" i="12" s="1"/>
  <c r="I66" i="12" s="1"/>
  <c r="J66" i="12" s="1"/>
  <c r="K66" i="12" s="1"/>
  <c r="D65" i="12"/>
  <c r="E65" i="12" s="1"/>
  <c r="G65" i="12" s="1"/>
  <c r="F65" i="12"/>
  <c r="H65" i="12" s="1"/>
  <c r="I65" i="12" s="1"/>
  <c r="J65" i="12" s="1"/>
  <c r="K65" i="12" s="1"/>
  <c r="D61" i="12"/>
  <c r="E61" i="12" s="1"/>
  <c r="G61" i="12" s="1"/>
  <c r="F61" i="12"/>
  <c r="H61" i="12" s="1"/>
  <c r="I61" i="12" s="1"/>
  <c r="J61" i="12" s="1"/>
  <c r="K61" i="12" s="1"/>
  <c r="D60" i="12"/>
  <c r="E60" i="12" s="1"/>
  <c r="G60" i="12" s="1"/>
  <c r="F60" i="12"/>
  <c r="H60" i="12" s="1"/>
  <c r="I60" i="12" s="1"/>
  <c r="J60" i="12" s="1"/>
  <c r="K60" i="12" s="1"/>
  <c r="D59" i="12"/>
  <c r="E59" i="12" s="1"/>
  <c r="G59" i="12" s="1"/>
  <c r="F59" i="12"/>
  <c r="H59" i="12" s="1"/>
  <c r="I59" i="12" s="1"/>
  <c r="J59" i="12" s="1"/>
  <c r="K59" i="12" s="1"/>
  <c r="D58" i="12"/>
  <c r="E58" i="12" s="1"/>
  <c r="G58" i="12" s="1"/>
  <c r="F58" i="12"/>
  <c r="H58" i="12" s="1"/>
  <c r="I58" i="12" s="1"/>
  <c r="J58" i="12" s="1"/>
  <c r="K58" i="12" s="1"/>
  <c r="D57" i="12"/>
  <c r="E57" i="12" s="1"/>
  <c r="G57" i="12" s="1"/>
  <c r="F57" i="12"/>
  <c r="H57" i="12" s="1"/>
  <c r="I57" i="12" s="1"/>
  <c r="J57" i="12" s="1"/>
  <c r="K57" i="12" s="1"/>
  <c r="D56" i="12"/>
  <c r="E56" i="12" s="1"/>
  <c r="G56" i="12" s="1"/>
  <c r="F56" i="12"/>
  <c r="H56" i="12" s="1"/>
  <c r="I56" i="12" s="1"/>
  <c r="J56" i="12" s="1"/>
  <c r="K56" i="12" s="1"/>
  <c r="D55" i="12"/>
  <c r="F55" i="12" s="1"/>
  <c r="H55" i="12" s="1"/>
  <c r="D54" i="12"/>
  <c r="E54" i="12" s="1"/>
  <c r="G54" i="12" s="1"/>
  <c r="D53" i="12"/>
  <c r="E53" i="12" s="1"/>
  <c r="G53" i="12" s="1"/>
  <c r="D49" i="12"/>
  <c r="E49" i="12" s="1"/>
  <c r="G49" i="12" s="1"/>
  <c r="D48" i="12"/>
  <c r="E48" i="12" s="1"/>
  <c r="G48" i="12" s="1"/>
  <c r="D47" i="12"/>
  <c r="E47" i="12" s="1"/>
  <c r="G47" i="12" s="1"/>
  <c r="D46" i="12"/>
  <c r="E46" i="12" s="1"/>
  <c r="G46" i="12" s="1"/>
  <c r="D45" i="12"/>
  <c r="E45" i="12" s="1"/>
  <c r="G45" i="12" s="1"/>
  <c r="D44" i="12"/>
  <c r="E44" i="12" s="1"/>
  <c r="G44" i="12" s="1"/>
  <c r="D43" i="12"/>
  <c r="E43" i="12" s="1"/>
  <c r="G43" i="12" s="1"/>
  <c r="D42" i="12"/>
  <c r="E42" i="12" s="1"/>
  <c r="G42" i="12" s="1"/>
  <c r="D41" i="12"/>
  <c r="E41" i="12" s="1"/>
  <c r="G41" i="12" s="1"/>
  <c r="D37" i="12"/>
  <c r="E37" i="12" s="1"/>
  <c r="G37" i="12" s="1"/>
  <c r="D29" i="12"/>
  <c r="F29" i="12" s="1"/>
  <c r="H29" i="12" s="1"/>
  <c r="D36" i="12"/>
  <c r="F36" i="12"/>
  <c r="H36" i="12" s="1"/>
  <c r="E36" i="12"/>
  <c r="G36" i="12" s="1"/>
  <c r="D35" i="12"/>
  <c r="F35" i="12"/>
  <c r="H35" i="12" s="1"/>
  <c r="E35" i="12"/>
  <c r="G35" i="12" s="1"/>
  <c r="D34" i="12"/>
  <c r="F34" i="12"/>
  <c r="H34" i="12" s="1"/>
  <c r="E34" i="12"/>
  <c r="G34" i="12" s="1"/>
  <c r="D33" i="12"/>
  <c r="F33" i="12" s="1"/>
  <c r="H33" i="12" s="1"/>
  <c r="E33" i="12"/>
  <c r="G33" i="12" s="1"/>
  <c r="D32" i="12"/>
  <c r="F32" i="12" s="1"/>
  <c r="H32" i="12" s="1"/>
  <c r="I32" i="12" s="1"/>
  <c r="J32" i="12" s="1"/>
  <c r="E32" i="12"/>
  <c r="G32" i="12" s="1"/>
  <c r="D31" i="12"/>
  <c r="F31" i="12" s="1"/>
  <c r="H31" i="12" s="1"/>
  <c r="E31" i="12"/>
  <c r="G31" i="12" s="1"/>
  <c r="H30" i="12"/>
  <c r="E30" i="12"/>
  <c r="G30" i="12" s="1"/>
  <c r="I30" i="12"/>
  <c r="J30" i="12" s="1"/>
  <c r="F21" i="12"/>
  <c r="F20" i="12"/>
  <c r="F19" i="12"/>
  <c r="F18" i="12"/>
  <c r="H10" i="10"/>
  <c r="H11" i="10" s="1"/>
  <c r="F10" i="10"/>
  <c r="F11" i="10" s="1"/>
  <c r="H2" i="10"/>
  <c r="H3" i="10" s="1"/>
  <c r="F2" i="10"/>
  <c r="F3" i="10" s="1"/>
  <c r="V25" i="9"/>
  <c r="V12" i="9"/>
  <c r="W12" i="9" s="1"/>
  <c r="W4" i="9"/>
  <c r="V4" i="9"/>
  <c r="L11" i="9"/>
  <c r="P5" i="9" s="1"/>
  <c r="C33" i="9"/>
  <c r="C24" i="9"/>
  <c r="C11" i="9"/>
  <c r="U11" i="9"/>
  <c r="Y5" i="9" s="1"/>
  <c r="U24" i="9"/>
  <c r="Y14" i="9" s="1"/>
  <c r="U33" i="9"/>
  <c r="Y26" i="9" s="1"/>
  <c r="L33" i="9"/>
  <c r="P32" i="9" s="1"/>
  <c r="L24" i="9"/>
  <c r="P16" i="9" s="1"/>
  <c r="N25" i="9"/>
  <c r="M25" i="9"/>
  <c r="M12" i="9"/>
  <c r="N12" i="9" s="1"/>
  <c r="M4" i="9"/>
  <c r="N4" i="9" s="1"/>
  <c r="W5" i="8"/>
  <c r="P6" i="8"/>
  <c r="S37" i="8"/>
  <c r="S29" i="8"/>
  <c r="S21" i="8"/>
  <c r="S13" i="8"/>
  <c r="U4" i="8" s="1"/>
  <c r="L29" i="8"/>
  <c r="T4" i="8"/>
  <c r="T30" i="8"/>
  <c r="U30" i="8" s="1"/>
  <c r="T22" i="8"/>
  <c r="U22" i="8" s="1"/>
  <c r="T14" i="8"/>
  <c r="U14" i="8" s="1"/>
  <c r="M30" i="8"/>
  <c r="N30" i="8" s="1"/>
  <c r="L37" i="8"/>
  <c r="M22" i="8"/>
  <c r="N22" i="8" s="1"/>
  <c r="M14" i="8"/>
  <c r="L21" i="8"/>
  <c r="N14" i="8"/>
  <c r="L13" i="8"/>
  <c r="N4" i="8" s="1"/>
  <c r="W6" i="8"/>
  <c r="W7" i="8"/>
  <c r="W8" i="8"/>
  <c r="W9" i="8"/>
  <c r="W10" i="8"/>
  <c r="W11" i="8"/>
  <c r="X4" i="8"/>
  <c r="W15" i="8"/>
  <c r="X14" i="8" s="1"/>
  <c r="W16" i="8"/>
  <c r="W17" i="8"/>
  <c r="W18" i="8"/>
  <c r="W19" i="8"/>
  <c r="W23" i="8"/>
  <c r="X22" i="8" s="1"/>
  <c r="W24" i="8"/>
  <c r="W25" i="8"/>
  <c r="W26" i="8"/>
  <c r="W27" i="8"/>
  <c r="W31" i="8"/>
  <c r="X30" i="8" s="1"/>
  <c r="W32" i="8"/>
  <c r="W33" i="8"/>
  <c r="W34" i="8"/>
  <c r="W35" i="8"/>
  <c r="P7" i="8"/>
  <c r="P8" i="8"/>
  <c r="P9" i="8"/>
  <c r="P10" i="8"/>
  <c r="Q4" i="8"/>
  <c r="P32" i="8"/>
  <c r="Q30" i="8" s="1"/>
  <c r="P33" i="8"/>
  <c r="P34" i="8"/>
  <c r="P24" i="8"/>
  <c r="P25" i="8"/>
  <c r="P26" i="8"/>
  <c r="Q22" i="8" s="1"/>
  <c r="P16" i="8"/>
  <c r="Q14" i="8" s="1"/>
  <c r="P17" i="8"/>
  <c r="P18" i="8"/>
  <c r="I34" i="12" l="1"/>
  <c r="J34" i="12" s="1"/>
  <c r="I33" i="12"/>
  <c r="J33" i="12" s="1"/>
  <c r="I36" i="12"/>
  <c r="J36" i="12" s="1"/>
  <c r="K36" i="12" s="1"/>
  <c r="I29" i="12"/>
  <c r="J29" i="12" s="1"/>
  <c r="K29" i="12" s="1"/>
  <c r="I31" i="12"/>
  <c r="J31" i="12" s="1"/>
  <c r="K31" i="12" s="1"/>
  <c r="I35" i="12"/>
  <c r="J35" i="12" s="1"/>
  <c r="K35" i="12" s="1"/>
  <c r="E29" i="12"/>
  <c r="G29" i="12" s="1"/>
  <c r="P4" i="9"/>
  <c r="P23" i="9"/>
  <c r="P15" i="9"/>
  <c r="P31" i="9"/>
  <c r="Y25" i="9"/>
  <c r="Y21" i="9"/>
  <c r="Y13" i="9"/>
  <c r="Y30" i="9"/>
  <c r="F37" i="12"/>
  <c r="H37" i="12" s="1"/>
  <c r="I37" i="12" s="1"/>
  <c r="J37" i="12" s="1"/>
  <c r="K37" i="12" s="1"/>
  <c r="F41" i="12"/>
  <c r="H41" i="12" s="1"/>
  <c r="I41" i="12" s="1"/>
  <c r="J41" i="12" s="1"/>
  <c r="K41" i="12" s="1"/>
  <c r="F42" i="12"/>
  <c r="H42" i="12" s="1"/>
  <c r="I42" i="12" s="1"/>
  <c r="J42" i="12" s="1"/>
  <c r="K42" i="12" s="1"/>
  <c r="F43" i="12"/>
  <c r="H43" i="12" s="1"/>
  <c r="I43" i="12" s="1"/>
  <c r="J43" i="12" s="1"/>
  <c r="K43" i="12" s="1"/>
  <c r="F44" i="12"/>
  <c r="H44" i="12" s="1"/>
  <c r="I44" i="12" s="1"/>
  <c r="J44" i="12" s="1"/>
  <c r="K44" i="12" s="1"/>
  <c r="F45" i="12"/>
  <c r="H45" i="12" s="1"/>
  <c r="I45" i="12" s="1"/>
  <c r="J45" i="12" s="1"/>
  <c r="K45" i="12" s="1"/>
  <c r="F46" i="12"/>
  <c r="H46" i="12" s="1"/>
  <c r="I46" i="12" s="1"/>
  <c r="J46" i="12" s="1"/>
  <c r="K46" i="12" s="1"/>
  <c r="F47" i="12"/>
  <c r="H47" i="12" s="1"/>
  <c r="I47" i="12" s="1"/>
  <c r="J47" i="12" s="1"/>
  <c r="K47" i="12" s="1"/>
  <c r="F48" i="12"/>
  <c r="H48" i="12" s="1"/>
  <c r="I48" i="12" s="1"/>
  <c r="J48" i="12" s="1"/>
  <c r="K48" i="12" s="1"/>
  <c r="F49" i="12"/>
  <c r="H49" i="12" s="1"/>
  <c r="I49" i="12" s="1"/>
  <c r="J49" i="12" s="1"/>
  <c r="K49" i="12" s="1"/>
  <c r="F53" i="12"/>
  <c r="H53" i="12" s="1"/>
  <c r="I53" i="12" s="1"/>
  <c r="J53" i="12" s="1"/>
  <c r="K53" i="12" s="1"/>
  <c r="F54" i="12"/>
  <c r="H54" i="12" s="1"/>
  <c r="I54" i="12" s="1"/>
  <c r="J54" i="12" s="1"/>
  <c r="K54" i="12" s="1"/>
  <c r="P10" i="9"/>
  <c r="P22" i="9"/>
  <c r="P14" i="9"/>
  <c r="P30" i="9"/>
  <c r="Y10" i="9"/>
  <c r="Y20" i="9"/>
  <c r="Y23" i="9"/>
  <c r="P9" i="9"/>
  <c r="P21" i="9"/>
  <c r="P13" i="9"/>
  <c r="P29" i="9"/>
  <c r="Y9" i="9"/>
  <c r="Y19" i="9"/>
  <c r="Y32" i="9"/>
  <c r="P8" i="9"/>
  <c r="P20" i="9"/>
  <c r="P28" i="9"/>
  <c r="Y8" i="9"/>
  <c r="Y18" i="9"/>
  <c r="Y31" i="9"/>
  <c r="P7" i="9"/>
  <c r="P19" i="9"/>
  <c r="P27" i="9"/>
  <c r="Y7" i="9"/>
  <c r="Y17" i="9"/>
  <c r="Y29" i="9"/>
  <c r="W25" i="9"/>
  <c r="P6" i="9"/>
  <c r="P18" i="9"/>
  <c r="P26" i="9"/>
  <c r="Y6" i="9"/>
  <c r="Y16" i="9"/>
  <c r="Y28" i="9"/>
  <c r="P17" i="9"/>
  <c r="P25" i="9"/>
  <c r="Q25" i="9" s="1"/>
  <c r="Y4" i="9"/>
  <c r="Y15" i="9"/>
  <c r="Y27" i="9"/>
  <c r="P12" i="9"/>
  <c r="Y12" i="9"/>
  <c r="Y22" i="9"/>
  <c r="F4" i="10"/>
  <c r="F12" i="10"/>
  <c r="H12" i="10"/>
  <c r="H4" i="10"/>
  <c r="E55" i="12"/>
  <c r="G55" i="12" s="1"/>
  <c r="I55" i="12"/>
  <c r="J55" i="12" s="1"/>
  <c r="K55" i="12" s="1"/>
  <c r="Z25" i="9" l="1"/>
  <c r="Q12" i="9"/>
  <c r="K33" i="12"/>
  <c r="Z12" i="9"/>
  <c r="K30" i="12"/>
  <c r="Q4" i="9"/>
  <c r="K34" i="12"/>
  <c r="Z4" i="9"/>
  <c r="K32" i="12"/>
  <c r="G4" i="10"/>
  <c r="F5" i="10"/>
  <c r="H5" i="10"/>
  <c r="I12" i="10"/>
  <c r="H13" i="10"/>
  <c r="G12" i="10"/>
  <c r="F13" i="10"/>
  <c r="F6" i="10" l="1"/>
  <c r="G5" i="10"/>
  <c r="I13" i="10"/>
  <c r="H14" i="10"/>
  <c r="H6" i="10"/>
  <c r="I5" i="10"/>
  <c r="G13" i="10"/>
  <c r="F14" i="10"/>
  <c r="G6" i="10" l="1"/>
  <c r="F7" i="10"/>
  <c r="F15" i="10"/>
  <c r="G14" i="10"/>
  <c r="H7" i="10"/>
  <c r="I6" i="10"/>
  <c r="I14" i="10"/>
  <c r="H15" i="10"/>
  <c r="F8" i="10" l="1"/>
  <c r="G8" i="10" s="1"/>
  <c r="G7" i="10"/>
  <c r="H16" i="10"/>
  <c r="H8" i="10"/>
  <c r="I7" i="10"/>
  <c r="F16" i="10"/>
  <c r="G16" i="10" s="1"/>
  <c r="G15" i="10"/>
</calcChain>
</file>

<file path=xl/sharedStrings.xml><?xml version="1.0" encoding="utf-8"?>
<sst xmlns="http://schemas.openxmlformats.org/spreadsheetml/2006/main" count="225" uniqueCount="94">
  <si>
    <t>NIST 3117a Eu – NIST 3147a Sm concentration (ppb - ppb)</t>
  </si>
  <si>
    <t>2 SD</t>
  </si>
  <si>
    <t>n</t>
  </si>
  <si>
    <t>Slope A
𝝱Sm = A(𝝱Eu) + B</t>
  </si>
  <si>
    <t>10-24</t>
  </si>
  <si>
    <t>20-40</t>
  </si>
  <si>
    <t>10-20</t>
  </si>
  <si>
    <t>Mean</t>
  </si>
  <si>
    <t>Intercept B
𝝱Sm = A(𝝱Eu) + B</t>
  </si>
  <si>
    <r>
      <t>153</t>
    </r>
    <r>
      <rPr>
        <b/>
        <sz val="12"/>
        <color theme="1"/>
        <rFont val="Cambria"/>
        <family val="1"/>
      </rPr>
      <t>Eu/</t>
    </r>
    <r>
      <rPr>
        <b/>
        <vertAlign val="superscript"/>
        <sz val="12"/>
        <color theme="1"/>
        <rFont val="Cambria"/>
        <family val="1"/>
      </rPr>
      <t>151</t>
    </r>
    <r>
      <rPr>
        <b/>
        <sz val="12"/>
        <color theme="1"/>
        <rFont val="Cambria"/>
        <family val="1"/>
      </rPr>
      <t>Eu Raw</t>
    </r>
  </si>
  <si>
    <t>2SE</t>
  </si>
  <si>
    <t>εEu</t>
  </si>
  <si>
    <t>2SD</t>
  </si>
  <si>
    <t>NIST 3117a Eu – NIST 3118a Gd concentration (ppb - ppb)</t>
  </si>
  <si>
    <t>𝝱Eu</t>
  </si>
  <si>
    <t>𝝱Sm or 𝝱Gd</t>
  </si>
  <si>
    <t>153Eu/151Eu corrected with 𝝱Eu (SSB)</t>
  </si>
  <si>
    <t>153Eu/151Eu corrected with 𝝱Sm or 𝝱Gd</t>
  </si>
  <si>
    <t>16-48</t>
  </si>
  <si>
    <r>
      <t>153</t>
    </r>
    <r>
      <rPr>
        <b/>
        <sz val="14"/>
        <color theme="1"/>
        <rFont val="Cambria"/>
        <family val="1"/>
      </rPr>
      <t>Eu/</t>
    </r>
    <r>
      <rPr>
        <b/>
        <vertAlign val="superscript"/>
        <sz val="14"/>
        <color theme="1"/>
        <rFont val="Cambria"/>
        <family val="1"/>
      </rPr>
      <t>151</t>
    </r>
    <r>
      <rPr>
        <b/>
        <sz val="14"/>
        <color theme="1"/>
        <rFont val="Cambria"/>
        <family val="1"/>
      </rPr>
      <t>Eu Raw</t>
    </r>
  </si>
  <si>
    <t>2SD (ppm)</t>
  </si>
  <si>
    <t>𝝱Sm</t>
  </si>
  <si>
    <t>153Eu/151Eu corrected with 𝝱Sm</t>
  </si>
  <si>
    <t>153Eu/151Eu corrected with weighted linear regression</t>
  </si>
  <si>
    <t>Sample</t>
  </si>
  <si>
    <t>Batch a-4</t>
  </si>
  <si>
    <t>Batch a-5</t>
  </si>
  <si>
    <t>Batch a-6</t>
  </si>
  <si>
    <t>Batch a-7</t>
  </si>
  <si>
    <t>Batch a-8</t>
  </si>
  <si>
    <t>Batch a-9</t>
  </si>
  <si>
    <t>Batch a-10</t>
  </si>
  <si>
    <t>Batch b-4</t>
  </si>
  <si>
    <t>Batch b-5</t>
  </si>
  <si>
    <t>Batch b-6</t>
  </si>
  <si>
    <t>Batch b-7</t>
  </si>
  <si>
    <t>Batch b-8</t>
  </si>
  <si>
    <t>Batch b-9</t>
  </si>
  <si>
    <t>Batch b-10</t>
  </si>
  <si>
    <t>Cumulated yield from the beginning of the peak (%)</t>
  </si>
  <si>
    <t>Cumulated yield from the end of the peak (%)</t>
  </si>
  <si>
    <t>151Eu/147Sm</t>
  </si>
  <si>
    <t>Values  from the 28/06/2021 sequence</t>
  </si>
  <si>
    <t>Masses</t>
  </si>
  <si>
    <t>AME 2012</t>
  </si>
  <si>
    <t>Tuning</t>
  </si>
  <si>
    <t>NIST 3117a Eu (10 ppb)</t>
  </si>
  <si>
    <t>Ba monoelementary solution (10 ppb)</t>
  </si>
  <si>
    <t>M 147Sm</t>
  </si>
  <si>
    <t>151Eu (V)</t>
  </si>
  <si>
    <t>M 149Sm</t>
  </si>
  <si>
    <t>153Eu (V)</t>
  </si>
  <si>
    <t>M 150Sm</t>
  </si>
  <si>
    <t>135Ba (V)</t>
  </si>
  <si>
    <t>M 151Eu</t>
  </si>
  <si>
    <t>137Ba (V)</t>
  </si>
  <si>
    <t>M 152Gd</t>
  </si>
  <si>
    <t>151Eu16O (mV)</t>
  </si>
  <si>
    <t>M 153Eu</t>
  </si>
  <si>
    <t>153Eu16O (mV)</t>
  </si>
  <si>
    <t>M 155Gd</t>
  </si>
  <si>
    <t>135Ba16O (mV)</t>
  </si>
  <si>
    <t>M 156Gd</t>
  </si>
  <si>
    <t>137Ba16O (mV)</t>
  </si>
  <si>
    <t>M 157Gd</t>
  </si>
  <si>
    <t>Oxydation rate</t>
  </si>
  <si>
    <t>Average 𝝱Eu corrected with 𝝱Sm for this sequence</t>
  </si>
  <si>
    <t>Mean values are used because we can not calculate the real beta Eu because of the presence of Ba</t>
  </si>
  <si>
    <t>151Eu</t>
  </si>
  <si>
    <t>153Eu</t>
  </si>
  <si>
    <t>135Ba</t>
  </si>
  <si>
    <t>Average 153/151Eu corrected with 𝝱Eu corrected for this sequence</t>
  </si>
  <si>
    <t>137Ba</t>
  </si>
  <si>
    <t>153/151 with Ba Tox ~0,1%</t>
  </si>
  <si>
    <t>Eu (ppb)</t>
  </si>
  <si>
    <t>Ba/Eu</t>
  </si>
  <si>
    <t>Ba (ppb)</t>
  </si>
  <si>
    <t>135Ba (V théorique)</t>
  </si>
  <si>
    <t>137Ba (V théorique)</t>
  </si>
  <si>
    <t>135Ba16O (V théorique)</t>
  </si>
  <si>
    <t>137Ba16O (V théorique)</t>
  </si>
  <si>
    <t>153/151 with 135Ba Tox ~0,1%</t>
  </si>
  <si>
    <t>153/151 corrected</t>
  </si>
  <si>
    <t>153/151 with Ba Tox ~0,5%</t>
  </si>
  <si>
    <t>153/151 with Ba Tox ~1%</t>
  </si>
  <si>
    <t>153/151 with Ba Tox ~2%</t>
  </si>
  <si>
    <t>Values from the session of the 18/10/2022 with Tox Ba ~0.8%</t>
  </si>
  <si>
    <t>εEu of the collected fraction</t>
  </si>
  <si>
    <t>Sequence date (dd/mm/yyyy)</t>
  </si>
  <si>
    <t>mL of collected 0.5 M HCl</t>
  </si>
  <si>
    <t>Percentage of Eu in the collected fraction (%)</t>
  </si>
  <si>
    <t>2SD (repeated measure of NIST 3117a during the sequence)</t>
  </si>
  <si>
    <t>Cumulated εEu from the front of the peak</t>
  </si>
  <si>
    <t>Cumulated εEu from the tail of the 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</si>
</sst>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0.0000"/>
    <numFmt numFmtId="166" formatCode="0.000"/>
    <numFmt numFmtId="167" formatCode="0.0000000"/>
    <numFmt numFmtId="168" formatCode="0.0"/>
  </numFmts>
  <fonts count="12" x14ac:knownFonts="1"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vertAlign val="superscript"/>
      <sz val="12"/>
      <color theme="1"/>
      <name val="Cambria"/>
      <family val="1"/>
    </font>
    <font>
      <sz val="12"/>
      <color rgb="FF000000"/>
      <name val="Cambria"/>
      <family val="1"/>
    </font>
    <font>
      <b/>
      <vertAlign val="superscript"/>
      <sz val="14"/>
      <color theme="1"/>
      <name val="Cambria"/>
      <family val="1"/>
    </font>
    <font>
      <b/>
      <sz val="14"/>
      <color rgb="FF000000"/>
      <name val="Cambria"/>
      <family val="1"/>
    </font>
    <font>
      <b/>
      <vertAlign val="superscript"/>
      <sz val="16"/>
      <color theme="1"/>
      <name val="Cambria"/>
      <family val="1"/>
    </font>
    <font>
      <sz val="12"/>
      <color theme="0"/>
      <name val="Cambria"/>
      <family val="1"/>
    </font>
    <font>
      <sz val="12"/>
      <color rgb="FFFF0000"/>
      <name val="Calibri"/>
      <family val="2"/>
      <scheme val="minor"/>
    </font>
    <font>
      <sz val="18"/>
      <color rgb="FFFF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F000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0" borderId="0" xfId="0" applyFont="1"/>
    <xf numFmtId="0" fontId="2" fillId="2" borderId="0" xfId="0" applyFont="1" applyFill="1"/>
    <xf numFmtId="49" fontId="5" fillId="3" borderId="0" xfId="0" applyNumberFormat="1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2" fontId="2" fillId="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 wrapText="1"/>
    </xf>
    <xf numFmtId="14" fontId="5" fillId="4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2" fontId="2" fillId="2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164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4" borderId="8" xfId="0" applyFont="1" applyFill="1" applyBorder="1"/>
    <xf numFmtId="14" fontId="3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65" fontId="3" fillId="4" borderId="8" xfId="0" applyNumberFormat="1" applyFont="1" applyFill="1" applyBorder="1" applyAlignment="1">
      <alignment horizontal="center"/>
    </xf>
    <xf numFmtId="165" fontId="3" fillId="4" borderId="8" xfId="0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1" fontId="3" fillId="4" borderId="0" xfId="0" applyNumberFormat="1" applyFont="1" applyFill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/>
    </xf>
    <xf numFmtId="0" fontId="3" fillId="4" borderId="10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164" fontId="3" fillId="4" borderId="10" xfId="0" applyNumberFormat="1" applyFont="1" applyFill="1" applyBorder="1" applyAlignment="1">
      <alignment horizontal="center" vertical="center"/>
    </xf>
    <xf numFmtId="0" fontId="3" fillId="4" borderId="11" xfId="0" applyFont="1" applyFill="1" applyBorder="1"/>
    <xf numFmtId="164" fontId="3" fillId="4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/>
    </xf>
    <xf numFmtId="165" fontId="3" fillId="4" borderId="10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 wrapText="1"/>
    </xf>
    <xf numFmtId="168" fontId="3" fillId="4" borderId="2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4" fontId="3" fillId="4" borderId="10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vertical="center" wrapText="1"/>
    </xf>
    <xf numFmtId="1" fontId="2" fillId="4" borderId="2" xfId="0" applyNumberFormat="1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11" xfId="0" applyFill="1" applyBorder="1"/>
    <xf numFmtId="164" fontId="3" fillId="4" borderId="10" xfId="0" applyNumberFormat="1" applyFont="1" applyFill="1" applyBorder="1" applyAlignment="1">
      <alignment horizontal="center"/>
    </xf>
    <xf numFmtId="165" fontId="2" fillId="4" borderId="10" xfId="0" applyNumberFormat="1" applyFont="1" applyFill="1" applyBorder="1" applyAlignment="1">
      <alignment horizontal="center"/>
    </xf>
    <xf numFmtId="0" fontId="0" fillId="4" borderId="10" xfId="0" applyFill="1" applyBorder="1"/>
    <xf numFmtId="167" fontId="0" fillId="0" borderId="8" xfId="0" applyNumberForma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2" fontId="2" fillId="4" borderId="0" xfId="0" applyNumberFormat="1" applyFont="1" applyFill="1" applyAlignment="1">
      <alignment horizontal="center"/>
    </xf>
    <xf numFmtId="0" fontId="2" fillId="0" borderId="4" xfId="0" applyFont="1" applyBorder="1"/>
    <xf numFmtId="14" fontId="3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3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2" fontId="2" fillId="2" borderId="0" xfId="0" applyNumberFormat="1" applyFont="1" applyFill="1"/>
    <xf numFmtId="165" fontId="2" fillId="0" borderId="0" xfId="0" applyNumberFormat="1" applyFont="1"/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1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6" fontId="2" fillId="2" borderId="9" xfId="0" applyNumberFormat="1" applyFont="1" applyFill="1" applyBorder="1" applyAlignment="1">
      <alignment horizontal="center"/>
    </xf>
    <xf numFmtId="166" fontId="2" fillId="2" borderId="1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6" borderId="0" xfId="0" applyFont="1" applyFill="1"/>
    <xf numFmtId="2" fontId="2" fillId="2" borderId="11" xfId="0" applyNumberFormat="1" applyFont="1" applyFill="1" applyBorder="1" applyAlignment="1">
      <alignment horizontal="center"/>
    </xf>
    <xf numFmtId="0" fontId="9" fillId="7" borderId="0" xfId="0" applyFont="1" applyFill="1"/>
    <xf numFmtId="0" fontId="9" fillId="0" borderId="0" xfId="0" applyFont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 vertical="center"/>
    </xf>
    <xf numFmtId="168" fontId="2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168" fontId="5" fillId="3" borderId="0" xfId="0" applyNumberFormat="1" applyFont="1" applyFill="1" applyAlignment="1">
      <alignment horizontal="center" vertical="center" wrapText="1"/>
    </xf>
    <xf numFmtId="168" fontId="2" fillId="4" borderId="0" xfId="0" applyNumberFormat="1" applyFont="1" applyFill="1" applyAlignment="1">
      <alignment horizontal="center"/>
    </xf>
    <xf numFmtId="1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D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E128-8E2F-EF4B-AA1F-BF68E04FEE8C}">
  <dimension ref="A1:AC52"/>
  <sheetViews>
    <sheetView zoomScale="63" zoomScaleNormal="100" workbookViewId="0">
      <selection activeCell="M1" sqref="M1:M3"/>
    </sheetView>
  </sheetViews>
  <sheetFormatPr baseColWidth="10" defaultRowHeight="16" x14ac:dyDescent="0.2"/>
  <cols>
    <col min="1" max="1" width="10.83203125" style="1"/>
    <col min="2" max="2" width="26.6640625" style="1" customWidth="1"/>
    <col min="3" max="3" width="34.83203125" style="1" customWidth="1"/>
    <col min="4" max="4" width="36.83203125" style="1" customWidth="1"/>
    <col min="5" max="5" width="19.33203125" style="1" customWidth="1"/>
    <col min="6" max="6" width="12" style="1" customWidth="1"/>
    <col min="7" max="7" width="10.83203125" style="1"/>
    <col min="8" max="8" width="24.6640625" style="1" customWidth="1"/>
    <col min="9" max="9" width="12.6640625" style="1" customWidth="1"/>
    <col min="10" max="10" width="25.33203125" style="1" customWidth="1"/>
    <col min="11" max="11" width="12.83203125" style="1" customWidth="1"/>
    <col min="12" max="12" width="32.6640625" style="1" customWidth="1"/>
    <col min="13" max="13" width="18.33203125" style="1" customWidth="1"/>
    <col min="14" max="14" width="11.5" style="1" customWidth="1"/>
    <col min="15" max="15" width="11.1640625" style="1" customWidth="1"/>
    <col min="16" max="16" width="12.83203125" style="1" customWidth="1"/>
    <col min="17" max="17" width="11.83203125" style="1" customWidth="1"/>
    <col min="18" max="18" width="11.6640625" style="1" customWidth="1"/>
    <col min="19" max="19" width="38.33203125" style="1" customWidth="1"/>
    <col min="20" max="20" width="11.6640625" style="1" customWidth="1"/>
    <col min="21" max="21" width="10.83203125" style="1"/>
    <col min="22" max="22" width="12.83203125" style="1" bestFit="1" customWidth="1"/>
    <col min="23" max="23" width="11.83203125" style="1" customWidth="1"/>
    <col min="24" max="24" width="11" style="1" customWidth="1"/>
    <col min="25" max="25" width="12.83203125" style="1" customWidth="1"/>
    <col min="26" max="26" width="25.1640625" style="17" customWidth="1"/>
    <col min="27" max="27" width="32.6640625" style="17" customWidth="1"/>
    <col min="28" max="28" width="10.83203125" style="17"/>
    <col min="29" max="29" width="12.6640625" style="17" customWidth="1"/>
    <col min="30" max="30" width="19.83203125" style="1" customWidth="1"/>
    <col min="31" max="31" width="10.83203125" style="1"/>
    <col min="32" max="32" width="12.6640625" style="1" customWidth="1"/>
    <col min="33" max="16384" width="10.83203125" style="1"/>
  </cols>
  <sheetData>
    <row r="1" spans="1:29" ht="17" customHeight="1" x14ac:dyDescent="0.2">
      <c r="A1" s="200"/>
      <c r="B1" s="182" t="s">
        <v>88</v>
      </c>
      <c r="C1" s="191" t="s">
        <v>0</v>
      </c>
      <c r="D1" s="191" t="s">
        <v>13</v>
      </c>
      <c r="E1" s="206" t="s">
        <v>19</v>
      </c>
      <c r="F1" s="182" t="s">
        <v>10</v>
      </c>
      <c r="G1" s="203" t="s">
        <v>2</v>
      </c>
      <c r="H1" s="188" t="s">
        <v>14</v>
      </c>
      <c r="I1" s="203" t="s">
        <v>2</v>
      </c>
      <c r="J1" s="188" t="s">
        <v>15</v>
      </c>
      <c r="K1" s="203" t="s">
        <v>2</v>
      </c>
      <c r="L1" s="179" t="s">
        <v>16</v>
      </c>
      <c r="M1" s="191" t="s">
        <v>12</v>
      </c>
      <c r="N1" s="191" t="s">
        <v>20</v>
      </c>
      <c r="O1" s="191" t="s">
        <v>2</v>
      </c>
      <c r="P1" s="182" t="s">
        <v>11</v>
      </c>
      <c r="Q1" s="182" t="s">
        <v>1</v>
      </c>
      <c r="R1" s="203" t="s">
        <v>2</v>
      </c>
      <c r="S1" s="185" t="s">
        <v>17</v>
      </c>
      <c r="T1" s="191" t="s">
        <v>1</v>
      </c>
      <c r="U1" s="191" t="s">
        <v>20</v>
      </c>
      <c r="V1" s="191" t="s">
        <v>2</v>
      </c>
      <c r="W1" s="182" t="s">
        <v>11</v>
      </c>
      <c r="X1" s="165" t="s">
        <v>1</v>
      </c>
      <c r="Y1" s="168" t="s">
        <v>2</v>
      </c>
      <c r="Z1" s="1"/>
      <c r="AA1" s="1"/>
      <c r="AB1" s="1"/>
      <c r="AC1" s="1"/>
    </row>
    <row r="2" spans="1:29" ht="16" customHeight="1" x14ac:dyDescent="0.2">
      <c r="A2" s="201"/>
      <c r="B2" s="183"/>
      <c r="C2" s="192"/>
      <c r="D2" s="192"/>
      <c r="E2" s="207"/>
      <c r="F2" s="183"/>
      <c r="G2" s="204"/>
      <c r="H2" s="189"/>
      <c r="I2" s="204"/>
      <c r="J2" s="189"/>
      <c r="K2" s="204"/>
      <c r="L2" s="180"/>
      <c r="M2" s="192"/>
      <c r="N2" s="192"/>
      <c r="O2" s="192"/>
      <c r="P2" s="183"/>
      <c r="Q2" s="183"/>
      <c r="R2" s="204"/>
      <c r="S2" s="186"/>
      <c r="T2" s="192"/>
      <c r="U2" s="192"/>
      <c r="V2" s="192"/>
      <c r="W2" s="183"/>
      <c r="X2" s="166"/>
      <c r="Y2" s="169"/>
      <c r="Z2" s="1"/>
      <c r="AA2" s="1"/>
      <c r="AB2" s="1"/>
      <c r="AC2" s="1"/>
    </row>
    <row r="3" spans="1:29" ht="16" customHeight="1" thickBot="1" x14ac:dyDescent="0.25">
      <c r="A3" s="202"/>
      <c r="B3" s="184"/>
      <c r="C3" s="193"/>
      <c r="D3" s="193"/>
      <c r="E3" s="208"/>
      <c r="F3" s="184"/>
      <c r="G3" s="205"/>
      <c r="H3" s="190"/>
      <c r="I3" s="205"/>
      <c r="J3" s="190"/>
      <c r="K3" s="205"/>
      <c r="L3" s="181"/>
      <c r="M3" s="193"/>
      <c r="N3" s="193"/>
      <c r="O3" s="193"/>
      <c r="P3" s="184"/>
      <c r="Q3" s="184"/>
      <c r="R3" s="205"/>
      <c r="S3" s="187"/>
      <c r="T3" s="193"/>
      <c r="U3" s="193"/>
      <c r="V3" s="193"/>
      <c r="W3" s="184"/>
      <c r="X3" s="167"/>
      <c r="Y3" s="170"/>
      <c r="Z3" s="1"/>
      <c r="AA3" s="1"/>
      <c r="AB3" s="1"/>
      <c r="AC3" s="1"/>
    </row>
    <row r="4" spans="1:29" ht="17" x14ac:dyDescent="0.2">
      <c r="A4" s="29">
        <v>1</v>
      </c>
      <c r="B4" s="57">
        <v>44222</v>
      </c>
      <c r="C4" s="58"/>
      <c r="D4" s="58" t="s">
        <v>18</v>
      </c>
      <c r="E4" s="59">
        <v>1.1065142579791625</v>
      </c>
      <c r="F4" s="60">
        <v>1.6037092894910347E-6</v>
      </c>
      <c r="G4" s="171">
        <v>9</v>
      </c>
      <c r="H4" s="61">
        <v>-1.0300745476238113</v>
      </c>
      <c r="I4" s="171">
        <v>9</v>
      </c>
      <c r="J4" s="62">
        <v>-0.77948801966362047</v>
      </c>
      <c r="K4" s="173">
        <v>9</v>
      </c>
      <c r="L4" s="63"/>
      <c r="M4" s="175">
        <f>2*STDEV(L5:L11)</f>
        <v>5.5615916427510727E-4</v>
      </c>
      <c r="N4" s="194">
        <f>M4/L13*10^6</f>
        <v>509.48121670410325</v>
      </c>
      <c r="O4" s="177">
        <v>7</v>
      </c>
      <c r="P4" s="64"/>
      <c r="Q4" s="198">
        <f>2*STDEV(P5:P11)</f>
        <v>9.6910917537912749</v>
      </c>
      <c r="R4" s="171">
        <v>5</v>
      </c>
      <c r="S4" s="60">
        <v>1.0951708312085719</v>
      </c>
      <c r="T4" s="175">
        <f>2*STDEV(S4:S12)</f>
        <v>1.0248906655895373E-4</v>
      </c>
      <c r="U4" s="194">
        <f>T4/S13*10^6</f>
        <v>93.582260975441031</v>
      </c>
      <c r="V4" s="177">
        <v>9</v>
      </c>
      <c r="W4" s="64"/>
      <c r="X4" s="198">
        <f>2*STDEV(W5:W11)</f>
        <v>0.70753121295045385</v>
      </c>
      <c r="Y4" s="171">
        <v>7</v>
      </c>
      <c r="Z4" s="1"/>
      <c r="AA4" s="1"/>
      <c r="AB4" s="1"/>
      <c r="AC4" s="1"/>
    </row>
    <row r="5" spans="1:29" ht="17" x14ac:dyDescent="0.2">
      <c r="A5" s="30">
        <v>2</v>
      </c>
      <c r="B5" s="6">
        <v>44222</v>
      </c>
      <c r="C5" s="7"/>
      <c r="D5" s="7" t="s">
        <v>18</v>
      </c>
      <c r="E5" s="31">
        <v>1.106376280070831</v>
      </c>
      <c r="F5" s="28">
        <v>1.0375932302571156E-6</v>
      </c>
      <c r="G5" s="172"/>
      <c r="H5" s="32">
        <v>-1.0206087388204668</v>
      </c>
      <c r="I5" s="172"/>
      <c r="J5" s="33">
        <v>-0.78023436978849448</v>
      </c>
      <c r="K5" s="174"/>
      <c r="L5" s="34">
        <v>1.0914902450570103</v>
      </c>
      <c r="M5" s="176"/>
      <c r="N5" s="195"/>
      <c r="O5" s="178"/>
      <c r="P5" s="27"/>
      <c r="Q5" s="197"/>
      <c r="R5" s="172"/>
      <c r="S5" s="28">
        <v>1.0951526546556942</v>
      </c>
      <c r="T5" s="176"/>
      <c r="U5" s="195"/>
      <c r="V5" s="178"/>
      <c r="W5" s="27">
        <f>((S5/(0.5*S4+0.5*S6))-1)*10000</f>
        <v>-0.41494076234105393</v>
      </c>
      <c r="X5" s="197"/>
      <c r="Y5" s="172"/>
      <c r="Z5" s="1"/>
      <c r="AA5" s="1"/>
      <c r="AB5" s="1"/>
      <c r="AC5" s="1"/>
    </row>
    <row r="6" spans="1:29" ht="17" x14ac:dyDescent="0.2">
      <c r="A6" s="30">
        <v>3</v>
      </c>
      <c r="B6" s="6">
        <v>44222</v>
      </c>
      <c r="C6" s="7"/>
      <c r="D6" s="7" t="s">
        <v>18</v>
      </c>
      <c r="E6" s="31">
        <v>1.1064608077454141</v>
      </c>
      <c r="F6" s="28">
        <v>8.4946942898659363E-7</v>
      </c>
      <c r="G6" s="172"/>
      <c r="H6" s="32">
        <v>-1.0264078279393749</v>
      </c>
      <c r="I6" s="172"/>
      <c r="J6" s="33">
        <v>-0.77971368920013162</v>
      </c>
      <c r="K6" s="174"/>
      <c r="L6" s="34">
        <v>1.0917906084637221</v>
      </c>
      <c r="M6" s="176"/>
      <c r="N6" s="195"/>
      <c r="O6" s="178"/>
      <c r="P6" s="27">
        <f>((L6/(0.5*L5+0.5*L7))-1)*10000</f>
        <v>3.1886165534067423</v>
      </c>
      <c r="Q6" s="197"/>
      <c r="R6" s="172"/>
      <c r="S6" s="28">
        <v>1.0952253665696301</v>
      </c>
      <c r="T6" s="176"/>
      <c r="U6" s="195"/>
      <c r="V6" s="178"/>
      <c r="W6" s="27">
        <f t="shared" ref="W6:W10" si="0">((S6/(0.5*S5+0.5*S7))-1)*10000</f>
        <v>0.43911442562105663</v>
      </c>
      <c r="X6" s="197"/>
      <c r="Y6" s="172"/>
      <c r="Z6" s="1"/>
      <c r="AA6" s="1"/>
      <c r="AB6" s="1"/>
      <c r="AC6" s="1"/>
    </row>
    <row r="7" spans="1:29" ht="17" x14ac:dyDescent="0.2">
      <c r="A7" s="30">
        <v>4</v>
      </c>
      <c r="B7" s="6">
        <v>44222</v>
      </c>
      <c r="C7" s="7"/>
      <c r="D7" s="7" t="s">
        <v>18</v>
      </c>
      <c r="E7" s="31">
        <v>1.1061590115942466</v>
      </c>
      <c r="F7" s="28">
        <v>5.0404563379418496E-6</v>
      </c>
      <c r="G7" s="172"/>
      <c r="H7" s="32">
        <v>-1.0057005184468693</v>
      </c>
      <c r="I7" s="172"/>
      <c r="J7" s="33">
        <v>-0.78032971680832397</v>
      </c>
      <c r="K7" s="174"/>
      <c r="L7" s="34">
        <v>1.0913949334889845</v>
      </c>
      <c r="M7" s="176"/>
      <c r="N7" s="195"/>
      <c r="O7" s="178"/>
      <c r="P7" s="27">
        <f>((L7/(0.5*L6+0.5*L8))-1)*10000</f>
        <v>-2.5743673005051981</v>
      </c>
      <c r="Q7" s="197"/>
      <c r="R7" s="172"/>
      <c r="S7" s="28">
        <v>1.0952018968554864</v>
      </c>
      <c r="T7" s="176"/>
      <c r="U7" s="195"/>
      <c r="V7" s="178"/>
      <c r="W7" s="27">
        <f t="shared" si="0"/>
        <v>-6.8446399604793484E-2</v>
      </c>
      <c r="X7" s="197"/>
      <c r="Y7" s="172"/>
      <c r="Z7" s="1"/>
      <c r="AA7" s="1"/>
      <c r="AB7" s="1"/>
      <c r="AC7" s="1"/>
    </row>
    <row r="8" spans="1:29" ht="17" x14ac:dyDescent="0.2">
      <c r="A8" s="30">
        <v>5</v>
      </c>
      <c r="B8" s="6">
        <v>44222</v>
      </c>
      <c r="C8" s="7"/>
      <c r="D8" s="7" t="s">
        <v>18</v>
      </c>
      <c r="E8" s="31">
        <v>1.1062729052972988</v>
      </c>
      <c r="F8" s="28">
        <v>1.0041461535201672E-6</v>
      </c>
      <c r="G8" s="172"/>
      <c r="H8" s="32">
        <v>-1.0135160093497781</v>
      </c>
      <c r="I8" s="172"/>
      <c r="J8" s="33">
        <v>-0.76416508430309438</v>
      </c>
      <c r="K8" s="174"/>
      <c r="L8" s="34">
        <v>1.0915613334987353</v>
      </c>
      <c r="M8" s="176"/>
      <c r="N8" s="195"/>
      <c r="O8" s="178"/>
      <c r="P8" s="27">
        <f>((L8/(0.5*L7+0.5*L9))-1)*10000</f>
        <v>-1.4898718867306648</v>
      </c>
      <c r="Q8" s="197"/>
      <c r="R8" s="172"/>
      <c r="S8" s="28">
        <v>1.0951934197692978</v>
      </c>
      <c r="T8" s="176"/>
      <c r="U8" s="195"/>
      <c r="V8" s="178"/>
      <c r="W8" s="27">
        <f t="shared" si="0"/>
        <v>-5.7286160860536839E-2</v>
      </c>
      <c r="X8" s="197"/>
      <c r="Y8" s="172"/>
      <c r="Z8" s="1"/>
      <c r="AA8" s="1"/>
      <c r="AB8" s="1"/>
      <c r="AC8" s="1"/>
    </row>
    <row r="9" spans="1:29" ht="17" x14ac:dyDescent="0.2">
      <c r="A9" s="30">
        <v>6</v>
      </c>
      <c r="B9" s="6">
        <v>44222</v>
      </c>
      <c r="C9" s="7"/>
      <c r="D9" s="7" t="s">
        <v>18</v>
      </c>
      <c r="E9" s="31">
        <v>1.1064652012898077</v>
      </c>
      <c r="F9" s="28">
        <v>1.7943970285105713E-6</v>
      </c>
      <c r="G9" s="172"/>
      <c r="H9" s="32">
        <v>-1.0267091702118498</v>
      </c>
      <c r="I9" s="172"/>
      <c r="J9" s="33">
        <v>-0.77994885367635181</v>
      </c>
      <c r="K9" s="174"/>
      <c r="L9" s="34">
        <v>1.0920530392835637</v>
      </c>
      <c r="M9" s="176"/>
      <c r="N9" s="195"/>
      <c r="O9" s="178"/>
      <c r="P9" s="27">
        <f>((L9/(0.5*L8+0.5*L10))-1)*10000</f>
        <v>5.9759401763459508</v>
      </c>
      <c r="Q9" s="197"/>
      <c r="R9" s="172"/>
      <c r="S9" s="28">
        <v>1.0951974906402755</v>
      </c>
      <c r="T9" s="176"/>
      <c r="U9" s="195"/>
      <c r="V9" s="178"/>
      <c r="W9" s="27">
        <f>((S9/(0.5*S8+0.5*S10))-1)*10000</f>
        <v>1.6880675148822633E-2</v>
      </c>
      <c r="X9" s="197"/>
      <c r="Y9" s="172"/>
      <c r="Z9" s="1"/>
      <c r="AA9" s="1"/>
      <c r="AB9" s="1"/>
      <c r="AC9" s="1"/>
    </row>
    <row r="10" spans="1:29" ht="17" x14ac:dyDescent="0.2">
      <c r="A10" s="30">
        <v>7</v>
      </c>
      <c r="B10" s="6">
        <v>44222</v>
      </c>
      <c r="C10" s="7"/>
      <c r="D10" s="7" t="s">
        <v>18</v>
      </c>
      <c r="E10" s="31">
        <v>1.1057395258572125</v>
      </c>
      <c r="F10" s="28">
        <v>7.6069119286292911E-7</v>
      </c>
      <c r="G10" s="172"/>
      <c r="H10" s="32">
        <v>-0.9769094248224286</v>
      </c>
      <c r="I10" s="172"/>
      <c r="J10" s="33">
        <v>-0.73679006754097276</v>
      </c>
      <c r="K10" s="174"/>
      <c r="L10" s="34">
        <v>1.0912403158610513</v>
      </c>
      <c r="M10" s="176"/>
      <c r="N10" s="195"/>
      <c r="O10" s="178"/>
      <c r="P10" s="27">
        <f>((L10/(0.5*L9+0.5*L11))-1)*10000</f>
        <v>-6.2825613992256724</v>
      </c>
      <c r="Q10" s="197"/>
      <c r="R10" s="172"/>
      <c r="S10" s="28">
        <v>1.0951978639828823</v>
      </c>
      <c r="T10" s="176"/>
      <c r="U10" s="195"/>
      <c r="V10" s="178"/>
      <c r="W10" s="27">
        <f t="shared" si="0"/>
        <v>1.1505391759314421E-2</v>
      </c>
      <c r="X10" s="197"/>
      <c r="Y10" s="172"/>
      <c r="Z10" s="1"/>
      <c r="AA10" s="1"/>
      <c r="AB10" s="1"/>
      <c r="AC10" s="1"/>
    </row>
    <row r="11" spans="1:29" ht="17" x14ac:dyDescent="0.2">
      <c r="A11" s="30">
        <v>8</v>
      </c>
      <c r="B11" s="6">
        <v>44222</v>
      </c>
      <c r="C11" s="7"/>
      <c r="D11" s="7" t="s">
        <v>18</v>
      </c>
      <c r="E11" s="31">
        <v>1.1057428967256391</v>
      </c>
      <c r="F11" s="28">
        <v>1.2614389965920891E-6</v>
      </c>
      <c r="G11" s="172"/>
      <c r="H11" s="32">
        <v>-0.97714079998418846</v>
      </c>
      <c r="I11" s="172"/>
      <c r="J11" s="33">
        <v>-0.72751570913854724</v>
      </c>
      <c r="K11" s="174"/>
      <c r="L11" s="34">
        <v>1.0917996112749386</v>
      </c>
      <c r="M11" s="176"/>
      <c r="N11" s="195"/>
      <c r="O11" s="178"/>
      <c r="P11" s="27"/>
      <c r="Q11" s="197"/>
      <c r="R11" s="172"/>
      <c r="S11" s="28">
        <v>1.095195717192293</v>
      </c>
      <c r="T11" s="176"/>
      <c r="U11" s="195"/>
      <c r="V11" s="178"/>
      <c r="W11" s="27">
        <f>((S11/(0.5*S10+0.5*S12))-1)*10000</f>
        <v>0.65224441785360909</v>
      </c>
      <c r="X11" s="197"/>
      <c r="Y11" s="172"/>
      <c r="Z11" s="1"/>
      <c r="AA11" s="1"/>
      <c r="AB11" s="1"/>
      <c r="AC11" s="1"/>
    </row>
    <row r="12" spans="1:29" ht="17" x14ac:dyDescent="0.2">
      <c r="A12" s="30">
        <v>9</v>
      </c>
      <c r="B12" s="6">
        <v>44222</v>
      </c>
      <c r="C12" s="7"/>
      <c r="D12" s="7" t="s">
        <v>18</v>
      </c>
      <c r="E12" s="31">
        <v>1.1053419829496798</v>
      </c>
      <c r="F12" s="28">
        <v>9.6770330281211696E-7</v>
      </c>
      <c r="G12" s="172"/>
      <c r="H12" s="32">
        <v>-0.94961398779998729</v>
      </c>
      <c r="I12" s="172"/>
      <c r="J12" s="33">
        <v>-0.71003965642873357</v>
      </c>
      <c r="K12" s="174"/>
      <c r="L12" s="30"/>
      <c r="M12" s="176"/>
      <c r="N12" s="195"/>
      <c r="O12" s="178"/>
      <c r="P12" s="15"/>
      <c r="Q12" s="197"/>
      <c r="R12" s="172"/>
      <c r="S12" s="28">
        <v>1.0950507126609208</v>
      </c>
      <c r="T12" s="176"/>
      <c r="U12" s="195"/>
      <c r="V12" s="178"/>
      <c r="W12" s="15"/>
      <c r="X12" s="197"/>
      <c r="Y12" s="172"/>
      <c r="Z12" s="1"/>
      <c r="AA12" s="1"/>
      <c r="AB12" s="1"/>
      <c r="AC12" s="1"/>
    </row>
    <row r="13" spans="1:29" s="35" customFormat="1" ht="18" thickBot="1" x14ac:dyDescent="0.25">
      <c r="A13" s="51"/>
      <c r="B13" s="65" t="s">
        <v>7</v>
      </c>
      <c r="C13" s="66"/>
      <c r="D13" s="66"/>
      <c r="E13" s="54"/>
      <c r="F13" s="56"/>
      <c r="G13" s="67"/>
      <c r="H13" s="68"/>
      <c r="I13" s="67"/>
      <c r="J13" s="69"/>
      <c r="K13" s="70"/>
      <c r="L13" s="54">
        <f>AVERAGE(L4:L11)</f>
        <v>1.0916185838468579</v>
      </c>
      <c r="M13" s="71"/>
      <c r="N13" s="72"/>
      <c r="O13" s="52"/>
      <c r="P13" s="52"/>
      <c r="Q13" s="73"/>
      <c r="R13" s="67"/>
      <c r="S13" s="56">
        <f>AVERAGE(S4:S12)</f>
        <v>1.0951762170594503</v>
      </c>
      <c r="T13" s="71"/>
      <c r="U13" s="72"/>
      <c r="V13" s="52"/>
      <c r="W13" s="52"/>
      <c r="X13" s="73"/>
      <c r="Y13" s="67"/>
    </row>
    <row r="14" spans="1:29" ht="17" x14ac:dyDescent="0.2">
      <c r="A14" s="30">
        <v>10</v>
      </c>
      <c r="B14" s="6">
        <v>44228</v>
      </c>
      <c r="C14" s="7"/>
      <c r="D14" s="7" t="s">
        <v>4</v>
      </c>
      <c r="E14" s="31">
        <v>1.108624180533474</v>
      </c>
      <c r="F14" s="28">
        <v>3.3921817295500081E-6</v>
      </c>
      <c r="G14" s="172">
        <v>7</v>
      </c>
      <c r="H14" s="32">
        <v>-1.1746770955268837</v>
      </c>
      <c r="I14" s="174">
        <v>7</v>
      </c>
      <c r="J14" s="33">
        <v>-0.94193060778080695</v>
      </c>
      <c r="K14" s="174">
        <v>7</v>
      </c>
      <c r="L14" s="34"/>
      <c r="M14" s="176">
        <f>2*STDEV(L15:L19)</f>
        <v>1.3208277218126397E-4</v>
      </c>
      <c r="N14" s="196">
        <f>M14/L21*10^6</f>
        <v>120.99975152418841</v>
      </c>
      <c r="O14" s="178">
        <v>5</v>
      </c>
      <c r="P14" s="15"/>
      <c r="Q14" s="197">
        <f>2*STDEV(P15:P19)</f>
        <v>2.4751022648721079</v>
      </c>
      <c r="R14" s="172">
        <v>3</v>
      </c>
      <c r="S14" s="28">
        <v>1.094952217045462</v>
      </c>
      <c r="T14" s="176">
        <f>2*STDEV(S14:S20)</f>
        <v>1.2813093553153872E-5</v>
      </c>
      <c r="U14" s="196">
        <f>T14/S21*10^6</f>
        <v>11.701919413635848</v>
      </c>
      <c r="V14" s="178">
        <v>7</v>
      </c>
      <c r="W14" s="15"/>
      <c r="X14" s="197">
        <f>2*STDEV(W15:W19)</f>
        <v>0.20718550810247893</v>
      </c>
      <c r="Y14" s="172">
        <v>5</v>
      </c>
      <c r="Z14" s="1"/>
      <c r="AA14" s="1"/>
      <c r="AB14" s="1"/>
      <c r="AC14" s="1"/>
    </row>
    <row r="15" spans="1:29" ht="17" x14ac:dyDescent="0.2">
      <c r="A15" s="30">
        <v>11</v>
      </c>
      <c r="B15" s="6">
        <v>44228</v>
      </c>
      <c r="C15" s="7"/>
      <c r="D15" s="7" t="s">
        <v>4</v>
      </c>
      <c r="E15" s="31">
        <v>1.1084477141396363</v>
      </c>
      <c r="F15" s="28">
        <v>1.6310283067374962E-6</v>
      </c>
      <c r="G15" s="172"/>
      <c r="H15" s="32">
        <v>-1.162593772889627</v>
      </c>
      <c r="I15" s="174"/>
      <c r="J15" s="33">
        <v>-0.9297639588925487</v>
      </c>
      <c r="K15" s="174"/>
      <c r="L15" s="34">
        <v>1.0915770776720652</v>
      </c>
      <c r="M15" s="176"/>
      <c r="N15" s="196"/>
      <c r="O15" s="178"/>
      <c r="P15" s="27"/>
      <c r="Q15" s="197"/>
      <c r="R15" s="172"/>
      <c r="S15" s="28">
        <v>1.0949534195445125</v>
      </c>
      <c r="T15" s="176"/>
      <c r="U15" s="196"/>
      <c r="V15" s="178"/>
      <c r="W15" s="27">
        <f>((S15/(0.5*S14+0.5*S16))-1)*10000</f>
        <v>5.3217691875495632E-3</v>
      </c>
      <c r="X15" s="197"/>
      <c r="Y15" s="172"/>
      <c r="Z15" s="1"/>
      <c r="AA15" s="1"/>
      <c r="AB15" s="1"/>
      <c r="AC15" s="1"/>
    </row>
    <row r="16" spans="1:29" ht="17" x14ac:dyDescent="0.2">
      <c r="A16" s="30">
        <v>12</v>
      </c>
      <c r="B16" s="6">
        <v>44228</v>
      </c>
      <c r="C16" s="7"/>
      <c r="D16" s="7" t="s">
        <v>4</v>
      </c>
      <c r="E16" s="31">
        <v>1.1083178278382968</v>
      </c>
      <c r="F16" s="28">
        <v>2.4415440294150709E-6</v>
      </c>
      <c r="G16" s="172"/>
      <c r="H16" s="32">
        <v>-1.1536984786122195</v>
      </c>
      <c r="I16" s="174"/>
      <c r="J16" s="33">
        <v>-0.92086609121001572</v>
      </c>
      <c r="K16" s="174"/>
      <c r="L16" s="34">
        <v>1.0916403141125919</v>
      </c>
      <c r="M16" s="176"/>
      <c r="N16" s="196"/>
      <c r="O16" s="178"/>
      <c r="P16" s="27">
        <f>((L16/(0.5*L15+0.5*L17))-1)*10000</f>
        <v>0.98935707640412929</v>
      </c>
      <c r="Q16" s="197"/>
      <c r="R16" s="172"/>
      <c r="S16" s="28">
        <v>1.0949534566263091</v>
      </c>
      <c r="T16" s="176"/>
      <c r="U16" s="196"/>
      <c r="V16" s="178"/>
      <c r="W16" s="27">
        <f t="shared" ref="W16:W26" si="1">((S16/(0.5*S15+0.5*S17))-1)*10000</f>
        <v>-4.2865242776413126E-2</v>
      </c>
      <c r="X16" s="197"/>
      <c r="Y16" s="172"/>
      <c r="Z16" s="1"/>
      <c r="AA16" s="1"/>
      <c r="AB16" s="1"/>
      <c r="AC16" s="1"/>
    </row>
    <row r="17" spans="1:29" ht="17" x14ac:dyDescent="0.2">
      <c r="A17" s="30">
        <v>13</v>
      </c>
      <c r="B17" s="6">
        <v>44228</v>
      </c>
      <c r="C17" s="7"/>
      <c r="D17" s="7" t="s">
        <v>4</v>
      </c>
      <c r="E17" s="31">
        <v>1.1081061090038382</v>
      </c>
      <c r="F17" s="28">
        <v>1.3559485741356113E-6</v>
      </c>
      <c r="G17" s="172"/>
      <c r="H17" s="32">
        <v>-1.1391969643184146</v>
      </c>
      <c r="I17" s="174"/>
      <c r="J17" s="33">
        <v>-0.90571123042011992</v>
      </c>
      <c r="K17" s="174"/>
      <c r="L17" s="34">
        <v>1.0914875675076228</v>
      </c>
      <c r="M17" s="176"/>
      <c r="N17" s="196"/>
      <c r="O17" s="178"/>
      <c r="P17" s="27">
        <f>((L17/(0.5*L16+0.5*L18))-1)*10000</f>
        <v>-1.33798701432708</v>
      </c>
      <c r="Q17" s="197"/>
      <c r="R17" s="172"/>
      <c r="S17" s="28">
        <v>1.0949628808374932</v>
      </c>
      <c r="T17" s="176"/>
      <c r="U17" s="196"/>
      <c r="V17" s="178"/>
      <c r="W17" s="27">
        <f>((S17/(0.5*S16+0.5*S18))-1)*10000</f>
        <v>8.9561763767509461E-2</v>
      </c>
      <c r="X17" s="197"/>
      <c r="Y17" s="172"/>
      <c r="Z17" s="1"/>
      <c r="AA17" s="1"/>
      <c r="AB17" s="1"/>
      <c r="AC17" s="1"/>
    </row>
    <row r="18" spans="1:29" ht="17" x14ac:dyDescent="0.2">
      <c r="A18" s="30">
        <v>14</v>
      </c>
      <c r="B18" s="6">
        <v>44228</v>
      </c>
      <c r="C18" s="7"/>
      <c r="D18" s="7" t="s">
        <v>4</v>
      </c>
      <c r="E18" s="31">
        <v>1.1081226902125647</v>
      </c>
      <c r="F18" s="28">
        <v>1.0373245097714961E-6</v>
      </c>
      <c r="G18" s="172"/>
      <c r="H18" s="32">
        <v>-1.1403328066169647</v>
      </c>
      <c r="I18" s="174"/>
      <c r="J18" s="33">
        <v>-0.9075534430692247</v>
      </c>
      <c r="K18" s="174"/>
      <c r="L18" s="34">
        <v>1.0916269392260312</v>
      </c>
      <c r="M18" s="176"/>
      <c r="N18" s="196"/>
      <c r="O18" s="178"/>
      <c r="P18" s="27">
        <f>((L18/(0.5*L17+0.5*L19))-1)*10000</f>
        <v>0.55520578378320806</v>
      </c>
      <c r="Q18" s="197"/>
      <c r="R18" s="172"/>
      <c r="S18" s="28">
        <v>1.0949526918629626</v>
      </c>
      <c r="T18" s="176"/>
      <c r="U18" s="196"/>
      <c r="V18" s="178"/>
      <c r="W18" s="27">
        <f t="shared" si="1"/>
        <v>-0.11820070100254654</v>
      </c>
      <c r="X18" s="197"/>
      <c r="Y18" s="172"/>
      <c r="Z18" s="1"/>
      <c r="AA18" s="1"/>
      <c r="AB18" s="1"/>
      <c r="AC18" s="1"/>
    </row>
    <row r="19" spans="1:29" ht="17" x14ac:dyDescent="0.2">
      <c r="A19" s="30">
        <v>15</v>
      </c>
      <c r="B19" s="6">
        <v>44228</v>
      </c>
      <c r="C19" s="7"/>
      <c r="D19" s="7" t="s">
        <v>4</v>
      </c>
      <c r="E19" s="31">
        <v>1.1080845796375622</v>
      </c>
      <c r="F19" s="28">
        <v>9.0469006198630406E-7</v>
      </c>
      <c r="G19" s="172"/>
      <c r="H19" s="32">
        <v>-1.1377221818473795</v>
      </c>
      <c r="I19" s="174"/>
      <c r="J19" s="33">
        <v>-0.90385469550908137</v>
      </c>
      <c r="K19" s="174"/>
      <c r="L19" s="34">
        <v>1.091645102155943</v>
      </c>
      <c r="M19" s="176"/>
      <c r="N19" s="196"/>
      <c r="O19" s="178"/>
      <c r="P19" s="27"/>
      <c r="Q19" s="197"/>
      <c r="R19" s="172"/>
      <c r="S19" s="28">
        <v>1.0949683880295449</v>
      </c>
      <c r="T19" s="176"/>
      <c r="U19" s="196"/>
      <c r="V19" s="178"/>
      <c r="W19" s="27">
        <f t="shared" si="1"/>
        <v>0.14220891349392417</v>
      </c>
      <c r="X19" s="197"/>
      <c r="Y19" s="172"/>
      <c r="Z19" s="1"/>
      <c r="AA19" s="1"/>
      <c r="AB19" s="1"/>
      <c r="AC19" s="1"/>
    </row>
    <row r="20" spans="1:29" ht="17" x14ac:dyDescent="0.2">
      <c r="A20" s="30">
        <v>16</v>
      </c>
      <c r="B20" s="6">
        <v>44228</v>
      </c>
      <c r="C20" s="7"/>
      <c r="D20" s="7" t="s">
        <v>4</v>
      </c>
      <c r="E20" s="31">
        <v>1.1079549135838853</v>
      </c>
      <c r="F20" s="28">
        <v>1.166072415025748E-6</v>
      </c>
      <c r="G20" s="172"/>
      <c r="H20" s="32">
        <v>-1.1288391595978176</v>
      </c>
      <c r="I20" s="174"/>
      <c r="J20" s="33">
        <v>-0.89604243394970096</v>
      </c>
      <c r="K20" s="174"/>
      <c r="L20" s="30"/>
      <c r="M20" s="176"/>
      <c r="N20" s="196"/>
      <c r="O20" s="178"/>
      <c r="P20" s="27"/>
      <c r="Q20" s="197"/>
      <c r="R20" s="172"/>
      <c r="S20" s="28">
        <v>1.0949529417860455</v>
      </c>
      <c r="T20" s="176"/>
      <c r="U20" s="196"/>
      <c r="V20" s="178"/>
      <c r="W20" s="27"/>
      <c r="X20" s="197"/>
      <c r="Y20" s="172"/>
      <c r="Z20" s="1"/>
      <c r="AA20" s="1"/>
      <c r="AB20" s="1"/>
      <c r="AC20" s="1"/>
    </row>
    <row r="21" spans="1:29" s="35" customFormat="1" ht="18" thickBot="1" x14ac:dyDescent="0.25">
      <c r="A21" s="37"/>
      <c r="B21" s="38" t="s">
        <v>7</v>
      </c>
      <c r="C21" s="39"/>
      <c r="D21" s="39"/>
      <c r="E21" s="40"/>
      <c r="F21" s="41"/>
      <c r="G21" s="42"/>
      <c r="H21" s="43"/>
      <c r="I21" s="45"/>
      <c r="J21" s="44"/>
      <c r="K21" s="45"/>
      <c r="L21" s="40">
        <f>AVERAGE(L15:L19)</f>
        <v>1.0915954001348509</v>
      </c>
      <c r="M21" s="46"/>
      <c r="N21" s="49"/>
      <c r="O21" s="47"/>
      <c r="P21" s="50"/>
      <c r="Q21" s="48"/>
      <c r="R21" s="42"/>
      <c r="S21" s="41">
        <f>AVERAGE(S14:S20)</f>
        <v>1.0949565708189044</v>
      </c>
      <c r="T21" s="46"/>
      <c r="U21" s="49"/>
      <c r="V21" s="47"/>
      <c r="W21" s="50"/>
      <c r="X21" s="48"/>
      <c r="Y21" s="42"/>
    </row>
    <row r="22" spans="1:29" ht="17" x14ac:dyDescent="0.2">
      <c r="A22" s="29">
        <v>17</v>
      </c>
      <c r="B22" s="57">
        <v>44473</v>
      </c>
      <c r="C22" s="58" t="s">
        <v>5</v>
      </c>
      <c r="D22" s="74"/>
      <c r="E22" s="59">
        <v>1.1063721918276208</v>
      </c>
      <c r="F22" s="60">
        <v>8.8699429431916251E-6</v>
      </c>
      <c r="G22" s="171">
        <v>7</v>
      </c>
      <c r="H22" s="61">
        <v>-1.0203282295624621</v>
      </c>
      <c r="I22" s="171">
        <v>7</v>
      </c>
      <c r="J22" s="62">
        <v>-0.79305448377955601</v>
      </c>
      <c r="K22" s="173">
        <v>7</v>
      </c>
      <c r="L22" s="63"/>
      <c r="M22" s="175">
        <f>2*STDEV(L23:L27)</f>
        <v>9.6064896763555849E-5</v>
      </c>
      <c r="N22" s="199">
        <f>M22/L29*10^6</f>
        <v>88.006081865693261</v>
      </c>
      <c r="O22" s="177">
        <v>5</v>
      </c>
      <c r="P22" s="75"/>
      <c r="Q22" s="198">
        <f>2*STDEV(P23:P27)</f>
        <v>0.45163268053243333</v>
      </c>
      <c r="R22" s="171">
        <v>3</v>
      </c>
      <c r="S22" s="60">
        <v>1.0948732755619537</v>
      </c>
      <c r="T22" s="175">
        <f>2*STDEV(S22:S28)</f>
        <v>3.1944321640689923E-5</v>
      </c>
      <c r="U22" s="199">
        <f>T22/S29*10^6</f>
        <v>29.177164804211973</v>
      </c>
      <c r="V22" s="177">
        <v>7</v>
      </c>
      <c r="W22" s="75"/>
      <c r="X22" s="198">
        <f>2*STDEV(W23:W27)</f>
        <v>0.20330910638583347</v>
      </c>
      <c r="Y22" s="171">
        <v>5</v>
      </c>
      <c r="Z22" s="1"/>
      <c r="AA22" s="1"/>
      <c r="AB22" s="1"/>
      <c r="AC22" s="1"/>
    </row>
    <row r="23" spans="1:29" ht="17" x14ac:dyDescent="0.2">
      <c r="A23" s="30">
        <v>18</v>
      </c>
      <c r="B23" s="6">
        <v>44473</v>
      </c>
      <c r="C23" s="7" t="s">
        <v>5</v>
      </c>
      <c r="D23" s="17"/>
      <c r="E23" s="31">
        <v>1.1061585980797559</v>
      </c>
      <c r="F23" s="28">
        <v>1.040343203568262E-5</v>
      </c>
      <c r="G23" s="172"/>
      <c r="H23" s="32">
        <v>-1.0056724052835668</v>
      </c>
      <c r="I23" s="172"/>
      <c r="J23" s="33">
        <v>-0.78079048556818142</v>
      </c>
      <c r="K23" s="174"/>
      <c r="L23" s="34">
        <v>1.0915242099105753</v>
      </c>
      <c r="M23" s="176"/>
      <c r="N23" s="196"/>
      <c r="O23" s="178"/>
      <c r="P23" s="27"/>
      <c r="Q23" s="197"/>
      <c r="R23" s="172"/>
      <c r="S23" s="28">
        <v>1.0948387766120176</v>
      </c>
      <c r="T23" s="176"/>
      <c r="U23" s="196"/>
      <c r="V23" s="178"/>
      <c r="W23" s="27">
        <f>((S23/(0.5*S22+0.5*S24))-1)*10000</f>
        <v>-0.14424541853186312</v>
      </c>
      <c r="X23" s="197"/>
      <c r="Y23" s="172"/>
      <c r="Z23" s="1"/>
      <c r="AA23" s="1"/>
      <c r="AB23" s="1"/>
      <c r="AC23" s="1"/>
    </row>
    <row r="24" spans="1:29" ht="17" x14ac:dyDescent="0.2">
      <c r="A24" s="30">
        <v>19</v>
      </c>
      <c r="B24" s="6">
        <v>44473</v>
      </c>
      <c r="C24" s="7" t="s">
        <v>5</v>
      </c>
      <c r="D24" s="17"/>
      <c r="E24" s="31">
        <v>1.1060986345996644</v>
      </c>
      <c r="F24" s="28">
        <v>7.4736066514979194E-6</v>
      </c>
      <c r="G24" s="172"/>
      <c r="H24" s="32">
        <v>-1.0015575050397121</v>
      </c>
      <c r="I24" s="172"/>
      <c r="J24" s="33">
        <v>-0.77687757604764152</v>
      </c>
      <c r="K24" s="174"/>
      <c r="L24" s="34">
        <v>1.0916225633438781</v>
      </c>
      <c r="M24" s="176"/>
      <c r="N24" s="196"/>
      <c r="O24" s="178"/>
      <c r="P24" s="27">
        <f>((L24/(0.5*L23+0.5*L25))-1)*10000</f>
        <v>0.49305694711287984</v>
      </c>
      <c r="Q24" s="197"/>
      <c r="R24" s="172"/>
      <c r="S24" s="28">
        <v>1.0948358632132</v>
      </c>
      <c r="T24" s="176"/>
      <c r="U24" s="196"/>
      <c r="V24" s="178"/>
      <c r="W24" s="27">
        <f t="shared" si="1"/>
        <v>4.441427888357552E-2</v>
      </c>
      <c r="X24" s="197"/>
      <c r="Y24" s="172"/>
      <c r="Z24" s="1"/>
      <c r="AA24" s="1"/>
      <c r="AB24" s="1"/>
      <c r="AC24" s="1"/>
    </row>
    <row r="25" spans="1:29" ht="17" x14ac:dyDescent="0.2">
      <c r="A25" s="30">
        <v>20</v>
      </c>
      <c r="B25" s="6">
        <v>44473</v>
      </c>
      <c r="C25" s="7" t="s">
        <v>5</v>
      </c>
      <c r="D25" s="17"/>
      <c r="E25" s="31">
        <v>1.105992953253836</v>
      </c>
      <c r="F25" s="28">
        <v>6.9964567659329081E-6</v>
      </c>
      <c r="G25" s="172"/>
      <c r="H25" s="32">
        <v>-0.99430470546700156</v>
      </c>
      <c r="I25" s="172"/>
      <c r="J25" s="33">
        <v>-0.77050103442581197</v>
      </c>
      <c r="K25" s="174"/>
      <c r="L25" s="34">
        <v>1.0916132756668044</v>
      </c>
      <c r="M25" s="176"/>
      <c r="N25" s="196"/>
      <c r="O25" s="178"/>
      <c r="P25" s="27">
        <f>((L25/(0.5*L24+0.5*L26))-1)*10000</f>
        <v>0.13157469963775981</v>
      </c>
      <c r="Q25" s="197"/>
      <c r="R25" s="172"/>
      <c r="S25" s="28">
        <v>1.0948232245885043</v>
      </c>
      <c r="T25" s="176"/>
      <c r="U25" s="196"/>
      <c r="V25" s="178"/>
      <c r="W25" s="27">
        <f t="shared" si="1"/>
        <v>-0.1130058127440936</v>
      </c>
      <c r="X25" s="197"/>
      <c r="Y25" s="172"/>
      <c r="Z25" s="1"/>
      <c r="AA25" s="1"/>
      <c r="AB25" s="1"/>
      <c r="AC25" s="1"/>
    </row>
    <row r="26" spans="1:29" ht="17" x14ac:dyDescent="0.2">
      <c r="A26" s="30">
        <v>21</v>
      </c>
      <c r="B26" s="6">
        <v>44473</v>
      </c>
      <c r="C26" s="7" t="s">
        <v>5</v>
      </c>
      <c r="D26" s="17"/>
      <c r="E26" s="31">
        <v>1.1058603864220662</v>
      </c>
      <c r="F26" s="28">
        <v>1.8977075212606622E-5</v>
      </c>
      <c r="G26" s="172"/>
      <c r="H26" s="32">
        <v>-0.98520565690636153</v>
      </c>
      <c r="I26" s="172"/>
      <c r="J26" s="33">
        <v>-0.76056265758002639</v>
      </c>
      <c r="K26" s="174"/>
      <c r="L26" s="34">
        <v>1.0915752626299104</v>
      </c>
      <c r="M26" s="176"/>
      <c r="N26" s="196"/>
      <c r="O26" s="178"/>
      <c r="P26" s="27">
        <f>((L26/(0.5*L25+0.5*L27))-1)*10000</f>
        <v>7.7844082724265462E-2</v>
      </c>
      <c r="Q26" s="197"/>
      <c r="R26" s="172"/>
      <c r="S26" s="28">
        <v>1.0948353305210976</v>
      </c>
      <c r="T26" s="176"/>
      <c r="U26" s="196"/>
      <c r="V26" s="178"/>
      <c r="W26" s="27">
        <f t="shared" si="1"/>
        <v>2.4424949631729476E-2</v>
      </c>
      <c r="X26" s="197"/>
      <c r="Y26" s="172"/>
      <c r="Z26" s="1"/>
      <c r="AA26" s="1"/>
      <c r="AB26" s="1"/>
      <c r="AC26" s="1"/>
    </row>
    <row r="27" spans="1:29" ht="17" x14ac:dyDescent="0.2">
      <c r="A27" s="30">
        <v>22</v>
      </c>
      <c r="B27" s="6">
        <v>44473</v>
      </c>
      <c r="C27" s="7" t="s">
        <v>5</v>
      </c>
      <c r="D27" s="17"/>
      <c r="E27" s="31">
        <v>1.1057779528395011</v>
      </c>
      <c r="F27" s="28">
        <v>6.3797967616200441E-6</v>
      </c>
      <c r="G27" s="172"/>
      <c r="H27" s="32">
        <v>-0.97954731121091598</v>
      </c>
      <c r="I27" s="172"/>
      <c r="J27" s="33">
        <v>-0.75443579895625656</v>
      </c>
      <c r="K27" s="174"/>
      <c r="L27" s="34">
        <v>1.0915202551902989</v>
      </c>
      <c r="M27" s="176"/>
      <c r="N27" s="196"/>
      <c r="O27" s="178"/>
      <c r="P27" s="27"/>
      <c r="Q27" s="197"/>
      <c r="R27" s="172"/>
      <c r="S27" s="28">
        <v>1.0948420882071932</v>
      </c>
      <c r="T27" s="176"/>
      <c r="U27" s="196"/>
      <c r="V27" s="178"/>
      <c r="W27" s="27">
        <f>((S27/(0.5*S26+0.5*S28))-1)*10000</f>
        <v>8.5482361533717466E-2</v>
      </c>
      <c r="X27" s="197"/>
      <c r="Y27" s="172"/>
      <c r="Z27" s="1"/>
      <c r="AA27" s="1"/>
      <c r="AB27" s="1"/>
      <c r="AC27" s="1"/>
    </row>
    <row r="28" spans="1:29" ht="17" x14ac:dyDescent="0.2">
      <c r="A28" s="30">
        <v>23</v>
      </c>
      <c r="B28" s="6">
        <v>44473</v>
      </c>
      <c r="C28" s="7" t="s">
        <v>5</v>
      </c>
      <c r="D28" s="17"/>
      <c r="E28" s="31">
        <v>1.1058570949975544</v>
      </c>
      <c r="F28" s="28">
        <v>7.9910605318291306E-6</v>
      </c>
      <c r="G28" s="172"/>
      <c r="H28" s="32">
        <v>-0.98497986720729058</v>
      </c>
      <c r="I28" s="172"/>
      <c r="J28" s="33">
        <v>-0.76069756078410866</v>
      </c>
      <c r="K28" s="174"/>
      <c r="L28" s="30"/>
      <c r="M28" s="176"/>
      <c r="N28" s="196"/>
      <c r="O28" s="178"/>
      <c r="P28" s="15"/>
      <c r="Q28" s="197"/>
      <c r="R28" s="172"/>
      <c r="S28" s="28">
        <v>1.0948301281158515</v>
      </c>
      <c r="T28" s="176"/>
      <c r="U28" s="196"/>
      <c r="V28" s="178"/>
      <c r="W28" s="15"/>
      <c r="X28" s="197"/>
      <c r="Y28" s="172"/>
      <c r="Z28" s="1"/>
      <c r="AA28" s="1"/>
      <c r="AB28" s="1"/>
      <c r="AC28" s="1"/>
    </row>
    <row r="29" spans="1:29" s="35" customFormat="1" ht="18" thickBot="1" x14ac:dyDescent="0.25">
      <c r="A29" s="51"/>
      <c r="B29" s="65" t="s">
        <v>7</v>
      </c>
      <c r="C29" s="66"/>
      <c r="D29" s="76"/>
      <c r="E29" s="54"/>
      <c r="F29" s="56"/>
      <c r="G29" s="67"/>
      <c r="H29" s="68"/>
      <c r="I29" s="67"/>
      <c r="J29" s="69"/>
      <c r="K29" s="70"/>
      <c r="L29" s="54">
        <f>AVERAGE(L23:L27)</f>
        <v>1.0915711133482935</v>
      </c>
      <c r="M29" s="71"/>
      <c r="N29" s="77"/>
      <c r="O29" s="52"/>
      <c r="P29" s="52"/>
      <c r="Q29" s="73"/>
      <c r="R29" s="67"/>
      <c r="S29" s="56">
        <f>AVERAGE(S22:S28)</f>
        <v>1.0948398124028311</v>
      </c>
      <c r="T29" s="71"/>
      <c r="U29" s="77"/>
      <c r="V29" s="52"/>
      <c r="W29" s="52"/>
      <c r="X29" s="73"/>
      <c r="Y29" s="67"/>
    </row>
    <row r="30" spans="1:29" ht="17" x14ac:dyDescent="0.2">
      <c r="A30" s="30">
        <v>24</v>
      </c>
      <c r="B30" s="6">
        <v>44607</v>
      </c>
      <c r="C30" s="7" t="s">
        <v>6</v>
      </c>
      <c r="D30" s="17"/>
      <c r="E30" s="31">
        <v>1.1073050952726753</v>
      </c>
      <c r="F30" s="28">
        <v>2.0592494779640621E-5</v>
      </c>
      <c r="G30" s="172">
        <v>7</v>
      </c>
      <c r="H30" s="33">
        <v>-1.0843064236424715</v>
      </c>
      <c r="I30" s="172">
        <v>7</v>
      </c>
      <c r="J30" s="33">
        <v>-0.85390361655966729</v>
      </c>
      <c r="K30" s="174">
        <v>7</v>
      </c>
      <c r="L30" s="34"/>
      <c r="M30" s="176">
        <f>2*STDEV(L31:L35)</f>
        <v>2.1614991591020345E-4</v>
      </c>
      <c r="N30" s="196">
        <f>M30/L37*10^6</f>
        <v>198.01822986888297</v>
      </c>
      <c r="O30" s="178">
        <v>5</v>
      </c>
      <c r="P30" s="15"/>
      <c r="Q30" s="197">
        <f>2*STDEV(P31:P35)</f>
        <v>2.6808795308134399</v>
      </c>
      <c r="R30" s="172">
        <v>3</v>
      </c>
      <c r="S30" s="28">
        <v>1.0949184161792895</v>
      </c>
      <c r="T30" s="176">
        <f>2*STDEV(S30:S36)</f>
        <v>3.928446272529423E-5</v>
      </c>
      <c r="U30" s="196">
        <f>T30/S37*10^6</f>
        <v>35.879494767661768</v>
      </c>
      <c r="V30" s="178">
        <v>7</v>
      </c>
      <c r="W30" s="15"/>
      <c r="X30" s="197">
        <f>2*STDEV(W31:W35)</f>
        <v>0.53930454940676653</v>
      </c>
      <c r="Y30" s="172">
        <v>5</v>
      </c>
      <c r="Z30" s="1"/>
      <c r="AA30" s="1"/>
      <c r="AB30" s="1"/>
      <c r="AC30" s="1"/>
    </row>
    <row r="31" spans="1:29" ht="17" x14ac:dyDescent="0.2">
      <c r="A31" s="30">
        <v>25</v>
      </c>
      <c r="B31" s="6">
        <v>44607</v>
      </c>
      <c r="C31" s="7" t="s">
        <v>6</v>
      </c>
      <c r="D31" s="17"/>
      <c r="E31" s="31">
        <v>1.1069581755678433</v>
      </c>
      <c r="F31" s="28">
        <v>4.8781492482274206E-6</v>
      </c>
      <c r="G31" s="172"/>
      <c r="H31" s="33">
        <v>-1.0605212124216683</v>
      </c>
      <c r="I31" s="172"/>
      <c r="J31" s="33">
        <v>-0.82985173865627904</v>
      </c>
      <c r="K31" s="174"/>
      <c r="L31" s="34">
        <v>1.0913944549218002</v>
      </c>
      <c r="M31" s="176"/>
      <c r="N31" s="196"/>
      <c r="O31" s="178"/>
      <c r="P31" s="27"/>
      <c r="Q31" s="197"/>
      <c r="R31" s="172"/>
      <c r="S31" s="28">
        <v>1.0949222608277662</v>
      </c>
      <c r="T31" s="176"/>
      <c r="U31" s="196"/>
      <c r="V31" s="178"/>
      <c r="W31" s="27">
        <f>((S31/(0.5*S30+0.5*S32))-1)*10000</f>
        <v>0.1318760017321452</v>
      </c>
      <c r="X31" s="197"/>
      <c r="Y31" s="172"/>
      <c r="Z31" s="1"/>
      <c r="AA31" s="1"/>
      <c r="AB31" s="1"/>
      <c r="AC31" s="1"/>
    </row>
    <row r="32" spans="1:29" ht="17" x14ac:dyDescent="0.2">
      <c r="A32" s="30">
        <v>26</v>
      </c>
      <c r="B32" s="6">
        <v>44607</v>
      </c>
      <c r="C32" s="7" t="s">
        <v>6</v>
      </c>
      <c r="D32" s="17"/>
      <c r="E32" s="31">
        <v>1.1070282288658417</v>
      </c>
      <c r="F32" s="28">
        <v>7.7851982153091658E-6</v>
      </c>
      <c r="G32" s="172"/>
      <c r="H32" s="33">
        <v>-1.0653247672259034</v>
      </c>
      <c r="I32" s="172"/>
      <c r="J32" s="33">
        <v>-0.83639089168463721</v>
      </c>
      <c r="K32" s="174"/>
      <c r="L32" s="34">
        <v>1.0916939968204149</v>
      </c>
      <c r="M32" s="176"/>
      <c r="N32" s="196"/>
      <c r="O32" s="178"/>
      <c r="P32" s="27">
        <f>((L32/(0.5*L31+0.5*L33))-1)*10000</f>
        <v>1.9452506735118114</v>
      </c>
      <c r="Q32" s="197"/>
      <c r="R32" s="172"/>
      <c r="S32" s="28">
        <v>1.0948972270630866</v>
      </c>
      <c r="T32" s="176"/>
      <c r="U32" s="196"/>
      <c r="V32" s="178"/>
      <c r="W32" s="27">
        <f>((S32/(0.5*S31+0.5*S33))-1)*10000</f>
        <v>-0.17694000661983011</v>
      </c>
      <c r="X32" s="197"/>
      <c r="Y32" s="172"/>
      <c r="Z32" s="1"/>
      <c r="AA32" s="1"/>
      <c r="AB32" s="1"/>
      <c r="AC32" s="1"/>
    </row>
    <row r="33" spans="1:29" ht="17" x14ac:dyDescent="0.2">
      <c r="A33" s="30">
        <v>27</v>
      </c>
      <c r="B33" s="6">
        <v>44607</v>
      </c>
      <c r="C33" s="7" t="s">
        <v>6</v>
      </c>
      <c r="D33" s="17"/>
      <c r="E33" s="31">
        <v>1.106907649036645</v>
      </c>
      <c r="F33" s="28">
        <v>7.6364902332071319E-6</v>
      </c>
      <c r="G33" s="172"/>
      <c r="H33" s="33">
        <v>-1.0570563914596636</v>
      </c>
      <c r="I33" s="172"/>
      <c r="J33" s="33">
        <v>-0.82717181354855451</v>
      </c>
      <c r="K33" s="174"/>
      <c r="L33" s="34">
        <v>1.09156889762585</v>
      </c>
      <c r="M33" s="176"/>
      <c r="N33" s="196"/>
      <c r="O33" s="178"/>
      <c r="P33" s="27">
        <f>((L33/(0.5*L32+0.5*L34))-1)*10000</f>
        <v>-0.68638981573942992</v>
      </c>
      <c r="Q33" s="197"/>
      <c r="R33" s="172"/>
      <c r="S33" s="28">
        <v>1.0949109402085155</v>
      </c>
      <c r="T33" s="176"/>
      <c r="U33" s="196"/>
      <c r="V33" s="178"/>
      <c r="W33" s="27">
        <f t="shared" ref="W33:W35" si="2">((S33/(0.5*S32+0.5*S34))-1)*10000</f>
        <v>0.25075474590519065</v>
      </c>
      <c r="X33" s="197"/>
      <c r="Y33" s="172"/>
      <c r="Z33" s="1"/>
      <c r="AA33" s="1"/>
      <c r="AB33" s="1"/>
      <c r="AC33" s="1"/>
    </row>
    <row r="34" spans="1:29" ht="17" x14ac:dyDescent="0.2">
      <c r="A34" s="30">
        <v>28</v>
      </c>
      <c r="B34" s="6">
        <v>44607</v>
      </c>
      <c r="C34" s="7" t="s">
        <v>6</v>
      </c>
      <c r="D34" s="17"/>
      <c r="E34" s="31">
        <v>1.1068501558306951</v>
      </c>
      <c r="F34" s="28">
        <v>5.5737120606612073E-6</v>
      </c>
      <c r="G34" s="172"/>
      <c r="H34" s="33">
        <v>-1.0531136737491229</v>
      </c>
      <c r="I34" s="172"/>
      <c r="J34" s="33">
        <v>-0.82608522211210522</v>
      </c>
      <c r="K34" s="174"/>
      <c r="L34" s="34">
        <v>1.091593657072331</v>
      </c>
      <c r="M34" s="176"/>
      <c r="N34" s="196"/>
      <c r="O34" s="178"/>
      <c r="P34" s="27">
        <f>((L34/(0.5*L33+0.5*L35))-1)*10000</f>
        <v>0.18649979599771882</v>
      </c>
      <c r="Q34" s="197"/>
      <c r="R34" s="172"/>
      <c r="S34" s="28">
        <v>1.0948697439079045</v>
      </c>
      <c r="T34" s="176"/>
      <c r="U34" s="196"/>
      <c r="V34" s="178"/>
      <c r="W34" s="27">
        <f t="shared" si="2"/>
        <v>-0.33948727087618202</v>
      </c>
      <c r="X34" s="197"/>
      <c r="Y34" s="172"/>
      <c r="Z34" s="1"/>
      <c r="AA34" s="1"/>
      <c r="AB34" s="1"/>
      <c r="AC34" s="1"/>
    </row>
    <row r="35" spans="1:29" ht="17" x14ac:dyDescent="0.2">
      <c r="A35" s="30">
        <v>29</v>
      </c>
      <c r="B35" s="6">
        <v>44607</v>
      </c>
      <c r="C35" s="7" t="s">
        <v>6</v>
      </c>
      <c r="D35" s="17"/>
      <c r="E35" s="31">
        <v>1.1068055287179315</v>
      </c>
      <c r="F35" s="28">
        <v>5.3662158911380042E-6</v>
      </c>
      <c r="G35" s="172"/>
      <c r="H35" s="33">
        <v>-1.0500531256729471</v>
      </c>
      <c r="I35" s="172"/>
      <c r="J35" s="33">
        <v>-0.82072665276477408</v>
      </c>
      <c r="K35" s="174"/>
      <c r="L35" s="34">
        <v>1.0915777008792866</v>
      </c>
      <c r="M35" s="176"/>
      <c r="N35" s="196"/>
      <c r="O35" s="178"/>
      <c r="P35" s="27"/>
      <c r="Q35" s="197"/>
      <c r="R35" s="172"/>
      <c r="S35" s="28">
        <v>1.094902888999354</v>
      </c>
      <c r="T35" s="176"/>
      <c r="U35" s="196"/>
      <c r="V35" s="178"/>
      <c r="W35" s="27">
        <f t="shared" si="2"/>
        <v>0.2591602048029884</v>
      </c>
      <c r="X35" s="197"/>
      <c r="Y35" s="172"/>
      <c r="Z35" s="1"/>
      <c r="AA35" s="1"/>
      <c r="AB35" s="1"/>
      <c r="AC35" s="1"/>
    </row>
    <row r="36" spans="1:29" ht="17" x14ac:dyDescent="0.2">
      <c r="A36" s="30">
        <v>30</v>
      </c>
      <c r="B36" s="6">
        <v>44607</v>
      </c>
      <c r="C36" s="7" t="s">
        <v>6</v>
      </c>
      <c r="D36" s="17"/>
      <c r="E36" s="31">
        <v>1.1068061228918353</v>
      </c>
      <c r="F36" s="28">
        <v>6.0240549387429947E-6</v>
      </c>
      <c r="G36" s="172"/>
      <c r="H36" s="33">
        <v>-1.0500938717948498</v>
      </c>
      <c r="I36" s="172"/>
      <c r="J36" s="33">
        <v>-0.82240399881630899</v>
      </c>
      <c r="K36" s="174"/>
      <c r="L36" s="30"/>
      <c r="M36" s="176"/>
      <c r="N36" s="196"/>
      <c r="O36" s="178"/>
      <c r="P36" s="15"/>
      <c r="Q36" s="197"/>
      <c r="R36" s="172"/>
      <c r="S36" s="28">
        <v>1.0948792845101363</v>
      </c>
      <c r="T36" s="176"/>
      <c r="U36" s="196"/>
      <c r="V36" s="178"/>
      <c r="W36" s="15"/>
      <c r="X36" s="197"/>
      <c r="Y36" s="172"/>
      <c r="Z36" s="1"/>
      <c r="AA36" s="1"/>
      <c r="AB36" s="1"/>
      <c r="AC36" s="1"/>
    </row>
    <row r="37" spans="1:29" s="35" customFormat="1" ht="17" thickBot="1" x14ac:dyDescent="0.25">
      <c r="A37" s="51"/>
      <c r="B37" s="52" t="s">
        <v>7</v>
      </c>
      <c r="C37" s="53"/>
      <c r="D37" s="53"/>
      <c r="E37" s="54"/>
      <c r="F37" s="53"/>
      <c r="G37" s="55"/>
      <c r="H37" s="51"/>
      <c r="I37" s="55"/>
      <c r="J37" s="51"/>
      <c r="K37" s="55"/>
      <c r="L37" s="54">
        <f>AVERAGE(L31:L35)</f>
        <v>1.0915657414639366</v>
      </c>
      <c r="M37" s="53"/>
      <c r="N37" s="53"/>
      <c r="O37" s="53"/>
      <c r="P37" s="53"/>
      <c r="Q37" s="53"/>
      <c r="R37" s="55"/>
      <c r="S37" s="56">
        <f>AVERAGE(S30:S36)</f>
        <v>1.0949001088137218</v>
      </c>
      <c r="T37" s="53"/>
      <c r="U37" s="53"/>
      <c r="V37" s="53"/>
      <c r="W37" s="53"/>
      <c r="X37" s="53"/>
      <c r="Y37" s="55"/>
      <c r="Z37" s="36"/>
      <c r="AA37" s="36"/>
      <c r="AB37" s="36"/>
      <c r="AC37" s="36"/>
    </row>
    <row r="38" spans="1:29" x14ac:dyDescent="0.2">
      <c r="N38" s="23"/>
      <c r="O38" s="23"/>
      <c r="Q38" s="20"/>
      <c r="T38" s="23"/>
      <c r="W38" s="20"/>
    </row>
    <row r="39" spans="1:29" x14ac:dyDescent="0.2">
      <c r="N39" s="23"/>
      <c r="Q39" s="20"/>
      <c r="T39" s="23"/>
      <c r="W39" s="20"/>
    </row>
    <row r="40" spans="1:29" x14ac:dyDescent="0.2">
      <c r="N40" s="24"/>
      <c r="Q40" s="20"/>
      <c r="T40" s="24"/>
      <c r="W40" s="20"/>
    </row>
    <row r="41" spans="1:29" x14ac:dyDescent="0.2">
      <c r="N41" s="17"/>
      <c r="Q41" s="20"/>
      <c r="T41" s="17"/>
      <c r="W41" s="20"/>
    </row>
    <row r="42" spans="1:29" x14ac:dyDescent="0.2">
      <c r="N42" s="23"/>
      <c r="O42" s="23"/>
      <c r="Q42" s="20"/>
      <c r="T42" s="23"/>
      <c r="W42" s="20"/>
    </row>
    <row r="43" spans="1:29" x14ac:dyDescent="0.2">
      <c r="N43" s="23"/>
      <c r="Q43" s="20"/>
      <c r="T43" s="23"/>
      <c r="W43" s="20"/>
    </row>
    <row r="44" spans="1:29" x14ac:dyDescent="0.2">
      <c r="N44" s="24"/>
      <c r="Q44" s="20"/>
      <c r="T44" s="24"/>
      <c r="W44" s="20"/>
    </row>
    <row r="45" spans="1:29" x14ac:dyDescent="0.2">
      <c r="N45" s="17"/>
      <c r="Q45" s="20"/>
      <c r="T45" s="17"/>
      <c r="W45" s="20"/>
    </row>
    <row r="46" spans="1:29" x14ac:dyDescent="0.2">
      <c r="N46" s="23"/>
      <c r="O46" s="23"/>
      <c r="Q46" s="20"/>
      <c r="T46" s="23"/>
      <c r="W46" s="20"/>
    </row>
    <row r="47" spans="1:29" x14ac:dyDescent="0.2">
      <c r="N47" s="23"/>
      <c r="Q47" s="20"/>
      <c r="T47" s="23"/>
      <c r="W47" s="20"/>
    </row>
    <row r="48" spans="1:29" x14ac:dyDescent="0.2">
      <c r="N48" s="24"/>
      <c r="Q48" s="20"/>
      <c r="T48" s="24"/>
      <c r="W48" s="20"/>
    </row>
    <row r="49" spans="14:23" x14ac:dyDescent="0.2">
      <c r="N49" s="17"/>
      <c r="Q49" s="20"/>
      <c r="T49" s="17"/>
      <c r="W49" s="20"/>
    </row>
    <row r="50" spans="14:23" x14ac:dyDescent="0.2">
      <c r="N50" s="23"/>
      <c r="O50" s="23"/>
      <c r="Q50" s="20"/>
      <c r="T50" s="23"/>
      <c r="W50" s="20"/>
    </row>
    <row r="51" spans="14:23" x14ac:dyDescent="0.2">
      <c r="N51" s="23"/>
      <c r="Q51" s="20"/>
      <c r="T51" s="23"/>
      <c r="W51" s="20"/>
    </row>
    <row r="52" spans="14:23" x14ac:dyDescent="0.2">
      <c r="N52" s="24"/>
      <c r="T52" s="24"/>
    </row>
  </sheetData>
  <mergeCells count="77">
    <mergeCell ref="N1:N3"/>
    <mergeCell ref="A1:A3"/>
    <mergeCell ref="Q1:Q3"/>
    <mergeCell ref="R1:R3"/>
    <mergeCell ref="V1:V3"/>
    <mergeCell ref="B1:B3"/>
    <mergeCell ref="C1:C3"/>
    <mergeCell ref="D1:D3"/>
    <mergeCell ref="E1:E3"/>
    <mergeCell ref="F1:F3"/>
    <mergeCell ref="G1:G3"/>
    <mergeCell ref="I1:I3"/>
    <mergeCell ref="K1:K3"/>
    <mergeCell ref="T1:T3"/>
    <mergeCell ref="T22:T28"/>
    <mergeCell ref="T30:T36"/>
    <mergeCell ref="U1:U3"/>
    <mergeCell ref="U4:U12"/>
    <mergeCell ref="U14:U20"/>
    <mergeCell ref="U22:U28"/>
    <mergeCell ref="U30:U36"/>
    <mergeCell ref="M30:M36"/>
    <mergeCell ref="Q4:Q12"/>
    <mergeCell ref="Q14:Q20"/>
    <mergeCell ref="Q22:Q28"/>
    <mergeCell ref="Q30:Q36"/>
    <mergeCell ref="N30:N36"/>
    <mergeCell ref="N22:N28"/>
    <mergeCell ref="M22:M28"/>
    <mergeCell ref="G22:G28"/>
    <mergeCell ref="I22:I28"/>
    <mergeCell ref="K22:K28"/>
    <mergeCell ref="Y22:Y28"/>
    <mergeCell ref="R30:R36"/>
    <mergeCell ref="V30:V36"/>
    <mergeCell ref="Y30:Y36"/>
    <mergeCell ref="X22:X28"/>
    <mergeCell ref="X30:X36"/>
    <mergeCell ref="G30:G36"/>
    <mergeCell ref="I30:I36"/>
    <mergeCell ref="K30:K36"/>
    <mergeCell ref="O30:O36"/>
    <mergeCell ref="O22:O28"/>
    <mergeCell ref="R22:R28"/>
    <mergeCell ref="V22:V28"/>
    <mergeCell ref="Y4:Y12"/>
    <mergeCell ref="G14:G20"/>
    <mergeCell ref="I14:I20"/>
    <mergeCell ref="K14:K20"/>
    <mergeCell ref="M14:M20"/>
    <mergeCell ref="O14:O20"/>
    <mergeCell ref="N4:N12"/>
    <mergeCell ref="N14:N20"/>
    <mergeCell ref="Y14:Y20"/>
    <mergeCell ref="X14:X20"/>
    <mergeCell ref="X4:X12"/>
    <mergeCell ref="R14:R20"/>
    <mergeCell ref="V14:V20"/>
    <mergeCell ref="V4:V12"/>
    <mergeCell ref="T4:T12"/>
    <mergeCell ref="T14:T20"/>
    <mergeCell ref="X1:X3"/>
    <mergeCell ref="Y1:Y3"/>
    <mergeCell ref="G4:G12"/>
    <mergeCell ref="I4:I12"/>
    <mergeCell ref="K4:K12"/>
    <mergeCell ref="M4:M12"/>
    <mergeCell ref="O4:O12"/>
    <mergeCell ref="R4:R12"/>
    <mergeCell ref="L1:L3"/>
    <mergeCell ref="P1:P3"/>
    <mergeCell ref="S1:S3"/>
    <mergeCell ref="W1:W3"/>
    <mergeCell ref="H1:H3"/>
    <mergeCell ref="M1:M3"/>
    <mergeCell ref="O1:O3"/>
    <mergeCell ref="J1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5DF89-3222-0245-9159-4540B9CFB788}">
  <dimension ref="A1:AA33"/>
  <sheetViews>
    <sheetView workbookViewId="0">
      <selection activeCell="A4" sqref="A4"/>
    </sheetView>
  </sheetViews>
  <sheetFormatPr baseColWidth="10" defaultRowHeight="16" x14ac:dyDescent="0.2"/>
  <cols>
    <col min="1" max="1" width="36" customWidth="1"/>
    <col min="2" max="2" width="34.33203125" customWidth="1"/>
    <col min="3" max="3" width="20.5" customWidth="1"/>
    <col min="12" max="12" width="32" customWidth="1"/>
    <col min="16" max="16" width="10.83203125" customWidth="1"/>
    <col min="19" max="19" width="27.33203125" customWidth="1"/>
    <col min="20" max="20" width="23.83203125" customWidth="1"/>
    <col min="21" max="21" width="27" customWidth="1"/>
    <col min="25" max="25" width="10.83203125" customWidth="1"/>
  </cols>
  <sheetData>
    <row r="1" spans="1:27" ht="19" customHeight="1" x14ac:dyDescent="0.2">
      <c r="A1" s="209" t="s">
        <v>88</v>
      </c>
      <c r="B1" s="212" t="s">
        <v>0</v>
      </c>
      <c r="C1" s="215" t="s">
        <v>9</v>
      </c>
      <c r="D1" s="182" t="s">
        <v>10</v>
      </c>
      <c r="E1" s="218" t="s">
        <v>2</v>
      </c>
      <c r="F1" s="209" t="s">
        <v>14</v>
      </c>
      <c r="G1" s="182" t="s">
        <v>10</v>
      </c>
      <c r="H1" s="218" t="s">
        <v>2</v>
      </c>
      <c r="I1" s="209" t="s">
        <v>21</v>
      </c>
      <c r="J1" s="182" t="s">
        <v>10</v>
      </c>
      <c r="K1" s="218" t="s">
        <v>2</v>
      </c>
      <c r="L1" s="225" t="s">
        <v>22</v>
      </c>
      <c r="M1" s="191" t="s">
        <v>12</v>
      </c>
      <c r="N1" s="191" t="s">
        <v>20</v>
      </c>
      <c r="O1" s="191" t="s">
        <v>2</v>
      </c>
      <c r="P1" s="182" t="s">
        <v>11</v>
      </c>
      <c r="Q1" s="182" t="s">
        <v>1</v>
      </c>
      <c r="R1" s="203" t="s">
        <v>2</v>
      </c>
      <c r="S1" s="162" t="s">
        <v>3</v>
      </c>
      <c r="T1" s="162" t="s">
        <v>8</v>
      </c>
      <c r="U1" s="222" t="s">
        <v>23</v>
      </c>
      <c r="V1" s="191" t="s">
        <v>12</v>
      </c>
      <c r="W1" s="191" t="s">
        <v>20</v>
      </c>
      <c r="X1" s="191" t="s">
        <v>2</v>
      </c>
      <c r="Y1" s="182" t="s">
        <v>11</v>
      </c>
      <c r="Z1" s="191" t="s">
        <v>12</v>
      </c>
      <c r="AA1" s="203" t="s">
        <v>2</v>
      </c>
    </row>
    <row r="2" spans="1:27" ht="16" customHeight="1" x14ac:dyDescent="0.2">
      <c r="A2" s="210"/>
      <c r="B2" s="213"/>
      <c r="C2" s="216"/>
      <c r="D2" s="183"/>
      <c r="E2" s="219"/>
      <c r="F2" s="210"/>
      <c r="G2" s="183"/>
      <c r="H2" s="219"/>
      <c r="I2" s="210"/>
      <c r="J2" s="183"/>
      <c r="K2" s="219"/>
      <c r="L2" s="226"/>
      <c r="M2" s="192"/>
      <c r="N2" s="192"/>
      <c r="O2" s="192"/>
      <c r="P2" s="183"/>
      <c r="Q2" s="183"/>
      <c r="R2" s="204"/>
      <c r="S2" s="164"/>
      <c r="T2" s="164"/>
      <c r="U2" s="223"/>
      <c r="V2" s="192"/>
      <c r="W2" s="192"/>
      <c r="X2" s="192"/>
      <c r="Y2" s="183"/>
      <c r="Z2" s="192"/>
      <c r="AA2" s="204"/>
    </row>
    <row r="3" spans="1:27" ht="17" customHeight="1" thickBot="1" x14ac:dyDescent="0.25">
      <c r="A3" s="211"/>
      <c r="B3" s="214"/>
      <c r="C3" s="217"/>
      <c r="D3" s="184"/>
      <c r="E3" s="220"/>
      <c r="F3" s="211"/>
      <c r="G3" s="184"/>
      <c r="H3" s="220"/>
      <c r="I3" s="211"/>
      <c r="J3" s="184"/>
      <c r="K3" s="220"/>
      <c r="L3" s="227"/>
      <c r="M3" s="193"/>
      <c r="N3" s="193"/>
      <c r="O3" s="193"/>
      <c r="P3" s="184"/>
      <c r="Q3" s="184"/>
      <c r="R3" s="205"/>
      <c r="S3" s="163"/>
      <c r="T3" s="163"/>
      <c r="U3" s="224"/>
      <c r="V3" s="193"/>
      <c r="W3" s="193"/>
      <c r="X3" s="193"/>
      <c r="Y3" s="184"/>
      <c r="Z3" s="193"/>
      <c r="AA3" s="205"/>
    </row>
    <row r="4" spans="1:27" x14ac:dyDescent="0.2">
      <c r="A4" s="81">
        <v>44473</v>
      </c>
      <c r="B4" s="17" t="s">
        <v>5</v>
      </c>
      <c r="C4" s="31">
        <v>1.1063721918276208</v>
      </c>
      <c r="D4" s="23">
        <v>8.8699429431916251E-6</v>
      </c>
      <c r="E4" s="172">
        <v>7</v>
      </c>
      <c r="F4" s="32">
        <v>-1.0203282295624621</v>
      </c>
      <c r="G4" s="8">
        <v>6.0855148478691854E-4</v>
      </c>
      <c r="H4" s="172">
        <v>7</v>
      </c>
      <c r="I4" s="32">
        <v>-0.79305448377955601</v>
      </c>
      <c r="J4" s="8">
        <v>5.668479618910515E-4</v>
      </c>
      <c r="K4" s="172">
        <v>7</v>
      </c>
      <c r="L4" s="31">
        <v>1.0948732755619537</v>
      </c>
      <c r="M4" s="176">
        <f>2*STDEV(L4:L10)</f>
        <v>3.1944321640689923E-5</v>
      </c>
      <c r="N4" s="196">
        <f>(M4/L11)*10^6</f>
        <v>29.177164804211973</v>
      </c>
      <c r="O4" s="178">
        <v>7</v>
      </c>
      <c r="P4" s="27">
        <f>((L4/$L$11)-1)*10000</f>
        <v>0.3056443394133801</v>
      </c>
      <c r="Q4" s="197">
        <f>2*STDEV(P4:P10)</f>
        <v>0.29177164804188543</v>
      </c>
      <c r="R4" s="172">
        <v>5</v>
      </c>
      <c r="S4" s="221">
        <v>0.9667</v>
      </c>
      <c r="T4" s="221">
        <v>0.19309999999999999</v>
      </c>
      <c r="U4" s="23">
        <v>1.0916038736801503</v>
      </c>
      <c r="V4" s="176">
        <f>2*STDEV(U4:U10)</f>
        <v>2.5582812176573157E-5</v>
      </c>
      <c r="W4" s="196">
        <f>(V4/U11)*10^6</f>
        <v>23.436467118891859</v>
      </c>
      <c r="X4" s="178">
        <v>7</v>
      </c>
      <c r="Y4" s="27">
        <f>((U4/$U$11)-1)*10000</f>
        <v>0.20565205382405694</v>
      </c>
      <c r="Z4" s="197">
        <f>2*STDEV(Y4:Y10)</f>
        <v>0.2343646711894912</v>
      </c>
      <c r="AA4" s="172">
        <v>5</v>
      </c>
    </row>
    <row r="5" spans="1:27" x14ac:dyDescent="0.2">
      <c r="A5" s="81">
        <v>44473</v>
      </c>
      <c r="B5" s="17" t="s">
        <v>5</v>
      </c>
      <c r="C5" s="31">
        <v>1.1061585980797559</v>
      </c>
      <c r="D5" s="23">
        <v>1.040343203568262E-5</v>
      </c>
      <c r="E5" s="172"/>
      <c r="F5" s="32">
        <v>-1.0056724052835668</v>
      </c>
      <c r="G5" s="8">
        <v>7.1390556707577135E-4</v>
      </c>
      <c r="H5" s="172"/>
      <c r="I5" s="32">
        <v>-0.78079048556818142</v>
      </c>
      <c r="J5" s="8">
        <v>9.0811781323902566E-4</v>
      </c>
      <c r="K5" s="172"/>
      <c r="L5" s="31">
        <v>1.0948387766120176</v>
      </c>
      <c r="M5" s="176"/>
      <c r="N5" s="196"/>
      <c r="O5" s="178"/>
      <c r="P5" s="27">
        <f t="shared" ref="P5:P10" si="0">((L5/$L$11)-1)*10000</f>
        <v>-9.4606608369574019E-3</v>
      </c>
      <c r="Q5" s="197"/>
      <c r="R5" s="172"/>
      <c r="S5" s="221"/>
      <c r="T5" s="221"/>
      <c r="U5" s="23">
        <v>1.0915755440508914</v>
      </c>
      <c r="V5" s="176"/>
      <c r="W5" s="196"/>
      <c r="X5" s="178"/>
      <c r="Y5" s="27">
        <f t="shared" ref="Y5:Y10" si="1">((U5/$U$11)-1)*10000</f>
        <v>-5.3876265437846627E-2</v>
      </c>
      <c r="Z5" s="197"/>
      <c r="AA5" s="172"/>
    </row>
    <row r="6" spans="1:27" x14ac:dyDescent="0.2">
      <c r="A6" s="81">
        <v>44473</v>
      </c>
      <c r="B6" s="17" t="s">
        <v>5</v>
      </c>
      <c r="C6" s="31">
        <v>1.1060986345996644</v>
      </c>
      <c r="D6" s="23">
        <v>7.4736066514979194E-6</v>
      </c>
      <c r="E6" s="172"/>
      <c r="F6" s="32">
        <v>-1.0015575050397121</v>
      </c>
      <c r="G6" s="8">
        <v>5.128778925075941E-4</v>
      </c>
      <c r="H6" s="172"/>
      <c r="I6" s="32">
        <v>-0.77687757604764152</v>
      </c>
      <c r="J6" s="8">
        <v>6.0052825815436639E-4</v>
      </c>
      <c r="K6" s="172"/>
      <c r="L6" s="31">
        <v>1.0948358632132</v>
      </c>
      <c r="M6" s="176"/>
      <c r="N6" s="196"/>
      <c r="O6" s="178"/>
      <c r="P6" s="27">
        <f t="shared" si="0"/>
        <v>-3.607093555069163E-2</v>
      </c>
      <c r="Q6" s="197"/>
      <c r="R6" s="172"/>
      <c r="S6" s="221"/>
      <c r="T6" s="221"/>
      <c r="U6" s="23">
        <v>1.0915745744244141</v>
      </c>
      <c r="V6" s="176"/>
      <c r="W6" s="196"/>
      <c r="X6" s="178"/>
      <c r="Y6" s="27">
        <f t="shared" si="1"/>
        <v>-6.2759033641057727E-2</v>
      </c>
      <c r="Z6" s="197"/>
      <c r="AA6" s="172"/>
    </row>
    <row r="7" spans="1:27" x14ac:dyDescent="0.2">
      <c r="A7" s="81">
        <v>44473</v>
      </c>
      <c r="B7" s="17" t="s">
        <v>5</v>
      </c>
      <c r="C7" s="31">
        <v>1.105992953253836</v>
      </c>
      <c r="D7" s="23">
        <v>6.9964567659329081E-6</v>
      </c>
      <c r="E7" s="172"/>
      <c r="F7" s="32">
        <v>-0.99430470546700156</v>
      </c>
      <c r="G7" s="8">
        <v>4.8018449680815813E-4</v>
      </c>
      <c r="H7" s="172"/>
      <c r="I7" s="32">
        <v>-0.77050103442581197</v>
      </c>
      <c r="J7" s="8">
        <v>6.2336219516376625E-4</v>
      </c>
      <c r="K7" s="172"/>
      <c r="L7" s="31">
        <v>1.0948232245885043</v>
      </c>
      <c r="M7" s="176"/>
      <c r="N7" s="196"/>
      <c r="O7" s="178"/>
      <c r="P7" s="27">
        <f t="shared" si="0"/>
        <v>-0.15150905309457841</v>
      </c>
      <c r="Q7" s="197"/>
      <c r="R7" s="172"/>
      <c r="S7" s="221"/>
      <c r="T7" s="221"/>
      <c r="U7" s="23">
        <v>1.0915651274492244</v>
      </c>
      <c r="V7" s="176"/>
      <c r="W7" s="196"/>
      <c r="X7" s="178"/>
      <c r="Y7" s="27">
        <f t="shared" si="1"/>
        <v>-0.14930296863835402</v>
      </c>
      <c r="Z7" s="197"/>
      <c r="AA7" s="172"/>
    </row>
    <row r="8" spans="1:27" x14ac:dyDescent="0.2">
      <c r="A8" s="81">
        <v>44473</v>
      </c>
      <c r="B8" s="17" t="s">
        <v>5</v>
      </c>
      <c r="C8" s="31">
        <v>1.1058603864220662</v>
      </c>
      <c r="D8" s="23">
        <v>1.8977075212606622E-5</v>
      </c>
      <c r="E8" s="172"/>
      <c r="F8" s="32">
        <v>-0.98520565690636153</v>
      </c>
      <c r="G8" s="8">
        <v>1.302509709973608E-3</v>
      </c>
      <c r="H8" s="172"/>
      <c r="I8" s="32">
        <v>-0.76056265758002639</v>
      </c>
      <c r="J8" s="8">
        <v>1.3696258538475059E-3</v>
      </c>
      <c r="K8" s="172"/>
      <c r="L8" s="31">
        <v>1.0948353305210976</v>
      </c>
      <c r="M8" s="176"/>
      <c r="N8" s="196"/>
      <c r="O8" s="178"/>
      <c r="P8" s="27">
        <f t="shared" si="0"/>
        <v>-4.0936415379722035E-2</v>
      </c>
      <c r="Q8" s="197"/>
      <c r="R8" s="172"/>
      <c r="S8" s="221"/>
      <c r="T8" s="221"/>
      <c r="U8" s="23">
        <v>1.0915821152174789</v>
      </c>
      <c r="V8" s="176"/>
      <c r="W8" s="196"/>
      <c r="X8" s="178"/>
      <c r="Y8" s="27">
        <f t="shared" si="1"/>
        <v>6.3223275059698381E-3</v>
      </c>
      <c r="Z8" s="197"/>
      <c r="AA8" s="172"/>
    </row>
    <row r="9" spans="1:27" x14ac:dyDescent="0.2">
      <c r="A9" s="81">
        <v>44473</v>
      </c>
      <c r="B9" s="17" t="s">
        <v>5</v>
      </c>
      <c r="C9" s="31">
        <v>1.1057779528395011</v>
      </c>
      <c r="D9" s="23">
        <v>6.3797967616200441E-6</v>
      </c>
      <c r="E9" s="172"/>
      <c r="F9" s="32">
        <v>-0.97954731121091598</v>
      </c>
      <c r="G9" s="8">
        <v>4.3794406570554073E-4</v>
      </c>
      <c r="H9" s="172"/>
      <c r="I9" s="32">
        <v>-0.75443579895625656</v>
      </c>
      <c r="J9" s="8">
        <v>5.646962827168682E-4</v>
      </c>
      <c r="K9" s="172"/>
      <c r="L9" s="31">
        <v>1.0948420882071932</v>
      </c>
      <c r="M9" s="176"/>
      <c r="N9" s="196"/>
      <c r="O9" s="178"/>
      <c r="P9" s="27">
        <f t="shared" si="0"/>
        <v>2.0786642358494589E-2</v>
      </c>
      <c r="Q9" s="197"/>
      <c r="R9" s="172"/>
      <c r="S9" s="221"/>
      <c r="T9" s="221"/>
      <c r="U9" s="23">
        <v>1.0915918811786156</v>
      </c>
      <c r="V9" s="176"/>
      <c r="W9" s="196"/>
      <c r="X9" s="178"/>
      <c r="Y9" s="27">
        <f t="shared" si="1"/>
        <v>9.5788499359095169E-2</v>
      </c>
      <c r="Z9" s="197"/>
      <c r="AA9" s="172"/>
    </row>
    <row r="10" spans="1:27" x14ac:dyDescent="0.2">
      <c r="A10" s="81">
        <v>44473</v>
      </c>
      <c r="B10" s="17" t="s">
        <v>5</v>
      </c>
      <c r="C10" s="31">
        <v>1.1058570949975544</v>
      </c>
      <c r="D10" s="23">
        <v>7.9910605318291306E-6</v>
      </c>
      <c r="E10" s="172"/>
      <c r="F10" s="32">
        <v>-0.98497986720729058</v>
      </c>
      <c r="G10" s="8">
        <v>5.4850944532296479E-4</v>
      </c>
      <c r="H10" s="172"/>
      <c r="I10" s="32">
        <v>-0.76069756078410866</v>
      </c>
      <c r="J10" s="8">
        <v>7.0375555166422941E-4</v>
      </c>
      <c r="K10" s="172"/>
      <c r="L10" s="31">
        <v>1.0948301281158515</v>
      </c>
      <c r="M10" s="176"/>
      <c r="N10" s="196"/>
      <c r="O10" s="178"/>
      <c r="P10" s="27">
        <f t="shared" si="0"/>
        <v>-8.8453916911035435E-2</v>
      </c>
      <c r="Q10" s="197"/>
      <c r="R10" s="172"/>
      <c r="S10" s="221"/>
      <c r="T10" s="221"/>
      <c r="U10" s="23">
        <v>1.0915768595868882</v>
      </c>
      <c r="V10" s="176"/>
      <c r="W10" s="196"/>
      <c r="X10" s="178"/>
      <c r="Y10" s="27">
        <f t="shared" si="1"/>
        <v>-4.1824612977414688E-2</v>
      </c>
      <c r="Z10" s="197"/>
      <c r="AA10" s="172"/>
    </row>
    <row r="11" spans="1:27" ht="17" thickBot="1" x14ac:dyDescent="0.25">
      <c r="A11" s="87" t="s">
        <v>7</v>
      </c>
      <c r="B11" s="88"/>
      <c r="C11" s="101">
        <f>AVERAGE(C4:C10)</f>
        <v>1.1060168302885713</v>
      </c>
      <c r="D11" s="90"/>
      <c r="E11" s="97"/>
      <c r="F11" s="102"/>
      <c r="G11" s="92"/>
      <c r="H11" s="97"/>
      <c r="I11" s="102"/>
      <c r="J11" s="92"/>
      <c r="K11" s="97"/>
      <c r="L11" s="101">
        <f>AVERAGE(L4:L10)</f>
        <v>1.0948398124028311</v>
      </c>
      <c r="M11" s="93"/>
      <c r="N11" s="94"/>
      <c r="O11" s="91"/>
      <c r="P11" s="91"/>
      <c r="Q11" s="96"/>
      <c r="R11" s="97"/>
      <c r="S11" s="95"/>
      <c r="T11" s="95"/>
      <c r="U11" s="89">
        <f>AVERAGE(U4:U10)</f>
        <v>1.091581425083952</v>
      </c>
      <c r="V11" s="93"/>
      <c r="W11" s="94"/>
      <c r="X11" s="91"/>
      <c r="Y11" s="91"/>
      <c r="Z11" s="96"/>
      <c r="AA11" s="97"/>
    </row>
    <row r="12" spans="1:27" x14ac:dyDescent="0.2">
      <c r="A12" s="82">
        <v>44551</v>
      </c>
      <c r="B12" s="83" t="s">
        <v>6</v>
      </c>
      <c r="C12" s="59">
        <v>1.1091287542506005</v>
      </c>
      <c r="D12" s="84">
        <v>6.1785077249710359E-6</v>
      </c>
      <c r="E12" s="171">
        <v>12</v>
      </c>
      <c r="F12" s="61">
        <v>-1.209217283893691</v>
      </c>
      <c r="G12" s="85">
        <v>4.2284765209676798E-4</v>
      </c>
      <c r="H12" s="171">
        <v>12</v>
      </c>
      <c r="I12" s="61">
        <v>-0.97827847251264655</v>
      </c>
      <c r="J12" s="85">
        <v>7.6675646420115945E-4</v>
      </c>
      <c r="K12" s="171">
        <v>12</v>
      </c>
      <c r="L12" s="59">
        <v>1.0949261418385452</v>
      </c>
      <c r="M12" s="175">
        <f>2*STDEV(L12:L23)</f>
        <v>2.5492556155665069E-5</v>
      </c>
      <c r="N12" s="199">
        <f>(M12/L24)*10^6</f>
        <v>23.282731887106173</v>
      </c>
      <c r="O12" s="177">
        <v>12</v>
      </c>
      <c r="P12" s="27">
        <f>((L12/$L$24)-1)*10000</f>
        <v>0.12381690695617564</v>
      </c>
      <c r="Q12" s="198">
        <f>2*STDEV(P12:P23)</f>
        <v>0.23282731887109837</v>
      </c>
      <c r="R12" s="171">
        <v>10</v>
      </c>
      <c r="S12" s="177">
        <v>0.89180000000000004</v>
      </c>
      <c r="T12" s="177">
        <v>9.98E-2</v>
      </c>
      <c r="U12" s="84">
        <v>1.0916048621442591</v>
      </c>
      <c r="V12" s="175">
        <f>2*STDEV(U12:U23)</f>
        <v>1.5905846071122601E-5</v>
      </c>
      <c r="W12" s="199">
        <f>(V12/U24)*10^6</f>
        <v>14.571114596384492</v>
      </c>
      <c r="X12" s="177">
        <v>12</v>
      </c>
      <c r="Y12" s="27">
        <f>((U12/$U$24)-1)*10000</f>
        <v>3.3616037560246781E-2</v>
      </c>
      <c r="Z12" s="198">
        <f>2*STDEV(Y12:Y23)</f>
        <v>0.14571114596452034</v>
      </c>
      <c r="AA12" s="171">
        <v>10</v>
      </c>
    </row>
    <row r="13" spans="1:27" x14ac:dyDescent="0.2">
      <c r="A13" s="81">
        <v>44551</v>
      </c>
      <c r="B13" s="86" t="s">
        <v>6</v>
      </c>
      <c r="C13" s="31">
        <v>1.1091829837065772</v>
      </c>
      <c r="D13" s="23">
        <v>7.3549655790357029E-6</v>
      </c>
      <c r="E13" s="172"/>
      <c r="F13" s="32">
        <v>-1.2129285530865748</v>
      </c>
      <c r="G13" s="8">
        <v>5.0333691528948576E-4</v>
      </c>
      <c r="H13" s="172"/>
      <c r="I13" s="32">
        <v>-0.98192626572280906</v>
      </c>
      <c r="J13" s="8">
        <v>7.5002973959810741E-4</v>
      </c>
      <c r="K13" s="172"/>
      <c r="L13" s="31">
        <v>1.094927057513795</v>
      </c>
      <c r="M13" s="176"/>
      <c r="N13" s="196"/>
      <c r="O13" s="178"/>
      <c r="P13" s="27">
        <f t="shared" ref="P13:P23" si="2">((L13/$L$24)-1)*10000</f>
        <v>0.13217990563196835</v>
      </c>
      <c r="Q13" s="197"/>
      <c r="R13" s="172"/>
      <c r="S13" s="178"/>
      <c r="T13" s="178"/>
      <c r="U13" s="23">
        <v>1.0915994104467763</v>
      </c>
      <c r="V13" s="176"/>
      <c r="W13" s="196"/>
      <c r="X13" s="178"/>
      <c r="Y13" s="27">
        <f t="shared" ref="Y13:Y22" si="3">((U13/$U$24)-1)*10000</f>
        <v>-1.6326171368152842E-2</v>
      </c>
      <c r="Z13" s="197"/>
      <c r="AA13" s="172"/>
    </row>
    <row r="14" spans="1:27" x14ac:dyDescent="0.2">
      <c r="A14" s="81">
        <v>44551</v>
      </c>
      <c r="B14" s="86" t="s">
        <v>6</v>
      </c>
      <c r="C14" s="31">
        <v>1.10913548567252</v>
      </c>
      <c r="D14" s="23">
        <v>7.2337519128014712E-6</v>
      </c>
      <c r="E14" s="172"/>
      <c r="F14" s="32">
        <v>-1.2096779625556222</v>
      </c>
      <c r="G14" s="8">
        <v>4.9506063500067408E-4</v>
      </c>
      <c r="H14" s="172"/>
      <c r="I14" s="32">
        <v>-0.97926647644028519</v>
      </c>
      <c r="J14" s="8">
        <v>7.8473567242124808E-4</v>
      </c>
      <c r="K14" s="172"/>
      <c r="L14" s="31">
        <v>1.0949185359368878</v>
      </c>
      <c r="M14" s="176"/>
      <c r="N14" s="196"/>
      <c r="O14" s="178"/>
      <c r="P14" s="27">
        <f t="shared" si="2"/>
        <v>5.4351072316105586E-2</v>
      </c>
      <c r="Q14" s="197"/>
      <c r="R14" s="172"/>
      <c r="S14" s="178"/>
      <c r="T14" s="178"/>
      <c r="U14" s="23">
        <v>1.0915955550212031</v>
      </c>
      <c r="V14" s="176"/>
      <c r="W14" s="196"/>
      <c r="X14" s="178"/>
      <c r="Y14" s="27">
        <f t="shared" si="3"/>
        <v>-5.1645165148883621E-2</v>
      </c>
      <c r="Z14" s="197"/>
      <c r="AA14" s="172"/>
    </row>
    <row r="15" spans="1:27" x14ac:dyDescent="0.2">
      <c r="A15" s="81">
        <v>44551</v>
      </c>
      <c r="B15" s="86" t="s">
        <v>6</v>
      </c>
      <c r="C15" s="31">
        <v>1.1090358360207477</v>
      </c>
      <c r="D15" s="23">
        <v>9.2401895140440533E-6</v>
      </c>
      <c r="E15" s="172"/>
      <c r="F15" s="32">
        <v>-1.2028578382310711</v>
      </c>
      <c r="G15" s="8">
        <v>6.3243634942130168E-4</v>
      </c>
      <c r="H15" s="172"/>
      <c r="I15" s="32">
        <v>-0.97222274681074206</v>
      </c>
      <c r="J15" s="8">
        <v>8.9685634885215216E-4</v>
      </c>
      <c r="K15" s="172"/>
      <c r="L15" s="31">
        <v>1.0949217610241553</v>
      </c>
      <c r="M15" s="176"/>
      <c r="N15" s="196"/>
      <c r="O15" s="178"/>
      <c r="P15" s="27">
        <f t="shared" si="2"/>
        <v>8.3806275514852757E-2</v>
      </c>
      <c r="Q15" s="197"/>
      <c r="R15" s="172"/>
      <c r="S15" s="178"/>
      <c r="T15" s="178"/>
      <c r="U15" s="23">
        <v>1.091611060721998</v>
      </c>
      <c r="V15" s="176"/>
      <c r="W15" s="196"/>
      <c r="X15" s="178"/>
      <c r="Y15" s="27">
        <f t="shared" si="3"/>
        <v>9.0400308050408995E-2</v>
      </c>
      <c r="Z15" s="197"/>
      <c r="AA15" s="172"/>
    </row>
    <row r="16" spans="1:27" x14ac:dyDescent="0.2">
      <c r="A16" s="81">
        <v>44551</v>
      </c>
      <c r="B16" s="86" t="s">
        <v>6</v>
      </c>
      <c r="C16" s="31">
        <v>1.1091231748331252</v>
      </c>
      <c r="D16" s="23">
        <v>8.5364434657402404E-6</v>
      </c>
      <c r="E16" s="172"/>
      <c r="F16" s="32">
        <v>-1.2088354217714152</v>
      </c>
      <c r="G16" s="8">
        <v>5.8421745154094542E-4</v>
      </c>
      <c r="H16" s="172"/>
      <c r="I16" s="32">
        <v>-0.97907619838427606</v>
      </c>
      <c r="J16" s="8">
        <v>8.8952843928764998E-4</v>
      </c>
      <c r="K16" s="172"/>
      <c r="L16" s="31">
        <v>1.0949091274421647</v>
      </c>
      <c r="M16" s="176"/>
      <c r="N16" s="196"/>
      <c r="O16" s="178"/>
      <c r="P16" s="27">
        <f t="shared" si="2"/>
        <v>-3.1578113742769531E-2</v>
      </c>
      <c r="Q16" s="197"/>
      <c r="R16" s="172"/>
      <c r="S16" s="178"/>
      <c r="T16" s="178"/>
      <c r="U16" s="23">
        <v>1.0915865071684301</v>
      </c>
      <c r="V16" s="176"/>
      <c r="W16" s="196"/>
      <c r="X16" s="178"/>
      <c r="Y16" s="27">
        <f t="shared" si="3"/>
        <v>-0.13453123044682158</v>
      </c>
      <c r="Z16" s="197"/>
      <c r="AA16" s="172"/>
    </row>
    <row r="17" spans="1:27" x14ac:dyDescent="0.2">
      <c r="A17" s="81">
        <v>44551</v>
      </c>
      <c r="B17" s="86" t="s">
        <v>6</v>
      </c>
      <c r="C17" s="31">
        <v>1.1090580076398864</v>
      </c>
      <c r="D17" s="23">
        <v>7.6745272587587987E-6</v>
      </c>
      <c r="E17" s="172"/>
      <c r="F17" s="32">
        <v>-1.2043753482841359</v>
      </c>
      <c r="G17" s="8">
        <v>5.2526593480041537E-4</v>
      </c>
      <c r="H17" s="172"/>
      <c r="I17" s="32">
        <v>-0.97406601558889605</v>
      </c>
      <c r="J17" s="8">
        <v>6.638172587106623E-4</v>
      </c>
      <c r="K17" s="172"/>
      <c r="L17" s="31">
        <v>1.094917061832595</v>
      </c>
      <c r="M17" s="176"/>
      <c r="N17" s="196"/>
      <c r="O17" s="178"/>
      <c r="P17" s="27">
        <f t="shared" si="2"/>
        <v>4.088785787281779E-2</v>
      </c>
      <c r="Q17" s="197"/>
      <c r="R17" s="172"/>
      <c r="S17" s="178"/>
      <c r="T17" s="178"/>
      <c r="U17" s="23">
        <v>1.0916031597144396</v>
      </c>
      <c r="V17" s="176"/>
      <c r="W17" s="196"/>
      <c r="X17" s="178"/>
      <c r="Y17" s="27">
        <f t="shared" si="3"/>
        <v>1.8020325214251898E-2</v>
      </c>
      <c r="Z17" s="197"/>
      <c r="AA17" s="172"/>
    </row>
    <row r="18" spans="1:27" x14ac:dyDescent="0.2">
      <c r="A18" s="81">
        <v>44551</v>
      </c>
      <c r="B18" s="86" t="s">
        <v>6</v>
      </c>
      <c r="C18" s="31">
        <v>1.1090106454375339</v>
      </c>
      <c r="D18" s="23">
        <v>9.2384554573586721E-6</v>
      </c>
      <c r="E18" s="172"/>
      <c r="F18" s="32">
        <v>-1.2011336756727562</v>
      </c>
      <c r="G18" s="8">
        <v>6.3232895538539225E-4</v>
      </c>
      <c r="H18" s="172"/>
      <c r="I18" s="32">
        <v>-0.9709434411309219</v>
      </c>
      <c r="J18" s="8">
        <v>9.0511654707229564E-4</v>
      </c>
      <c r="K18" s="172"/>
      <c r="L18" s="31">
        <v>1.0949153443259372</v>
      </c>
      <c r="M18" s="176"/>
      <c r="N18" s="196"/>
      <c r="O18" s="178"/>
      <c r="P18" s="27">
        <f t="shared" si="2"/>
        <v>2.5201613313985405E-2</v>
      </c>
      <c r="Q18" s="197"/>
      <c r="R18" s="172"/>
      <c r="S18" s="178"/>
      <c r="T18" s="178"/>
      <c r="U18" s="23">
        <v>1.091606895409353</v>
      </c>
      <c r="V18" s="176"/>
      <c r="W18" s="196"/>
      <c r="X18" s="178"/>
      <c r="Y18" s="27">
        <f t="shared" si="3"/>
        <v>5.2242483807862783E-2</v>
      </c>
      <c r="Z18" s="197"/>
      <c r="AA18" s="172"/>
    </row>
    <row r="19" spans="1:27" x14ac:dyDescent="0.2">
      <c r="A19" s="81">
        <v>44551</v>
      </c>
      <c r="B19" s="86" t="s">
        <v>6</v>
      </c>
      <c r="C19" s="31">
        <v>1.1090234135921933</v>
      </c>
      <c r="D19" s="23">
        <v>7.5219823783664285E-6</v>
      </c>
      <c r="E19" s="172"/>
      <c r="F19" s="32">
        <v>-1.2020076065121172</v>
      </c>
      <c r="G19" s="8">
        <v>5.1484209474909003E-4</v>
      </c>
      <c r="H19" s="172"/>
      <c r="I19" s="32">
        <v>-0.97211035347993302</v>
      </c>
      <c r="J19" s="8">
        <v>8.3891057476298016E-4</v>
      </c>
      <c r="K19" s="172"/>
      <c r="L19" s="31">
        <v>1.094911118050429</v>
      </c>
      <c r="M19" s="176"/>
      <c r="N19" s="196"/>
      <c r="O19" s="178"/>
      <c r="P19" s="27">
        <f t="shared" si="2"/>
        <v>-1.3397591465125203E-2</v>
      </c>
      <c r="Q19" s="197"/>
      <c r="R19" s="172"/>
      <c r="S19" s="178"/>
      <c r="T19" s="178"/>
      <c r="U19" s="23">
        <v>1.0916006458777439</v>
      </c>
      <c r="V19" s="176"/>
      <c r="W19" s="196"/>
      <c r="X19" s="178"/>
      <c r="Y19" s="27">
        <f t="shared" si="3"/>
        <v>-5.0085676883693253E-3</v>
      </c>
      <c r="Z19" s="197"/>
      <c r="AA19" s="172"/>
    </row>
    <row r="20" spans="1:27" x14ac:dyDescent="0.2">
      <c r="A20" s="81">
        <v>44551</v>
      </c>
      <c r="B20" s="86" t="s">
        <v>6</v>
      </c>
      <c r="C20" s="31">
        <v>1.1090109477920289</v>
      </c>
      <c r="D20" s="23">
        <v>8.151479745513664E-6</v>
      </c>
      <c r="E20" s="172"/>
      <c r="F20" s="32">
        <v>-1.2011543790791488</v>
      </c>
      <c r="G20" s="8">
        <v>5.5793296740100893E-4</v>
      </c>
      <c r="H20" s="172"/>
      <c r="I20" s="32">
        <v>-0.97042663178463884</v>
      </c>
      <c r="J20" s="8">
        <v>8.2998861071044471E-4</v>
      </c>
      <c r="K20" s="172"/>
      <c r="L20" s="31">
        <v>1.094923097362867</v>
      </c>
      <c r="M20" s="176"/>
      <c r="N20" s="196"/>
      <c r="O20" s="178"/>
      <c r="P20" s="27">
        <f t="shared" si="2"/>
        <v>9.6011256349726182E-2</v>
      </c>
      <c r="Q20" s="197"/>
      <c r="R20" s="172"/>
      <c r="S20" s="178"/>
      <c r="T20" s="178"/>
      <c r="U20" s="23">
        <v>1.0916155269576475</v>
      </c>
      <c r="V20" s="176"/>
      <c r="W20" s="196"/>
      <c r="X20" s="178"/>
      <c r="Y20" s="27">
        <f t="shared" si="3"/>
        <v>0.13131484423611894</v>
      </c>
      <c r="Z20" s="197"/>
      <c r="AA20" s="172"/>
    </row>
    <row r="21" spans="1:27" x14ac:dyDescent="0.2">
      <c r="A21" s="81">
        <v>44551</v>
      </c>
      <c r="B21" s="86" t="s">
        <v>6</v>
      </c>
      <c r="C21" s="31">
        <v>1.1089705547715201</v>
      </c>
      <c r="D21" s="23">
        <v>7.213019098925385E-6</v>
      </c>
      <c r="E21" s="172"/>
      <c r="F21" s="32">
        <v>-1.1983896154149021</v>
      </c>
      <c r="G21" s="8">
        <v>4.9371705149398189E-4</v>
      </c>
      <c r="H21" s="172"/>
      <c r="I21" s="32">
        <v>-0.96918739725940506</v>
      </c>
      <c r="J21" s="8">
        <v>5.8626352329212421E-4</v>
      </c>
      <c r="K21" s="172"/>
      <c r="L21" s="31">
        <v>1.0949010920521414</v>
      </c>
      <c r="M21" s="176"/>
      <c r="N21" s="196"/>
      <c r="O21" s="178"/>
      <c r="P21" s="27">
        <f t="shared" si="2"/>
        <v>-0.10496652970926057</v>
      </c>
      <c r="Q21" s="197"/>
      <c r="R21" s="172"/>
      <c r="S21" s="178"/>
      <c r="T21" s="178"/>
      <c r="U21" s="23">
        <v>1.0915957506412504</v>
      </c>
      <c r="V21" s="176"/>
      <c r="W21" s="196"/>
      <c r="X21" s="178"/>
      <c r="Y21" s="27">
        <f t="shared" si="3"/>
        <v>-4.985311830463246E-2</v>
      </c>
      <c r="Z21" s="197"/>
      <c r="AA21" s="172"/>
    </row>
    <row r="22" spans="1:27" x14ac:dyDescent="0.2">
      <c r="A22" s="81">
        <v>44551</v>
      </c>
      <c r="B22" s="86" t="s">
        <v>6</v>
      </c>
      <c r="C22" s="31">
        <v>1.1088865265498211</v>
      </c>
      <c r="D22" s="23">
        <v>6.5775139282212457E-6</v>
      </c>
      <c r="E22" s="172"/>
      <c r="F22" s="32">
        <v>-1.1926378396223924</v>
      </c>
      <c r="G22" s="8">
        <v>4.5025105801455582E-4</v>
      </c>
      <c r="H22" s="172"/>
      <c r="I22" s="32">
        <v>-0.96420994467842391</v>
      </c>
      <c r="J22" s="8">
        <v>6.6534829267329539E-4</v>
      </c>
      <c r="K22" s="172"/>
      <c r="L22" s="31">
        <v>1.0948899232949567</v>
      </c>
      <c r="M22" s="176"/>
      <c r="N22" s="196"/>
      <c r="O22" s="178"/>
      <c r="P22" s="27">
        <f t="shared" si="2"/>
        <v>-0.2069724554609742</v>
      </c>
      <c r="Q22" s="197"/>
      <c r="R22" s="172"/>
      <c r="S22" s="178"/>
      <c r="T22" s="178"/>
      <c r="U22" s="23">
        <v>1.091593299812865</v>
      </c>
      <c r="V22" s="176"/>
      <c r="W22" s="196"/>
      <c r="X22" s="178"/>
      <c r="Y22" s="27">
        <f t="shared" si="3"/>
        <v>-7.230480122633054E-2</v>
      </c>
      <c r="Z22" s="197"/>
      <c r="AA22" s="172"/>
    </row>
    <row r="23" spans="1:27" x14ac:dyDescent="0.2">
      <c r="A23" s="81">
        <v>44551</v>
      </c>
      <c r="B23" s="86" t="s">
        <v>6</v>
      </c>
      <c r="C23" s="31">
        <v>1.1088245424229652</v>
      </c>
      <c r="D23" s="23">
        <v>7.9200221257027003E-6</v>
      </c>
      <c r="E23" s="172"/>
      <c r="F23" s="32">
        <v>-1.1883947025199182</v>
      </c>
      <c r="G23" s="8">
        <v>5.4217890381046878E-4</v>
      </c>
      <c r="H23" s="172"/>
      <c r="I23" s="32">
        <v>-0.95990887781634326</v>
      </c>
      <c r="J23" s="8">
        <v>7.722108530003385E-4</v>
      </c>
      <c r="K23" s="172"/>
      <c r="L23" s="31">
        <v>1.0948907589604771</v>
      </c>
      <c r="M23" s="176"/>
      <c r="N23" s="196"/>
      <c r="O23" s="178"/>
      <c r="P23" s="27">
        <f t="shared" si="2"/>
        <v>-0.1993401975819431</v>
      </c>
      <c r="Q23" s="197"/>
      <c r="R23" s="172"/>
      <c r="S23" s="178"/>
      <c r="T23" s="178"/>
      <c r="U23" s="23">
        <v>1.0916016374471134</v>
      </c>
      <c r="V23" s="176"/>
      <c r="W23" s="196"/>
      <c r="X23" s="178"/>
      <c r="Y23" s="27">
        <f>((U23/$U$24)-1)*10000</f>
        <v>4.0750553065294071E-3</v>
      </c>
      <c r="Z23" s="197"/>
      <c r="AA23" s="172"/>
    </row>
    <row r="24" spans="1:27" ht="17" thickBot="1" x14ac:dyDescent="0.25">
      <c r="A24" s="87" t="s">
        <v>7</v>
      </c>
      <c r="B24" s="98"/>
      <c r="C24" s="101">
        <f>AVERAGE(C12:C23)</f>
        <v>1.1090325727241266</v>
      </c>
      <c r="D24" s="90"/>
      <c r="E24" s="97"/>
      <c r="F24" s="102"/>
      <c r="G24" s="92"/>
      <c r="H24" s="97"/>
      <c r="I24" s="102"/>
      <c r="J24" s="92"/>
      <c r="K24" s="97"/>
      <c r="L24" s="101">
        <f>AVERAGE(L12:L23)</f>
        <v>1.0949125849695793</v>
      </c>
      <c r="M24" s="93"/>
      <c r="N24" s="94"/>
      <c r="O24" s="91"/>
      <c r="P24" s="91"/>
      <c r="Q24" s="96"/>
      <c r="R24" s="97"/>
      <c r="S24" s="91"/>
      <c r="T24" s="91"/>
      <c r="U24" s="89">
        <f>AVERAGE(U12:U23)</f>
        <v>1.09160119261359</v>
      </c>
      <c r="V24" s="93"/>
      <c r="W24" s="94"/>
      <c r="X24" s="91"/>
      <c r="Y24" s="91"/>
      <c r="Z24" s="96"/>
      <c r="AA24" s="97"/>
    </row>
    <row r="25" spans="1:27" x14ac:dyDescent="0.2">
      <c r="A25" s="82">
        <v>44607</v>
      </c>
      <c r="B25" s="74" t="s">
        <v>6</v>
      </c>
      <c r="C25" s="59">
        <v>1.1067401804966375</v>
      </c>
      <c r="D25" s="84">
        <v>5.4195131397106893E-6</v>
      </c>
      <c r="E25" s="228">
        <v>8</v>
      </c>
      <c r="F25" s="61">
        <v>-1.0455712899286602</v>
      </c>
      <c r="G25" s="85">
        <v>3.7170283280224683E-4</v>
      </c>
      <c r="H25" s="228">
        <v>8</v>
      </c>
      <c r="I25" s="61">
        <v>-0.81651671406139548</v>
      </c>
      <c r="J25" s="85">
        <v>1.6378206167992286E-3</v>
      </c>
      <c r="K25" s="228">
        <v>8</v>
      </c>
      <c r="L25" s="63">
        <v>1.0948989656951298</v>
      </c>
      <c r="M25" s="175">
        <f>2*STDEV(L25:L32)</f>
        <v>2.8464386851677222E-5</v>
      </c>
      <c r="N25" s="199">
        <f>(M25/L33)*10^6</f>
        <v>25.996995914323982</v>
      </c>
      <c r="O25" s="230">
        <v>8</v>
      </c>
      <c r="P25" s="27">
        <f>((L25/$L$33)-1)*10000</f>
        <v>-0.1064185590793354</v>
      </c>
      <c r="Q25" s="198">
        <f>2*STDEV(P25:P32)</f>
        <v>0.25996995914342785</v>
      </c>
      <c r="R25" s="228">
        <v>6</v>
      </c>
      <c r="S25" s="232">
        <v>1.038</v>
      </c>
      <c r="T25" s="230">
        <v>0.26879999999999998</v>
      </c>
      <c r="U25" s="84">
        <v>1.0915998101793214</v>
      </c>
      <c r="V25" s="175">
        <f>2*STDEV(U25:U32)</f>
        <v>2.6731694703922327E-5</v>
      </c>
      <c r="W25" s="199">
        <f>(V25/U33)*10^6</f>
        <v>24.488541383514214</v>
      </c>
      <c r="X25" s="230">
        <v>8</v>
      </c>
      <c r="Y25" s="27">
        <f>((U25/$U$33)-1)*10000</f>
        <v>-2.8348781611065021E-3</v>
      </c>
      <c r="Z25" s="198">
        <f>2*STDEV(Y25:Y32)</f>
        <v>0.24488541383454854</v>
      </c>
      <c r="AA25" s="228">
        <v>6</v>
      </c>
    </row>
    <row r="26" spans="1:27" x14ac:dyDescent="0.2">
      <c r="A26" s="81">
        <v>44607</v>
      </c>
      <c r="B26" s="17" t="s">
        <v>6</v>
      </c>
      <c r="C26" s="31">
        <v>1.1063621861100748</v>
      </c>
      <c r="D26" s="23">
        <v>6.5347597233517959E-6</v>
      </c>
      <c r="E26" s="229"/>
      <c r="F26" s="32">
        <v>-1.0196417633260408</v>
      </c>
      <c r="G26" s="8">
        <v>4.4834518695213433E-4</v>
      </c>
      <c r="H26" s="229"/>
      <c r="I26" s="32">
        <v>-0.79177662836556595</v>
      </c>
      <c r="J26" s="8">
        <v>2.2355580026207477E-3</v>
      </c>
      <c r="K26" s="229"/>
      <c r="L26" s="34">
        <v>1.0948818118159218</v>
      </c>
      <c r="M26" s="176"/>
      <c r="N26" s="196"/>
      <c r="O26" s="231"/>
      <c r="P26" s="27">
        <f t="shared" ref="P26:P32" si="4">((L26/$L$33)-1)*10000</f>
        <v>-0.26308777876349332</v>
      </c>
      <c r="Q26" s="197"/>
      <c r="R26" s="229"/>
      <c r="S26" s="233"/>
      <c r="T26" s="231"/>
      <c r="U26" s="23">
        <v>1.0915696808045314</v>
      </c>
      <c r="V26" s="176"/>
      <c r="W26" s="196"/>
      <c r="X26" s="231"/>
      <c r="Y26" s="27">
        <f t="shared" ref="Y26:Y32" si="5">((U26/$U$33)-1)*10000</f>
        <v>-0.27884597643801357</v>
      </c>
      <c r="Z26" s="197"/>
      <c r="AA26" s="229"/>
    </row>
    <row r="27" spans="1:27" x14ac:dyDescent="0.2">
      <c r="A27" s="81">
        <v>44607</v>
      </c>
      <c r="B27" s="17" t="s">
        <v>6</v>
      </c>
      <c r="C27" s="31">
        <v>1.106406553122971</v>
      </c>
      <c r="D27" s="23">
        <v>5.9849291669811795E-6</v>
      </c>
      <c r="E27" s="229"/>
      <c r="F27" s="32">
        <v>-1.0226856974239837</v>
      </c>
      <c r="G27" s="8">
        <v>4.1060790451675361E-4</v>
      </c>
      <c r="H27" s="229"/>
      <c r="I27" s="32">
        <v>-0.79263573768712958</v>
      </c>
      <c r="J27" s="8">
        <v>2.3256933633001224E-3</v>
      </c>
      <c r="K27" s="229"/>
      <c r="L27" s="34">
        <v>1.0949133267103728</v>
      </c>
      <c r="M27" s="176"/>
      <c r="N27" s="196"/>
      <c r="O27" s="231"/>
      <c r="P27" s="27">
        <f t="shared" si="4"/>
        <v>2.4742971482805132E-2</v>
      </c>
      <c r="Q27" s="197"/>
      <c r="R27" s="229"/>
      <c r="S27" s="233"/>
      <c r="T27" s="231"/>
      <c r="U27" s="23">
        <v>1.0916015521466382</v>
      </c>
      <c r="V27" s="176"/>
      <c r="W27" s="196"/>
      <c r="X27" s="231"/>
      <c r="Y27" s="27">
        <f t="shared" si="5"/>
        <v>1.3123047140073396E-2</v>
      </c>
      <c r="Z27" s="197"/>
      <c r="AA27" s="229"/>
    </row>
    <row r="28" spans="1:27" x14ac:dyDescent="0.2">
      <c r="A28" s="81">
        <v>44607</v>
      </c>
      <c r="B28" s="17" t="s">
        <v>6</v>
      </c>
      <c r="C28" s="31">
        <v>1.1064165955064924</v>
      </c>
      <c r="D28" s="23">
        <v>4.6900336026290953E-6</v>
      </c>
      <c r="E28" s="229"/>
      <c r="F28" s="32">
        <v>-1.0233746744105541</v>
      </c>
      <c r="G28" s="8">
        <v>3.2176346700181361E-4</v>
      </c>
      <c r="H28" s="229"/>
      <c r="I28" s="32">
        <v>-0.79284606918295808</v>
      </c>
      <c r="J28" s="8">
        <v>1.4765232764072794E-3</v>
      </c>
      <c r="K28" s="229"/>
      <c r="L28" s="34">
        <v>1.094920226712822</v>
      </c>
      <c r="M28" s="176"/>
      <c r="N28" s="196"/>
      <c r="O28" s="231"/>
      <c r="P28" s="27">
        <f t="shared" si="4"/>
        <v>8.7761836571331742E-2</v>
      </c>
      <c r="Q28" s="197"/>
      <c r="R28" s="229"/>
      <c r="S28" s="233"/>
      <c r="T28" s="231"/>
      <c r="U28" s="23">
        <v>1.0916085461227321</v>
      </c>
      <c r="V28" s="176"/>
      <c r="W28" s="196"/>
      <c r="X28" s="231"/>
      <c r="Y28" s="27">
        <f t="shared" si="5"/>
        <v>7.7193909426842566E-2</v>
      </c>
      <c r="Z28" s="197"/>
      <c r="AA28" s="229"/>
    </row>
    <row r="29" spans="1:27" x14ac:dyDescent="0.2">
      <c r="A29" s="81">
        <v>44607</v>
      </c>
      <c r="B29" s="17" t="s">
        <v>6</v>
      </c>
      <c r="C29" s="31">
        <v>1.1063953134204418</v>
      </c>
      <c r="D29" s="23">
        <v>5.5974968678827751E-6</v>
      </c>
      <c r="E29" s="229"/>
      <c r="F29" s="32">
        <v>-1.0219145777810259</v>
      </c>
      <c r="G29" s="8">
        <v>3.8402819761657584E-4</v>
      </c>
      <c r="H29" s="229"/>
      <c r="I29" s="32">
        <v>-0.79202360906334079</v>
      </c>
      <c r="J29" s="8">
        <v>1.6338016296084373E-3</v>
      </c>
      <c r="K29" s="229"/>
      <c r="L29" s="34">
        <v>1.0949110295057916</v>
      </c>
      <c r="M29" s="176"/>
      <c r="N29" s="196"/>
      <c r="O29" s="231"/>
      <c r="P29" s="27">
        <f t="shared" si="4"/>
        <v>3.7622215987020979E-3</v>
      </c>
      <c r="Q29" s="197"/>
      <c r="R29" s="229"/>
      <c r="S29" s="233"/>
      <c r="T29" s="231"/>
      <c r="U29" s="23">
        <v>1.0915989434352973</v>
      </c>
      <c r="V29" s="176"/>
      <c r="W29" s="196"/>
      <c r="X29" s="231"/>
      <c r="Y29" s="27">
        <f t="shared" si="5"/>
        <v>-1.0775002099450148E-2</v>
      </c>
      <c r="Z29" s="197"/>
      <c r="AA29" s="229"/>
    </row>
    <row r="30" spans="1:27" x14ac:dyDescent="0.2">
      <c r="A30" s="81">
        <v>44607</v>
      </c>
      <c r="B30" s="17" t="s">
        <v>6</v>
      </c>
      <c r="C30" s="31">
        <v>1.1063977560702238</v>
      </c>
      <c r="D30" s="23">
        <v>1.6214233498353466E-5</v>
      </c>
      <c r="E30" s="229"/>
      <c r="F30" s="32">
        <v>-1.0220820553007188</v>
      </c>
      <c r="G30" s="8">
        <v>1.1123679828661415E-3</v>
      </c>
      <c r="H30" s="229"/>
      <c r="I30" s="32">
        <v>-0.79103820080325526</v>
      </c>
      <c r="J30" s="8">
        <v>2.2775410780544376E-3</v>
      </c>
      <c r="K30" s="229"/>
      <c r="L30" s="34">
        <v>1.0949276620262773</v>
      </c>
      <c r="M30" s="176"/>
      <c r="N30" s="196"/>
      <c r="O30" s="231"/>
      <c r="P30" s="27">
        <f t="shared" si="4"/>
        <v>0.15566978573078316</v>
      </c>
      <c r="Q30" s="197"/>
      <c r="R30" s="229"/>
      <c r="S30" s="233"/>
      <c r="T30" s="231"/>
      <c r="U30" s="23">
        <v>1.0916150056920737</v>
      </c>
      <c r="V30" s="176"/>
      <c r="W30" s="196"/>
      <c r="X30" s="231"/>
      <c r="Y30" s="27">
        <f>((U30/$U$33)-1)*10000</f>
        <v>0.13636914425463331</v>
      </c>
      <c r="Z30" s="197"/>
      <c r="AA30" s="229"/>
    </row>
    <row r="31" spans="1:27" x14ac:dyDescent="0.2">
      <c r="A31" s="81">
        <v>44607</v>
      </c>
      <c r="B31" s="17" t="s">
        <v>6</v>
      </c>
      <c r="C31" s="31">
        <v>1.1064096814870843</v>
      </c>
      <c r="D31" s="23">
        <v>5.6928559563373724E-6</v>
      </c>
      <c r="E31" s="229"/>
      <c r="F31" s="32">
        <v>-1.0229003251065591</v>
      </c>
      <c r="G31" s="8">
        <v>3.9056749962785876E-4</v>
      </c>
      <c r="H31" s="229"/>
      <c r="I31" s="32">
        <v>-0.79277668699965587</v>
      </c>
      <c r="J31" s="8">
        <v>2.3051268037504826E-3</v>
      </c>
      <c r="K31" s="229"/>
      <c r="L31" s="34">
        <v>1.0949143893377078</v>
      </c>
      <c r="M31" s="176"/>
      <c r="N31" s="196"/>
      <c r="O31" s="231"/>
      <c r="P31" s="27">
        <f t="shared" si="4"/>
        <v>3.4448122916419521E-2</v>
      </c>
      <c r="Q31" s="197"/>
      <c r="R31" s="229"/>
      <c r="S31" s="233"/>
      <c r="T31" s="231"/>
      <c r="U31" s="23">
        <v>1.0916026858847425</v>
      </c>
      <c r="V31" s="176"/>
      <c r="W31" s="196"/>
      <c r="X31" s="231"/>
      <c r="Y31" s="27">
        <f t="shared" si="5"/>
        <v>2.3509067477167633E-2</v>
      </c>
      <c r="Z31" s="197"/>
      <c r="AA31" s="229"/>
    </row>
    <row r="32" spans="1:27" x14ac:dyDescent="0.2">
      <c r="A32" s="81">
        <v>44607</v>
      </c>
      <c r="B32" s="17" t="s">
        <v>6</v>
      </c>
      <c r="C32" s="31">
        <v>1.10638283476414</v>
      </c>
      <c r="D32" s="23">
        <v>5.8215134110970468E-6</v>
      </c>
      <c r="E32" s="229"/>
      <c r="F32" s="32">
        <v>-1.0210584449013627</v>
      </c>
      <c r="G32" s="8">
        <v>3.9940406192923281E-4</v>
      </c>
      <c r="H32" s="229"/>
      <c r="I32" s="32">
        <v>-0.79071707017106341</v>
      </c>
      <c r="J32" s="8">
        <v>2.0446728441030418E-3</v>
      </c>
      <c r="K32" s="229"/>
      <c r="L32" s="104">
        <v>1.0949175288052087</v>
      </c>
      <c r="M32" s="176"/>
      <c r="N32" s="196"/>
      <c r="O32" s="231"/>
      <c r="P32" s="27">
        <f t="shared" si="4"/>
        <v>6.3121399533905276E-2</v>
      </c>
      <c r="Q32" s="197"/>
      <c r="R32" s="229"/>
      <c r="S32" s="233"/>
      <c r="T32" s="231"/>
      <c r="U32" s="23">
        <v>1.0916047328119058</v>
      </c>
      <c r="V32" s="176"/>
      <c r="W32" s="196"/>
      <c r="X32" s="231"/>
      <c r="Y32" s="27">
        <f t="shared" si="5"/>
        <v>4.2260688390971524E-2</v>
      </c>
      <c r="Z32" s="197"/>
      <c r="AA32" s="229"/>
    </row>
    <row r="33" spans="1:27" ht="17" thickBot="1" x14ac:dyDescent="0.25">
      <c r="A33" s="87" t="s">
        <v>7</v>
      </c>
      <c r="B33" s="99"/>
      <c r="C33" s="101">
        <f>AVERAGE(C25:C32)</f>
        <v>1.1064388876222582</v>
      </c>
      <c r="D33" s="99"/>
      <c r="E33" s="100"/>
      <c r="F33" s="103"/>
      <c r="G33" s="99"/>
      <c r="H33" s="100"/>
      <c r="I33" s="103"/>
      <c r="J33" s="99"/>
      <c r="K33" s="100"/>
      <c r="L33" s="101">
        <f>AVERAGE(L25:L32)</f>
        <v>1.094910617576154</v>
      </c>
      <c r="M33" s="99"/>
      <c r="N33" s="99"/>
      <c r="O33" s="99"/>
      <c r="P33" s="99"/>
      <c r="Q33" s="99"/>
      <c r="R33" s="100"/>
      <c r="S33" s="99"/>
      <c r="T33" s="99"/>
      <c r="U33" s="89">
        <f>AVERAGE(U25:U32)</f>
        <v>1.0916001196346554</v>
      </c>
      <c r="V33" s="99"/>
      <c r="W33" s="99"/>
      <c r="X33" s="99"/>
      <c r="Y33" s="99"/>
      <c r="Z33" s="99"/>
      <c r="AA33" s="100"/>
    </row>
  </sheetData>
  <mergeCells count="72">
    <mergeCell ref="E25:E32"/>
    <mergeCell ref="H25:H32"/>
    <mergeCell ref="K25:K32"/>
    <mergeCell ref="AA25:AA32"/>
    <mergeCell ref="Z25:Z32"/>
    <mergeCell ref="X25:X32"/>
    <mergeCell ref="W25:W32"/>
    <mergeCell ref="V25:V32"/>
    <mergeCell ref="T25:T32"/>
    <mergeCell ref="S25:S32"/>
    <mergeCell ref="R25:R32"/>
    <mergeCell ref="O25:O32"/>
    <mergeCell ref="N25:N32"/>
    <mergeCell ref="Q25:Q32"/>
    <mergeCell ref="M25:M32"/>
    <mergeCell ref="Z1:Z3"/>
    <mergeCell ref="AA1:AA3"/>
    <mergeCell ref="V4:V10"/>
    <mergeCell ref="W4:W10"/>
    <mergeCell ref="Z4:Z10"/>
    <mergeCell ref="X1:X3"/>
    <mergeCell ref="Y1:Y3"/>
    <mergeCell ref="V1:V3"/>
    <mergeCell ref="J1:J3"/>
    <mergeCell ref="O1:O3"/>
    <mergeCell ref="Q1:Q3"/>
    <mergeCell ref="R1:R3"/>
    <mergeCell ref="W1:W3"/>
    <mergeCell ref="K1:K3"/>
    <mergeCell ref="M1:M3"/>
    <mergeCell ref="N1:N3"/>
    <mergeCell ref="P1:P3"/>
    <mergeCell ref="S1:S3"/>
    <mergeCell ref="T1:T3"/>
    <mergeCell ref="U1:U3"/>
    <mergeCell ref="L1:L3"/>
    <mergeCell ref="AA12:AA23"/>
    <mergeCell ref="S4:S10"/>
    <mergeCell ref="T4:T10"/>
    <mergeCell ref="X4:X10"/>
    <mergeCell ref="AA4:AA10"/>
    <mergeCell ref="S12:S23"/>
    <mergeCell ref="Z12:Z23"/>
    <mergeCell ref="T12:T23"/>
    <mergeCell ref="X12:X23"/>
    <mergeCell ref="W12:W23"/>
    <mergeCell ref="V12:V23"/>
    <mergeCell ref="E12:E23"/>
    <mergeCell ref="H12:H23"/>
    <mergeCell ref="K12:K23"/>
    <mergeCell ref="O12:O23"/>
    <mergeCell ref="R12:R23"/>
    <mergeCell ref="N12:N23"/>
    <mergeCell ref="M12:M23"/>
    <mergeCell ref="Q12:Q23"/>
    <mergeCell ref="E4:E10"/>
    <mergeCell ref="H4:H10"/>
    <mergeCell ref="K4:K10"/>
    <mergeCell ref="O4:O10"/>
    <mergeCell ref="R4:R10"/>
    <mergeCell ref="N4:N10"/>
    <mergeCell ref="M4:M10"/>
    <mergeCell ref="Q4:Q10"/>
    <mergeCell ref="A1:A3"/>
    <mergeCell ref="B1:B3"/>
    <mergeCell ref="C1:C3"/>
    <mergeCell ref="F1:F3"/>
    <mergeCell ref="I1:I3"/>
    <mergeCell ref="D1:D3"/>
    <mergeCell ref="E1:E3"/>
    <mergeCell ref="G1:G3"/>
    <mergeCell ref="H1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EB23-7233-044E-9E4F-E80E4AACD1E3}">
  <dimension ref="A1:E67"/>
  <sheetViews>
    <sheetView workbookViewId="0">
      <selection activeCell="D2" sqref="D2"/>
    </sheetView>
  </sheetViews>
  <sheetFormatPr baseColWidth="10" defaultRowHeight="16" x14ac:dyDescent="0.2"/>
  <cols>
    <col min="1" max="1" width="22.5" customWidth="1"/>
    <col min="2" max="2" width="22.6640625" customWidth="1"/>
    <col min="3" max="3" width="15.1640625" customWidth="1"/>
    <col min="4" max="4" width="48.1640625" customWidth="1"/>
  </cols>
  <sheetData>
    <row r="1" spans="1:5" ht="35" thickBot="1" x14ac:dyDescent="0.25">
      <c r="A1" s="108" t="s">
        <v>88</v>
      </c>
      <c r="B1" s="11" t="s">
        <v>41</v>
      </c>
      <c r="C1" s="10" t="s">
        <v>11</v>
      </c>
      <c r="D1" s="10" t="s">
        <v>91</v>
      </c>
      <c r="E1" s="157"/>
    </row>
    <row r="2" spans="1:5" x14ac:dyDescent="0.2">
      <c r="A2" s="6">
        <v>44546</v>
      </c>
      <c r="B2" s="9">
        <v>31.837843758927864</v>
      </c>
      <c r="C2" s="9">
        <v>-0.63394474536404566</v>
      </c>
      <c r="D2" s="9">
        <v>0.38131872130584232</v>
      </c>
    </row>
    <row r="3" spans="1:5" x14ac:dyDescent="0.2">
      <c r="A3" s="18">
        <v>44546</v>
      </c>
      <c r="B3" s="109">
        <v>0.22735662124901973</v>
      </c>
      <c r="C3" s="109">
        <v>0.20397404376648609</v>
      </c>
      <c r="D3" s="109">
        <v>0.38131872130584232</v>
      </c>
    </row>
    <row r="4" spans="1:5" x14ac:dyDescent="0.2">
      <c r="A4" s="6">
        <v>44546</v>
      </c>
      <c r="B4" s="9">
        <v>0.6003090155339732</v>
      </c>
      <c r="C4" s="9">
        <v>-0.19029986382590458</v>
      </c>
      <c r="D4" s="9">
        <v>0.38131872130584232</v>
      </c>
    </row>
    <row r="5" spans="1:5" x14ac:dyDescent="0.2">
      <c r="A5" s="18">
        <v>44546</v>
      </c>
      <c r="B5" s="109">
        <v>3.4427634310999999</v>
      </c>
      <c r="C5" s="109">
        <v>-0.22397007899854771</v>
      </c>
      <c r="D5" s="109">
        <v>0.38131872130584232</v>
      </c>
    </row>
    <row r="6" spans="1:5" x14ac:dyDescent="0.2">
      <c r="A6" s="6">
        <v>44546</v>
      </c>
      <c r="B6" s="9">
        <v>1.37197867216332</v>
      </c>
      <c r="C6" s="9">
        <v>-0.12243564353586756</v>
      </c>
      <c r="D6" s="9">
        <v>0.38131872130584232</v>
      </c>
    </row>
    <row r="7" spans="1:5" x14ac:dyDescent="0.2">
      <c r="A7" s="18">
        <v>44546</v>
      </c>
      <c r="B7" s="109">
        <v>6.5883748634110511</v>
      </c>
      <c r="C7" s="109">
        <v>-0.61868596785141783</v>
      </c>
      <c r="D7" s="109">
        <v>0.38131872130584232</v>
      </c>
    </row>
    <row r="8" spans="1:5" x14ac:dyDescent="0.2">
      <c r="A8" s="6">
        <v>44546</v>
      </c>
      <c r="B8" s="9">
        <v>2.7764310057513155</v>
      </c>
      <c r="C8" s="9">
        <v>-0.21926248535475423</v>
      </c>
      <c r="D8" s="9">
        <v>0.38131872130584232</v>
      </c>
    </row>
    <row r="9" spans="1:5" x14ac:dyDescent="0.2">
      <c r="A9" s="18">
        <v>44546</v>
      </c>
      <c r="B9" s="109">
        <v>1.8926224977558259</v>
      </c>
      <c r="C9" s="109">
        <v>-0.48535217774703376</v>
      </c>
      <c r="D9" s="109">
        <v>0.38131872130584232</v>
      </c>
    </row>
    <row r="10" spans="1:5" x14ac:dyDescent="0.2">
      <c r="A10" s="6">
        <v>44546</v>
      </c>
      <c r="B10" s="9">
        <v>3.5803538398165022</v>
      </c>
      <c r="C10" s="9">
        <v>-0.38722855654094168</v>
      </c>
      <c r="D10" s="9">
        <v>0.38131872130584232</v>
      </c>
    </row>
    <row r="11" spans="1:5" x14ac:dyDescent="0.2">
      <c r="A11" s="6">
        <v>44546</v>
      </c>
      <c r="B11" s="9">
        <v>2.3435331645658852</v>
      </c>
      <c r="C11" s="9">
        <v>-0.33841950166202395</v>
      </c>
      <c r="D11" s="9">
        <v>0.38131872130584232</v>
      </c>
    </row>
    <row r="12" spans="1:5" x14ac:dyDescent="0.2">
      <c r="A12" s="6">
        <v>44546</v>
      </c>
      <c r="B12" s="9">
        <v>14.58713103917572</v>
      </c>
      <c r="C12" s="9">
        <v>-0.67095327722310749</v>
      </c>
      <c r="D12" s="9">
        <v>0.38131872130584232</v>
      </c>
    </row>
    <row r="13" spans="1:5" x14ac:dyDescent="0.2">
      <c r="A13" s="18">
        <v>44546</v>
      </c>
      <c r="B13" s="109">
        <v>1.4324301461403788</v>
      </c>
      <c r="C13" s="109">
        <v>0.43116055794767405</v>
      </c>
      <c r="D13" s="109">
        <v>0.38131872130584232</v>
      </c>
    </row>
    <row r="14" spans="1:5" x14ac:dyDescent="0.2">
      <c r="A14" s="6">
        <v>44546</v>
      </c>
      <c r="B14" s="9">
        <v>2.1695071084457522</v>
      </c>
      <c r="C14" s="9">
        <v>0.40350782997577994</v>
      </c>
      <c r="D14" s="9">
        <v>0.38131872130584232</v>
      </c>
    </row>
    <row r="15" spans="1:5" x14ac:dyDescent="0.2">
      <c r="A15" s="18">
        <v>44546</v>
      </c>
      <c r="B15" s="109">
        <v>2.5506859226152168</v>
      </c>
      <c r="C15" s="109">
        <v>0.84093476238500386</v>
      </c>
      <c r="D15" s="109">
        <v>0.38131872130584232</v>
      </c>
    </row>
    <row r="16" spans="1:5" x14ac:dyDescent="0.2">
      <c r="A16" s="6">
        <v>44546</v>
      </c>
      <c r="B16" s="9">
        <v>3.0088600588829459</v>
      </c>
      <c r="C16" s="9">
        <v>0.39834309325526007</v>
      </c>
      <c r="D16" s="9">
        <v>0.38131872130584232</v>
      </c>
    </row>
    <row r="17" spans="1:4" x14ac:dyDescent="0.2">
      <c r="A17" s="18">
        <v>44546</v>
      </c>
      <c r="B17" s="109">
        <v>4.1220215832605671</v>
      </c>
      <c r="C17" s="109">
        <v>-0.19440121906133534</v>
      </c>
      <c r="D17" s="109">
        <v>0.38131872130584232</v>
      </c>
    </row>
    <row r="18" spans="1:4" x14ac:dyDescent="0.2">
      <c r="A18" s="6">
        <v>44546</v>
      </c>
      <c r="B18" s="9">
        <v>2.6295706865422437</v>
      </c>
      <c r="C18" s="9">
        <v>-0.37840015061574306</v>
      </c>
      <c r="D18" s="9">
        <v>0.38131872130584232</v>
      </c>
    </row>
    <row r="19" spans="1:4" x14ac:dyDescent="0.2">
      <c r="A19" s="18">
        <v>44546</v>
      </c>
      <c r="B19" s="109">
        <v>2.0014005331306213</v>
      </c>
      <c r="C19" s="109">
        <v>-0.26921369779553395</v>
      </c>
      <c r="D19" s="109">
        <v>0.38131872130584232</v>
      </c>
    </row>
    <row r="20" spans="1:4" x14ac:dyDescent="0.2">
      <c r="A20" s="6">
        <v>44546</v>
      </c>
      <c r="B20" s="9">
        <v>1.5958858415890342</v>
      </c>
      <c r="C20" s="9">
        <v>-0.22414534208370362</v>
      </c>
      <c r="D20" s="9">
        <v>0.38131872130584232</v>
      </c>
    </row>
    <row r="21" spans="1:4" x14ac:dyDescent="0.2">
      <c r="A21" s="18">
        <v>44546</v>
      </c>
      <c r="B21" s="109">
        <v>3.6096223813737405</v>
      </c>
      <c r="C21" s="109">
        <v>-0.29604710508612797</v>
      </c>
      <c r="D21" s="109">
        <v>0.38131872130584232</v>
      </c>
    </row>
    <row r="22" spans="1:4" x14ac:dyDescent="0.2">
      <c r="A22" s="6">
        <v>44546</v>
      </c>
      <c r="B22" s="9">
        <v>3.0912563405068569</v>
      </c>
      <c r="C22" s="9">
        <v>-0.137698003793707</v>
      </c>
      <c r="D22" s="9">
        <v>0.38131872130584232</v>
      </c>
    </row>
    <row r="23" spans="1:4" x14ac:dyDescent="0.2">
      <c r="A23" s="18">
        <v>44546</v>
      </c>
      <c r="B23" s="109">
        <v>1.5281555606287027</v>
      </c>
      <c r="C23" s="109">
        <v>0.20356366229545841</v>
      </c>
      <c r="D23" s="109">
        <v>0.38131872130584232</v>
      </c>
    </row>
    <row r="24" spans="1:4" x14ac:dyDescent="0.2">
      <c r="A24" s="6">
        <v>44546</v>
      </c>
      <c r="B24" s="9">
        <v>2.6939901659313894</v>
      </c>
      <c r="C24" s="9">
        <v>-0.2360893143471543</v>
      </c>
      <c r="D24" s="9">
        <v>0.38131872130584232</v>
      </c>
    </row>
    <row r="25" spans="1:4" x14ac:dyDescent="0.2">
      <c r="A25" s="18">
        <v>44546</v>
      </c>
      <c r="B25" s="109">
        <v>2.2541278353585876</v>
      </c>
      <c r="C25" s="109">
        <v>-0.1338489294056</v>
      </c>
      <c r="D25" s="109">
        <v>0.38131872130584232</v>
      </c>
    </row>
    <row r="26" spans="1:4" x14ac:dyDescent="0.2">
      <c r="A26" s="6">
        <v>44546</v>
      </c>
      <c r="B26" s="9">
        <v>3.221146060136522</v>
      </c>
      <c r="C26" s="9">
        <v>-0.10564502785137542</v>
      </c>
      <c r="D26" s="9">
        <v>0.38131872130584232</v>
      </c>
    </row>
    <row r="27" spans="1:4" x14ac:dyDescent="0.2">
      <c r="A27" s="18">
        <v>44546</v>
      </c>
      <c r="B27" s="109">
        <v>3.5984121387393482</v>
      </c>
      <c r="C27" s="109">
        <v>-0.13423607707618856</v>
      </c>
      <c r="D27" s="109">
        <v>0.38131872130584232</v>
      </c>
    </row>
    <row r="28" spans="1:4" x14ac:dyDescent="0.2">
      <c r="A28" s="13">
        <v>44547</v>
      </c>
      <c r="B28" s="14">
        <v>37.062202527167841</v>
      </c>
      <c r="C28" s="14">
        <v>1.191359838559336E-2</v>
      </c>
      <c r="D28" s="14">
        <v>0.21428688358868031</v>
      </c>
    </row>
    <row r="29" spans="1:4" x14ac:dyDescent="0.2">
      <c r="A29" s="19">
        <v>44547</v>
      </c>
      <c r="B29" s="110">
        <v>0.26511310486026923</v>
      </c>
      <c r="C29" s="110">
        <v>-4.5861171927841227E-2</v>
      </c>
      <c r="D29" s="110">
        <v>0.21428688358868031</v>
      </c>
    </row>
    <row r="30" spans="1:4" x14ac:dyDescent="0.2">
      <c r="A30" s="13">
        <v>44547</v>
      </c>
      <c r="B30" s="14">
        <v>0.58184485205554282</v>
      </c>
      <c r="C30" s="14">
        <v>0.10175409425494664</v>
      </c>
      <c r="D30" s="14">
        <v>0.21428688358868031</v>
      </c>
    </row>
    <row r="31" spans="1:4" x14ac:dyDescent="0.2">
      <c r="A31" s="19">
        <v>44547</v>
      </c>
      <c r="B31" s="110">
        <v>3.2567711909372625</v>
      </c>
      <c r="C31" s="110">
        <v>-0.12794457383447089</v>
      </c>
      <c r="D31" s="110">
        <v>0.21428688358868031</v>
      </c>
    </row>
    <row r="32" spans="1:4" x14ac:dyDescent="0.2">
      <c r="A32" s="13">
        <v>44547</v>
      </c>
      <c r="B32" s="14">
        <v>1.3495613474362886</v>
      </c>
      <c r="C32" s="14">
        <v>0.10843747595412623</v>
      </c>
      <c r="D32" s="14">
        <v>0.21428688358868031</v>
      </c>
    </row>
    <row r="33" spans="1:4" x14ac:dyDescent="0.2">
      <c r="A33" s="19">
        <v>44547</v>
      </c>
      <c r="B33" s="110">
        <v>6.0994515150851685</v>
      </c>
      <c r="C33" s="110">
        <v>-0.36370970308174932</v>
      </c>
      <c r="D33" s="110">
        <v>0.21428688358868031</v>
      </c>
    </row>
    <row r="34" spans="1:4" x14ac:dyDescent="0.2">
      <c r="A34" s="13">
        <v>44547</v>
      </c>
      <c r="B34" s="14">
        <v>2.6458835273771992</v>
      </c>
      <c r="C34" s="14">
        <v>-0.11220445106929766</v>
      </c>
      <c r="D34" s="14">
        <v>0.21428688358868031</v>
      </c>
    </row>
    <row r="35" spans="1:4" x14ac:dyDescent="0.2">
      <c r="A35" s="13">
        <v>44547</v>
      </c>
      <c r="B35" s="14">
        <v>1.7391158525071682</v>
      </c>
      <c r="C35" s="14">
        <v>3.5853914206462889E-2</v>
      </c>
      <c r="D35" s="14">
        <v>0.21428688358868031</v>
      </c>
    </row>
    <row r="36" spans="1:4" x14ac:dyDescent="0.2">
      <c r="A36" s="13">
        <v>44547</v>
      </c>
      <c r="B36" s="14">
        <v>3.2148000110311084</v>
      </c>
      <c r="C36" s="14">
        <v>-2.211036785104703E-2</v>
      </c>
      <c r="D36" s="14">
        <v>0.21428688358868031</v>
      </c>
    </row>
    <row r="37" spans="1:4" x14ac:dyDescent="0.2">
      <c r="A37" s="13">
        <v>44547</v>
      </c>
      <c r="B37" s="14">
        <v>2.1185300617789671</v>
      </c>
      <c r="C37" s="14">
        <v>-0.1217417782339858</v>
      </c>
      <c r="D37" s="14">
        <v>0.21428688358868031</v>
      </c>
    </row>
    <row r="38" spans="1:4" x14ac:dyDescent="0.2">
      <c r="A38" s="13">
        <v>44547</v>
      </c>
      <c r="B38" s="14">
        <v>12.997230161051551</v>
      </c>
      <c r="C38" s="14">
        <v>-0.65860578726262275</v>
      </c>
      <c r="D38" s="14">
        <v>0.21428688358868031</v>
      </c>
    </row>
    <row r="39" spans="1:4" x14ac:dyDescent="0.2">
      <c r="A39" s="13">
        <v>44547</v>
      </c>
      <c r="B39" s="14">
        <v>1.239167712128495</v>
      </c>
      <c r="C39" s="14">
        <v>0.33087878344773003</v>
      </c>
      <c r="D39" s="14">
        <v>0.21428688358868031</v>
      </c>
    </row>
    <row r="40" spans="1:4" x14ac:dyDescent="0.2">
      <c r="A40" s="13">
        <v>44547</v>
      </c>
      <c r="B40" s="14">
        <v>2.0134737459645446</v>
      </c>
      <c r="C40" s="14">
        <v>6.3661331910491725E-2</v>
      </c>
      <c r="D40" s="14">
        <v>0.21428688358868031</v>
      </c>
    </row>
    <row r="41" spans="1:4" x14ac:dyDescent="0.2">
      <c r="A41" s="13">
        <v>44547</v>
      </c>
      <c r="B41" s="14">
        <v>2.3761459409739474</v>
      </c>
      <c r="C41" s="14">
        <v>0.17453507270337454</v>
      </c>
      <c r="D41" s="14">
        <v>0.21428688358868031</v>
      </c>
    </row>
    <row r="42" spans="1:4" x14ac:dyDescent="0.2">
      <c r="A42" s="111">
        <v>44547</v>
      </c>
      <c r="B42" s="106">
        <v>2.7322154528409315</v>
      </c>
      <c r="C42" s="106">
        <v>-0.14219211007304722</v>
      </c>
      <c r="D42" s="106">
        <v>0.21428688358868031</v>
      </c>
    </row>
    <row r="43" spans="1:4" x14ac:dyDescent="0.2">
      <c r="A43" s="111">
        <v>44547</v>
      </c>
      <c r="B43" s="106">
        <v>3.7934473619024036</v>
      </c>
      <c r="C43" s="106">
        <v>3.4503516279649205E-2</v>
      </c>
      <c r="D43" s="106">
        <v>0.21428688358868031</v>
      </c>
    </row>
    <row r="44" spans="1:4" x14ac:dyDescent="0.2">
      <c r="A44" s="111">
        <v>44547</v>
      </c>
      <c r="B44" s="106">
        <v>2.4273321616049586</v>
      </c>
      <c r="C44" s="106">
        <v>2.2543641844396944E-2</v>
      </c>
      <c r="D44" s="106">
        <v>0.21428688358868031</v>
      </c>
    </row>
    <row r="45" spans="1:4" x14ac:dyDescent="0.2">
      <c r="A45" s="111">
        <v>44547</v>
      </c>
      <c r="B45" s="106">
        <v>1.8195515427233389</v>
      </c>
      <c r="C45" s="106">
        <v>0.29129156958074276</v>
      </c>
      <c r="D45" s="106">
        <v>0.21428688358868031</v>
      </c>
    </row>
    <row r="46" spans="1:4" x14ac:dyDescent="0.2">
      <c r="A46" s="111">
        <v>44547</v>
      </c>
      <c r="B46" s="106">
        <v>1.6273987980111038</v>
      </c>
      <c r="C46" s="106">
        <v>0.15999955512935315</v>
      </c>
      <c r="D46" s="106">
        <v>0.21428688358868031</v>
      </c>
    </row>
    <row r="47" spans="1:4" x14ac:dyDescent="0.2">
      <c r="A47" s="111">
        <v>44547</v>
      </c>
      <c r="B47" s="106">
        <v>3.7048181621920522</v>
      </c>
      <c r="C47" s="106">
        <v>-0.28126932863914433</v>
      </c>
      <c r="D47" s="106">
        <v>0.21428688358868031</v>
      </c>
    </row>
    <row r="48" spans="1:4" x14ac:dyDescent="0.2">
      <c r="A48" s="111">
        <v>44547</v>
      </c>
      <c r="B48" s="106">
        <v>2.9981858530408827</v>
      </c>
      <c r="C48" s="106">
        <v>-0.21983639400979804</v>
      </c>
      <c r="D48" s="106">
        <v>0.21428688358868031</v>
      </c>
    </row>
    <row r="49" spans="1:4" x14ac:dyDescent="0.2">
      <c r="A49" s="111">
        <v>44547</v>
      </c>
      <c r="B49" s="106">
        <v>1.5872389319723748</v>
      </c>
      <c r="C49" s="106">
        <v>0.14596922973453275</v>
      </c>
      <c r="D49" s="106">
        <v>0.21428688358868031</v>
      </c>
    </row>
    <row r="50" spans="1:4" x14ac:dyDescent="0.2">
      <c r="A50" s="111">
        <v>44547</v>
      </c>
      <c r="B50" s="106">
        <v>2.7560162679163693</v>
      </c>
      <c r="C50" s="106">
        <v>-0.24293518939400016</v>
      </c>
      <c r="D50" s="106">
        <v>0.21428688358868031</v>
      </c>
    </row>
    <row r="51" spans="1:4" x14ac:dyDescent="0.2">
      <c r="A51" s="111">
        <v>44547</v>
      </c>
      <c r="B51" s="106">
        <v>2.2612910267553974</v>
      </c>
      <c r="C51" s="106">
        <v>-4.0397260958613401E-2</v>
      </c>
      <c r="D51" s="106">
        <v>0.21428688358868031</v>
      </c>
    </row>
    <row r="52" spans="1:4" x14ac:dyDescent="0.2">
      <c r="A52" s="111">
        <v>44547</v>
      </c>
      <c r="B52" s="106">
        <v>3.0874897053672843</v>
      </c>
      <c r="C52" s="106">
        <v>2.8217494207893878E-3</v>
      </c>
      <c r="D52" s="106">
        <v>0.21428688358868031</v>
      </c>
    </row>
    <row r="53" spans="1:4" x14ac:dyDescent="0.2">
      <c r="A53" s="111">
        <v>44547</v>
      </c>
      <c r="B53" s="106">
        <v>3.495600594110841</v>
      </c>
      <c r="C53" s="106">
        <v>-0.1903223086585637</v>
      </c>
      <c r="D53" s="106">
        <v>0.21428688358868031</v>
      </c>
    </row>
    <row r="54" spans="1:4" x14ac:dyDescent="0.2">
      <c r="A54" s="79">
        <v>44606</v>
      </c>
      <c r="B54" s="20">
        <v>0.6094897989414666</v>
      </c>
      <c r="C54" s="20">
        <v>0.2029907747291837</v>
      </c>
      <c r="D54" s="20">
        <v>0.50728086926093829</v>
      </c>
    </row>
    <row r="55" spans="1:4" x14ac:dyDescent="0.2">
      <c r="A55" s="79">
        <v>44606</v>
      </c>
      <c r="B55" s="20">
        <v>12.132129362965872</v>
      </c>
      <c r="C55" s="20">
        <v>4.4925697491038363E-2</v>
      </c>
      <c r="D55" s="20">
        <v>0.50728086926093829</v>
      </c>
    </row>
    <row r="56" spans="1:4" x14ac:dyDescent="0.2">
      <c r="A56" s="79">
        <v>44606</v>
      </c>
      <c r="B56" s="20">
        <v>1.2513188962694997</v>
      </c>
      <c r="C56" s="20">
        <v>0.35810398935520737</v>
      </c>
      <c r="D56" s="20">
        <v>0.50728086926093829</v>
      </c>
    </row>
    <row r="57" spans="1:4" x14ac:dyDescent="0.2">
      <c r="A57" s="79">
        <v>44606</v>
      </c>
      <c r="B57" s="20">
        <v>6.3410908063809197</v>
      </c>
      <c r="C57" s="20">
        <v>-0.40582310762204976</v>
      </c>
      <c r="D57" s="20">
        <v>0.50728086926093829</v>
      </c>
    </row>
    <row r="58" spans="1:4" x14ac:dyDescent="0.2">
      <c r="A58" s="79">
        <v>44606</v>
      </c>
      <c r="B58" s="20">
        <v>2.406682808139526</v>
      </c>
      <c r="C58" s="20">
        <v>-4.4028259723605245E-2</v>
      </c>
      <c r="D58" s="20">
        <v>0.50728086926093829</v>
      </c>
    </row>
    <row r="59" spans="1:4" x14ac:dyDescent="0.2">
      <c r="A59" s="79">
        <v>44606</v>
      </c>
      <c r="B59" s="20">
        <v>4.6917846854493828</v>
      </c>
      <c r="C59" s="20">
        <v>-0.42849774745112867</v>
      </c>
      <c r="D59" s="20">
        <v>0.50728086926093829</v>
      </c>
    </row>
    <row r="60" spans="1:4" x14ac:dyDescent="0.2">
      <c r="A60" s="79">
        <v>44606</v>
      </c>
      <c r="B60" s="20">
        <v>3.6392388380004763</v>
      </c>
      <c r="C60" s="20">
        <v>9.6708513042109701E-3</v>
      </c>
      <c r="D60" s="20">
        <v>0.50728086926093829</v>
      </c>
    </row>
    <row r="61" spans="1:4" x14ac:dyDescent="0.2">
      <c r="A61" s="79">
        <v>44606</v>
      </c>
      <c r="B61" s="20">
        <v>3.7380286475695148</v>
      </c>
      <c r="C61" s="20">
        <v>-0.16581143896132744</v>
      </c>
      <c r="D61" s="20">
        <v>0.50728086926093829</v>
      </c>
    </row>
    <row r="62" spans="1:4" x14ac:dyDescent="0.2">
      <c r="A62" s="79">
        <v>44606</v>
      </c>
      <c r="B62" s="20">
        <v>12.051495907534026</v>
      </c>
      <c r="C62" s="20">
        <v>-0.64495696005195668</v>
      </c>
      <c r="D62" s="20">
        <v>0.50728086926093829</v>
      </c>
    </row>
    <row r="63" spans="1:4" x14ac:dyDescent="0.2">
      <c r="A63" s="79">
        <v>44606</v>
      </c>
      <c r="B63" s="20">
        <v>2.3522759038728269</v>
      </c>
      <c r="C63" s="20">
        <v>-2.5679139388223859E-2</v>
      </c>
      <c r="D63" s="20">
        <v>0.50728086926093829</v>
      </c>
    </row>
    <row r="64" spans="1:4" x14ac:dyDescent="0.2">
      <c r="A64" s="79">
        <v>44606</v>
      </c>
      <c r="B64" s="20">
        <v>0.58827423275799551</v>
      </c>
      <c r="C64" s="20">
        <v>-0.31442774116818839</v>
      </c>
      <c r="D64" s="20">
        <v>0.50728086926093829</v>
      </c>
    </row>
    <row r="65" spans="1:4" x14ac:dyDescent="0.2">
      <c r="A65" s="79">
        <v>44606</v>
      </c>
      <c r="B65" s="20">
        <v>4.5738910135647455</v>
      </c>
      <c r="C65" s="20">
        <v>-0.3994135837703805</v>
      </c>
      <c r="D65" s="20">
        <v>0.50728086926093829</v>
      </c>
    </row>
    <row r="66" spans="1:4" x14ac:dyDescent="0.2">
      <c r="A66" s="79">
        <v>44606</v>
      </c>
      <c r="B66" s="20">
        <v>6.208667815398119</v>
      </c>
      <c r="C66" s="20">
        <v>-0.54126845805191337</v>
      </c>
      <c r="D66" s="20">
        <v>0.50728086926093829</v>
      </c>
    </row>
    <row r="67" spans="1:4" x14ac:dyDescent="0.2">
      <c r="A67" s="79">
        <v>44606</v>
      </c>
      <c r="B67" s="20">
        <v>1.2055750990593455</v>
      </c>
      <c r="C67" s="20">
        <v>0.28047930540120447</v>
      </c>
      <c r="D67" s="20">
        <v>0.50728086926093829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5893A-DDEB-0F44-A5CF-15C3BBB9E639}">
  <dimension ref="B1:L86"/>
  <sheetViews>
    <sheetView zoomScale="75" workbookViewId="0">
      <selection activeCell="C55" sqref="C55"/>
    </sheetView>
  </sheetViews>
  <sheetFormatPr baseColWidth="10" defaultRowHeight="16" x14ac:dyDescent="0.2"/>
  <cols>
    <col min="1" max="1" width="10.83203125" style="1"/>
    <col min="2" max="2" width="30.1640625" style="1" customWidth="1"/>
    <col min="3" max="3" width="24.1640625" style="1" customWidth="1"/>
    <col min="4" max="4" width="10.83203125" style="1"/>
    <col min="5" max="5" width="21.83203125" style="1" customWidth="1"/>
    <col min="6" max="6" width="22" style="1" customWidth="1"/>
    <col min="7" max="7" width="25.6640625" style="1" customWidth="1"/>
    <col min="8" max="8" width="57.33203125" style="1" customWidth="1"/>
    <col min="9" max="9" width="28.5" style="1" customWidth="1"/>
    <col min="10" max="10" width="23.1640625" style="1" customWidth="1"/>
    <col min="11" max="11" width="17.6640625" style="1" customWidth="1"/>
    <col min="12" max="16384" width="10.83203125" style="1"/>
  </cols>
  <sheetData>
    <row r="1" spans="2:8" ht="17" thickBot="1" x14ac:dyDescent="0.25"/>
    <row r="2" spans="2:8" x14ac:dyDescent="0.2">
      <c r="B2" s="239" t="s">
        <v>42</v>
      </c>
      <c r="C2" s="177"/>
      <c r="D2" s="177"/>
      <c r="E2" s="171"/>
    </row>
    <row r="3" spans="2:8" x14ac:dyDescent="0.2">
      <c r="B3" s="240"/>
      <c r="C3" s="178"/>
      <c r="D3" s="178"/>
      <c r="E3" s="172"/>
    </row>
    <row r="4" spans="2:8" x14ac:dyDescent="0.2">
      <c r="B4" s="240"/>
      <c r="C4" s="178"/>
      <c r="D4" s="178"/>
      <c r="E4" s="172"/>
    </row>
    <row r="5" spans="2:8" ht="17" thickBot="1" x14ac:dyDescent="0.25">
      <c r="B5" s="241"/>
      <c r="C5" s="242"/>
      <c r="D5" s="242"/>
      <c r="E5" s="243"/>
    </row>
    <row r="6" spans="2:8" ht="17" thickBot="1" x14ac:dyDescent="0.25"/>
    <row r="7" spans="2:8" ht="17" thickBot="1" x14ac:dyDescent="0.25">
      <c r="B7" s="112" t="s">
        <v>43</v>
      </c>
      <c r="C7" s="113" t="s">
        <v>44</v>
      </c>
      <c r="E7" s="114" t="s">
        <v>45</v>
      </c>
      <c r="F7" s="115" t="s">
        <v>46</v>
      </c>
      <c r="G7" s="116" t="s">
        <v>47</v>
      </c>
    </row>
    <row r="8" spans="2:8" x14ac:dyDescent="0.2">
      <c r="B8" s="117" t="s">
        <v>48</v>
      </c>
      <c r="C8" s="118">
        <v>146.91490400000001</v>
      </c>
      <c r="E8" s="119" t="s">
        <v>49</v>
      </c>
      <c r="F8" s="120">
        <v>9.0892566621826507</v>
      </c>
      <c r="G8" s="121"/>
    </row>
    <row r="9" spans="2:8" x14ac:dyDescent="0.2">
      <c r="B9" s="117" t="s">
        <v>50</v>
      </c>
      <c r="C9" s="118">
        <v>148.917192</v>
      </c>
      <c r="E9" s="122" t="s">
        <v>51</v>
      </c>
      <c r="F9" s="123">
        <v>10.089021091489203</v>
      </c>
      <c r="G9" s="124"/>
    </row>
    <row r="10" spans="2:8" x14ac:dyDescent="0.2">
      <c r="B10" s="117" t="s">
        <v>52</v>
      </c>
      <c r="C10" s="118">
        <v>149.9172829</v>
      </c>
      <c r="E10" s="122" t="s">
        <v>53</v>
      </c>
      <c r="F10" s="2"/>
      <c r="G10" s="125">
        <v>0.12</v>
      </c>
    </row>
    <row r="11" spans="2:8" x14ac:dyDescent="0.2">
      <c r="B11" s="117" t="s">
        <v>54</v>
      </c>
      <c r="C11" s="118">
        <v>150.91985779999999</v>
      </c>
      <c r="E11" s="122" t="s">
        <v>55</v>
      </c>
      <c r="F11" s="2"/>
      <c r="G11" s="125">
        <v>0.2</v>
      </c>
    </row>
    <row r="12" spans="2:8" x14ac:dyDescent="0.2">
      <c r="B12" s="117" t="s">
        <v>56</v>
      </c>
      <c r="C12" s="126">
        <v>151.91979950000001</v>
      </c>
      <c r="E12" s="122" t="s">
        <v>57</v>
      </c>
      <c r="F12" s="2">
        <v>0.45</v>
      </c>
      <c r="G12" s="124"/>
    </row>
    <row r="13" spans="2:8" x14ac:dyDescent="0.2">
      <c r="B13" s="117" t="s">
        <v>58</v>
      </c>
      <c r="C13" s="118">
        <v>152.92123799999999</v>
      </c>
      <c r="E13" s="122" t="s">
        <v>59</v>
      </c>
      <c r="F13" s="127">
        <v>0.7</v>
      </c>
      <c r="G13" s="124"/>
    </row>
    <row r="14" spans="2:8" x14ac:dyDescent="0.2">
      <c r="B14" s="117" t="s">
        <v>60</v>
      </c>
      <c r="C14" s="118">
        <v>154.9226305</v>
      </c>
      <c r="E14" s="122" t="s">
        <v>61</v>
      </c>
      <c r="F14" s="2"/>
      <c r="G14" s="124">
        <v>1.29</v>
      </c>
      <c r="H14" s="128"/>
    </row>
    <row r="15" spans="2:8" ht="17" thickBot="1" x14ac:dyDescent="0.25">
      <c r="B15" s="117" t="s">
        <v>62</v>
      </c>
      <c r="C15" s="118">
        <v>155.9221312</v>
      </c>
      <c r="E15" s="129" t="s">
        <v>63</v>
      </c>
      <c r="F15" s="130"/>
      <c r="G15" s="131">
        <v>1.6</v>
      </c>
    </row>
    <row r="16" spans="2:8" ht="17" thickBot="1" x14ac:dyDescent="0.25">
      <c r="B16" s="132" t="s">
        <v>64</v>
      </c>
      <c r="C16" s="133">
        <v>156.92396859999999</v>
      </c>
    </row>
    <row r="17" spans="2:11" ht="17" thickBot="1" x14ac:dyDescent="0.25">
      <c r="E17" s="244" t="s">
        <v>65</v>
      </c>
      <c r="F17" s="245"/>
      <c r="H17" s="134" t="s">
        <v>66</v>
      </c>
      <c r="J17" s="246" t="s">
        <v>67</v>
      </c>
      <c r="K17" s="246"/>
    </row>
    <row r="18" spans="2:11" ht="17" thickBot="1" x14ac:dyDescent="0.25">
      <c r="E18" s="119" t="s">
        <v>68</v>
      </c>
      <c r="F18" s="135">
        <f>(F12/1000)/F8*100</f>
        <v>4.9508999110158157E-3</v>
      </c>
      <c r="H18" s="136">
        <v>-1.2681</v>
      </c>
      <c r="J18" s="246"/>
      <c r="K18" s="246"/>
    </row>
    <row r="19" spans="2:11" ht="17" thickBot="1" x14ac:dyDescent="0.25">
      <c r="E19" s="122" t="s">
        <v>69</v>
      </c>
      <c r="F19" s="137">
        <f>(F13/1000)/F9*100</f>
        <v>6.9382350740697643E-3</v>
      </c>
      <c r="J19" s="246"/>
      <c r="K19" s="246"/>
    </row>
    <row r="20" spans="2:11" ht="17" thickBot="1" x14ac:dyDescent="0.25">
      <c r="E20" s="122" t="s">
        <v>70</v>
      </c>
      <c r="F20" s="137">
        <f>(G14/1000)/G10*100</f>
        <v>1.0750000000000002</v>
      </c>
      <c r="H20" s="134" t="s">
        <v>71</v>
      </c>
      <c r="J20" s="246"/>
      <c r="K20" s="246"/>
    </row>
    <row r="21" spans="2:11" ht="17" thickBot="1" x14ac:dyDescent="0.25">
      <c r="E21" s="129" t="s">
        <v>72</v>
      </c>
      <c r="F21" s="138">
        <f>(G15/1000)/G11*100</f>
        <v>0.8</v>
      </c>
      <c r="H21" s="139">
        <v>1.0916000008269142</v>
      </c>
      <c r="J21" s="246"/>
      <c r="K21" s="246"/>
    </row>
    <row r="26" spans="2:11" ht="17" thickBot="1" x14ac:dyDescent="0.25"/>
    <row r="27" spans="2:11" ht="17" thickBot="1" x14ac:dyDescent="0.25">
      <c r="B27" s="234" t="s">
        <v>73</v>
      </c>
      <c r="C27" s="235"/>
      <c r="D27" s="235"/>
      <c r="E27" s="235"/>
      <c r="F27" s="235"/>
      <c r="G27" s="235"/>
      <c r="H27" s="235"/>
      <c r="I27" s="235"/>
      <c r="J27" s="235"/>
      <c r="K27" s="236"/>
    </row>
    <row r="28" spans="2:11" ht="17" thickBot="1" x14ac:dyDescent="0.25">
      <c r="B28" s="140" t="s">
        <v>74</v>
      </c>
      <c r="C28" s="21" t="s">
        <v>75</v>
      </c>
      <c r="D28" s="141" t="s">
        <v>76</v>
      </c>
      <c r="E28" s="141" t="s">
        <v>77</v>
      </c>
      <c r="F28" s="141" t="s">
        <v>78</v>
      </c>
      <c r="G28" s="141" t="s">
        <v>79</v>
      </c>
      <c r="H28" s="141" t="s">
        <v>80</v>
      </c>
      <c r="I28" s="141" t="s">
        <v>81</v>
      </c>
      <c r="J28" s="141" t="s">
        <v>82</v>
      </c>
      <c r="K28" s="142" t="s">
        <v>11</v>
      </c>
    </row>
    <row r="29" spans="2:11" x14ac:dyDescent="0.2">
      <c r="B29" s="122">
        <v>10</v>
      </c>
      <c r="C29" s="5">
        <v>0</v>
      </c>
      <c r="D29" s="5">
        <f>$B$29*C29</f>
        <v>0</v>
      </c>
      <c r="E29" s="5">
        <f>D29*$G$10</f>
        <v>0</v>
      </c>
      <c r="F29" s="5">
        <f>D29*$G$11</f>
        <v>0</v>
      </c>
      <c r="G29" s="143">
        <f>E29*0.1/100</f>
        <v>0</v>
      </c>
      <c r="H29" s="143">
        <f>F29*0.1/100</f>
        <v>0</v>
      </c>
      <c r="I29" s="144">
        <f>($F$9+H29)/($F$8+G29)</f>
        <v>1.1099940805353463</v>
      </c>
      <c r="J29" s="144">
        <f>I29*($C$13/$C$11)^$H$18</f>
        <v>1.0916045385553024</v>
      </c>
      <c r="K29" s="145">
        <f>((J29/$J$29)-1)*10000</f>
        <v>0</v>
      </c>
    </row>
    <row r="30" spans="2:11" x14ac:dyDescent="0.2">
      <c r="B30" s="122"/>
      <c r="C30" s="5">
        <v>0.01</v>
      </c>
      <c r="D30" s="5">
        <f>$B$29*C30</f>
        <v>0.1</v>
      </c>
      <c r="E30" s="5">
        <f>D30*$G$10</f>
        <v>1.2E-2</v>
      </c>
      <c r="F30" s="5">
        <f>D30*$G$11</f>
        <v>2.0000000000000004E-2</v>
      </c>
      <c r="G30" s="143">
        <f>E30*0.1/100</f>
        <v>1.2E-5</v>
      </c>
      <c r="H30" s="143">
        <f t="shared" ref="G30:H37" si="0">F30*0.1/100</f>
        <v>2.0000000000000005E-5</v>
      </c>
      <c r="I30" s="144">
        <f>($F$9+H30)/($F$8+G30)</f>
        <v>1.1099948154757779</v>
      </c>
      <c r="J30" s="144">
        <f>I30*($C$13/$C$11)^$H$18</f>
        <v>1.0916052613197971</v>
      </c>
      <c r="K30" s="145">
        <f>((J30/$J$29)-1)*10000</f>
        <v>6.6211202787158641E-3</v>
      </c>
    </row>
    <row r="31" spans="2:11" x14ac:dyDescent="0.2">
      <c r="B31" s="122"/>
      <c r="C31" s="5">
        <v>0.05</v>
      </c>
      <c r="D31" s="5">
        <f t="shared" ref="D31:D37" si="1">$B$29*C31</f>
        <v>0.5</v>
      </c>
      <c r="E31" s="5">
        <f>D31*$G$10</f>
        <v>0.06</v>
      </c>
      <c r="F31" s="5">
        <f t="shared" ref="F31:F37" si="2">D31*$G$11</f>
        <v>0.1</v>
      </c>
      <c r="G31" s="143">
        <f t="shared" si="0"/>
        <v>6.0000000000000002E-5</v>
      </c>
      <c r="H31" s="143">
        <f t="shared" si="0"/>
        <v>1.0000000000000002E-4</v>
      </c>
      <c r="I31" s="144">
        <f>($F$9+H31)/($F$8+G31)</f>
        <v>1.1099977552180986</v>
      </c>
      <c r="J31" s="144">
        <f>I31*($C$13/$C$11)^$H$18</f>
        <v>1.0916081523586916</v>
      </c>
      <c r="K31" s="145">
        <f t="shared" ref="K31:K37" si="3">((J31/$J$29)-1)*10000</f>
        <v>3.3105426566759633E-2</v>
      </c>
    </row>
    <row r="32" spans="2:11" x14ac:dyDescent="0.2">
      <c r="B32" s="122"/>
      <c r="C32" s="5">
        <v>0.1</v>
      </c>
      <c r="D32" s="5">
        <f t="shared" si="1"/>
        <v>1</v>
      </c>
      <c r="E32" s="5">
        <f t="shared" ref="E32:E37" si="4">D32*$G$10</f>
        <v>0.12</v>
      </c>
      <c r="F32" s="5">
        <f t="shared" si="2"/>
        <v>0.2</v>
      </c>
      <c r="G32" s="143">
        <f t="shared" si="0"/>
        <v>1.2E-4</v>
      </c>
      <c r="H32" s="143">
        <f t="shared" si="0"/>
        <v>2.0000000000000004E-4</v>
      </c>
      <c r="I32" s="144">
        <f>($F$9+H32)/($F$8+G32)</f>
        <v>1.1100014298523366</v>
      </c>
      <c r="J32" s="144">
        <f>I32*($C$13/$C$11)^$H$18</f>
        <v>1.0916117661143703</v>
      </c>
      <c r="K32" s="145">
        <f t="shared" si="3"/>
        <v>6.6210416067580269E-2</v>
      </c>
    </row>
    <row r="33" spans="2:11" x14ac:dyDescent="0.2">
      <c r="B33" s="122"/>
      <c r="C33" s="5">
        <v>0.5</v>
      </c>
      <c r="D33" s="5">
        <f t="shared" si="1"/>
        <v>5</v>
      </c>
      <c r="E33" s="5">
        <f t="shared" si="4"/>
        <v>0.6</v>
      </c>
      <c r="F33" s="5">
        <f t="shared" si="2"/>
        <v>1</v>
      </c>
      <c r="G33" s="143">
        <f t="shared" si="0"/>
        <v>5.9999999999999995E-4</v>
      </c>
      <c r="H33" s="143">
        <f t="shared" si="0"/>
        <v>1E-3</v>
      </c>
      <c r="I33" s="144">
        <f t="shared" ref="I33:I37" si="5">($F$9+H33)/($F$8+G33)</f>
        <v>1.1100308251798541</v>
      </c>
      <c r="J33" s="144">
        <f t="shared" ref="J33:J37" si="6">I33*($C$13/$C$11)^$H$18</f>
        <v>1.091640674442345</v>
      </c>
      <c r="K33" s="145">
        <f t="shared" si="3"/>
        <v>0.3310345987617147</v>
      </c>
    </row>
    <row r="34" spans="2:11" x14ac:dyDescent="0.2">
      <c r="B34" s="122"/>
      <c r="C34" s="5">
        <v>1</v>
      </c>
      <c r="D34" s="5">
        <f t="shared" si="1"/>
        <v>10</v>
      </c>
      <c r="E34" s="5">
        <f t="shared" si="4"/>
        <v>1.2</v>
      </c>
      <c r="F34" s="5">
        <f t="shared" si="2"/>
        <v>2</v>
      </c>
      <c r="G34" s="143">
        <f t="shared" si="0"/>
        <v>1.1999999999999999E-3</v>
      </c>
      <c r="H34" s="143">
        <f t="shared" si="0"/>
        <v>2E-3</v>
      </c>
      <c r="I34" s="144">
        <f t="shared" si="5"/>
        <v>1.1100675649738274</v>
      </c>
      <c r="J34" s="144">
        <f>I34*($C$13/$C$11)^$H$18</f>
        <v>1.0916768055592134</v>
      </c>
      <c r="K34" s="145">
        <f t="shared" si="3"/>
        <v>0.66202549878324746</v>
      </c>
    </row>
    <row r="35" spans="2:11" x14ac:dyDescent="0.2">
      <c r="B35" s="122"/>
      <c r="C35" s="5">
        <v>2</v>
      </c>
      <c r="D35" s="5">
        <f t="shared" si="1"/>
        <v>20</v>
      </c>
      <c r="E35" s="5">
        <f t="shared" si="4"/>
        <v>2.4</v>
      </c>
      <c r="F35" s="5">
        <f t="shared" si="2"/>
        <v>4</v>
      </c>
      <c r="G35" s="143">
        <f t="shared" si="0"/>
        <v>2.3999999999999998E-3</v>
      </c>
      <c r="H35" s="143">
        <f t="shared" si="0"/>
        <v>4.0000000000000001E-3</v>
      </c>
      <c r="I35" s="144">
        <f t="shared" si="5"/>
        <v>1.110141030014012</v>
      </c>
      <c r="J35" s="144">
        <f t="shared" si="6"/>
        <v>1.091749053486204</v>
      </c>
      <c r="K35" s="145">
        <f t="shared" si="3"/>
        <v>1.323876237202537</v>
      </c>
    </row>
    <row r="36" spans="2:11" x14ac:dyDescent="0.2">
      <c r="B36" s="122"/>
      <c r="C36" s="5">
        <v>5</v>
      </c>
      <c r="D36" s="5">
        <f t="shared" si="1"/>
        <v>50</v>
      </c>
      <c r="E36" s="5">
        <f t="shared" si="4"/>
        <v>6</v>
      </c>
      <c r="F36" s="5">
        <f t="shared" si="2"/>
        <v>10</v>
      </c>
      <c r="G36" s="143">
        <f t="shared" si="0"/>
        <v>6.000000000000001E-3</v>
      </c>
      <c r="H36" s="143">
        <f t="shared" si="0"/>
        <v>0.01</v>
      </c>
      <c r="I36" s="144">
        <f t="shared" si="5"/>
        <v>1.1103613088215667</v>
      </c>
      <c r="J36" s="144">
        <f t="shared" si="6"/>
        <v>1.0919656828811628</v>
      </c>
      <c r="K36" s="145">
        <f t="shared" si="3"/>
        <v>3.3083805820233181</v>
      </c>
    </row>
    <row r="37" spans="2:11" ht="17" thickBot="1" x14ac:dyDescent="0.25">
      <c r="B37" s="129"/>
      <c r="C37" s="146">
        <v>10</v>
      </c>
      <c r="D37" s="146">
        <f t="shared" si="1"/>
        <v>100</v>
      </c>
      <c r="E37" s="146">
        <f t="shared" si="4"/>
        <v>12</v>
      </c>
      <c r="F37" s="146">
        <f t="shared" si="2"/>
        <v>20</v>
      </c>
      <c r="G37" s="143">
        <f t="shared" si="0"/>
        <v>1.2000000000000002E-2</v>
      </c>
      <c r="H37" s="143">
        <f t="shared" si="0"/>
        <v>0.02</v>
      </c>
      <c r="I37" s="147">
        <f t="shared" si="5"/>
        <v>1.1107280529175705</v>
      </c>
      <c r="J37" s="147">
        <f t="shared" si="6"/>
        <v>1.092326351038504</v>
      </c>
      <c r="K37" s="145">
        <f t="shared" si="3"/>
        <v>6.6123990667610322</v>
      </c>
    </row>
    <row r="38" spans="2:11" ht="17" thickBot="1" x14ac:dyDescent="0.25">
      <c r="B38" s="148"/>
      <c r="C38" s="148"/>
      <c r="D38" s="148"/>
      <c r="E38" s="148"/>
      <c r="F38" s="148"/>
      <c r="G38" s="148"/>
      <c r="H38" s="148"/>
      <c r="I38" s="148"/>
      <c r="J38" s="148"/>
      <c r="K38" s="148"/>
    </row>
    <row r="39" spans="2:11" ht="17" thickBot="1" x14ac:dyDescent="0.25">
      <c r="B39" s="234" t="s">
        <v>83</v>
      </c>
      <c r="C39" s="235"/>
      <c r="D39" s="235"/>
      <c r="E39" s="235"/>
      <c r="F39" s="235"/>
      <c r="G39" s="235"/>
      <c r="H39" s="235"/>
      <c r="I39" s="235"/>
      <c r="J39" s="235"/>
      <c r="K39" s="236"/>
    </row>
    <row r="40" spans="2:11" ht="17" thickBot="1" x14ac:dyDescent="0.25">
      <c r="B40" s="140" t="s">
        <v>74</v>
      </c>
      <c r="C40" s="21" t="s">
        <v>75</v>
      </c>
      <c r="D40" s="141" t="s">
        <v>76</v>
      </c>
      <c r="E40" s="141" t="s">
        <v>77</v>
      </c>
      <c r="F40" s="141" t="s">
        <v>78</v>
      </c>
      <c r="G40" s="141" t="s">
        <v>79</v>
      </c>
      <c r="H40" s="141" t="s">
        <v>80</v>
      </c>
      <c r="I40" s="141" t="s">
        <v>81</v>
      </c>
      <c r="J40" s="141" t="s">
        <v>82</v>
      </c>
      <c r="K40" s="142" t="s">
        <v>11</v>
      </c>
    </row>
    <row r="41" spans="2:11" x14ac:dyDescent="0.2">
      <c r="B41" s="122">
        <v>10</v>
      </c>
      <c r="C41" s="5">
        <v>0</v>
      </c>
      <c r="D41" s="5">
        <f>$B$29*C41</f>
        <v>0</v>
      </c>
      <c r="E41" s="5">
        <f t="shared" ref="E41:E49" si="7">D41*$G$10</f>
        <v>0</v>
      </c>
      <c r="F41" s="5">
        <f t="shared" ref="F41:F49" si="8">D41*$G$11</f>
        <v>0</v>
      </c>
      <c r="G41" s="143">
        <f>E41*0.5/100</f>
        <v>0</v>
      </c>
      <c r="H41" s="143">
        <f>F41*0.5/100</f>
        <v>0</v>
      </c>
      <c r="I41" s="144">
        <f>($F$9+H41)/($F$8+G41)</f>
        <v>1.1099940805353463</v>
      </c>
      <c r="J41" s="144">
        <f>I41*($C$13/$C$11)^$H$18</f>
        <v>1.0916045385553024</v>
      </c>
      <c r="K41" s="145">
        <f t="shared" ref="K41:K49" si="9">((J41/$H$21)-1)*10000</f>
        <v>4.1569516167072607E-2</v>
      </c>
    </row>
    <row r="42" spans="2:11" x14ac:dyDescent="0.2">
      <c r="B42" s="122"/>
      <c r="C42" s="5">
        <v>0.01</v>
      </c>
      <c r="D42" s="5">
        <f t="shared" ref="D42:D49" si="10">$B$29*C42</f>
        <v>0.1</v>
      </c>
      <c r="E42" s="5">
        <f t="shared" si="7"/>
        <v>1.2E-2</v>
      </c>
      <c r="F42" s="5">
        <f t="shared" si="8"/>
        <v>2.0000000000000004E-2</v>
      </c>
      <c r="G42" s="143">
        <f t="shared" ref="G42:H49" si="11">E42*0.5/100</f>
        <v>6.0000000000000002E-5</v>
      </c>
      <c r="H42" s="143">
        <f t="shared" si="11"/>
        <v>1.0000000000000002E-4</v>
      </c>
      <c r="I42" s="144">
        <f t="shared" ref="I42:I49" si="12">($F$9+H42)/($F$8+G42)</f>
        <v>1.1099977552180986</v>
      </c>
      <c r="J42" s="144">
        <f t="shared" ref="J42:J49" si="13">I42*($C$13/$C$11)^$H$18</f>
        <v>1.0916081523586916</v>
      </c>
      <c r="K42" s="145">
        <f t="shared" si="9"/>
        <v>7.467508035263748E-2</v>
      </c>
    </row>
    <row r="43" spans="2:11" x14ac:dyDescent="0.2">
      <c r="B43" s="122"/>
      <c r="C43" s="5">
        <v>0.05</v>
      </c>
      <c r="D43" s="5">
        <f t="shared" si="10"/>
        <v>0.5</v>
      </c>
      <c r="E43" s="5">
        <f t="shared" si="7"/>
        <v>0.06</v>
      </c>
      <c r="F43" s="5">
        <f t="shared" si="8"/>
        <v>0.1</v>
      </c>
      <c r="G43" s="143">
        <f t="shared" si="11"/>
        <v>2.9999999999999997E-4</v>
      </c>
      <c r="H43" s="143">
        <f t="shared" si="11"/>
        <v>5.0000000000000001E-4</v>
      </c>
      <c r="I43" s="144">
        <f t="shared" si="12"/>
        <v>1.1100124534639773</v>
      </c>
      <c r="J43" s="144">
        <f t="shared" si="13"/>
        <v>1.0916226070951549</v>
      </c>
      <c r="K43" s="145">
        <f t="shared" si="9"/>
        <v>0.20709296650434084</v>
      </c>
    </row>
    <row r="44" spans="2:11" x14ac:dyDescent="0.2">
      <c r="B44" s="122"/>
      <c r="C44" s="5">
        <v>0.1</v>
      </c>
      <c r="D44" s="5">
        <f t="shared" si="10"/>
        <v>1</v>
      </c>
      <c r="E44" s="5">
        <f t="shared" si="7"/>
        <v>0.12</v>
      </c>
      <c r="F44" s="5">
        <f t="shared" si="8"/>
        <v>0.2</v>
      </c>
      <c r="G44" s="143">
        <f t="shared" si="11"/>
        <v>5.9999999999999995E-4</v>
      </c>
      <c r="H44" s="143">
        <f t="shared" si="11"/>
        <v>1E-3</v>
      </c>
      <c r="I44" s="144">
        <f t="shared" si="12"/>
        <v>1.1100308251798541</v>
      </c>
      <c r="J44" s="144">
        <f t="shared" si="13"/>
        <v>1.091640674442345</v>
      </c>
      <c r="K44" s="145">
        <f t="shared" si="9"/>
        <v>0.37260549102136054</v>
      </c>
    </row>
    <row r="45" spans="2:11" x14ac:dyDescent="0.2">
      <c r="B45" s="122"/>
      <c r="C45" s="5">
        <v>0.5</v>
      </c>
      <c r="D45" s="5">
        <f t="shared" si="10"/>
        <v>5</v>
      </c>
      <c r="E45" s="5">
        <f t="shared" si="7"/>
        <v>0.6</v>
      </c>
      <c r="F45" s="5">
        <f t="shared" si="8"/>
        <v>1</v>
      </c>
      <c r="G45" s="143">
        <f t="shared" si="11"/>
        <v>3.0000000000000001E-3</v>
      </c>
      <c r="H45" s="143">
        <f t="shared" si="11"/>
        <v>5.0000000000000001E-3</v>
      </c>
      <c r="I45" s="144">
        <f t="shared" si="12"/>
        <v>1.1101777552621435</v>
      </c>
      <c r="J45" s="144">
        <f t="shared" si="13"/>
        <v>1.0917851702982149</v>
      </c>
      <c r="K45" s="145">
        <f t="shared" si="9"/>
        <v>1.6963124877289459</v>
      </c>
    </row>
    <row r="46" spans="2:11" x14ac:dyDescent="0.2">
      <c r="B46" s="122"/>
      <c r="C46" s="5">
        <v>1</v>
      </c>
      <c r="D46" s="5">
        <f t="shared" si="10"/>
        <v>10</v>
      </c>
      <c r="E46" s="5">
        <f t="shared" si="7"/>
        <v>1.2</v>
      </c>
      <c r="F46" s="5">
        <f t="shared" si="8"/>
        <v>2</v>
      </c>
      <c r="G46" s="143">
        <f t="shared" si="11"/>
        <v>6.0000000000000001E-3</v>
      </c>
      <c r="H46" s="143">
        <f t="shared" si="11"/>
        <v>0.01</v>
      </c>
      <c r="I46" s="144">
        <f t="shared" si="12"/>
        <v>1.1103613088215667</v>
      </c>
      <c r="J46" s="144">
        <f t="shared" si="13"/>
        <v>1.0919656828811628</v>
      </c>
      <c r="K46" s="145">
        <f t="shared" si="9"/>
        <v>3.3499638509670859</v>
      </c>
    </row>
    <row r="47" spans="2:11" x14ac:dyDescent="0.2">
      <c r="B47" s="122"/>
      <c r="C47" s="5">
        <v>2</v>
      </c>
      <c r="D47" s="5">
        <f t="shared" si="10"/>
        <v>20</v>
      </c>
      <c r="E47" s="5">
        <f t="shared" si="7"/>
        <v>2.4</v>
      </c>
      <c r="F47" s="5">
        <f t="shared" si="8"/>
        <v>4</v>
      </c>
      <c r="G47" s="143">
        <f t="shared" si="11"/>
        <v>1.2E-2</v>
      </c>
      <c r="H47" s="143">
        <f t="shared" si="11"/>
        <v>0.02</v>
      </c>
      <c r="I47" s="144">
        <f t="shared" si="12"/>
        <v>1.1107280529175705</v>
      </c>
      <c r="J47" s="144">
        <f t="shared" si="13"/>
        <v>1.092326351038504</v>
      </c>
      <c r="K47" s="145">
        <f t="shared" si="9"/>
        <v>6.6539960703515533</v>
      </c>
    </row>
    <row r="48" spans="2:11" x14ac:dyDescent="0.2">
      <c r="B48" s="122"/>
      <c r="C48" s="5">
        <v>5</v>
      </c>
      <c r="D48" s="5">
        <f t="shared" si="10"/>
        <v>50</v>
      </c>
      <c r="E48" s="5">
        <f t="shared" si="7"/>
        <v>6</v>
      </c>
      <c r="F48" s="5">
        <f t="shared" si="8"/>
        <v>10</v>
      </c>
      <c r="G48" s="143">
        <f t="shared" si="11"/>
        <v>0.03</v>
      </c>
      <c r="H48" s="143">
        <f t="shared" si="11"/>
        <v>0.05</v>
      </c>
      <c r="I48" s="144">
        <f t="shared" si="12"/>
        <v>1.1118253896214472</v>
      </c>
      <c r="J48" s="144">
        <f t="shared" si="13"/>
        <v>1.093405507898239</v>
      </c>
      <c r="K48" s="145">
        <f t="shared" si="9"/>
        <v>16.540006137386598</v>
      </c>
    </row>
    <row r="49" spans="2:11" ht="17" thickBot="1" x14ac:dyDescent="0.25">
      <c r="B49" s="129"/>
      <c r="C49" s="146">
        <v>10</v>
      </c>
      <c r="D49" s="146">
        <f t="shared" si="10"/>
        <v>100</v>
      </c>
      <c r="E49" s="146">
        <f t="shared" si="7"/>
        <v>12</v>
      </c>
      <c r="F49" s="146">
        <f t="shared" si="8"/>
        <v>20</v>
      </c>
      <c r="G49" s="143">
        <f t="shared" si="11"/>
        <v>0.06</v>
      </c>
      <c r="H49" s="143">
        <f t="shared" si="11"/>
        <v>0.1</v>
      </c>
      <c r="I49" s="147">
        <f t="shared" si="12"/>
        <v>1.1136446891477307</v>
      </c>
      <c r="J49" s="147">
        <f t="shared" si="13"/>
        <v>1.0951946666466577</v>
      </c>
      <c r="K49" s="149">
        <f t="shared" si="9"/>
        <v>32.930247499269868</v>
      </c>
    </row>
    <row r="50" spans="2:11" ht="17" thickBot="1" x14ac:dyDescent="0.25">
      <c r="B50" s="148"/>
      <c r="C50" s="148"/>
      <c r="D50" s="148"/>
      <c r="E50" s="148"/>
      <c r="F50" s="148"/>
      <c r="G50" s="148"/>
      <c r="H50" s="148"/>
      <c r="I50" s="148"/>
      <c r="J50" s="148"/>
      <c r="K50" s="148"/>
    </row>
    <row r="51" spans="2:11" ht="17" thickBot="1" x14ac:dyDescent="0.25">
      <c r="B51" s="234" t="s">
        <v>84</v>
      </c>
      <c r="C51" s="235"/>
      <c r="D51" s="235"/>
      <c r="E51" s="235"/>
      <c r="F51" s="235"/>
      <c r="G51" s="235"/>
      <c r="H51" s="235"/>
      <c r="I51" s="235"/>
      <c r="J51" s="235"/>
      <c r="K51" s="236"/>
    </row>
    <row r="52" spans="2:11" ht="17" thickBot="1" x14ac:dyDescent="0.25">
      <c r="B52" s="140" t="s">
        <v>74</v>
      </c>
      <c r="C52" s="21" t="s">
        <v>75</v>
      </c>
      <c r="D52" s="141" t="s">
        <v>76</v>
      </c>
      <c r="E52" s="141" t="s">
        <v>77</v>
      </c>
      <c r="F52" s="141" t="s">
        <v>78</v>
      </c>
      <c r="G52" s="141" t="s">
        <v>79</v>
      </c>
      <c r="H52" s="141" t="s">
        <v>80</v>
      </c>
      <c r="I52" s="141" t="s">
        <v>81</v>
      </c>
      <c r="J52" s="141" t="s">
        <v>82</v>
      </c>
      <c r="K52" s="142" t="s">
        <v>11</v>
      </c>
    </row>
    <row r="53" spans="2:11" x14ac:dyDescent="0.2">
      <c r="B53" s="122">
        <v>10</v>
      </c>
      <c r="C53" s="5">
        <v>0</v>
      </c>
      <c r="D53" s="5">
        <f>$B$29*C53</f>
        <v>0</v>
      </c>
      <c r="E53" s="5">
        <f t="shared" ref="E53:E61" si="14">D53*$G$10</f>
        <v>0</v>
      </c>
      <c r="F53" s="5">
        <f t="shared" ref="F53:F61" si="15">D53*$G$11</f>
        <v>0</v>
      </c>
      <c r="G53" s="143">
        <f>E53*1/100</f>
        <v>0</v>
      </c>
      <c r="H53" s="143">
        <f>F53*1/100</f>
        <v>0</v>
      </c>
      <c r="I53" s="144">
        <f>($F$9+H53)/($F$8+G53)</f>
        <v>1.1099940805353463</v>
      </c>
      <c r="J53" s="144">
        <f>I53*($C$13/$C$11)^$H$18</f>
        <v>1.0916045385553024</v>
      </c>
      <c r="K53" s="145">
        <f t="shared" ref="K53:K61" si="16">((J53/$H$21)-1)*10000</f>
        <v>4.1569516167072607E-2</v>
      </c>
    </row>
    <row r="54" spans="2:11" x14ac:dyDescent="0.2">
      <c r="B54" s="122"/>
      <c r="C54" s="5">
        <v>0.01</v>
      </c>
      <c r="D54" s="5">
        <f t="shared" ref="D54:D61" si="17">$B$29*C54</f>
        <v>0.1</v>
      </c>
      <c r="E54" s="5">
        <f t="shared" si="14"/>
        <v>1.2E-2</v>
      </c>
      <c r="F54" s="5">
        <f t="shared" si="15"/>
        <v>2.0000000000000004E-2</v>
      </c>
      <c r="G54" s="143">
        <f>E54*1/100</f>
        <v>1.2E-4</v>
      </c>
      <c r="H54" s="143">
        <f t="shared" ref="H54:H61" si="18">F54*1/100</f>
        <v>2.0000000000000004E-4</v>
      </c>
      <c r="I54" s="144">
        <f t="shared" ref="I54:I61" si="19">($F$9+H54)/($F$8+G54)</f>
        <v>1.1100014298523366</v>
      </c>
      <c r="J54" s="144">
        <f t="shared" ref="J54:J61" si="20">I54*($C$13/$C$11)^$H$18</f>
        <v>1.0916117661143703</v>
      </c>
      <c r="K54" s="145">
        <f t="shared" si="16"/>
        <v>0.10778020746782246</v>
      </c>
    </row>
    <row r="55" spans="2:11" x14ac:dyDescent="0.2">
      <c r="B55" s="122"/>
      <c r="C55" s="5">
        <v>0.05</v>
      </c>
      <c r="D55" s="5">
        <f t="shared" si="17"/>
        <v>0.5</v>
      </c>
      <c r="E55" s="5">
        <f t="shared" si="14"/>
        <v>0.06</v>
      </c>
      <c r="F55" s="5">
        <f t="shared" si="15"/>
        <v>0.1</v>
      </c>
      <c r="G55" s="143">
        <f t="shared" ref="G55:G61" si="21">E55*1/100</f>
        <v>5.9999999999999995E-4</v>
      </c>
      <c r="H55" s="143">
        <f t="shared" si="18"/>
        <v>1E-3</v>
      </c>
      <c r="I55" s="144">
        <f t="shared" si="19"/>
        <v>1.1100308251798541</v>
      </c>
      <c r="J55" s="144">
        <f t="shared" si="20"/>
        <v>1.091640674442345</v>
      </c>
      <c r="K55" s="145">
        <f t="shared" si="16"/>
        <v>0.37260549102136054</v>
      </c>
    </row>
    <row r="56" spans="2:11" x14ac:dyDescent="0.2">
      <c r="B56" s="122"/>
      <c r="C56" s="5">
        <v>0.1</v>
      </c>
      <c r="D56" s="5">
        <f t="shared" si="17"/>
        <v>1</v>
      </c>
      <c r="E56" s="5">
        <f t="shared" si="14"/>
        <v>0.12</v>
      </c>
      <c r="F56" s="5">
        <f t="shared" si="15"/>
        <v>0.2</v>
      </c>
      <c r="G56" s="143">
        <f t="shared" si="21"/>
        <v>1.1999999999999999E-3</v>
      </c>
      <c r="H56" s="143">
        <f t="shared" si="18"/>
        <v>2E-3</v>
      </c>
      <c r="I56" s="144">
        <f t="shared" si="19"/>
        <v>1.1100675649738274</v>
      </c>
      <c r="J56" s="144">
        <f t="shared" si="20"/>
        <v>1.0916768055592134</v>
      </c>
      <c r="K56" s="145">
        <f t="shared" si="16"/>
        <v>0.70359776695783083</v>
      </c>
    </row>
    <row r="57" spans="2:11" x14ac:dyDescent="0.2">
      <c r="B57" s="122"/>
      <c r="C57" s="5">
        <v>0.5</v>
      </c>
      <c r="D57" s="5">
        <f t="shared" si="17"/>
        <v>5</v>
      </c>
      <c r="E57" s="5">
        <f t="shared" si="14"/>
        <v>0.6</v>
      </c>
      <c r="F57" s="5">
        <f t="shared" si="15"/>
        <v>1</v>
      </c>
      <c r="G57" s="143">
        <f t="shared" si="21"/>
        <v>6.0000000000000001E-3</v>
      </c>
      <c r="H57" s="143">
        <f t="shared" si="18"/>
        <v>0.01</v>
      </c>
      <c r="I57" s="144">
        <f t="shared" si="19"/>
        <v>1.1103613088215667</v>
      </c>
      <c r="J57" s="144">
        <f t="shared" si="20"/>
        <v>1.0919656828811628</v>
      </c>
      <c r="K57" s="145">
        <f t="shared" si="16"/>
        <v>3.3499638509670859</v>
      </c>
    </row>
    <row r="58" spans="2:11" x14ac:dyDescent="0.2">
      <c r="B58" s="122"/>
      <c r="C58" s="5">
        <v>1</v>
      </c>
      <c r="D58" s="5">
        <f t="shared" si="17"/>
        <v>10</v>
      </c>
      <c r="E58" s="5">
        <f t="shared" si="14"/>
        <v>1.2</v>
      </c>
      <c r="F58" s="5">
        <f t="shared" si="15"/>
        <v>2</v>
      </c>
      <c r="G58" s="143">
        <f t="shared" si="21"/>
        <v>1.2E-2</v>
      </c>
      <c r="H58" s="143">
        <f t="shared" si="18"/>
        <v>0.02</v>
      </c>
      <c r="I58" s="144">
        <f t="shared" si="19"/>
        <v>1.1107280529175705</v>
      </c>
      <c r="J58" s="144">
        <f t="shared" si="20"/>
        <v>1.092326351038504</v>
      </c>
      <c r="K58" s="145">
        <f t="shared" si="16"/>
        <v>6.6539960703515533</v>
      </c>
    </row>
    <row r="59" spans="2:11" x14ac:dyDescent="0.2">
      <c r="B59" s="122"/>
      <c r="C59" s="5">
        <v>2</v>
      </c>
      <c r="D59" s="5">
        <f t="shared" si="17"/>
        <v>20</v>
      </c>
      <c r="E59" s="5">
        <f t="shared" si="14"/>
        <v>2.4</v>
      </c>
      <c r="F59" s="5">
        <f t="shared" si="15"/>
        <v>4</v>
      </c>
      <c r="G59" s="143">
        <f t="shared" si="21"/>
        <v>2.4E-2</v>
      </c>
      <c r="H59" s="143">
        <f t="shared" si="18"/>
        <v>0.04</v>
      </c>
      <c r="I59" s="144">
        <f t="shared" si="19"/>
        <v>1.1114600923643112</v>
      </c>
      <c r="J59" s="144">
        <f t="shared" si="20"/>
        <v>1.0930462626096344</v>
      </c>
      <c r="K59" s="145">
        <f t="shared" si="16"/>
        <v>13.249008626095016</v>
      </c>
    </row>
    <row r="60" spans="2:11" x14ac:dyDescent="0.2">
      <c r="B60" s="122"/>
      <c r="C60" s="5">
        <v>5</v>
      </c>
      <c r="D60" s="5">
        <f t="shared" si="17"/>
        <v>50</v>
      </c>
      <c r="E60" s="5">
        <f t="shared" si="14"/>
        <v>6</v>
      </c>
      <c r="F60" s="5">
        <f t="shared" si="15"/>
        <v>10</v>
      </c>
      <c r="G60" s="143">
        <f t="shared" si="21"/>
        <v>0.06</v>
      </c>
      <c r="H60" s="143">
        <f t="shared" si="18"/>
        <v>0.1</v>
      </c>
      <c r="I60" s="144">
        <f t="shared" si="19"/>
        <v>1.1136446891477307</v>
      </c>
      <c r="J60" s="144">
        <f t="shared" si="20"/>
        <v>1.0951946666466577</v>
      </c>
      <c r="K60" s="145">
        <f t="shared" si="16"/>
        <v>32.930247499269868</v>
      </c>
    </row>
    <row r="61" spans="2:11" ht="17" thickBot="1" x14ac:dyDescent="0.25">
      <c r="B61" s="129"/>
      <c r="C61" s="146">
        <v>10</v>
      </c>
      <c r="D61" s="146">
        <f t="shared" si="17"/>
        <v>100</v>
      </c>
      <c r="E61" s="146">
        <f t="shared" si="14"/>
        <v>12</v>
      </c>
      <c r="F61" s="146">
        <f t="shared" si="15"/>
        <v>20</v>
      </c>
      <c r="G61" s="143">
        <f t="shared" si="21"/>
        <v>0.12</v>
      </c>
      <c r="H61" s="143">
        <f t="shared" si="18"/>
        <v>0.2</v>
      </c>
      <c r="I61" s="147">
        <f t="shared" si="19"/>
        <v>1.1172477289877858</v>
      </c>
      <c r="J61" s="147">
        <f t="shared" si="20"/>
        <v>1.0987380140491074</v>
      </c>
      <c r="K61" s="149">
        <f t="shared" si="16"/>
        <v>65.390373917058042</v>
      </c>
    </row>
    <row r="62" spans="2:11" ht="17" thickBot="1" x14ac:dyDescent="0.25">
      <c r="B62" s="148"/>
      <c r="C62" s="148"/>
      <c r="D62" s="148"/>
      <c r="E62" s="148"/>
      <c r="F62" s="148"/>
      <c r="G62" s="148"/>
      <c r="H62" s="148"/>
      <c r="I62" s="148"/>
      <c r="J62" s="148"/>
      <c r="K62" s="148"/>
    </row>
    <row r="63" spans="2:11" ht="17" thickBot="1" x14ac:dyDescent="0.25">
      <c r="B63" s="234" t="s">
        <v>85</v>
      </c>
      <c r="C63" s="235"/>
      <c r="D63" s="235"/>
      <c r="E63" s="235"/>
      <c r="F63" s="235"/>
      <c r="G63" s="235"/>
      <c r="H63" s="235"/>
      <c r="I63" s="235"/>
      <c r="J63" s="235"/>
      <c r="K63" s="236"/>
    </row>
    <row r="64" spans="2:11" ht="17" thickBot="1" x14ac:dyDescent="0.25">
      <c r="B64" s="140" t="s">
        <v>74</v>
      </c>
      <c r="C64" s="21" t="s">
        <v>75</v>
      </c>
      <c r="D64" s="141" t="s">
        <v>76</v>
      </c>
      <c r="E64" s="141" t="s">
        <v>77</v>
      </c>
      <c r="F64" s="141" t="s">
        <v>78</v>
      </c>
      <c r="G64" s="141" t="s">
        <v>79</v>
      </c>
      <c r="H64" s="141" t="s">
        <v>80</v>
      </c>
      <c r="I64" s="141" t="s">
        <v>81</v>
      </c>
      <c r="J64" s="141" t="s">
        <v>82</v>
      </c>
      <c r="K64" s="142" t="s">
        <v>11</v>
      </c>
    </row>
    <row r="65" spans="2:12" x14ac:dyDescent="0.2">
      <c r="B65" s="122">
        <v>10</v>
      </c>
      <c r="C65" s="5">
        <v>0</v>
      </c>
      <c r="D65" s="5">
        <f>$B$29*C65</f>
        <v>0</v>
      </c>
      <c r="E65" s="5">
        <f t="shared" ref="E65:E73" si="22">D65*$G$10</f>
        <v>0</v>
      </c>
      <c r="F65" s="5">
        <f t="shared" ref="F65:F73" si="23">D65*$G$11</f>
        <v>0</v>
      </c>
      <c r="G65" s="143">
        <f>E65*2/100</f>
        <v>0</v>
      </c>
      <c r="H65" s="143">
        <f>F65*2/100</f>
        <v>0</v>
      </c>
      <c r="I65" s="144">
        <f>($F$9+H65)/($F$8+G65)</f>
        <v>1.1099940805353463</v>
      </c>
      <c r="J65" s="144">
        <f>I65*($C$13/$C$11)^$H$18</f>
        <v>1.0916045385553024</v>
      </c>
      <c r="K65" s="145">
        <f t="shared" ref="K65:K73" si="24">((J65/$H$21)-1)*10000</f>
        <v>4.1569516167072607E-2</v>
      </c>
    </row>
    <row r="66" spans="2:12" x14ac:dyDescent="0.2">
      <c r="B66" s="122"/>
      <c r="C66" s="5">
        <v>0.01</v>
      </c>
      <c r="D66" s="5">
        <f t="shared" ref="D66:D73" si="25">$B$29*C66</f>
        <v>0.1</v>
      </c>
      <c r="E66" s="5">
        <f t="shared" si="22"/>
        <v>1.2E-2</v>
      </c>
      <c r="F66" s="5">
        <f t="shared" si="23"/>
        <v>2.0000000000000004E-2</v>
      </c>
      <c r="G66" s="143">
        <f t="shared" ref="G66:H73" si="26">E66*2/100</f>
        <v>2.4000000000000001E-4</v>
      </c>
      <c r="H66" s="143">
        <f t="shared" si="26"/>
        <v>4.0000000000000007E-4</v>
      </c>
      <c r="I66" s="144">
        <f t="shared" ref="I66:I73" si="27">($F$9+H66)/($F$8+G66)</f>
        <v>1.1100087789752753</v>
      </c>
      <c r="J66" s="144">
        <f t="shared" ref="J66:J73" si="28">I66*($C$13/$C$11)^$H$18</f>
        <v>1.0916189934826011</v>
      </c>
      <c r="K66" s="145">
        <f t="shared" si="24"/>
        <v>0.17398915053590258</v>
      </c>
    </row>
    <row r="67" spans="2:12" x14ac:dyDescent="0.2">
      <c r="B67" s="122"/>
      <c r="C67" s="5">
        <v>0.05</v>
      </c>
      <c r="D67" s="5">
        <f t="shared" si="25"/>
        <v>0.5</v>
      </c>
      <c r="E67" s="5">
        <f t="shared" si="22"/>
        <v>0.06</v>
      </c>
      <c r="F67" s="5">
        <f t="shared" si="23"/>
        <v>0.1</v>
      </c>
      <c r="G67" s="143">
        <f t="shared" si="26"/>
        <v>1.1999999999999999E-3</v>
      </c>
      <c r="H67" s="143">
        <f t="shared" si="26"/>
        <v>2E-3</v>
      </c>
      <c r="I67" s="144">
        <f t="shared" si="27"/>
        <v>1.1100675649738274</v>
      </c>
      <c r="J67" s="144">
        <f t="shared" si="28"/>
        <v>1.0916768055592134</v>
      </c>
      <c r="K67" s="145">
        <f t="shared" si="24"/>
        <v>0.70359776695783083</v>
      </c>
    </row>
    <row r="68" spans="2:12" x14ac:dyDescent="0.2">
      <c r="B68" s="122"/>
      <c r="C68" s="5">
        <v>0.1</v>
      </c>
      <c r="D68" s="5">
        <f t="shared" si="25"/>
        <v>1</v>
      </c>
      <c r="E68" s="5">
        <f t="shared" si="22"/>
        <v>0.12</v>
      </c>
      <c r="F68" s="5">
        <f t="shared" si="23"/>
        <v>0.2</v>
      </c>
      <c r="G68" s="143">
        <f t="shared" si="26"/>
        <v>2.3999999999999998E-3</v>
      </c>
      <c r="H68" s="143">
        <f t="shared" si="26"/>
        <v>4.0000000000000001E-3</v>
      </c>
      <c r="I68" s="144">
        <f t="shared" si="27"/>
        <v>1.110141030014012</v>
      </c>
      <c r="J68" s="144">
        <f t="shared" si="28"/>
        <v>1.091749053486204</v>
      </c>
      <c r="K68" s="145">
        <f t="shared" si="24"/>
        <v>1.3654512566585453</v>
      </c>
    </row>
    <row r="69" spans="2:12" x14ac:dyDescent="0.2">
      <c r="B69" s="122"/>
      <c r="C69" s="5">
        <v>0.5</v>
      </c>
      <c r="D69" s="5">
        <f t="shared" si="25"/>
        <v>5</v>
      </c>
      <c r="E69" s="5">
        <f t="shared" si="22"/>
        <v>0.6</v>
      </c>
      <c r="F69" s="5">
        <f t="shared" si="23"/>
        <v>1</v>
      </c>
      <c r="G69" s="143">
        <f t="shared" si="26"/>
        <v>1.2E-2</v>
      </c>
      <c r="H69" s="143">
        <f t="shared" si="26"/>
        <v>0.02</v>
      </c>
      <c r="I69" s="144">
        <f t="shared" si="27"/>
        <v>1.1107280529175705</v>
      </c>
      <c r="J69" s="144">
        <f t="shared" si="28"/>
        <v>1.092326351038504</v>
      </c>
      <c r="K69" s="145">
        <f t="shared" si="24"/>
        <v>6.6539960703515533</v>
      </c>
    </row>
    <row r="70" spans="2:12" x14ac:dyDescent="0.2">
      <c r="B70" s="122"/>
      <c r="C70" s="5">
        <v>1</v>
      </c>
      <c r="D70" s="5">
        <f t="shared" si="25"/>
        <v>10</v>
      </c>
      <c r="E70" s="5">
        <f t="shared" si="22"/>
        <v>1.2</v>
      </c>
      <c r="F70" s="5">
        <f t="shared" si="23"/>
        <v>2</v>
      </c>
      <c r="G70" s="143">
        <f t="shared" si="26"/>
        <v>2.4E-2</v>
      </c>
      <c r="H70" s="143">
        <f t="shared" si="26"/>
        <v>0.04</v>
      </c>
      <c r="I70" s="144">
        <f t="shared" si="27"/>
        <v>1.1114600923643112</v>
      </c>
      <c r="J70" s="144">
        <f t="shared" si="28"/>
        <v>1.0930462626096344</v>
      </c>
      <c r="K70" s="145">
        <f t="shared" si="24"/>
        <v>13.249008626095016</v>
      </c>
    </row>
    <row r="71" spans="2:12" x14ac:dyDescent="0.2">
      <c r="B71" s="122"/>
      <c r="C71" s="5">
        <v>2</v>
      </c>
      <c r="D71" s="5">
        <f t="shared" si="25"/>
        <v>20</v>
      </c>
      <c r="E71" s="5">
        <f t="shared" si="22"/>
        <v>2.4</v>
      </c>
      <c r="F71" s="5">
        <f t="shared" si="23"/>
        <v>4</v>
      </c>
      <c r="G71" s="143">
        <f t="shared" si="26"/>
        <v>4.8000000000000001E-2</v>
      </c>
      <c r="H71" s="143">
        <f t="shared" si="26"/>
        <v>0.08</v>
      </c>
      <c r="I71" s="144">
        <f t="shared" si="27"/>
        <v>1.1129184029137351</v>
      </c>
      <c r="J71" s="144">
        <f t="shared" si="28"/>
        <v>1.0944804129733972</v>
      </c>
      <c r="K71" s="145">
        <f t="shared" si="24"/>
        <v>26.387066180844077</v>
      </c>
    </row>
    <row r="72" spans="2:12" x14ac:dyDescent="0.2">
      <c r="B72" s="122"/>
      <c r="C72" s="5">
        <v>5</v>
      </c>
      <c r="D72" s="5">
        <f t="shared" si="25"/>
        <v>50</v>
      </c>
      <c r="E72" s="5">
        <f t="shared" si="22"/>
        <v>6</v>
      </c>
      <c r="F72" s="5">
        <f t="shared" si="23"/>
        <v>10</v>
      </c>
      <c r="G72" s="143">
        <f t="shared" si="26"/>
        <v>0.12</v>
      </c>
      <c r="H72" s="143">
        <f t="shared" si="26"/>
        <v>0.2</v>
      </c>
      <c r="I72" s="144">
        <f t="shared" si="27"/>
        <v>1.1172477289877858</v>
      </c>
      <c r="J72" s="144">
        <f t="shared" si="28"/>
        <v>1.0987380140491074</v>
      </c>
      <c r="K72" s="145">
        <f t="shared" si="24"/>
        <v>65.390373917058042</v>
      </c>
    </row>
    <row r="73" spans="2:12" ht="17" thickBot="1" x14ac:dyDescent="0.25">
      <c r="B73" s="129"/>
      <c r="C73" s="146">
        <v>10</v>
      </c>
      <c r="D73" s="146">
        <f t="shared" si="25"/>
        <v>100</v>
      </c>
      <c r="E73" s="146">
        <f t="shared" si="22"/>
        <v>12</v>
      </c>
      <c r="F73" s="146">
        <f t="shared" si="23"/>
        <v>20</v>
      </c>
      <c r="G73" s="143">
        <f t="shared" si="26"/>
        <v>0.24</v>
      </c>
      <c r="H73" s="143">
        <f t="shared" si="26"/>
        <v>0.4</v>
      </c>
      <c r="I73" s="147">
        <f t="shared" si="27"/>
        <v>1.1243147735454431</v>
      </c>
      <c r="J73" s="147">
        <f t="shared" si="28"/>
        <v>1.1056879771602537</v>
      </c>
      <c r="K73" s="149">
        <f t="shared" si="24"/>
        <v>129.05804619519401</v>
      </c>
    </row>
    <row r="74" spans="2:12" x14ac:dyDescent="0.2">
      <c r="B74" s="148"/>
      <c r="C74" s="148"/>
      <c r="D74" s="148"/>
      <c r="E74" s="148"/>
      <c r="F74" s="148"/>
      <c r="G74" s="148"/>
      <c r="H74" s="148"/>
    </row>
    <row r="75" spans="2:12" ht="17" thickBot="1" x14ac:dyDescent="0.25">
      <c r="B75" s="148"/>
      <c r="C75" s="148"/>
      <c r="D75" s="148"/>
      <c r="E75" s="148"/>
      <c r="F75" s="148"/>
      <c r="G75" s="148"/>
      <c r="H75" s="148"/>
      <c r="I75" s="151"/>
      <c r="J75" s="151"/>
      <c r="K75" s="151"/>
      <c r="L75" s="17"/>
    </row>
    <row r="76" spans="2:12" ht="17" thickBot="1" x14ac:dyDescent="0.25">
      <c r="B76" s="237" t="s">
        <v>86</v>
      </c>
      <c r="C76" s="238"/>
      <c r="D76" s="238"/>
      <c r="E76" s="238"/>
      <c r="F76" s="238"/>
      <c r="G76" s="238"/>
      <c r="H76" s="150"/>
    </row>
    <row r="77" spans="2:12" ht="17" thickBot="1" x14ac:dyDescent="0.25">
      <c r="B77" s="140" t="s">
        <v>74</v>
      </c>
      <c r="C77" s="21" t="s">
        <v>75</v>
      </c>
      <c r="D77" s="141" t="s">
        <v>76</v>
      </c>
      <c r="E77" s="141" t="s">
        <v>84</v>
      </c>
      <c r="F77" s="141" t="s">
        <v>82</v>
      </c>
      <c r="G77" s="141" t="s">
        <v>11</v>
      </c>
      <c r="H77" s="142" t="s">
        <v>10</v>
      </c>
      <c r="I77" s="17"/>
    </row>
    <row r="78" spans="2:12" x14ac:dyDescent="0.2">
      <c r="B78" s="122">
        <v>10</v>
      </c>
      <c r="C78" s="5">
        <v>0.1</v>
      </c>
      <c r="D78" s="5">
        <f>$B$78*C78</f>
        <v>1</v>
      </c>
      <c r="E78" s="144">
        <v>1.1115100060796967</v>
      </c>
      <c r="F78" s="155">
        <v>1.0917399681607569</v>
      </c>
      <c r="G78" s="26">
        <v>0.81901984223753388</v>
      </c>
      <c r="H78" s="145">
        <v>8.4107824391166222E-2</v>
      </c>
      <c r="I78" s="17"/>
    </row>
    <row r="79" spans="2:12" x14ac:dyDescent="0.2">
      <c r="B79" s="122"/>
      <c r="C79" s="5">
        <v>0.3</v>
      </c>
      <c r="D79" s="5">
        <f t="shared" ref="D79:D85" si="29">$B$78*C79</f>
        <v>3</v>
      </c>
      <c r="E79" s="144">
        <v>1.1116673150094127</v>
      </c>
      <c r="F79" s="155">
        <v>1.0918322321222964</v>
      </c>
      <c r="G79" s="26">
        <v>1.8040256911233676</v>
      </c>
      <c r="H79" s="145">
        <v>0.09</v>
      </c>
      <c r="I79" s="17"/>
    </row>
    <row r="80" spans="2:12" x14ac:dyDescent="0.2">
      <c r="B80" s="122"/>
      <c r="C80" s="5">
        <v>0.5</v>
      </c>
      <c r="D80" s="5">
        <f t="shared" si="29"/>
        <v>5</v>
      </c>
      <c r="E80" s="144">
        <v>1.1117677918379354</v>
      </c>
      <c r="F80" s="155">
        <v>1.0919586169008242</v>
      </c>
      <c r="G80" s="26">
        <v>2.9535859696916411</v>
      </c>
      <c r="H80" s="145">
        <v>0.09</v>
      </c>
    </row>
    <row r="81" spans="2:8" x14ac:dyDescent="0.2">
      <c r="B81" s="122"/>
      <c r="C81" s="5">
        <v>0.7</v>
      </c>
      <c r="D81" s="5">
        <f t="shared" si="29"/>
        <v>7</v>
      </c>
      <c r="E81" s="144">
        <v>1.1118761495800287</v>
      </c>
      <c r="F81" s="155">
        <v>1.0920873403193532</v>
      </c>
      <c r="G81" s="26">
        <v>4.0248191318936755</v>
      </c>
      <c r="H81" s="145">
        <v>0.09</v>
      </c>
    </row>
    <row r="82" spans="2:8" x14ac:dyDescent="0.2">
      <c r="B82" s="122"/>
      <c r="C82" s="5">
        <v>1</v>
      </c>
      <c r="D82" s="5">
        <f t="shared" si="29"/>
        <v>10</v>
      </c>
      <c r="E82" s="144">
        <v>1.1121105441549206</v>
      </c>
      <c r="F82" s="155">
        <v>1.0923134263160006</v>
      </c>
      <c r="G82" s="26">
        <v>6.1962869392973019</v>
      </c>
      <c r="H82" s="145">
        <v>0.1</v>
      </c>
    </row>
    <row r="83" spans="2:8" x14ac:dyDescent="0.2">
      <c r="B83" s="122"/>
      <c r="C83" s="5">
        <v>1.5</v>
      </c>
      <c r="D83" s="5">
        <f t="shared" si="29"/>
        <v>15</v>
      </c>
      <c r="E83" s="144">
        <v>1.1123717920354108</v>
      </c>
      <c r="F83" s="155">
        <v>1.0925021371171122</v>
      </c>
      <c r="G83" s="26">
        <v>7.8940216326439661</v>
      </c>
      <c r="H83" s="145">
        <v>0.11</v>
      </c>
    </row>
    <row r="84" spans="2:8" x14ac:dyDescent="0.2">
      <c r="B84" s="152"/>
      <c r="C84" s="5">
        <v>2</v>
      </c>
      <c r="D84" s="5">
        <f t="shared" si="29"/>
        <v>20</v>
      </c>
      <c r="E84" s="144">
        <v>1.1126353726134062</v>
      </c>
      <c r="F84" s="155">
        <v>1.0928130811210013</v>
      </c>
      <c r="G84" s="26">
        <v>10.88767490734277</v>
      </c>
      <c r="H84" s="145">
        <v>0.14000000000000001</v>
      </c>
    </row>
    <row r="85" spans="2:8" x14ac:dyDescent="0.2">
      <c r="B85" s="152"/>
      <c r="C85" s="5">
        <v>3</v>
      </c>
      <c r="D85" s="5">
        <f t="shared" si="29"/>
        <v>30</v>
      </c>
      <c r="E85" s="144">
        <v>1.1132346331140022</v>
      </c>
      <c r="F85" s="155">
        <v>1.0934034271085091</v>
      </c>
      <c r="G85" s="26">
        <v>16.148270377447371</v>
      </c>
      <c r="H85" s="145">
        <v>0.15</v>
      </c>
    </row>
    <row r="86" spans="2:8" ht="17" thickBot="1" x14ac:dyDescent="0.25">
      <c r="B86" s="153"/>
      <c r="C86" s="146"/>
      <c r="D86" s="130"/>
      <c r="E86" s="130"/>
      <c r="F86" s="130"/>
      <c r="G86" s="130"/>
      <c r="H86" s="154"/>
    </row>
  </sheetData>
  <mergeCells count="8">
    <mergeCell ref="B63:K63"/>
    <mergeCell ref="B76:G76"/>
    <mergeCell ref="B2:E5"/>
    <mergeCell ref="E17:F17"/>
    <mergeCell ref="J17:K21"/>
    <mergeCell ref="B27:K27"/>
    <mergeCell ref="B39:K39"/>
    <mergeCell ref="B51:K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9DF6-F713-8C4B-A59E-E3A130DD5255}">
  <dimension ref="A1:K73"/>
  <sheetViews>
    <sheetView tabSelected="1" zoomScale="125" workbookViewId="0">
      <selection activeCell="I2" sqref="I2"/>
    </sheetView>
  </sheetViews>
  <sheetFormatPr baseColWidth="10" defaultRowHeight="16" x14ac:dyDescent="0.2"/>
  <cols>
    <col min="1" max="1" width="15" style="1" customWidth="1"/>
    <col min="2" max="2" width="17.5" style="1" customWidth="1"/>
    <col min="3" max="3" width="9.1640625" style="1" customWidth="1"/>
    <col min="4" max="4" width="16.83203125" style="1" customWidth="1"/>
    <col min="5" max="5" width="25.6640625" style="1" customWidth="1"/>
    <col min="6" max="6" width="26.83203125" style="1" customWidth="1"/>
    <col min="7" max="7" width="27.6640625" style="1" customWidth="1"/>
    <col min="8" max="8" width="24.1640625" style="1" customWidth="1"/>
    <col min="9" max="9" width="25.33203125" style="1" customWidth="1"/>
    <col min="10" max="16384" width="10.83203125" style="1"/>
  </cols>
  <sheetData>
    <row r="1" spans="1:11" ht="54" customHeight="1" thickBot="1" x14ac:dyDescent="0.3">
      <c r="A1" s="12" t="s">
        <v>24</v>
      </c>
      <c r="B1" s="10" t="s">
        <v>87</v>
      </c>
      <c r="C1" s="11" t="s">
        <v>10</v>
      </c>
      <c r="D1" s="11" t="s">
        <v>89</v>
      </c>
      <c r="E1" s="10" t="s">
        <v>90</v>
      </c>
      <c r="F1" s="11" t="s">
        <v>39</v>
      </c>
      <c r="G1" s="11" t="s">
        <v>92</v>
      </c>
      <c r="H1" s="11" t="s">
        <v>40</v>
      </c>
      <c r="I1" s="11" t="s">
        <v>93</v>
      </c>
      <c r="K1" s="158"/>
    </row>
    <row r="2" spans="1:11" ht="17" customHeight="1" x14ac:dyDescent="0.2">
      <c r="A2" s="7" t="s">
        <v>25</v>
      </c>
      <c r="B2" s="156">
        <v>9.24</v>
      </c>
      <c r="C2" s="156">
        <v>0.13</v>
      </c>
      <c r="D2" s="16">
        <v>5.9</v>
      </c>
      <c r="E2" s="9">
        <v>0.75</v>
      </c>
      <c r="F2" s="22">
        <f>E2</f>
        <v>0.75</v>
      </c>
      <c r="G2" s="156">
        <f>B2</f>
        <v>9.24</v>
      </c>
      <c r="H2" s="20">
        <f>E8</f>
        <v>5.8</v>
      </c>
      <c r="I2" s="80">
        <f>B8</f>
        <v>-2.97</v>
      </c>
    </row>
    <row r="3" spans="1:11" ht="18" customHeight="1" x14ac:dyDescent="0.2">
      <c r="A3" s="3" t="s">
        <v>26</v>
      </c>
      <c r="B3" s="159">
        <v>4.9000000000000004</v>
      </c>
      <c r="C3" s="159">
        <v>0.13</v>
      </c>
      <c r="D3" s="105">
        <v>6.2</v>
      </c>
      <c r="E3" s="4">
        <v>8.5</v>
      </c>
      <c r="F3" s="4">
        <f t="shared" ref="F3:F8" si="0">F2+E3</f>
        <v>9.25</v>
      </c>
      <c r="G3" s="159">
        <f>(B2*E2+B3*E3)/(F3)</f>
        <v>5.2518918918918924</v>
      </c>
      <c r="H3" s="106">
        <f>H2+E7</f>
        <v>19.3</v>
      </c>
      <c r="I3" s="160">
        <f>(B8*E8+B7*E7)/H3</f>
        <v>-2.3964248704663209</v>
      </c>
    </row>
    <row r="4" spans="1:11" ht="17" x14ac:dyDescent="0.2">
      <c r="A4" s="7" t="s">
        <v>27</v>
      </c>
      <c r="B4" s="156">
        <v>3.09</v>
      </c>
      <c r="C4" s="156">
        <v>0.17578539295757808</v>
      </c>
      <c r="D4" s="16">
        <v>6.5</v>
      </c>
      <c r="E4" s="9">
        <v>20.8</v>
      </c>
      <c r="F4" s="9">
        <f t="shared" si="0"/>
        <v>30.05</v>
      </c>
      <c r="G4" s="156">
        <f>(B2*E2+B3*E3+B4*E4)/(F4)</f>
        <v>3.7554742096505822</v>
      </c>
      <c r="H4" s="20">
        <f>H3+E6</f>
        <v>43.8</v>
      </c>
      <c r="I4" s="80">
        <f>(B8*E8+B7*E7+B6*E6)/H4</f>
        <v>-1.0895205479452055</v>
      </c>
    </row>
    <row r="5" spans="1:11" ht="17" x14ac:dyDescent="0.2">
      <c r="A5" s="3" t="s">
        <v>28</v>
      </c>
      <c r="B5" s="159">
        <v>-0.4</v>
      </c>
      <c r="C5" s="159">
        <v>0.15623896738904319</v>
      </c>
      <c r="D5" s="105">
        <v>6.8</v>
      </c>
      <c r="E5" s="4">
        <v>24.9</v>
      </c>
      <c r="F5" s="4">
        <f t="shared" si="0"/>
        <v>54.95</v>
      </c>
      <c r="G5" s="159">
        <f>(B2*E2+B3*E3+B4*E4+B5*E5)/(F5)</f>
        <v>1.8724658780709735</v>
      </c>
      <c r="H5" s="106">
        <f>H4+E5</f>
        <v>68.699999999999989</v>
      </c>
      <c r="I5" s="160">
        <f>(B8*E8+B7*E7+B6*E6+B5*E5)/H5</f>
        <v>-0.83960698689956337</v>
      </c>
    </row>
    <row r="6" spans="1:11" ht="17" x14ac:dyDescent="0.2">
      <c r="A6" s="7" t="s">
        <v>29</v>
      </c>
      <c r="B6" s="156">
        <v>-0.06</v>
      </c>
      <c r="C6" s="156">
        <v>0.17565869993895242</v>
      </c>
      <c r="D6" s="16">
        <v>7.1</v>
      </c>
      <c r="E6" s="9">
        <v>24.5</v>
      </c>
      <c r="F6" s="9">
        <f t="shared" si="0"/>
        <v>79.45</v>
      </c>
      <c r="G6" s="156">
        <f>(B2*E2+B3*E3+B4*E4+B5*E5+B6*E6)/(F6)</f>
        <v>1.2765512901195719</v>
      </c>
      <c r="H6" s="20">
        <f>H5+E4</f>
        <v>89.499999999999986</v>
      </c>
      <c r="I6" s="80">
        <f>(B8*E8+B7*E7+B6*E6+B5*E5+B4*E4)/H6</f>
        <v>7.3642458100558764E-2</v>
      </c>
    </row>
    <row r="7" spans="1:11" ht="17" x14ac:dyDescent="0.2">
      <c r="A7" s="3" t="s">
        <v>30</v>
      </c>
      <c r="B7" s="159">
        <v>-2.15</v>
      </c>
      <c r="C7" s="159">
        <v>0.13275275501718264</v>
      </c>
      <c r="D7" s="105">
        <v>7.4</v>
      </c>
      <c r="E7" s="4">
        <v>13.5</v>
      </c>
      <c r="F7" s="4">
        <f t="shared" si="0"/>
        <v>92.95</v>
      </c>
      <c r="G7" s="159">
        <f>(B2*E2+B3*E3+B4*E4+B5*E5+B6*E6+B7*E7)/(F7)</f>
        <v>0.77888111888111877</v>
      </c>
      <c r="H7" s="106">
        <f>H6+E3</f>
        <v>97.999999999999986</v>
      </c>
      <c r="I7" s="160">
        <f>(B8*E8+B7*E7+B6*E6+B5*E5+B4*E4+B3*E3)/H7</f>
        <v>0.49225510204081652</v>
      </c>
    </row>
    <row r="8" spans="1:11" ht="17" x14ac:dyDescent="0.2">
      <c r="A8" s="7" t="s">
        <v>31</v>
      </c>
      <c r="B8" s="156">
        <v>-2.97</v>
      </c>
      <c r="C8" s="156">
        <v>0.1</v>
      </c>
      <c r="D8" s="16">
        <v>7.7</v>
      </c>
      <c r="E8" s="9">
        <v>5.8</v>
      </c>
      <c r="F8" s="9">
        <f t="shared" si="0"/>
        <v>98.75</v>
      </c>
      <c r="G8" s="156">
        <f>(B2*E2+B3*E3+B4*E4+B5*E5+B6*E6+B7*E7+B8*E8)/(F8)</f>
        <v>0.55869367088607591</v>
      </c>
      <c r="H8" s="20">
        <f>H7+E2</f>
        <v>98.749999999999986</v>
      </c>
      <c r="I8" s="80">
        <f>(B8*E8+B7*E7+B6*E6+B5*E5+B4*E4+B3*E3+B2*E2)/H8</f>
        <v>0.55869367088607613</v>
      </c>
    </row>
    <row r="9" spans="1:11" x14ac:dyDescent="0.2">
      <c r="A9" s="7"/>
      <c r="B9" s="156"/>
      <c r="C9" s="156"/>
      <c r="D9" s="16"/>
      <c r="E9" s="9"/>
      <c r="F9" s="9"/>
      <c r="G9" s="156"/>
      <c r="H9" s="20"/>
      <c r="I9" s="80"/>
    </row>
    <row r="10" spans="1:11" ht="17" x14ac:dyDescent="0.2">
      <c r="A10" s="7" t="s">
        <v>32</v>
      </c>
      <c r="B10" s="156">
        <v>6.87</v>
      </c>
      <c r="C10" s="156">
        <v>0.11968648652678752</v>
      </c>
      <c r="D10" s="16">
        <v>5.9</v>
      </c>
      <c r="E10" s="9">
        <v>1.3</v>
      </c>
      <c r="F10" s="9">
        <f>E10</f>
        <v>1.3</v>
      </c>
      <c r="G10" s="156">
        <f>B10</f>
        <v>6.87</v>
      </c>
      <c r="H10" s="20">
        <f>E16</f>
        <v>7.3</v>
      </c>
      <c r="I10" s="80">
        <f>B16</f>
        <v>-1.21</v>
      </c>
    </row>
    <row r="11" spans="1:11" ht="17" x14ac:dyDescent="0.2">
      <c r="A11" s="3" t="s">
        <v>33</v>
      </c>
      <c r="B11" s="159">
        <v>4.03</v>
      </c>
      <c r="C11" s="159">
        <v>0.10716107187454001</v>
      </c>
      <c r="D11" s="105">
        <v>6.2</v>
      </c>
      <c r="E11" s="4">
        <v>7.4</v>
      </c>
      <c r="F11" s="4">
        <f t="shared" ref="F11:F16" si="1">F10+E11</f>
        <v>8.7000000000000011</v>
      </c>
      <c r="G11" s="159">
        <f>(B10*E10+B11*E11)/(F11)</f>
        <v>4.4543678160919535</v>
      </c>
      <c r="H11" s="106">
        <f>H10+E15</f>
        <v>20.5</v>
      </c>
      <c r="I11" s="160">
        <f>(B16*E16+B15*E15)/H11</f>
        <v>-1.5641463414634145</v>
      </c>
    </row>
    <row r="12" spans="1:11" ht="17" x14ac:dyDescent="0.2">
      <c r="A12" s="7" t="s">
        <v>34</v>
      </c>
      <c r="B12" s="156">
        <v>1.26</v>
      </c>
      <c r="C12" s="156">
        <v>0.14529119763362533</v>
      </c>
      <c r="D12" s="16">
        <v>6.5</v>
      </c>
      <c r="E12" s="9">
        <v>20.6</v>
      </c>
      <c r="F12" s="9">
        <f t="shared" si="1"/>
        <v>29.300000000000004</v>
      </c>
      <c r="G12" s="156">
        <f>(B10*E10+B11*E11+B12*E12)/(F12)</f>
        <v>2.2084982935153583</v>
      </c>
      <c r="H12" s="20">
        <f>H11+E14</f>
        <v>41.5</v>
      </c>
      <c r="I12" s="80">
        <f>(B16*E16+B15*E15+B14*E14)/H12</f>
        <v>-1.4507228915662651</v>
      </c>
    </row>
    <row r="13" spans="1:11" ht="17" x14ac:dyDescent="0.2">
      <c r="A13" s="3" t="s">
        <v>35</v>
      </c>
      <c r="B13" s="159">
        <v>0.22</v>
      </c>
      <c r="C13" s="159">
        <v>0.15148781581137527</v>
      </c>
      <c r="D13" s="105">
        <v>6.8</v>
      </c>
      <c r="E13" s="4">
        <v>22.6</v>
      </c>
      <c r="F13" s="4">
        <f t="shared" si="1"/>
        <v>51.900000000000006</v>
      </c>
      <c r="G13" s="159">
        <f>(B10*E10+B11*E11+B12*E12+B13*E13)/(F13)</f>
        <v>1.342601156069364</v>
      </c>
      <c r="H13" s="106">
        <f>H12+E13</f>
        <v>64.099999999999994</v>
      </c>
      <c r="I13" s="160">
        <f>(B16*E16+B15*E15+B14*E14+B13*E13)/H13</f>
        <v>-0.86166926677067091</v>
      </c>
    </row>
    <row r="14" spans="1:11" ht="17" x14ac:dyDescent="0.2">
      <c r="A14" s="7" t="s">
        <v>36</v>
      </c>
      <c r="B14" s="156">
        <v>-1.34</v>
      </c>
      <c r="C14" s="156">
        <v>0.14711611868578348</v>
      </c>
      <c r="D14" s="16">
        <v>7.1</v>
      </c>
      <c r="E14" s="9">
        <v>21</v>
      </c>
      <c r="F14" s="9">
        <f t="shared" si="1"/>
        <v>72.900000000000006</v>
      </c>
      <c r="G14" s="156">
        <f>(B10*E10+B11*E11+B12*E12+B13*E13+B14*E14)/(F14)</f>
        <v>0.56983539094650193</v>
      </c>
      <c r="H14" s="20">
        <f>H13+E12</f>
        <v>84.699999999999989</v>
      </c>
      <c r="I14" s="80">
        <f>(B16*E16+B15*E15+B14*E14+B13*E13+B12*E12)/H14</f>
        <v>-0.34565525383707202</v>
      </c>
    </row>
    <row r="15" spans="1:11" ht="17" x14ac:dyDescent="0.2">
      <c r="A15" s="3" t="s">
        <v>37</v>
      </c>
      <c r="B15" s="159">
        <v>-1.76</v>
      </c>
      <c r="C15" s="159">
        <v>0.13726439235021831</v>
      </c>
      <c r="D15" s="105">
        <v>7.4</v>
      </c>
      <c r="E15" s="4">
        <v>13.2</v>
      </c>
      <c r="F15" s="4">
        <f t="shared" si="1"/>
        <v>86.100000000000009</v>
      </c>
      <c r="G15" s="159">
        <f>(B10*E10+B11*E11+B12*E12+B13*E13+B14*E14+B15*E15)/(F15)</f>
        <v>0.21264808362369333</v>
      </c>
      <c r="H15" s="106">
        <f>H14+E11</f>
        <v>92.1</v>
      </c>
      <c r="I15" s="160">
        <f>(B16*E16+B15*E15+B14*E14+B13*E13+B12*E12+B11*E11)/H15</f>
        <v>5.9174809989143195E-3</v>
      </c>
    </row>
    <row r="16" spans="1:11" ht="17" x14ac:dyDescent="0.2">
      <c r="A16" s="7" t="s">
        <v>38</v>
      </c>
      <c r="B16" s="156">
        <v>-1.21</v>
      </c>
      <c r="C16" s="156">
        <v>0.14000000000000001</v>
      </c>
      <c r="D16" s="16">
        <v>7.7</v>
      </c>
      <c r="E16" s="9">
        <v>7.3</v>
      </c>
      <c r="F16" s="9">
        <f t="shared" si="1"/>
        <v>93.4</v>
      </c>
      <c r="G16" s="156">
        <f>(B10*E10+B11*E11+B12*E12+B13*E13+B14*E14+B15*E15+B16*E16)/(F16)</f>
        <v>0.10145610278372587</v>
      </c>
      <c r="H16" s="20">
        <f>H15+E10</f>
        <v>93.399999999999991</v>
      </c>
      <c r="I16" s="80">
        <f>(B16*E16+B15*E15+B14*E14+B13*E13+B12*E12+B11*E11+B10*E10)/H16</f>
        <v>0.10145610278372602</v>
      </c>
    </row>
    <row r="17" spans="1:7" x14ac:dyDescent="0.2">
      <c r="F17" s="161"/>
    </row>
    <row r="18" spans="1:7" x14ac:dyDescent="0.2">
      <c r="A18" s="7"/>
      <c r="B18" s="78"/>
      <c r="C18" s="25"/>
      <c r="F18" s="78"/>
      <c r="G18" s="78"/>
    </row>
    <row r="19" spans="1:7" x14ac:dyDescent="0.2">
      <c r="B19" s="17"/>
    </row>
    <row r="20" spans="1:7" x14ac:dyDescent="0.2">
      <c r="B20" s="17"/>
    </row>
    <row r="21" spans="1:7" x14ac:dyDescent="0.2">
      <c r="B21" s="17"/>
    </row>
    <row r="22" spans="1:7" x14ac:dyDescent="0.2">
      <c r="B22" s="17"/>
    </row>
    <row r="23" spans="1:7" x14ac:dyDescent="0.2">
      <c r="B23" s="17"/>
    </row>
    <row r="24" spans="1:7" x14ac:dyDescent="0.2">
      <c r="B24" s="17"/>
    </row>
    <row r="25" spans="1:7" x14ac:dyDescent="0.2">
      <c r="B25" s="17"/>
    </row>
    <row r="26" spans="1:7" x14ac:dyDescent="0.2">
      <c r="B26" s="17"/>
    </row>
    <row r="27" spans="1:7" x14ac:dyDescent="0.2">
      <c r="B27" s="17"/>
    </row>
    <row r="28" spans="1:7" x14ac:dyDescent="0.2">
      <c r="B28" s="17"/>
    </row>
    <row r="29" spans="1:7" x14ac:dyDescent="0.2">
      <c r="B29" s="17"/>
    </row>
    <row r="30" spans="1:7" x14ac:dyDescent="0.2">
      <c r="B30" s="17"/>
    </row>
    <row r="31" spans="1:7" x14ac:dyDescent="0.2">
      <c r="B31" s="17"/>
    </row>
    <row r="32" spans="1:7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73" spans="6:6" x14ac:dyDescent="0.2">
      <c r="F73" s="1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Appendix-Table 1.</vt:lpstr>
      <vt:lpstr>Appendix-Table 2.</vt:lpstr>
      <vt:lpstr>Appendix-Table 3.</vt:lpstr>
      <vt:lpstr>Appendix-Table 4.</vt:lpstr>
      <vt:lpstr>Appendix-Table 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2022-12-05T20:41:06Z</dcterms:created>
  <dcterms:modified xsi:type="dcterms:W3CDTF">2023-02-09T11:18:05Z</dcterms:modified>
</cp:coreProperties>
</file>